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5.xml" ContentType="application/vnd.openxmlformats-officedocument.drawing+xml"/>
  <Override PartName="/xl/charts/chart1.xml" ContentType="application/vnd.openxmlformats-officedocument.drawingml.chart+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rnold\Documents\2020 2021 Budget\2020 2021 Final Budget\"/>
    </mc:Choice>
  </mc:AlternateContent>
  <workbookProtection workbookPassword="FB84" lockStructure="1"/>
  <bookViews>
    <workbookView xWindow="0" yWindow="0" windowWidth="20490" windowHeight="6855" firstSheet="54" activeTab="63"/>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'SA1'!$A$1:$L$234</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SA13b!$A$1:$R$75</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'SA21'!$A$1:$L$72</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'SA30'!$A$1:$P$57</definedName>
    <definedName name="_xlnm.Print_Area" localSheetId="52">'SA31'!$A$1:$K$42</definedName>
    <definedName name="_xlnm.Print_Area" localSheetId="53">'SA32'!$A$1:$F$40</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'SA36'!$A$1:$Q$225</definedName>
    <definedName name="_xlnm.Print_Area" localSheetId="62">'SA37'!$A$1:$R$26</definedName>
    <definedName name="_xlnm.Print_Area" localSheetId="63">'SA38'!$A$1:$O$1707</definedName>
    <definedName name="_xlnm.Print_Area" localSheetId="23">'SA4'!$A$1:$M$27</definedName>
    <definedName name="_xlnm.Print_Area" localSheetId="24">'SA5'!$A$1:$M$30</definedName>
    <definedName name="_xlnm.Print_Area" localSheetId="25">'SA6'!$A$1:$M$229</definedName>
    <definedName name="_xlnm.Print_Area" localSheetId="26">'SA7'!$A$1:$K$198</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52511"/>
  <fileRecoveryPr autoRecover="0" repairLoad="1"/>
</workbook>
</file>

<file path=xl/calcChain.xml><?xml version="1.0" encoding="utf-8"?>
<calcChain xmlns="http://schemas.openxmlformats.org/spreadsheetml/2006/main">
  <c r="O433" i="368" l="1"/>
  <c r="I10" i="315"/>
  <c r="H5" i="315"/>
  <c r="F10" i="315"/>
  <c r="I8" i="141" l="1"/>
  <c r="F5" i="141"/>
  <c r="F55" i="128"/>
  <c r="D55" i="128"/>
  <c r="H217" i="255"/>
  <c r="G217" i="255"/>
  <c r="F217" i="255"/>
  <c r="C217" i="255"/>
  <c r="D217" i="255"/>
  <c r="E217" i="255"/>
  <c r="D34" i="127" l="1"/>
  <c r="D152" i="255"/>
  <c r="E173" i="358" l="1"/>
  <c r="C173" i="358"/>
  <c r="C16" i="349"/>
  <c r="D16" i="349"/>
  <c r="E16" i="349"/>
  <c r="E36" i="128"/>
  <c r="D36" i="128"/>
  <c r="C36" i="128"/>
  <c r="G7" i="316" l="1"/>
  <c r="G14" i="249"/>
  <c r="G14" i="136"/>
  <c r="H159" i="358"/>
  <c r="G55" i="128" l="1"/>
  <c r="G23" i="128"/>
  <c r="F12" i="128"/>
  <c r="F42" i="128"/>
  <c r="F23" i="128"/>
  <c r="I73" i="126"/>
  <c r="H73" i="126"/>
  <c r="G73" i="126"/>
  <c r="L157" i="255" l="1"/>
  <c r="K157" i="255"/>
  <c r="J157" i="255"/>
  <c r="I157" i="255"/>
  <c r="H157" i="255"/>
  <c r="G157" i="255"/>
  <c r="F157" i="255"/>
  <c r="E157" i="255"/>
  <c r="D157" i="255"/>
  <c r="C157" i="255"/>
  <c r="F73" i="126" l="1"/>
  <c r="H162" i="351"/>
  <c r="G174" i="342"/>
  <c r="F229" i="342"/>
  <c r="F199" i="342"/>
  <c r="G12" i="305"/>
  <c r="G114" i="255"/>
  <c r="G112" i="255"/>
  <c r="G108" i="255"/>
  <c r="G30" i="127"/>
  <c r="G66" i="255"/>
  <c r="G18" i="127"/>
  <c r="F114" i="255"/>
  <c r="F30" i="127"/>
  <c r="F28" i="127"/>
  <c r="K8" i="367" l="1"/>
  <c r="I23" i="367"/>
  <c r="K100" i="351"/>
  <c r="J100" i="351"/>
  <c r="K238" i="351"/>
  <c r="J238" i="351"/>
  <c r="E77" i="351"/>
  <c r="J30" i="127"/>
  <c r="J23" i="128"/>
  <c r="O157" i="256" l="1"/>
  <c r="O153" i="256"/>
  <c r="D60" i="146" l="1"/>
  <c r="D6" i="146"/>
  <c r="D6" i="316" l="1"/>
  <c r="F12" i="315"/>
  <c r="F11" i="315"/>
  <c r="F8" i="315"/>
  <c r="F7" i="315"/>
  <c r="F6" i="315"/>
  <c r="F5" i="315"/>
  <c r="F9" i="141"/>
  <c r="F6" i="141"/>
  <c r="D9" i="129" l="1"/>
  <c r="I55" i="128" l="1"/>
  <c r="H55" i="128"/>
  <c r="K144" i="314" l="1"/>
  <c r="K45" i="314"/>
  <c r="K174" i="314"/>
  <c r="C33" i="246"/>
  <c r="C31" i="246"/>
  <c r="E31" i="246"/>
  <c r="I29" i="246"/>
  <c r="I159" i="134" l="1"/>
  <c r="I153" i="134"/>
  <c r="J198" i="343"/>
  <c r="J255" i="343"/>
  <c r="J73" i="126"/>
  <c r="J55" i="126"/>
  <c r="J45" i="126"/>
  <c r="I242" i="342"/>
  <c r="I241" i="342"/>
  <c r="I198" i="342"/>
  <c r="I174" i="342"/>
  <c r="J96" i="255"/>
  <c r="J115" i="255"/>
  <c r="Q1291" i="368" l="1"/>
  <c r="P1291" i="368"/>
  <c r="O1291" i="368"/>
  <c r="M1685" i="368"/>
  <c r="N1685" i="368"/>
  <c r="O1685" i="368"/>
  <c r="P1685" i="368"/>
  <c r="Q1685" i="368"/>
  <c r="M1698" i="368"/>
  <c r="N1698" i="368"/>
  <c r="O1698" i="368"/>
  <c r="P1698" i="368"/>
  <c r="Q1698" i="368"/>
  <c r="M1699" i="368"/>
  <c r="N1699" i="368"/>
  <c r="O1699" i="368"/>
  <c r="P1699" i="368"/>
  <c r="Q1699" i="368"/>
  <c r="A1700" i="368"/>
  <c r="I25" i="127" l="1"/>
  <c r="H25" i="127"/>
  <c r="E89" i="146" l="1"/>
  <c r="D89" i="146"/>
  <c r="E93" i="146"/>
  <c r="D93" i="146"/>
  <c r="C93" i="146"/>
  <c r="E85" i="146"/>
  <c r="D85" i="146"/>
  <c r="C85" i="146"/>
  <c r="H33" i="146" l="1"/>
  <c r="G33" i="146"/>
  <c r="F33" i="146"/>
  <c r="E33" i="146"/>
  <c r="D33" i="146"/>
  <c r="C33" i="146"/>
  <c r="P44" i="95" l="1"/>
  <c r="O44" i="95"/>
  <c r="N44" i="95"/>
  <c r="P41" i="95" l="1"/>
  <c r="O41" i="95"/>
  <c r="N41" i="95"/>
  <c r="P40" i="95"/>
  <c r="O40" i="95"/>
  <c r="N40" i="95"/>
  <c r="P37" i="95"/>
  <c r="O37" i="95"/>
  <c r="N37" i="95"/>
  <c r="P36" i="95"/>
  <c r="O36" i="95"/>
  <c r="N36" i="95"/>
  <c r="P35" i="95"/>
  <c r="O35" i="95"/>
  <c r="N35" i="95"/>
  <c r="E12" i="316"/>
  <c r="E16" i="249"/>
  <c r="E16" i="136"/>
  <c r="G8" i="315"/>
  <c r="E14" i="131"/>
  <c r="E26" i="131"/>
  <c r="E9" i="131"/>
  <c r="E9" i="129" l="1"/>
  <c r="E187" i="343"/>
  <c r="I74" i="126"/>
  <c r="E202" i="351"/>
  <c r="E186" i="342"/>
  <c r="E17" i="342"/>
  <c r="E89" i="255"/>
  <c r="E25" i="127"/>
  <c r="E63" i="255"/>
  <c r="E48" i="255"/>
  <c r="E18" i="127"/>
  <c r="E12" i="127"/>
  <c r="F187" i="343"/>
  <c r="J11" i="301" l="1"/>
  <c r="K153" i="358"/>
  <c r="J153" i="358"/>
  <c r="I153" i="358"/>
  <c r="L216" i="255"/>
  <c r="K216" i="255"/>
  <c r="J216" i="255"/>
  <c r="K153" i="349"/>
  <c r="J153" i="349"/>
  <c r="I153" i="349"/>
  <c r="K153" i="134"/>
  <c r="J153" i="134"/>
  <c r="K18" i="301"/>
  <c r="J18" i="301"/>
  <c r="I18" i="301"/>
  <c r="I102" i="146"/>
  <c r="K93" i="146"/>
  <c r="J93" i="146"/>
  <c r="I93" i="146"/>
  <c r="K89" i="146"/>
  <c r="J89" i="146"/>
  <c r="J88" i="146"/>
  <c r="I89" i="146"/>
  <c r="K85" i="146"/>
  <c r="J85" i="146"/>
  <c r="I85" i="146"/>
  <c r="L64" i="255" l="1"/>
  <c r="K64" i="255"/>
  <c r="J64" i="255"/>
  <c r="D33" i="246"/>
  <c r="D31" i="246"/>
  <c r="D30" i="246"/>
  <c r="D28" i="246"/>
  <c r="D27" i="246"/>
  <c r="D24" i="246"/>
  <c r="J187" i="343"/>
  <c r="L73" i="126"/>
  <c r="K73" i="126"/>
  <c r="J54" i="126"/>
  <c r="L184" i="255"/>
  <c r="K184" i="255"/>
  <c r="J184" i="255"/>
  <c r="L183" i="255"/>
  <c r="K183" i="255"/>
  <c r="J183" i="255"/>
  <c r="L181" i="255"/>
  <c r="K181" i="255"/>
  <c r="J181" i="255"/>
  <c r="L177" i="255"/>
  <c r="K177" i="255"/>
  <c r="J177" i="255"/>
  <c r="L154" i="255"/>
  <c r="K154" i="255"/>
  <c r="J154" i="255"/>
  <c r="L155" i="255"/>
  <c r="K155" i="255"/>
  <c r="J155" i="255"/>
  <c r="L106" i="255"/>
  <c r="K106" i="255"/>
  <c r="J106" i="255"/>
  <c r="L114" i="255"/>
  <c r="K114" i="255"/>
  <c r="J114" i="255"/>
  <c r="L108" i="255"/>
  <c r="K108" i="255"/>
  <c r="J108" i="255"/>
  <c r="L28" i="127"/>
  <c r="K28" i="127"/>
  <c r="J28" i="127"/>
  <c r="L30" i="127"/>
  <c r="K30" i="127"/>
  <c r="L89" i="255"/>
  <c r="K89" i="255"/>
  <c r="J89" i="255"/>
  <c r="L25" i="127"/>
  <c r="K25" i="127"/>
  <c r="J25" i="127"/>
  <c r="L67" i="255"/>
  <c r="K67" i="255"/>
  <c r="J67" i="255"/>
  <c r="L72" i="255"/>
  <c r="K72" i="255"/>
  <c r="J72" i="255"/>
  <c r="L71" i="255"/>
  <c r="K71" i="255"/>
  <c r="J71" i="255"/>
  <c r="L66" i="255"/>
  <c r="K66" i="255"/>
  <c r="J66" i="255"/>
  <c r="L63" i="255"/>
  <c r="K63" i="255"/>
  <c r="J63" i="255"/>
  <c r="L23" i="128" l="1"/>
  <c r="K23" i="128"/>
  <c r="I23" i="128"/>
  <c r="M11" i="315" l="1"/>
  <c r="L11" i="315"/>
  <c r="M5" i="141"/>
  <c r="L9" i="141"/>
  <c r="K9" i="141"/>
  <c r="J5" i="141"/>
  <c r="E30" i="255" l="1"/>
  <c r="E12" i="255"/>
  <c r="H100" i="351"/>
  <c r="H12" i="255"/>
  <c r="I12" i="255"/>
  <c r="H74" i="342"/>
  <c r="F28" i="300" l="1"/>
  <c r="D28" i="300"/>
  <c r="C28" i="300"/>
  <c r="K17" i="298" l="1"/>
  <c r="K12" i="299"/>
  <c r="K38" i="137"/>
  <c r="F10" i="145"/>
  <c r="K33" i="146"/>
  <c r="J33" i="146"/>
  <c r="I33" i="146"/>
  <c r="E7" i="316" l="1"/>
  <c r="E31" i="316"/>
  <c r="A36" i="249"/>
  <c r="E31" i="249"/>
  <c r="E6" i="316"/>
  <c r="K31" i="136" l="1"/>
  <c r="J31" i="136"/>
  <c r="I31" i="136"/>
  <c r="E31" i="136"/>
  <c r="J19" i="246"/>
  <c r="L18" i="127" l="1"/>
  <c r="K18" i="127"/>
  <c r="J18" i="127"/>
  <c r="I12" i="315" l="1"/>
  <c r="G212" i="255" l="1"/>
  <c r="G9" i="141" l="1"/>
  <c r="G11" i="315"/>
  <c r="A219" i="256" l="1"/>
  <c r="C174" i="342" l="1"/>
  <c r="I28" i="337" l="1"/>
  <c r="I27" i="337"/>
  <c r="I26" i="337"/>
  <c r="I25" i="337"/>
  <c r="I24" i="337"/>
  <c r="I23" i="337"/>
  <c r="I22" i="337"/>
  <c r="I13" i="337"/>
  <c r="I12" i="337"/>
  <c r="I11" i="337"/>
  <c r="I10" i="337"/>
  <c r="I9" i="337"/>
  <c r="I8" i="337"/>
  <c r="I7" i="337"/>
  <c r="I43" i="337" l="1"/>
  <c r="I42" i="337"/>
  <c r="I40" i="337"/>
  <c r="I41" i="337"/>
  <c r="H45" i="146" l="1"/>
  <c r="L33" i="255" l="1"/>
  <c r="L30" i="255" s="1"/>
  <c r="K33" i="255"/>
  <c r="K30" i="255" s="1"/>
  <c r="J33" i="255"/>
  <c r="J30" i="255" s="1"/>
  <c r="F212" i="255" l="1"/>
  <c r="H212" i="255"/>
  <c r="I212" i="255"/>
  <c r="J212" i="255"/>
  <c r="K212" i="255"/>
  <c r="L212" i="255"/>
  <c r="D212" i="255"/>
  <c r="E212" i="255"/>
  <c r="C212" i="255"/>
  <c r="C10" i="148" l="1"/>
  <c r="D10" i="148"/>
  <c r="E10" i="148"/>
  <c r="C20" i="148"/>
  <c r="D20" i="148"/>
  <c r="E20" i="148"/>
  <c r="C17" i="336"/>
  <c r="D17" i="336"/>
  <c r="C6" i="336"/>
  <c r="D6" i="336"/>
  <c r="C10" i="336"/>
  <c r="D10" i="336"/>
  <c r="G48" i="363"/>
  <c r="H48" i="363"/>
  <c r="I48" i="363"/>
  <c r="J48" i="363"/>
  <c r="G49" i="363"/>
  <c r="H49" i="363"/>
  <c r="I49" i="363"/>
  <c r="J49" i="363"/>
  <c r="G50" i="363"/>
  <c r="H50" i="363"/>
  <c r="I50" i="363"/>
  <c r="J50" i="363"/>
  <c r="G51" i="363"/>
  <c r="H51" i="363"/>
  <c r="I51" i="363"/>
  <c r="J51" i="363"/>
  <c r="G52" i="363"/>
  <c r="H52" i="363"/>
  <c r="I52" i="363"/>
  <c r="J52" i="363"/>
  <c r="G53" i="363"/>
  <c r="H53" i="363"/>
  <c r="I53" i="363"/>
  <c r="J53" i="363"/>
  <c r="I27" i="131" l="1"/>
  <c r="H27" i="131"/>
  <c r="G27" i="131"/>
  <c r="F27" i="131"/>
  <c r="E27" i="131"/>
  <c r="D27" i="131"/>
  <c r="C27" i="131"/>
  <c r="A23" i="95" l="1"/>
  <c r="A24" i="95"/>
  <c r="L51" i="128"/>
  <c r="K51" i="128"/>
  <c r="J51" i="128"/>
  <c r="H51" i="128"/>
  <c r="H38" i="129" s="1"/>
  <c r="G51" i="128"/>
  <c r="G38" i="129" s="1"/>
  <c r="F51" i="128"/>
  <c r="F38" i="129" s="1"/>
  <c r="E51" i="128"/>
  <c r="D51" i="128"/>
  <c r="D38" i="129" s="1"/>
  <c r="C51" i="128"/>
  <c r="C38" i="129" s="1"/>
  <c r="I51" i="128"/>
  <c r="L33" i="127"/>
  <c r="Q33" i="137" s="1"/>
  <c r="J33" i="127"/>
  <c r="O33" i="137" s="1"/>
  <c r="N33" i="137" s="1"/>
  <c r="I33" i="127"/>
  <c r="H33" i="127"/>
  <c r="G33" i="127"/>
  <c r="F33" i="127"/>
  <c r="E33" i="127"/>
  <c r="D33" i="127"/>
  <c r="C33" i="127"/>
  <c r="L149" i="255"/>
  <c r="L31" i="127" s="1"/>
  <c r="K149" i="255"/>
  <c r="K31" i="127" s="1"/>
  <c r="P31" i="137" s="1"/>
  <c r="J149" i="255"/>
  <c r="J31" i="127" s="1"/>
  <c r="O31" i="137" s="1"/>
  <c r="N31" i="137" s="1"/>
  <c r="I149" i="255"/>
  <c r="I31" i="127" s="1"/>
  <c r="H149" i="255"/>
  <c r="H31" i="127" s="1"/>
  <c r="G149" i="255"/>
  <c r="G31" i="127" s="1"/>
  <c r="F149" i="255"/>
  <c r="F31" i="127" s="1"/>
  <c r="E149" i="255"/>
  <c r="E31" i="127" s="1"/>
  <c r="D149" i="255"/>
  <c r="D31" i="127" s="1"/>
  <c r="C149" i="255"/>
  <c r="C31" i="127" s="1"/>
  <c r="L93" i="255"/>
  <c r="L27" i="127" s="1"/>
  <c r="K13" i="86" s="1"/>
  <c r="K93" i="255"/>
  <c r="K27" i="127" s="1"/>
  <c r="P27" i="137" s="1"/>
  <c r="J93" i="255"/>
  <c r="J27" i="127" s="1"/>
  <c r="I93" i="255"/>
  <c r="I27" i="127" s="1"/>
  <c r="H13" i="86" s="1"/>
  <c r="H93" i="255"/>
  <c r="H27" i="127" s="1"/>
  <c r="G13" i="86" s="1"/>
  <c r="G93" i="255"/>
  <c r="G27" i="127" s="1"/>
  <c r="F13" i="86" s="1"/>
  <c r="F93" i="255"/>
  <c r="F27" i="127" s="1"/>
  <c r="E13" i="86" s="1"/>
  <c r="E93" i="255"/>
  <c r="E27" i="127" s="1"/>
  <c r="D13" i="86" s="1"/>
  <c r="D93" i="255"/>
  <c r="D27" i="127" s="1"/>
  <c r="C13" i="86" s="1"/>
  <c r="C93" i="255"/>
  <c r="C27" i="127" s="1"/>
  <c r="B13" i="86" s="1"/>
  <c r="C59" i="255"/>
  <c r="C19" i="127" s="1"/>
  <c r="B9" i="86" s="1"/>
  <c r="L59" i="255"/>
  <c r="L19" i="127" s="1"/>
  <c r="K59" i="255"/>
  <c r="K19" i="127" s="1"/>
  <c r="P19" i="137" s="1"/>
  <c r="J59" i="255"/>
  <c r="J19" i="127" s="1"/>
  <c r="I59" i="255"/>
  <c r="I19" i="127" s="1"/>
  <c r="H9" i="86" s="1"/>
  <c r="H59" i="255"/>
  <c r="H19" i="127" s="1"/>
  <c r="G9" i="86" s="1"/>
  <c r="G59" i="255"/>
  <c r="G19" i="127" s="1"/>
  <c r="F9" i="86" s="1"/>
  <c r="F59" i="255"/>
  <c r="F19" i="127" s="1"/>
  <c r="E9" i="86" s="1"/>
  <c r="E59" i="255"/>
  <c r="E19" i="127" s="1"/>
  <c r="D9" i="86" s="1"/>
  <c r="D59" i="255"/>
  <c r="D19" i="127" s="1"/>
  <c r="C9" i="86" s="1"/>
  <c r="A69" i="126"/>
  <c r="A31" i="300" s="1"/>
  <c r="A21" i="86"/>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O32" i="95" s="1"/>
  <c r="N20" i="95"/>
  <c r="N32" i="95" s="1"/>
  <c r="L20" i="95"/>
  <c r="L32" i="95" s="1"/>
  <c r="K20" i="95"/>
  <c r="K32" i="95" s="1"/>
  <c r="J20" i="95"/>
  <c r="J32" i="95" s="1"/>
  <c r="I20" i="95"/>
  <c r="I32" i="95" s="1"/>
  <c r="H20" i="95"/>
  <c r="H32" i="95" s="1"/>
  <c r="G20" i="95"/>
  <c r="G32" i="95" s="1"/>
  <c r="F20" i="95"/>
  <c r="F32" i="95" s="1"/>
  <c r="E20" i="95"/>
  <c r="E32" i="95" s="1"/>
  <c r="D20" i="95"/>
  <c r="D32" i="95" s="1"/>
  <c r="C20" i="95"/>
  <c r="C32" i="95" s="1"/>
  <c r="B20" i="95"/>
  <c r="B32" i="95" s="1"/>
  <c r="M21" i="137"/>
  <c r="L21" i="137"/>
  <c r="K21" i="137"/>
  <c r="J21" i="137"/>
  <c r="I21" i="137"/>
  <c r="H21" i="137"/>
  <c r="G21" i="137"/>
  <c r="F21" i="137"/>
  <c r="E21" i="137"/>
  <c r="D21" i="137"/>
  <c r="C21" i="137"/>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N204" i="256"/>
  <c r="M204" i="256"/>
  <c r="A172" i="351"/>
  <c r="A173" i="351"/>
  <c r="A174" i="351"/>
  <c r="A175" i="351"/>
  <c r="A171" i="351"/>
  <c r="I44" i="337"/>
  <c r="I39" i="337"/>
  <c r="I38" i="337"/>
  <c r="I37" i="337"/>
  <c r="K75" i="367"/>
  <c r="K80" i="248" s="1"/>
  <c r="J75" i="367"/>
  <c r="I75" i="367"/>
  <c r="I80" i="248" s="1"/>
  <c r="H75" i="367"/>
  <c r="H80" i="248" s="1"/>
  <c r="G75" i="367"/>
  <c r="G80" i="248" s="1"/>
  <c r="F75" i="367"/>
  <c r="F80" i="248" s="1"/>
  <c r="E75" i="367"/>
  <c r="E80" i="248" s="1"/>
  <c r="D75" i="367"/>
  <c r="K75" i="358"/>
  <c r="J75" i="358"/>
  <c r="I75" i="358"/>
  <c r="H75" i="358"/>
  <c r="G75" i="358"/>
  <c r="F75" i="358"/>
  <c r="E75" i="358"/>
  <c r="D75" i="358"/>
  <c r="K75" i="349"/>
  <c r="J75" i="349"/>
  <c r="J180" i="248" s="1"/>
  <c r="I75" i="349"/>
  <c r="H75" i="349"/>
  <c r="H180" i="248" s="1"/>
  <c r="G75" i="349"/>
  <c r="F75" i="349"/>
  <c r="F180" i="248" s="1"/>
  <c r="E75" i="349"/>
  <c r="E180" i="248" s="1"/>
  <c r="D75" i="349"/>
  <c r="D180" i="248" s="1"/>
  <c r="K75" i="350"/>
  <c r="J75" i="350"/>
  <c r="J48" i="248" s="1"/>
  <c r="I75" i="350"/>
  <c r="I48" i="248" s="1"/>
  <c r="H75" i="350"/>
  <c r="H48" i="248" s="1"/>
  <c r="G75" i="350"/>
  <c r="G48" i="248" s="1"/>
  <c r="F75" i="350"/>
  <c r="F48" i="248" s="1"/>
  <c r="E75" i="350"/>
  <c r="D75" i="350"/>
  <c r="D48" i="248" s="1"/>
  <c r="K75" i="134"/>
  <c r="K16" i="248" s="1"/>
  <c r="J75" i="134"/>
  <c r="I75" i="134"/>
  <c r="H75" i="134"/>
  <c r="H74" i="134" s="1"/>
  <c r="G75" i="134"/>
  <c r="G16" i="248" s="1"/>
  <c r="F75" i="134"/>
  <c r="F16" i="248" s="1"/>
  <c r="E75" i="134"/>
  <c r="D75" i="134"/>
  <c r="D16" i="248" s="1"/>
  <c r="C16" i="134"/>
  <c r="C8" i="248" s="1"/>
  <c r="E154" i="100"/>
  <c r="F154" i="100"/>
  <c r="A2" i="133"/>
  <c r="A2" i="351"/>
  <c r="K239" i="351"/>
  <c r="K47" i="133" s="1"/>
  <c r="Q47" i="298" s="1"/>
  <c r="J239" i="351"/>
  <c r="J47" i="133" s="1"/>
  <c r="P47" i="298" s="1"/>
  <c r="I239" i="351"/>
  <c r="I47" i="133"/>
  <c r="O47" i="298" s="1"/>
  <c r="N47" i="298" s="1"/>
  <c r="H239" i="351"/>
  <c r="H47" i="133"/>
  <c r="G239" i="351"/>
  <c r="G47" i="133" s="1"/>
  <c r="F239" i="351"/>
  <c r="F47" i="133" s="1"/>
  <c r="E239" i="351"/>
  <c r="E47" i="133" s="1"/>
  <c r="D239" i="351"/>
  <c r="D47" i="133" s="1"/>
  <c r="C239" i="351"/>
  <c r="C47" i="133" s="1"/>
  <c r="A245" i="351"/>
  <c r="A244" i="351"/>
  <c r="A243" i="351"/>
  <c r="A242" i="351"/>
  <c r="A241" i="351"/>
  <c r="A240" i="351"/>
  <c r="K234" i="351"/>
  <c r="K46" i="133" s="1"/>
  <c r="Q46" i="298" s="1"/>
  <c r="J234" i="351"/>
  <c r="J46" i="133" s="1"/>
  <c r="P46" i="298" s="1"/>
  <c r="I234" i="351"/>
  <c r="I46" i="133" s="1"/>
  <c r="O46" i="298" s="1"/>
  <c r="N46" i="298" s="1"/>
  <c r="H234" i="351"/>
  <c r="H46" i="133" s="1"/>
  <c r="G234" i="351"/>
  <c r="G46" i="133" s="1"/>
  <c r="F234" i="351"/>
  <c r="F46" i="133" s="1"/>
  <c r="F42" i="133" s="1"/>
  <c r="E234" i="351"/>
  <c r="E46" i="133" s="1"/>
  <c r="D234" i="351"/>
  <c r="C234" i="351"/>
  <c r="C46" i="133" s="1"/>
  <c r="A238" i="351"/>
  <c r="A237" i="351"/>
  <c r="A236" i="351"/>
  <c r="A235" i="351"/>
  <c r="K229" i="351"/>
  <c r="J229" i="351"/>
  <c r="J45" i="133" s="1"/>
  <c r="I229" i="351"/>
  <c r="I45" i="133" s="1"/>
  <c r="O45" i="298" s="1"/>
  <c r="N45" i="298" s="1"/>
  <c r="H229" i="351"/>
  <c r="H45" i="133" s="1"/>
  <c r="G229" i="351"/>
  <c r="G45" i="133" s="1"/>
  <c r="F229" i="351"/>
  <c r="F45" i="133" s="1"/>
  <c r="E229" i="351"/>
  <c r="E45" i="133" s="1"/>
  <c r="D229" i="351"/>
  <c r="D45" i="133" s="1"/>
  <c r="C229" i="351"/>
  <c r="C45" i="133" s="1"/>
  <c r="A233" i="351"/>
  <c r="A232" i="351"/>
  <c r="A231" i="351"/>
  <c r="A230" i="351"/>
  <c r="K225" i="351"/>
  <c r="K44" i="133"/>
  <c r="Q44" i="298" s="1"/>
  <c r="J225" i="351"/>
  <c r="J44" i="133" s="1"/>
  <c r="P44" i="298" s="1"/>
  <c r="I225" i="351"/>
  <c r="I44" i="133" s="1"/>
  <c r="O44" i="298" s="1"/>
  <c r="N44" i="298" s="1"/>
  <c r="H225" i="351"/>
  <c r="H44" i="133" s="1"/>
  <c r="G225" i="351"/>
  <c r="G44" i="133" s="1"/>
  <c r="F225" i="351"/>
  <c r="F44" i="133" s="1"/>
  <c r="E225" i="351"/>
  <c r="D225" i="351"/>
  <c r="D44" i="133" s="1"/>
  <c r="C225" i="351"/>
  <c r="C44" i="133" s="1"/>
  <c r="A228" i="351"/>
  <c r="A227" i="351"/>
  <c r="A226" i="351"/>
  <c r="K221" i="351"/>
  <c r="K43" i="133" s="1"/>
  <c r="Q43" i="298" s="1"/>
  <c r="J221" i="351"/>
  <c r="J43" i="133" s="1"/>
  <c r="P43" i="298" s="1"/>
  <c r="I221" i="351"/>
  <c r="I43" i="133" s="1"/>
  <c r="H221" i="351"/>
  <c r="H43" i="133" s="1"/>
  <c r="G221" i="351"/>
  <c r="F221" i="351"/>
  <c r="F43" i="133" s="1"/>
  <c r="E221" i="351"/>
  <c r="E43" i="133" s="1"/>
  <c r="D221" i="351"/>
  <c r="D43" i="133" s="1"/>
  <c r="C221" i="351"/>
  <c r="C43" i="133" s="1"/>
  <c r="A224" i="351"/>
  <c r="K213" i="351"/>
  <c r="K41" i="133" s="1"/>
  <c r="Q41" i="298" s="1"/>
  <c r="J213" i="351"/>
  <c r="J41" i="133" s="1"/>
  <c r="P41" i="298" s="1"/>
  <c r="I213" i="351"/>
  <c r="I41" i="133" s="1"/>
  <c r="O41" i="298" s="1"/>
  <c r="N41" i="298" s="1"/>
  <c r="H213" i="351"/>
  <c r="H41" i="133" s="1"/>
  <c r="G213" i="351"/>
  <c r="G41" i="133" s="1"/>
  <c r="F213" i="351"/>
  <c r="E213" i="351"/>
  <c r="E41" i="133" s="1"/>
  <c r="D213" i="351"/>
  <c r="D41" i="133" s="1"/>
  <c r="C213" i="351"/>
  <c r="C41" i="133" s="1"/>
  <c r="A219" i="351"/>
  <c r="A218" i="351"/>
  <c r="A217" i="351"/>
  <c r="A216" i="351"/>
  <c r="A215" i="351"/>
  <c r="A214" i="351"/>
  <c r="K197" i="351"/>
  <c r="K39" i="133" s="1"/>
  <c r="Q39" i="298" s="1"/>
  <c r="J197" i="351"/>
  <c r="J39" i="133" s="1"/>
  <c r="I197" i="351"/>
  <c r="H197" i="35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J33" i="133" s="1"/>
  <c r="I148" i="351"/>
  <c r="I33" i="133" s="1"/>
  <c r="O33" i="298" s="1"/>
  <c r="N33" i="298" s="1"/>
  <c r="H148" i="351"/>
  <c r="H33" i="133" s="1"/>
  <c r="G148" i="351"/>
  <c r="G33" i="133" s="1"/>
  <c r="F148" i="351"/>
  <c r="F33" i="133" s="1"/>
  <c r="E148" i="351"/>
  <c r="E33" i="133" s="1"/>
  <c r="D148" i="351"/>
  <c r="D33" i="133" s="1"/>
  <c r="C148" i="351"/>
  <c r="C33" i="133" s="1"/>
  <c r="K188" i="351"/>
  <c r="K37" i="133" s="1"/>
  <c r="Q37" i="298" s="1"/>
  <c r="J188" i="351"/>
  <c r="J37" i="133"/>
  <c r="P37" i="298" s="1"/>
  <c r="I188" i="351"/>
  <c r="I37" i="133" s="1"/>
  <c r="O37" i="298" s="1"/>
  <c r="N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C36" i="133" s="1"/>
  <c r="D185" i="351"/>
  <c r="D36" i="133" s="1"/>
  <c r="E185" i="351"/>
  <c r="E36" i="133" s="1"/>
  <c r="F185" i="351"/>
  <c r="F36" i="133" s="1"/>
  <c r="G185" i="351"/>
  <c r="G36" i="133" s="1"/>
  <c r="H185" i="351"/>
  <c r="H36" i="133" s="1"/>
  <c r="I185" i="351"/>
  <c r="J185" i="351"/>
  <c r="J36" i="133" s="1"/>
  <c r="P36" i="298" s="1"/>
  <c r="K185" i="351"/>
  <c r="K36" i="133" s="1"/>
  <c r="Q36" i="298" s="1"/>
  <c r="A187" i="351"/>
  <c r="A186" i="351"/>
  <c r="K170" i="351"/>
  <c r="K34" i="133" s="1"/>
  <c r="Q34" i="298" s="1"/>
  <c r="J170" i="351"/>
  <c r="J34" i="133" s="1"/>
  <c r="P34" i="298" s="1"/>
  <c r="I170" i="351"/>
  <c r="H170" i="351"/>
  <c r="H34" i="133" s="1"/>
  <c r="G170" i="351"/>
  <c r="G34" i="133" s="1"/>
  <c r="F170" i="351"/>
  <c r="F34" i="133" s="1"/>
  <c r="E170" i="351"/>
  <c r="E34" i="133" s="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H131" i="351"/>
  <c r="H30" i="133" s="1"/>
  <c r="G131" i="351"/>
  <c r="G30" i="133" s="1"/>
  <c r="F131" i="351"/>
  <c r="F30" i="133" s="1"/>
  <c r="E131" i="351"/>
  <c r="E30" i="133" s="1"/>
  <c r="D131" i="351"/>
  <c r="C131" i="351"/>
  <c r="C30" i="133" s="1"/>
  <c r="A144" i="351"/>
  <c r="A143" i="351"/>
  <c r="A142" i="351"/>
  <c r="A141" i="351"/>
  <c r="A140" i="351"/>
  <c r="A139" i="351"/>
  <c r="A138" i="351"/>
  <c r="A137" i="351"/>
  <c r="A136" i="351"/>
  <c r="A135" i="351"/>
  <c r="A134" i="351"/>
  <c r="A133" i="351"/>
  <c r="A132" i="351"/>
  <c r="K99" i="351"/>
  <c r="J99" i="351"/>
  <c r="J20" i="133" s="1"/>
  <c r="I99" i="351"/>
  <c r="I20" i="133" s="1"/>
  <c r="O20" i="298" s="1"/>
  <c r="N20" i="298" s="1"/>
  <c r="H99" i="351"/>
  <c r="H20" i="133" s="1"/>
  <c r="G99" i="351"/>
  <c r="G20" i="133"/>
  <c r="F99" i="351"/>
  <c r="F20" i="133" s="1"/>
  <c r="E99" i="351"/>
  <c r="E20" i="133" s="1"/>
  <c r="D99" i="351"/>
  <c r="D20" i="133" s="1"/>
  <c r="K112" i="351"/>
  <c r="K23" i="133" s="1"/>
  <c r="Q23" i="298" s="1"/>
  <c r="J112" i="351"/>
  <c r="I112" i="351"/>
  <c r="I23" i="133" s="1"/>
  <c r="O23" i="298" s="1"/>
  <c r="N23" i="298" s="1"/>
  <c r="H112" i="351"/>
  <c r="H23" i="133" s="1"/>
  <c r="G112" i="351"/>
  <c r="G23" i="133" s="1"/>
  <c r="F112" i="351"/>
  <c r="F23" i="133" s="1"/>
  <c r="E112" i="351"/>
  <c r="E23" i="133" s="1"/>
  <c r="D112" i="351"/>
  <c r="D23" i="133" s="1"/>
  <c r="C112" i="351"/>
  <c r="C23" i="133" s="1"/>
  <c r="K103" i="351"/>
  <c r="K21" i="133" s="1"/>
  <c r="Q21" i="298" s="1"/>
  <c r="J103" i="351"/>
  <c r="J21" i="133" s="1"/>
  <c r="P21" i="298" s="1"/>
  <c r="I103" i="351"/>
  <c r="I21" i="133" s="1"/>
  <c r="H103" i="351"/>
  <c r="H21" i="133" s="1"/>
  <c r="G103" i="351"/>
  <c r="G21" i="133" s="1"/>
  <c r="F103" i="351"/>
  <c r="F21" i="133" s="1"/>
  <c r="E103" i="351"/>
  <c r="D103" i="351"/>
  <c r="D21" i="133" s="1"/>
  <c r="C103" i="351"/>
  <c r="C21" i="133" s="1"/>
  <c r="C99" i="351"/>
  <c r="C20" i="133" s="1"/>
  <c r="K91" i="351"/>
  <c r="K18" i="133" s="1"/>
  <c r="Q18" i="298" s="1"/>
  <c r="J91" i="351"/>
  <c r="J18" i="133" s="1"/>
  <c r="P18" i="298" s="1"/>
  <c r="I91" i="351"/>
  <c r="I18" i="133"/>
  <c r="O18" i="298" s="1"/>
  <c r="N18" i="298" s="1"/>
  <c r="H91" i="351"/>
  <c r="H18" i="133" s="1"/>
  <c r="G91" i="351"/>
  <c r="G18" i="133" s="1"/>
  <c r="F91" i="351"/>
  <c r="F18" i="133" s="1"/>
  <c r="E91" i="351"/>
  <c r="E18" i="133" s="1"/>
  <c r="D91" i="351"/>
  <c r="D18" i="133" s="1"/>
  <c r="C91" i="351"/>
  <c r="C18" i="133" s="1"/>
  <c r="K75" i="351"/>
  <c r="K16" i="133" s="1"/>
  <c r="Q16" i="298" s="1"/>
  <c r="J75" i="351"/>
  <c r="J16" i="133" s="1"/>
  <c r="P16" i="298" s="1"/>
  <c r="I75" i="351"/>
  <c r="I16" i="133" s="1"/>
  <c r="O16" i="298" s="1"/>
  <c r="N16" i="298" s="1"/>
  <c r="H75" i="351"/>
  <c r="G75" i="351"/>
  <c r="G16" i="133" s="1"/>
  <c r="F75" i="351"/>
  <c r="F16" i="133" s="1"/>
  <c r="E75" i="351"/>
  <c r="E16" i="133" s="1"/>
  <c r="D75" i="351"/>
  <c r="D16" i="133" s="1"/>
  <c r="C75" i="351"/>
  <c r="C16" i="133" s="1"/>
  <c r="K26" i="351"/>
  <c r="K10" i="133" s="1"/>
  <c r="Q10" i="298" s="1"/>
  <c r="J26" i="351"/>
  <c r="J10" i="133" s="1"/>
  <c r="P10" i="298" s="1"/>
  <c r="I26" i="351"/>
  <c r="I10" i="133" s="1"/>
  <c r="O10" i="298" s="1"/>
  <c r="N10" i="298" s="1"/>
  <c r="H26" i="351"/>
  <c r="H10" i="133" s="1"/>
  <c r="G26" i="351"/>
  <c r="F26" i="351"/>
  <c r="E26" i="351"/>
  <c r="E10" i="133" s="1"/>
  <c r="D26" i="351"/>
  <c r="C26" i="351"/>
  <c r="C10" i="133" s="1"/>
  <c r="K48" i="351"/>
  <c r="K11" i="133" s="1"/>
  <c r="J48" i="351"/>
  <c r="J11" i="133" s="1"/>
  <c r="P11" i="298" s="1"/>
  <c r="I48" i="351"/>
  <c r="I11" i="133" s="1"/>
  <c r="O11" i="298" s="1"/>
  <c r="N11" i="298" s="1"/>
  <c r="H48" i="351"/>
  <c r="H11" i="133" s="1"/>
  <c r="G48" i="351"/>
  <c r="G11" i="133" s="1"/>
  <c r="F48" i="351"/>
  <c r="E48" i="351"/>
  <c r="E11" i="133" s="1"/>
  <c r="D48" i="351"/>
  <c r="D11" i="133"/>
  <c r="C48" i="351"/>
  <c r="K63" i="351"/>
  <c r="K13" i="133" s="1"/>
  <c r="Q13" i="298" s="1"/>
  <c r="J63" i="351"/>
  <c r="J13" i="133" s="1"/>
  <c r="P13" i="298" s="1"/>
  <c r="I63" i="351"/>
  <c r="I13" i="133" s="1"/>
  <c r="O13" i="298" s="1"/>
  <c r="N13" i="298" s="1"/>
  <c r="H63" i="351"/>
  <c r="G63" i="351"/>
  <c r="G13" i="133" s="1"/>
  <c r="F63" i="351"/>
  <c r="F13" i="133" s="1"/>
  <c r="E63" i="351"/>
  <c r="E13" i="133" s="1"/>
  <c r="D63" i="351"/>
  <c r="D13" i="133" s="1"/>
  <c r="C63" i="351"/>
  <c r="C13" i="133" s="1"/>
  <c r="K66" i="351"/>
  <c r="K14" i="133" s="1"/>
  <c r="J66" i="351"/>
  <c r="J14" i="133" s="1"/>
  <c r="P14" i="298" s="1"/>
  <c r="I66" i="351"/>
  <c r="H66" i="351"/>
  <c r="H14" i="133" s="1"/>
  <c r="G66" i="351"/>
  <c r="G14" i="133" s="1"/>
  <c r="F66" i="351"/>
  <c r="F14" i="133" s="1"/>
  <c r="E66" i="351"/>
  <c r="E14" i="133" s="1"/>
  <c r="D66" i="351"/>
  <c r="D14" i="133" s="1"/>
  <c r="C66" i="351"/>
  <c r="C14" i="133" s="1"/>
  <c r="K9" i="351"/>
  <c r="K7" i="133" s="1"/>
  <c r="Q7" i="298" s="1"/>
  <c r="J9" i="351"/>
  <c r="J7" i="133" s="1"/>
  <c r="P7" i="298" s="1"/>
  <c r="I9" i="351"/>
  <c r="I7" i="133" s="1"/>
  <c r="O7" i="298" s="1"/>
  <c r="N7" i="298" s="1"/>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s="1"/>
  <c r="I164" i="367"/>
  <c r="I99" i="248" s="1"/>
  <c r="H164" i="367"/>
  <c r="H99" i="248" s="1"/>
  <c r="G164" i="367"/>
  <c r="G99" i="248"/>
  <c r="F164" i="367"/>
  <c r="F99" i="248" s="1"/>
  <c r="E164" i="367"/>
  <c r="E99" i="248" s="1"/>
  <c r="D164" i="367"/>
  <c r="D99" i="248" s="1"/>
  <c r="C164" i="367"/>
  <c r="C99" i="248" s="1"/>
  <c r="K161" i="367"/>
  <c r="K98" i="248" s="1"/>
  <c r="J161" i="367"/>
  <c r="J98" i="248" s="1"/>
  <c r="J130" i="248" s="1"/>
  <c r="I161" i="367"/>
  <c r="I98" i="248" s="1"/>
  <c r="H161" i="367"/>
  <c r="H98" i="248" s="1"/>
  <c r="G161" i="367"/>
  <c r="G98" i="248" s="1"/>
  <c r="G130" i="248" s="1"/>
  <c r="F161" i="367"/>
  <c r="F98" i="248" s="1"/>
  <c r="E161" i="367"/>
  <c r="E98" i="248" s="1"/>
  <c r="D161" i="367"/>
  <c r="D98" i="248" s="1"/>
  <c r="C161" i="367"/>
  <c r="C98" i="248" s="1"/>
  <c r="K158" i="367"/>
  <c r="K97" i="248" s="1"/>
  <c r="J158" i="367"/>
  <c r="J97" i="248" s="1"/>
  <c r="I158" i="367"/>
  <c r="I97" i="248" s="1"/>
  <c r="H158" i="367"/>
  <c r="H97" i="248" s="1"/>
  <c r="G158" i="367"/>
  <c r="G97" i="248" s="1"/>
  <c r="F158" i="367"/>
  <c r="F97" i="248" s="1"/>
  <c r="E158" i="367"/>
  <c r="E97" i="248" s="1"/>
  <c r="D158" i="367"/>
  <c r="D97" i="248"/>
  <c r="C158" i="367"/>
  <c r="C97" i="248" s="1"/>
  <c r="K155" i="367"/>
  <c r="K96" i="248" s="1"/>
  <c r="J155" i="367"/>
  <c r="J96" i="248"/>
  <c r="I155" i="367"/>
  <c r="I96" i="248" s="1"/>
  <c r="H155" i="367"/>
  <c r="H96" i="248" s="1"/>
  <c r="G155" i="367"/>
  <c r="G96" i="248" s="1"/>
  <c r="F155" i="367"/>
  <c r="F96" i="248" s="1"/>
  <c r="E155" i="367"/>
  <c r="E96" i="248" s="1"/>
  <c r="D155" i="367"/>
  <c r="D96" i="248" s="1"/>
  <c r="C155" i="367"/>
  <c r="C96" i="248" s="1"/>
  <c r="C128" i="248" s="1"/>
  <c r="K152" i="367"/>
  <c r="K95" i="248"/>
  <c r="J152" i="367"/>
  <c r="J95" i="248" s="1"/>
  <c r="I152" i="367"/>
  <c r="I95" i="248" s="1"/>
  <c r="H152" i="367"/>
  <c r="H95" i="248" s="1"/>
  <c r="G152" i="367"/>
  <c r="G95" i="248" s="1"/>
  <c r="F152" i="367"/>
  <c r="F95" i="248"/>
  <c r="E152" i="367"/>
  <c r="E95" i="248" s="1"/>
  <c r="D152" i="367"/>
  <c r="D95" i="248" s="1"/>
  <c r="C152" i="367"/>
  <c r="C95" i="248"/>
  <c r="K149" i="367"/>
  <c r="K94" i="248" s="1"/>
  <c r="J149" i="367"/>
  <c r="J94" i="248" s="1"/>
  <c r="I149" i="367"/>
  <c r="I94" i="248" s="1"/>
  <c r="H149" i="367"/>
  <c r="H94" i="248" s="1"/>
  <c r="G149" i="367"/>
  <c r="G94" i="248" s="1"/>
  <c r="F149" i="367"/>
  <c r="F94" i="248" s="1"/>
  <c r="E149" i="367"/>
  <c r="E94" i="248" s="1"/>
  <c r="D149" i="367"/>
  <c r="D94" i="248" s="1"/>
  <c r="C149" i="367"/>
  <c r="C94" i="248" s="1"/>
  <c r="K141" i="367"/>
  <c r="K92" i="248" s="1"/>
  <c r="J141" i="367"/>
  <c r="J92" i="248"/>
  <c r="J93" i="248" s="1"/>
  <c r="I141" i="367"/>
  <c r="I139" i="367" s="1"/>
  <c r="H141" i="367"/>
  <c r="G141" i="367"/>
  <c r="G92" i="248" s="1"/>
  <c r="G93" i="248" s="1"/>
  <c r="F141" i="367"/>
  <c r="F92" i="248" s="1"/>
  <c r="E141" i="367"/>
  <c r="E92" i="248" s="1"/>
  <c r="E93" i="248" s="1"/>
  <c r="D141" i="367"/>
  <c r="D139" i="367" s="1"/>
  <c r="C141" i="367"/>
  <c r="C92" i="248" s="1"/>
  <c r="K136" i="367"/>
  <c r="K90" i="248" s="1"/>
  <c r="J136" i="367"/>
  <c r="J90" i="248" s="1"/>
  <c r="I136" i="367"/>
  <c r="I90" i="248" s="1"/>
  <c r="H136" i="367"/>
  <c r="H90" i="248"/>
  <c r="G136" i="367"/>
  <c r="G90" i="248" s="1"/>
  <c r="F136" i="367"/>
  <c r="F90" i="248" s="1"/>
  <c r="E136" i="367"/>
  <c r="E90" i="248" s="1"/>
  <c r="D136" i="367"/>
  <c r="D90" i="248" s="1"/>
  <c r="C136" i="367"/>
  <c r="C90" i="248" s="1"/>
  <c r="K131" i="367"/>
  <c r="K88" i="248"/>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H119" i="367"/>
  <c r="G119" i="367"/>
  <c r="G87" i="248" s="1"/>
  <c r="F119" i="367"/>
  <c r="F87" i="248" s="1"/>
  <c r="E119" i="367"/>
  <c r="E87" i="248" s="1"/>
  <c r="D119" i="367"/>
  <c r="C119" i="367"/>
  <c r="C87" i="248" s="1"/>
  <c r="K114" i="367"/>
  <c r="K85" i="248" s="1"/>
  <c r="J114" i="367"/>
  <c r="J85" i="248" s="1"/>
  <c r="I114" i="367"/>
  <c r="I85" i="248"/>
  <c r="H114" i="367"/>
  <c r="G114" i="367"/>
  <c r="G85" i="248" s="1"/>
  <c r="F114" i="367"/>
  <c r="F85" i="248" s="1"/>
  <c r="E114" i="367"/>
  <c r="E85" i="248" s="1"/>
  <c r="D114" i="367"/>
  <c r="D85" i="248" s="1"/>
  <c r="C114" i="367"/>
  <c r="C85" i="248" s="1"/>
  <c r="K111" i="367"/>
  <c r="K84" i="248" s="1"/>
  <c r="J111" i="367"/>
  <c r="I111" i="367"/>
  <c r="I84" i="248" s="1"/>
  <c r="H111" i="367"/>
  <c r="H84" i="248" s="1"/>
  <c r="G111" i="367"/>
  <c r="G84" i="248" s="1"/>
  <c r="F111" i="367"/>
  <c r="F84" i="248"/>
  <c r="E111" i="367"/>
  <c r="E84" i="248" s="1"/>
  <c r="D111" i="367"/>
  <c r="C111" i="367"/>
  <c r="C84" i="248" s="1"/>
  <c r="K103" i="367"/>
  <c r="K83" i="248" s="1"/>
  <c r="J103" i="367"/>
  <c r="J83" i="248" s="1"/>
  <c r="I103" i="367"/>
  <c r="I83" i="248" s="1"/>
  <c r="H103" i="367"/>
  <c r="H83" i="248" s="1"/>
  <c r="G103" i="367"/>
  <c r="G83" i="248"/>
  <c r="F103" i="367"/>
  <c r="F83" i="248" s="1"/>
  <c r="E103" i="367"/>
  <c r="E83" i="248" s="1"/>
  <c r="D103" i="367"/>
  <c r="D83" i="248" s="1"/>
  <c r="C103" i="367"/>
  <c r="C83" i="248" s="1"/>
  <c r="K98" i="367"/>
  <c r="K81" i="248" s="1"/>
  <c r="J98" i="367"/>
  <c r="J81" i="248" s="1"/>
  <c r="I98" i="367"/>
  <c r="H98" i="367"/>
  <c r="H81" i="248" s="1"/>
  <c r="H82" i="248" s="1"/>
  <c r="G98" i="367"/>
  <c r="G81" i="248" s="1"/>
  <c r="F98" i="367"/>
  <c r="E98" i="367"/>
  <c r="E81" i="248" s="1"/>
  <c r="D98" i="367"/>
  <c r="D81" i="248" s="1"/>
  <c r="C98" i="367"/>
  <c r="C75" i="367"/>
  <c r="K68" i="367"/>
  <c r="K78" i="248" s="1"/>
  <c r="J68" i="367"/>
  <c r="J78" i="248"/>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G77" i="248" s="1"/>
  <c r="F62" i="367"/>
  <c r="F77" i="248" s="1"/>
  <c r="E62" i="367"/>
  <c r="E77" i="248" s="1"/>
  <c r="D62" i="367"/>
  <c r="D77" i="248" s="1"/>
  <c r="C62" i="367"/>
  <c r="C77" i="248" s="1"/>
  <c r="K52" i="367"/>
  <c r="K76" i="248" s="1"/>
  <c r="J52" i="367"/>
  <c r="J76" i="248" s="1"/>
  <c r="I52" i="367"/>
  <c r="I76" i="248"/>
  <c r="H52" i="367"/>
  <c r="H76" i="248" s="1"/>
  <c r="G52" i="367"/>
  <c r="G76" i="248" s="1"/>
  <c r="F52" i="367"/>
  <c r="F76" i="248" s="1"/>
  <c r="E52" i="367"/>
  <c r="E76" i="248" s="1"/>
  <c r="D52" i="367"/>
  <c r="D76" i="248" s="1"/>
  <c r="C52" i="367"/>
  <c r="C76" i="248" s="1"/>
  <c r="K44" i="367"/>
  <c r="K75" i="248" s="1"/>
  <c r="J44" i="367"/>
  <c r="J75" i="248" s="1"/>
  <c r="I44" i="367"/>
  <c r="I75" i="248" s="1"/>
  <c r="H44" i="367"/>
  <c r="H75" i="248" s="1"/>
  <c r="G44" i="367"/>
  <c r="G75" i="248" s="1"/>
  <c r="F44" i="367"/>
  <c r="F75" i="248"/>
  <c r="E44" i="367"/>
  <c r="E75" i="248" s="1"/>
  <c r="D44" i="367"/>
  <c r="D75" i="248" s="1"/>
  <c r="C44" i="367"/>
  <c r="C75" i="248" s="1"/>
  <c r="K37" i="367"/>
  <c r="K74" i="248" s="1"/>
  <c r="J37" i="367"/>
  <c r="J74" i="248" s="1"/>
  <c r="I37" i="367"/>
  <c r="I74" i="248" s="1"/>
  <c r="I106"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J79" i="248" s="1"/>
  <c r="I16" i="367"/>
  <c r="I72" i="248" s="1"/>
  <c r="H16" i="367"/>
  <c r="H72" i="248" s="1"/>
  <c r="G16" i="367"/>
  <c r="G72" i="248" s="1"/>
  <c r="F16" i="367"/>
  <c r="F72" i="248" s="1"/>
  <c r="E16" i="367"/>
  <c r="E72" i="248" s="1"/>
  <c r="D16" i="367"/>
  <c r="D72" i="248" s="1"/>
  <c r="C16" i="367"/>
  <c r="C72" i="248" s="1"/>
  <c r="K12" i="367"/>
  <c r="K71" i="248" s="1"/>
  <c r="K103" i="248" s="1"/>
  <c r="J12" i="367"/>
  <c r="J71" i="248" s="1"/>
  <c r="I12" i="367"/>
  <c r="I71" i="248" s="1"/>
  <c r="H12" i="367"/>
  <c r="G12" i="367"/>
  <c r="G71" i="248" s="1"/>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D27" i="248"/>
  <c r="C191" i="248"/>
  <c r="C59" i="248"/>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s="1"/>
  <c r="K136" i="358"/>
  <c r="J136" i="358"/>
  <c r="I136" i="358"/>
  <c r="H136" i="358"/>
  <c r="G136" i="358"/>
  <c r="F136" i="358"/>
  <c r="E136" i="358"/>
  <c r="D136" i="358"/>
  <c r="C136" i="358"/>
  <c r="K131" i="358"/>
  <c r="J131" i="358"/>
  <c r="I131" i="358"/>
  <c r="H131" i="358"/>
  <c r="G131" i="358"/>
  <c r="F131" i="358"/>
  <c r="E131" i="358"/>
  <c r="D131" i="358"/>
  <c r="C131" i="358"/>
  <c r="K119" i="358"/>
  <c r="J119" i="358"/>
  <c r="I119" i="358"/>
  <c r="H119" i="358"/>
  <c r="G119" i="358"/>
  <c r="F119" i="358"/>
  <c r="F118" i="358" s="1"/>
  <c r="E119" i="358"/>
  <c r="D119" i="358"/>
  <c r="C119" i="358"/>
  <c r="K114" i="358"/>
  <c r="J114" i="358"/>
  <c r="J110" i="358" s="1"/>
  <c r="I114" i="358"/>
  <c r="H114" i="358"/>
  <c r="G114" i="358"/>
  <c r="F114" i="358"/>
  <c r="E114" i="358"/>
  <c r="D114" i="358"/>
  <c r="C114" i="358"/>
  <c r="K111" i="358"/>
  <c r="J111" i="358"/>
  <c r="I111" i="358"/>
  <c r="H111" i="358"/>
  <c r="G111" i="358"/>
  <c r="F111" i="358"/>
  <c r="E111" i="358"/>
  <c r="D111" i="358"/>
  <c r="C111" i="358"/>
  <c r="K103" i="358"/>
  <c r="J103" i="358"/>
  <c r="I103" i="358"/>
  <c r="H103" i="358"/>
  <c r="G103" i="358"/>
  <c r="F103" i="358"/>
  <c r="E103" i="358"/>
  <c r="D103" i="358"/>
  <c r="C103" i="358"/>
  <c r="K98" i="358"/>
  <c r="J98" i="358"/>
  <c r="I98" i="358"/>
  <c r="H98" i="358"/>
  <c r="G98" i="358"/>
  <c r="F98" i="358"/>
  <c r="E98" i="358"/>
  <c r="D98" i="358"/>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s="1"/>
  <c r="I164" i="349"/>
  <c r="I199" i="248" s="1"/>
  <c r="H164" i="349"/>
  <c r="H199" i="248" s="1"/>
  <c r="G164" i="349"/>
  <c r="G199" i="248" s="1"/>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s="1"/>
  <c r="J149" i="349"/>
  <c r="J194" i="248" s="1"/>
  <c r="I149" i="349"/>
  <c r="I194" i="248" s="1"/>
  <c r="H149" i="349"/>
  <c r="H194" i="248" s="1"/>
  <c r="G149" i="349"/>
  <c r="G194" i="248" s="1"/>
  <c r="F149" i="349"/>
  <c r="F194" i="248" s="1"/>
  <c r="E149" i="349"/>
  <c r="E194" i="248" s="1"/>
  <c r="D149" i="349"/>
  <c r="D194" i="248" s="1"/>
  <c r="C149" i="349"/>
  <c r="C194" i="248" s="1"/>
  <c r="K141" i="349"/>
  <c r="K139" i="349" s="1"/>
  <c r="J141" i="349"/>
  <c r="J139" i="349" s="1"/>
  <c r="I141" i="349"/>
  <c r="H141" i="349"/>
  <c r="G141" i="349"/>
  <c r="G192" i="248" s="1"/>
  <c r="F141" i="349"/>
  <c r="E141" i="349"/>
  <c r="E192" i="248" s="1"/>
  <c r="D141" i="349"/>
  <c r="C141" i="349"/>
  <c r="C192" i="248" s="1"/>
  <c r="K136" i="349"/>
  <c r="K190" i="248" s="1"/>
  <c r="J136" i="349"/>
  <c r="J190" i="248" s="1"/>
  <c r="I136" i="349"/>
  <c r="I190" i="248"/>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F131" i="349"/>
  <c r="F188" i="248"/>
  <c r="E131" i="349"/>
  <c r="E188" i="248" s="1"/>
  <c r="D131" i="349"/>
  <c r="D188" i="248"/>
  <c r="C131" i="349"/>
  <c r="C188" i="248" s="1"/>
  <c r="K119" i="349"/>
  <c r="K187" i="248" s="1"/>
  <c r="J119" i="349"/>
  <c r="J187" i="248" s="1"/>
  <c r="I119" i="349"/>
  <c r="H119" i="349"/>
  <c r="H187" i="248" s="1"/>
  <c r="G119" i="349"/>
  <c r="G187" i="248" s="1"/>
  <c r="F119" i="349"/>
  <c r="F187" i="248" s="1"/>
  <c r="E119" i="349"/>
  <c r="D119" i="349"/>
  <c r="D187" i="248" s="1"/>
  <c r="C119" i="349"/>
  <c r="C187" i="248" s="1"/>
  <c r="K114" i="349"/>
  <c r="J114" i="349"/>
  <c r="I114" i="349"/>
  <c r="I185" i="248" s="1"/>
  <c r="H114" i="349"/>
  <c r="H185" i="248" s="1"/>
  <c r="G114" i="349"/>
  <c r="F114" i="349"/>
  <c r="E114" i="349"/>
  <c r="E185" i="248" s="1"/>
  <c r="D114" i="349"/>
  <c r="D185" i="248" s="1"/>
  <c r="C114" i="349"/>
  <c r="C185" i="248"/>
  <c r="K111" i="349"/>
  <c r="K184" i="248" s="1"/>
  <c r="J111" i="349"/>
  <c r="J184" i="248" s="1"/>
  <c r="I111" i="349"/>
  <c r="I184" i="248" s="1"/>
  <c r="H111" i="349"/>
  <c r="H184" i="248" s="1"/>
  <c r="H186" i="248" s="1"/>
  <c r="G111" i="349"/>
  <c r="G184" i="248" s="1"/>
  <c r="F111" i="349"/>
  <c r="F184" i="248" s="1"/>
  <c r="F186" i="248" s="1"/>
  <c r="E111" i="349"/>
  <c r="D111" i="349"/>
  <c r="D184" i="248" s="1"/>
  <c r="C111" i="349"/>
  <c r="K103" i="349"/>
  <c r="K183" i="248" s="1"/>
  <c r="J103" i="349"/>
  <c r="J183" i="248" s="1"/>
  <c r="I103" i="349"/>
  <c r="I183" i="248" s="1"/>
  <c r="H103" i="349"/>
  <c r="H183" i="248" s="1"/>
  <c r="G103" i="349"/>
  <c r="G183" i="248" s="1"/>
  <c r="F103" i="349"/>
  <c r="F183" i="248" s="1"/>
  <c r="E103" i="349"/>
  <c r="E183" i="248" s="1"/>
  <c r="D103" i="349"/>
  <c r="D183" i="248" s="1"/>
  <c r="C103" i="349"/>
  <c r="C183" i="248" s="1"/>
  <c r="K98" i="349"/>
  <c r="K74" i="349" s="1"/>
  <c r="J98" i="349"/>
  <c r="J181" i="248" s="1"/>
  <c r="I98" i="349"/>
  <c r="I181" i="248" s="1"/>
  <c r="H98" i="349"/>
  <c r="H181" i="248"/>
  <c r="G98" i="349"/>
  <c r="G181" i="248" s="1"/>
  <c r="F98" i="349"/>
  <c r="F181" i="248" s="1"/>
  <c r="E98" i="349"/>
  <c r="E181" i="248" s="1"/>
  <c r="D98" i="349"/>
  <c r="C98" i="349"/>
  <c r="C181" i="248" s="1"/>
  <c r="C75" i="349"/>
  <c r="C180" i="248" s="1"/>
  <c r="C182"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s="1"/>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s="1"/>
  <c r="J44" i="349"/>
  <c r="J175" i="248" s="1"/>
  <c r="I44" i="349"/>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s="1"/>
  <c r="E26" i="349"/>
  <c r="E173" i="248" s="1"/>
  <c r="D26" i="349"/>
  <c r="D173" i="248" s="1"/>
  <c r="C26" i="349"/>
  <c r="C173" i="248" s="1"/>
  <c r="K16" i="349"/>
  <c r="K172" i="248" s="1"/>
  <c r="J16" i="349"/>
  <c r="J172" i="248" s="1"/>
  <c r="I16" i="349"/>
  <c r="I172" i="248" s="1"/>
  <c r="H16" i="349"/>
  <c r="H172" i="248" s="1"/>
  <c r="G16" i="349"/>
  <c r="F16" i="349"/>
  <c r="E172" i="248"/>
  <c r="D172" i="248"/>
  <c r="C172" i="248"/>
  <c r="K12" i="349"/>
  <c r="K171" i="248" s="1"/>
  <c r="J12" i="349"/>
  <c r="J171" i="248" s="1"/>
  <c r="I12" i="349"/>
  <c r="I171" i="248" s="1"/>
  <c r="H12" i="349"/>
  <c r="H171" i="248" s="1"/>
  <c r="G12" i="349"/>
  <c r="G171" i="248" s="1"/>
  <c r="F12" i="349"/>
  <c r="F171" i="248" s="1"/>
  <c r="E12" i="349"/>
  <c r="E171" i="248" s="1"/>
  <c r="D12" i="349"/>
  <c r="D171" i="248" s="1"/>
  <c r="C12" i="349"/>
  <c r="C171" i="248" s="1"/>
  <c r="K7" i="349"/>
  <c r="K170" i="248" s="1"/>
  <c r="J7" i="349"/>
  <c r="I7" i="349"/>
  <c r="I170" i="248" s="1"/>
  <c r="H7" i="349"/>
  <c r="H170" i="248" s="1"/>
  <c r="G7" i="349"/>
  <c r="G170" i="248" s="1"/>
  <c r="F7" i="349"/>
  <c r="F170" i="248" s="1"/>
  <c r="E7" i="349"/>
  <c r="E170" i="248"/>
  <c r="D7" i="349"/>
  <c r="D170" i="248" s="1"/>
  <c r="C7" i="349"/>
  <c r="A169" i="134"/>
  <c r="K164" i="134"/>
  <c r="K35" i="248" s="1"/>
  <c r="J164" i="134"/>
  <c r="J35" i="248" s="1"/>
  <c r="I164" i="134"/>
  <c r="I35" i="248" s="1"/>
  <c r="H164" i="134"/>
  <c r="H35" i="248" s="1"/>
  <c r="G164" i="134"/>
  <c r="G35" i="248" s="1"/>
  <c r="F164" i="134"/>
  <c r="F35" i="248" s="1"/>
  <c r="E164" i="134"/>
  <c r="E35" i="248" s="1"/>
  <c r="D164" i="134"/>
  <c r="D35" i="248" s="1"/>
  <c r="C164" i="134"/>
  <c r="C35" i="248" s="1"/>
  <c r="K161" i="134"/>
  <c r="K34" i="248" s="1"/>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c r="K155" i="134"/>
  <c r="K32" i="248" s="1"/>
  <c r="K128" i="248" s="1"/>
  <c r="J155" i="134"/>
  <c r="J32" i="248" s="1"/>
  <c r="I155" i="134"/>
  <c r="I32" i="248" s="1"/>
  <c r="H155" i="134"/>
  <c r="H32" i="248" s="1"/>
  <c r="G155" i="134"/>
  <c r="G32" i="248" s="1"/>
  <c r="F155" i="134"/>
  <c r="F32" i="248" s="1"/>
  <c r="E155" i="134"/>
  <c r="E32" i="248" s="1"/>
  <c r="D155" i="134"/>
  <c r="D32" i="248" s="1"/>
  <c r="D128" i="248" s="1"/>
  <c r="C155" i="134"/>
  <c r="C32" i="248" s="1"/>
  <c r="K152" i="134"/>
  <c r="K31" i="248" s="1"/>
  <c r="J152" i="134"/>
  <c r="J31" i="248" s="1"/>
  <c r="I152" i="134"/>
  <c r="I31" i="248" s="1"/>
  <c r="H152" i="134"/>
  <c r="H31" i="248" s="1"/>
  <c r="G152" i="134"/>
  <c r="G31" i="248" s="1"/>
  <c r="F152" i="134"/>
  <c r="F31" i="248" s="1"/>
  <c r="E152" i="134"/>
  <c r="E31" i="248" s="1"/>
  <c r="D152" i="134"/>
  <c r="D31" i="248" s="1"/>
  <c r="C152" i="134"/>
  <c r="C31" i="248" s="1"/>
  <c r="K149" i="134"/>
  <c r="K30" i="248" s="1"/>
  <c r="J149" i="134"/>
  <c r="J30" i="248" s="1"/>
  <c r="I149" i="134"/>
  <c r="I30" i="248" s="1"/>
  <c r="H149" i="134"/>
  <c r="H30" i="248" s="1"/>
  <c r="G149" i="134"/>
  <c r="G30" i="248" s="1"/>
  <c r="G126" i="248" s="1"/>
  <c r="F149" i="134"/>
  <c r="F30" i="248" s="1"/>
  <c r="E149" i="134"/>
  <c r="E30" i="248" s="1"/>
  <c r="E126" i="248" s="1"/>
  <c r="D149" i="134"/>
  <c r="D30" i="248" s="1"/>
  <c r="C149" i="134"/>
  <c r="C30" i="248" s="1"/>
  <c r="K141" i="134"/>
  <c r="K139" i="134" s="1"/>
  <c r="J141" i="134"/>
  <c r="J139" i="134" s="1"/>
  <c r="I141" i="134"/>
  <c r="I28" i="248" s="1"/>
  <c r="H141" i="134"/>
  <c r="H139" i="134" s="1"/>
  <c r="G141" i="134"/>
  <c r="G139" i="134" s="1"/>
  <c r="F141" i="134"/>
  <c r="F139" i="134" s="1"/>
  <c r="E141" i="134"/>
  <c r="E28" i="248" s="1"/>
  <c r="D141" i="134"/>
  <c r="C141" i="134"/>
  <c r="C139" i="134" s="1"/>
  <c r="K136" i="134"/>
  <c r="K26" i="248" s="1"/>
  <c r="J136" i="134"/>
  <c r="J26" i="248" s="1"/>
  <c r="I136" i="134"/>
  <c r="I26" i="248" s="1"/>
  <c r="H136" i="134"/>
  <c r="H26" i="248" s="1"/>
  <c r="G136" i="134"/>
  <c r="G26" i="248" s="1"/>
  <c r="F136" i="134"/>
  <c r="F26" i="248" s="1"/>
  <c r="E136" i="134"/>
  <c r="E26" i="248" s="1"/>
  <c r="D136" i="134"/>
  <c r="D26" i="248" s="1"/>
  <c r="C136" i="134"/>
  <c r="C26" i="248" s="1"/>
  <c r="K131" i="134"/>
  <c r="K24" i="248" s="1"/>
  <c r="K120" i="248" s="1"/>
  <c r="J131" i="134"/>
  <c r="J24" i="248" s="1"/>
  <c r="I131" i="134"/>
  <c r="H131" i="134"/>
  <c r="H24" i="248" s="1"/>
  <c r="G131" i="134"/>
  <c r="G24" i="248" s="1"/>
  <c r="F131" i="134"/>
  <c r="F24" i="248" s="1"/>
  <c r="E131" i="134"/>
  <c r="E24" i="248" s="1"/>
  <c r="D131" i="134"/>
  <c r="C131" i="134"/>
  <c r="C24" i="248" s="1"/>
  <c r="K119" i="134"/>
  <c r="K118" i="134" s="1"/>
  <c r="J119" i="134"/>
  <c r="I119" i="134"/>
  <c r="H119" i="134"/>
  <c r="H23" i="248"/>
  <c r="G119" i="134"/>
  <c r="G23" i="248" s="1"/>
  <c r="F119" i="134"/>
  <c r="E119" i="134"/>
  <c r="D119" i="134"/>
  <c r="C119" i="134"/>
  <c r="C23" i="248" s="1"/>
  <c r="K114" i="134"/>
  <c r="K21" i="248" s="1"/>
  <c r="J114" i="134"/>
  <c r="J21" i="248" s="1"/>
  <c r="I114" i="134"/>
  <c r="I21" i="248" s="1"/>
  <c r="H114" i="134"/>
  <c r="H21" i="248" s="1"/>
  <c r="G114" i="134"/>
  <c r="G21" i="248" s="1"/>
  <c r="F114" i="134"/>
  <c r="F21" i="248" s="1"/>
  <c r="E114" i="134"/>
  <c r="E21" i="248" s="1"/>
  <c r="E22" i="248" s="1"/>
  <c r="D114" i="134"/>
  <c r="C114" i="134"/>
  <c r="C21" i="248" s="1"/>
  <c r="K111" i="134"/>
  <c r="J111" i="134"/>
  <c r="J20" i="248" s="1"/>
  <c r="I111" i="134"/>
  <c r="I20" i="248" s="1"/>
  <c r="H111" i="134"/>
  <c r="G111" i="134"/>
  <c r="F111" i="134"/>
  <c r="F20" i="248" s="1"/>
  <c r="E111" i="134"/>
  <c r="E20" i="248" s="1"/>
  <c r="D111" i="134"/>
  <c r="D20" i="248" s="1"/>
  <c r="C111" i="134"/>
  <c r="K103" i="134"/>
  <c r="K19" i="248" s="1"/>
  <c r="J103" i="134"/>
  <c r="J19" i="248" s="1"/>
  <c r="I103" i="134"/>
  <c r="I19" i="248" s="1"/>
  <c r="I115" i="248" s="1"/>
  <c r="H103" i="134"/>
  <c r="H19" i="248" s="1"/>
  <c r="G103" i="134"/>
  <c r="G19" i="248" s="1"/>
  <c r="F103" i="134"/>
  <c r="F19" i="248" s="1"/>
  <c r="E103" i="134"/>
  <c r="E19" i="248"/>
  <c r="D103" i="134"/>
  <c r="D19" i="248"/>
  <c r="C103" i="134"/>
  <c r="C19" i="248" s="1"/>
  <c r="K98" i="134"/>
  <c r="K17" i="248" s="1"/>
  <c r="J98" i="134"/>
  <c r="J74" i="134" s="1"/>
  <c r="I98" i="134"/>
  <c r="I17" i="248" s="1"/>
  <c r="H98" i="134"/>
  <c r="H17" i="248" s="1"/>
  <c r="G98" i="134"/>
  <c r="G17" i="248"/>
  <c r="F98" i="134"/>
  <c r="F17" i="248" s="1"/>
  <c r="E98" i="134"/>
  <c r="E17" i="248" s="1"/>
  <c r="D98" i="134"/>
  <c r="D17" i="248" s="1"/>
  <c r="C98" i="134"/>
  <c r="C17" i="248" s="1"/>
  <c r="C75" i="134"/>
  <c r="K68" i="134"/>
  <c r="J68" i="134"/>
  <c r="J14" i="248"/>
  <c r="I68" i="134"/>
  <c r="I14" i="248" s="1"/>
  <c r="H68" i="134"/>
  <c r="H14" i="248" s="1"/>
  <c r="G68" i="134"/>
  <c r="G14" i="248" s="1"/>
  <c r="F68" i="134"/>
  <c r="F14" i="248" s="1"/>
  <c r="E68" i="134"/>
  <c r="E14" i="248"/>
  <c r="D68" i="134"/>
  <c r="D14" i="248" s="1"/>
  <c r="C68" i="134"/>
  <c r="C14" i="248" s="1"/>
  <c r="K62" i="134"/>
  <c r="J62" i="134"/>
  <c r="J13" i="248" s="1"/>
  <c r="I62" i="134"/>
  <c r="I13" i="248" s="1"/>
  <c r="H62" i="134"/>
  <c r="H13" i="248" s="1"/>
  <c r="G62" i="134"/>
  <c r="G13" i="248" s="1"/>
  <c r="F62" i="134"/>
  <c r="F13" i="248" s="1"/>
  <c r="E62" i="134"/>
  <c r="E13" i="248" s="1"/>
  <c r="D62" i="134"/>
  <c r="D13" i="248" s="1"/>
  <c r="C62" i="134"/>
  <c r="C13" i="248" s="1"/>
  <c r="K52" i="134"/>
  <c r="K12" i="248" s="1"/>
  <c r="J52" i="134"/>
  <c r="J12" i="248" s="1"/>
  <c r="I52" i="134"/>
  <c r="I12" i="248" s="1"/>
  <c r="H52" i="134"/>
  <c r="H12" i="248" s="1"/>
  <c r="G52" i="134"/>
  <c r="G12" i="248" s="1"/>
  <c r="F52" i="134"/>
  <c r="F12" i="248" s="1"/>
  <c r="E52" i="134"/>
  <c r="E12" i="248" s="1"/>
  <c r="D52" i="134"/>
  <c r="D12" i="248" s="1"/>
  <c r="C52" i="134"/>
  <c r="K44" i="134"/>
  <c r="K11" i="248" s="1"/>
  <c r="J44" i="134"/>
  <c r="J11" i="248" s="1"/>
  <c r="I44" i="134"/>
  <c r="I11" i="248" s="1"/>
  <c r="H44" i="134"/>
  <c r="H11" i="248" s="1"/>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F10" i="248" s="1"/>
  <c r="E37" i="134"/>
  <c r="D37" i="134"/>
  <c r="D10" i="248" s="1"/>
  <c r="C37" i="134"/>
  <c r="C10" i="248" s="1"/>
  <c r="K26" i="134"/>
  <c r="K9" i="248" s="1"/>
  <c r="J26" i="134"/>
  <c r="I26" i="134"/>
  <c r="I9" i="248" s="1"/>
  <c r="H26" i="134"/>
  <c r="G26" i="134"/>
  <c r="G9" i="248" s="1"/>
  <c r="F26" i="134"/>
  <c r="F9" i="248" s="1"/>
  <c r="E26" i="134"/>
  <c r="E9" i="248" s="1"/>
  <c r="D26" i="134"/>
  <c r="D9" i="248" s="1"/>
  <c r="C26" i="134"/>
  <c r="C9" i="248" s="1"/>
  <c r="K16" i="134"/>
  <c r="K8" i="248" s="1"/>
  <c r="J16" i="134"/>
  <c r="J8" i="248" s="1"/>
  <c r="I16" i="134"/>
  <c r="I8" i="248" s="1"/>
  <c r="H16" i="134"/>
  <c r="H8" i="248" s="1"/>
  <c r="G16" i="134"/>
  <c r="F16" i="134"/>
  <c r="F8" i="248" s="1"/>
  <c r="E16" i="134"/>
  <c r="E8" i="248" s="1"/>
  <c r="D16" i="134"/>
  <c r="D8" i="248" s="1"/>
  <c r="K12" i="134"/>
  <c r="K7" i="248" s="1"/>
  <c r="J12" i="134"/>
  <c r="J7" i="248" s="1"/>
  <c r="J103" i="248" s="1"/>
  <c r="I12" i="134"/>
  <c r="H12" i="134"/>
  <c r="G12" i="134"/>
  <c r="G7" i="248" s="1"/>
  <c r="F12" i="134"/>
  <c r="F7" i="248" s="1"/>
  <c r="F103" i="248" s="1"/>
  <c r="E12" i="134"/>
  <c r="E7" i="248" s="1"/>
  <c r="D12" i="134"/>
  <c r="D7" i="248" s="1"/>
  <c r="C12" i="134"/>
  <c r="C7" i="248" s="1"/>
  <c r="K7" i="134"/>
  <c r="K6" i="248" s="1"/>
  <c r="K102" i="248" s="1"/>
  <c r="J7" i="134"/>
  <c r="J6" i="248" s="1"/>
  <c r="I7" i="134"/>
  <c r="I6" i="248" s="1"/>
  <c r="H7" i="134"/>
  <c r="H6" i="248" s="1"/>
  <c r="G7" i="134"/>
  <c r="G6" i="248" s="1"/>
  <c r="F7" i="134"/>
  <c r="F6" i="248" s="1"/>
  <c r="E7" i="134"/>
  <c r="E6" i="248" s="1"/>
  <c r="D7" i="134"/>
  <c r="D6" i="248" s="1"/>
  <c r="C7" i="134"/>
  <c r="C6" i="248" s="1"/>
  <c r="K62" i="350"/>
  <c r="J62" i="350"/>
  <c r="J45" i="248" s="1"/>
  <c r="J109" i="248" s="1"/>
  <c r="I62" i="350"/>
  <c r="H62" i="350"/>
  <c r="H45" i="248" s="1"/>
  <c r="G62" i="350"/>
  <c r="G45" i="248" s="1"/>
  <c r="F62" i="350"/>
  <c r="F45" i="248" s="1"/>
  <c r="E62" i="350"/>
  <c r="D62" i="350"/>
  <c r="D45" i="248" s="1"/>
  <c r="C62" i="350"/>
  <c r="C45" i="248" s="1"/>
  <c r="C109" i="248" s="1"/>
  <c r="K155" i="350"/>
  <c r="K64" i="248" s="1"/>
  <c r="J155" i="350"/>
  <c r="J64" i="248" s="1"/>
  <c r="J128" i="248" s="1"/>
  <c r="I155" i="350"/>
  <c r="I64" i="248" s="1"/>
  <c r="H155" i="350"/>
  <c r="H64" i="248" s="1"/>
  <c r="G155" i="350"/>
  <c r="G64" i="248" s="1"/>
  <c r="F155" i="350"/>
  <c r="F64" i="248" s="1"/>
  <c r="E155" i="350"/>
  <c r="E64" i="248" s="1"/>
  <c r="D155" i="350"/>
  <c r="D64" i="248" s="1"/>
  <c r="C155" i="350"/>
  <c r="C64" i="248" s="1"/>
  <c r="K161" i="350"/>
  <c r="K66" i="248" s="1"/>
  <c r="J161" i="350"/>
  <c r="J66" i="248" s="1"/>
  <c r="I161" i="350"/>
  <c r="I66" i="248" s="1"/>
  <c r="H161" i="350"/>
  <c r="H66" i="248" s="1"/>
  <c r="G161" i="350"/>
  <c r="G66" i="248" s="1"/>
  <c r="F161" i="350"/>
  <c r="F66" i="248" s="1"/>
  <c r="E161" i="350"/>
  <c r="E66" i="248" s="1"/>
  <c r="D161" i="350"/>
  <c r="D66" i="248" s="1"/>
  <c r="C161" i="350"/>
  <c r="C66" i="248" s="1"/>
  <c r="C130" i="248" s="1"/>
  <c r="K158" i="350"/>
  <c r="K65" i="248" s="1"/>
  <c r="J158" i="350"/>
  <c r="J65" i="248" s="1"/>
  <c r="I158" i="350"/>
  <c r="I65" i="248"/>
  <c r="H158" i="350"/>
  <c r="H65" i="248"/>
  <c r="G158" i="350"/>
  <c r="G65" i="248" s="1"/>
  <c r="F158" i="350"/>
  <c r="F65" i="248" s="1"/>
  <c r="F129" i="248" s="1"/>
  <c r="E158" i="350"/>
  <c r="E65" i="248" s="1"/>
  <c r="D158" i="350"/>
  <c r="D65" i="248" s="1"/>
  <c r="C158" i="350"/>
  <c r="C65" i="248" s="1"/>
  <c r="K164" i="350"/>
  <c r="K67" i="248" s="1"/>
  <c r="K131" i="248" s="1"/>
  <c r="J164" i="350"/>
  <c r="J67" i="248" s="1"/>
  <c r="I164" i="350"/>
  <c r="I67" i="248" s="1"/>
  <c r="H164" i="350"/>
  <c r="H67" i="248" s="1"/>
  <c r="G164" i="350"/>
  <c r="G67" i="248" s="1"/>
  <c r="F164" i="350"/>
  <c r="F67" i="248" s="1"/>
  <c r="E164" i="350"/>
  <c r="E67" i="248" s="1"/>
  <c r="D164" i="350"/>
  <c r="D67" i="248" s="1"/>
  <c r="C164" i="350"/>
  <c r="C67" i="248" s="1"/>
  <c r="K152" i="350"/>
  <c r="K63" i="248" s="1"/>
  <c r="J152" i="350"/>
  <c r="J63" i="248" s="1"/>
  <c r="I152" i="350"/>
  <c r="I63" i="248" s="1"/>
  <c r="H152" i="350"/>
  <c r="H63" i="248" s="1"/>
  <c r="G152" i="350"/>
  <c r="G63" i="248" s="1"/>
  <c r="F152" i="350"/>
  <c r="F63" i="248" s="1"/>
  <c r="E152" i="350"/>
  <c r="E63" i="248" s="1"/>
  <c r="D152" i="350"/>
  <c r="D63" i="248" s="1"/>
  <c r="C152" i="350"/>
  <c r="C63" i="248" s="1"/>
  <c r="K149" i="350"/>
  <c r="K62" i="248" s="1"/>
  <c r="J149" i="350"/>
  <c r="J62" i="248" s="1"/>
  <c r="J126" i="248" s="1"/>
  <c r="I149" i="350"/>
  <c r="I62" i="248" s="1"/>
  <c r="H149" i="350"/>
  <c r="H62" i="248" s="1"/>
  <c r="G149" i="350"/>
  <c r="G62" i="248" s="1"/>
  <c r="F149" i="350"/>
  <c r="F62" i="248" s="1"/>
  <c r="E149" i="350"/>
  <c r="E62" i="248" s="1"/>
  <c r="D149" i="350"/>
  <c r="D62" i="248" s="1"/>
  <c r="C149" i="350"/>
  <c r="C62" i="248" s="1"/>
  <c r="K141" i="350"/>
  <c r="J141" i="350"/>
  <c r="J60" i="248" s="1"/>
  <c r="I141" i="350"/>
  <c r="I139" i="350" s="1"/>
  <c r="H141" i="350"/>
  <c r="H60" i="248" s="1"/>
  <c r="G141" i="350"/>
  <c r="G60" i="248" s="1"/>
  <c r="G61" i="248" s="1"/>
  <c r="F141" i="350"/>
  <c r="F60" i="248" s="1"/>
  <c r="F61" i="248" s="1"/>
  <c r="E141" i="350"/>
  <c r="E139" i="350" s="1"/>
  <c r="D141" i="350"/>
  <c r="C141" i="350"/>
  <c r="C139" i="350" s="1"/>
  <c r="K131" i="350"/>
  <c r="K56" i="248" s="1"/>
  <c r="J131" i="350"/>
  <c r="I131" i="350"/>
  <c r="H131" i="350"/>
  <c r="H56" i="248" s="1"/>
  <c r="G131" i="350"/>
  <c r="G56" i="248" s="1"/>
  <c r="F131" i="350"/>
  <c r="F56" i="248" s="1"/>
  <c r="E131" i="350"/>
  <c r="E56" i="248" s="1"/>
  <c r="D131" i="350"/>
  <c r="D56" i="248"/>
  <c r="C131" i="350"/>
  <c r="C56" i="248" s="1"/>
  <c r="K119" i="350"/>
  <c r="K55" i="248" s="1"/>
  <c r="J119" i="350"/>
  <c r="I119" i="350"/>
  <c r="I55" i="248" s="1"/>
  <c r="H119" i="350"/>
  <c r="H55" i="248" s="1"/>
  <c r="G119" i="350"/>
  <c r="G55" i="248"/>
  <c r="F119" i="350"/>
  <c r="F55" i="248" s="1"/>
  <c r="E119" i="350"/>
  <c r="E55" i="248" s="1"/>
  <c r="D119" i="350"/>
  <c r="D55" i="248" s="1"/>
  <c r="C119" i="350"/>
  <c r="K114" i="350"/>
  <c r="K53" i="248" s="1"/>
  <c r="J114" i="350"/>
  <c r="J53" i="248" s="1"/>
  <c r="I114" i="350"/>
  <c r="I53" i="248" s="1"/>
  <c r="H114" i="350"/>
  <c r="H53" i="248" s="1"/>
  <c r="G114" i="350"/>
  <c r="G53" i="248" s="1"/>
  <c r="F114" i="350"/>
  <c r="F53" i="248" s="1"/>
  <c r="E114" i="350"/>
  <c r="E53" i="248" s="1"/>
  <c r="D114" i="350"/>
  <c r="D53" i="248" s="1"/>
  <c r="C114" i="350"/>
  <c r="C53" i="248" s="1"/>
  <c r="K111" i="350"/>
  <c r="K52" i="248"/>
  <c r="J111" i="350"/>
  <c r="J110" i="350" s="1"/>
  <c r="I111" i="350"/>
  <c r="I52" i="248" s="1"/>
  <c r="H111" i="350"/>
  <c r="H52" i="248" s="1"/>
  <c r="H54" i="248" s="1"/>
  <c r="G111" i="350"/>
  <c r="F111" i="350"/>
  <c r="E111" i="350"/>
  <c r="E52" i="248" s="1"/>
  <c r="D111" i="350"/>
  <c r="D52" i="248" s="1"/>
  <c r="C111" i="350"/>
  <c r="K103" i="350"/>
  <c r="K51" i="248"/>
  <c r="K115" i="248" s="1"/>
  <c r="J103" i="350"/>
  <c r="J51" i="248" s="1"/>
  <c r="I103" i="350"/>
  <c r="I51" i="248" s="1"/>
  <c r="H103" i="350"/>
  <c r="H51" i="248" s="1"/>
  <c r="G103" i="350"/>
  <c r="G51" i="248" s="1"/>
  <c r="F103" i="350"/>
  <c r="F51" i="248" s="1"/>
  <c r="E103" i="350"/>
  <c r="E51" i="248" s="1"/>
  <c r="D103" i="350"/>
  <c r="D51" i="248"/>
  <c r="C103" i="350"/>
  <c r="C51" i="248" s="1"/>
  <c r="K98" i="350"/>
  <c r="K49" i="248" s="1"/>
  <c r="K113" i="248" s="1"/>
  <c r="J98" i="350"/>
  <c r="J49" i="248" s="1"/>
  <c r="I98" i="350"/>
  <c r="I49" i="248" s="1"/>
  <c r="H98" i="350"/>
  <c r="H49" i="248" s="1"/>
  <c r="G98" i="350"/>
  <c r="G49" i="248" s="1"/>
  <c r="F98" i="350"/>
  <c r="F49" i="248" s="1"/>
  <c r="E98" i="350"/>
  <c r="E49" i="248" s="1"/>
  <c r="D98" i="350"/>
  <c r="D49" i="248" s="1"/>
  <c r="C98" i="350"/>
  <c r="C49" i="248" s="1"/>
  <c r="C75" i="350"/>
  <c r="C48" i="248"/>
  <c r="C7" i="350"/>
  <c r="C38" i="248" s="1"/>
  <c r="J74" i="350"/>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C107" i="248" s="1"/>
  <c r="K37" i="350"/>
  <c r="J37" i="350"/>
  <c r="J42" i="248" s="1"/>
  <c r="J106" i="248" s="1"/>
  <c r="I37" i="350"/>
  <c r="I42" i="248" s="1"/>
  <c r="H37" i="350"/>
  <c r="H42" i="248" s="1"/>
  <c r="G37" i="350"/>
  <c r="G42" i="248" s="1"/>
  <c r="F37" i="350"/>
  <c r="F42" i="248" s="1"/>
  <c r="E37" i="350"/>
  <c r="E42" i="248" s="1"/>
  <c r="D37" i="350"/>
  <c r="D42" i="248" s="1"/>
  <c r="C37" i="350"/>
  <c r="C42" i="248" s="1"/>
  <c r="C106" i="248" s="1"/>
  <c r="K26" i="350"/>
  <c r="K41" i="248" s="1"/>
  <c r="J26" i="350"/>
  <c r="J41" i="248" s="1"/>
  <c r="I26" i="350"/>
  <c r="H26" i="350"/>
  <c r="H41" i="248" s="1"/>
  <c r="G26" i="350"/>
  <c r="G41" i="248" s="1"/>
  <c r="F26" i="350"/>
  <c r="E26" i="350"/>
  <c r="E41" i="248"/>
  <c r="D26" i="350"/>
  <c r="D41" i="248" s="1"/>
  <c r="C26" i="350"/>
  <c r="C41" i="248" s="1"/>
  <c r="K16" i="350"/>
  <c r="K40" i="248" s="1"/>
  <c r="J16" i="350"/>
  <c r="I16" i="350"/>
  <c r="I40" i="248" s="1"/>
  <c r="H16" i="350"/>
  <c r="H6" i="350" s="1"/>
  <c r="G16" i="350"/>
  <c r="G40" i="248" s="1"/>
  <c r="F16" i="350"/>
  <c r="F40" i="248" s="1"/>
  <c r="E16" i="350"/>
  <c r="E40" i="248" s="1"/>
  <c r="D16" i="350"/>
  <c r="C16" i="350"/>
  <c r="C40" i="248" s="1"/>
  <c r="K12" i="350"/>
  <c r="K39" i="248" s="1"/>
  <c r="J12" i="350"/>
  <c r="J39" i="248" s="1"/>
  <c r="I12" i="350"/>
  <c r="I39" i="248" s="1"/>
  <c r="H12" i="350"/>
  <c r="H39" i="248" s="1"/>
  <c r="G12" i="350"/>
  <c r="G39" i="248" s="1"/>
  <c r="F12" i="350"/>
  <c r="F39" i="248" s="1"/>
  <c r="E12" i="350"/>
  <c r="E39" i="248" s="1"/>
  <c r="D12" i="350"/>
  <c r="C12" i="350"/>
  <c r="C39" i="248" s="1"/>
  <c r="K7" i="350"/>
  <c r="K38" i="248" s="1"/>
  <c r="J7" i="350"/>
  <c r="J38" i="248" s="1"/>
  <c r="J102" i="248" s="1"/>
  <c r="I7" i="350"/>
  <c r="H7" i="350"/>
  <c r="H38" i="248" s="1"/>
  <c r="G7" i="350"/>
  <c r="G38" i="248" s="1"/>
  <c r="F7" i="350"/>
  <c r="F38" i="248"/>
  <c r="E7" i="350"/>
  <c r="D7" i="350"/>
  <c r="D38" i="248" s="1"/>
  <c r="L34" i="255"/>
  <c r="L9" i="127" s="1"/>
  <c r="L26" i="255"/>
  <c r="L27" i="255" s="1"/>
  <c r="L8" i="127" s="1"/>
  <c r="J14" i="255"/>
  <c r="K14" i="255"/>
  <c r="L14" i="255"/>
  <c r="J9" i="255"/>
  <c r="J5" i="127" s="1"/>
  <c r="K75" i="253"/>
  <c r="K74" i="253"/>
  <c r="K73" i="253"/>
  <c r="K72" i="253"/>
  <c r="K71" i="253"/>
  <c r="J75" i="253"/>
  <c r="J74" i="253"/>
  <c r="J73" i="253"/>
  <c r="J72" i="253"/>
  <c r="J71" i="253"/>
  <c r="I75" i="253"/>
  <c r="I74" i="253"/>
  <c r="I73" i="253"/>
  <c r="I72" i="253"/>
  <c r="I71" i="253"/>
  <c r="K34" i="255"/>
  <c r="K9" i="127" s="1"/>
  <c r="J34" i="255"/>
  <c r="J9" i="127" s="1"/>
  <c r="O9" i="137" s="1"/>
  <c r="N9" i="137" s="1"/>
  <c r="K26" i="255"/>
  <c r="J56" i="253" s="1"/>
  <c r="J26" i="255"/>
  <c r="J27" i="255" s="1"/>
  <c r="J8" i="127" s="1"/>
  <c r="K48" i="123" s="1"/>
  <c r="L20" i="255"/>
  <c r="K55" i="253" s="1"/>
  <c r="K20" i="255"/>
  <c r="K21" i="255" s="1"/>
  <c r="K7" i="127" s="1"/>
  <c r="P7" i="137" s="1"/>
  <c r="J20" i="255"/>
  <c r="J21" i="255" s="1"/>
  <c r="J7" i="127" s="1"/>
  <c r="M105" i="363"/>
  <c r="K44" i="253" s="1"/>
  <c r="L105" i="363"/>
  <c r="K105" i="363"/>
  <c r="I44" i="253" s="1"/>
  <c r="J105" i="363"/>
  <c r="H44" i="253" s="1"/>
  <c r="I105" i="363"/>
  <c r="G44" i="253" s="1"/>
  <c r="H105" i="363"/>
  <c r="F44" i="253" s="1"/>
  <c r="G105" i="363"/>
  <c r="F105" i="363"/>
  <c r="D44" i="253" s="1"/>
  <c r="E105" i="363"/>
  <c r="C44" i="253" s="1"/>
  <c r="M104" i="363"/>
  <c r="K43" i="253" s="1"/>
  <c r="L104" i="363"/>
  <c r="J43" i="253" s="1"/>
  <c r="K104" i="363"/>
  <c r="I43" i="253" s="1"/>
  <c r="J104" i="363"/>
  <c r="H43" i="253" s="1"/>
  <c r="I104" i="363"/>
  <c r="G43" i="253" s="1"/>
  <c r="H104" i="363"/>
  <c r="F43" i="253" s="1"/>
  <c r="G104" i="363"/>
  <c r="E43" i="253" s="1"/>
  <c r="F104" i="363"/>
  <c r="D43" i="253" s="1"/>
  <c r="E104" i="363"/>
  <c r="C43" i="253" s="1"/>
  <c r="M103" i="363"/>
  <c r="L103" i="363"/>
  <c r="K103" i="363"/>
  <c r="J103" i="363"/>
  <c r="H42" i="253" s="1"/>
  <c r="I103" i="363"/>
  <c r="H103" i="363"/>
  <c r="F42" i="253" s="1"/>
  <c r="G103" i="363"/>
  <c r="E42" i="253" s="1"/>
  <c r="F103" i="363"/>
  <c r="D42" i="253" s="1"/>
  <c r="E103" i="363"/>
  <c r="C42" i="253" s="1"/>
  <c r="M102" i="363"/>
  <c r="K41" i="253" s="1"/>
  <c r="L102" i="363"/>
  <c r="J41" i="253" s="1"/>
  <c r="K102" i="363"/>
  <c r="I41" i="253" s="1"/>
  <c r="J102" i="363"/>
  <c r="H41" i="253" s="1"/>
  <c r="I102" i="363"/>
  <c r="G41" i="253" s="1"/>
  <c r="H102" i="363"/>
  <c r="G102" i="363"/>
  <c r="E41" i="253" s="1"/>
  <c r="F102" i="363"/>
  <c r="D41" i="253" s="1"/>
  <c r="E102" i="363"/>
  <c r="C41" i="253" s="1"/>
  <c r="M101" i="363"/>
  <c r="K40" i="253" s="1"/>
  <c r="L101" i="363"/>
  <c r="K101" i="363"/>
  <c r="I40" i="253" s="1"/>
  <c r="J101" i="363"/>
  <c r="H40" i="253" s="1"/>
  <c r="I101" i="363"/>
  <c r="G40" i="253" s="1"/>
  <c r="H101" i="363"/>
  <c r="F40" i="253" s="1"/>
  <c r="G101" i="363"/>
  <c r="F101" i="363"/>
  <c r="E101" i="363"/>
  <c r="C40" i="253" s="1"/>
  <c r="M99" i="363"/>
  <c r="L99" i="363"/>
  <c r="J38" i="253" s="1"/>
  <c r="J39" i="253" s="1"/>
  <c r="K99" i="363"/>
  <c r="I38" i="253" s="1"/>
  <c r="I39" i="253" s="1"/>
  <c r="J99" i="363"/>
  <c r="H38" i="253" s="1"/>
  <c r="H39" i="253" s="1"/>
  <c r="I99" i="363"/>
  <c r="H99" i="363"/>
  <c r="G99" i="363"/>
  <c r="E38" i="253" s="1"/>
  <c r="E39" i="253" s="1"/>
  <c r="F99" i="363"/>
  <c r="D38" i="253" s="1"/>
  <c r="D39" i="253" s="1"/>
  <c r="E99" i="363"/>
  <c r="C38" i="253" s="1"/>
  <c r="C39" i="253" s="1"/>
  <c r="M95" i="363"/>
  <c r="K34" i="253" s="1"/>
  <c r="L95" i="363"/>
  <c r="J34" i="253" s="1"/>
  <c r="K95" i="363"/>
  <c r="I34" i="253" s="1"/>
  <c r="J95" i="363"/>
  <c r="H34" i="253" s="1"/>
  <c r="I95" i="363"/>
  <c r="G34" i="253" s="1"/>
  <c r="H95" i="363"/>
  <c r="F34" i="253" s="1"/>
  <c r="G95" i="363"/>
  <c r="E34" i="253" s="1"/>
  <c r="F95" i="363"/>
  <c r="D34" i="253" s="1"/>
  <c r="E95" i="363"/>
  <c r="C34" i="253"/>
  <c r="M94" i="363"/>
  <c r="K33" i="253" s="1"/>
  <c r="K35" i="253" s="1"/>
  <c r="K64" i="86" s="1"/>
  <c r="L94" i="363"/>
  <c r="J33" i="253" s="1"/>
  <c r="K94" i="363"/>
  <c r="I33" i="253" s="1"/>
  <c r="J94" i="363"/>
  <c r="I94" i="363"/>
  <c r="G33" i="253" s="1"/>
  <c r="H94" i="363"/>
  <c r="G94" i="363"/>
  <c r="E33" i="253" s="1"/>
  <c r="F94" i="363"/>
  <c r="D33" i="253" s="1"/>
  <c r="E94" i="363"/>
  <c r="M93" i="363"/>
  <c r="K32" i="253" s="1"/>
  <c r="L93" i="363"/>
  <c r="J32" i="253" s="1"/>
  <c r="K93" i="363"/>
  <c r="J93" i="363"/>
  <c r="H32" i="253" s="1"/>
  <c r="I93" i="363"/>
  <c r="G32" i="253" s="1"/>
  <c r="H93" i="363"/>
  <c r="G93" i="363"/>
  <c r="E32" i="253" s="1"/>
  <c r="F93" i="363"/>
  <c r="E93" i="363"/>
  <c r="M91" i="363"/>
  <c r="K30" i="253" s="1"/>
  <c r="L91" i="363"/>
  <c r="J30" i="253" s="1"/>
  <c r="K91" i="363"/>
  <c r="J91" i="363"/>
  <c r="H30" i="253" s="1"/>
  <c r="I91" i="363"/>
  <c r="G30" i="253" s="1"/>
  <c r="H91" i="363"/>
  <c r="G91" i="363"/>
  <c r="E30" i="253" s="1"/>
  <c r="F91" i="363"/>
  <c r="D30" i="253" s="1"/>
  <c r="E91" i="363"/>
  <c r="C30" i="253" s="1"/>
  <c r="M90" i="363"/>
  <c r="L90" i="363"/>
  <c r="J29" i="253" s="1"/>
  <c r="K90" i="363"/>
  <c r="I29" i="253" s="1"/>
  <c r="J90" i="363"/>
  <c r="H29" i="253" s="1"/>
  <c r="I90" i="363"/>
  <c r="H90" i="363"/>
  <c r="F29" i="253" s="1"/>
  <c r="G90" i="363"/>
  <c r="E29" i="253" s="1"/>
  <c r="F90" i="363"/>
  <c r="D29" i="253" s="1"/>
  <c r="E90" i="363"/>
  <c r="C29" i="253" s="1"/>
  <c r="M86" i="363"/>
  <c r="K25" i="253" s="1"/>
  <c r="L86" i="363"/>
  <c r="J25" i="253" s="1"/>
  <c r="K86" i="363"/>
  <c r="I25" i="253" s="1"/>
  <c r="J86" i="363"/>
  <c r="I86" i="363"/>
  <c r="G25" i="253" s="1"/>
  <c r="H86" i="363"/>
  <c r="F25" i="253" s="1"/>
  <c r="G86" i="363"/>
  <c r="E25" i="253" s="1"/>
  <c r="F86" i="363"/>
  <c r="D25" i="253" s="1"/>
  <c r="M85" i="363"/>
  <c r="L85" i="363"/>
  <c r="K85" i="363"/>
  <c r="I24" i="253" s="1"/>
  <c r="J85" i="363"/>
  <c r="H24" i="253" s="1"/>
  <c r="I85" i="363"/>
  <c r="G24" i="253" s="1"/>
  <c r="H85" i="363"/>
  <c r="F24" i="253" s="1"/>
  <c r="G85" i="363"/>
  <c r="E24" i="253" s="1"/>
  <c r="F85" i="363"/>
  <c r="D24" i="253" s="1"/>
  <c r="M84" i="363"/>
  <c r="K23" i="253" s="1"/>
  <c r="L84" i="363"/>
  <c r="K84" i="363"/>
  <c r="I23" i="253" s="1"/>
  <c r="J84" i="363"/>
  <c r="I84" i="363"/>
  <c r="G23" i="253" s="1"/>
  <c r="H84" i="363"/>
  <c r="G84" i="363"/>
  <c r="F84" i="363"/>
  <c r="E86" i="363"/>
  <c r="C25" i="253" s="1"/>
  <c r="E85" i="363"/>
  <c r="E84" i="363"/>
  <c r="C23" i="253" s="1"/>
  <c r="M82" i="363"/>
  <c r="K21" i="253" s="1"/>
  <c r="L82" i="363"/>
  <c r="J21" i="253" s="1"/>
  <c r="K82" i="363"/>
  <c r="I21" i="253" s="1"/>
  <c r="J82" i="363"/>
  <c r="H21" i="253" s="1"/>
  <c r="I82" i="363"/>
  <c r="G21" i="253" s="1"/>
  <c r="H82" i="363"/>
  <c r="G82" i="363"/>
  <c r="E21" i="253" s="1"/>
  <c r="F82" i="363"/>
  <c r="D21" i="253" s="1"/>
  <c r="E82" i="363"/>
  <c r="C21" i="253" s="1"/>
  <c r="M81" i="363"/>
  <c r="K20" i="253" s="1"/>
  <c r="L81" i="363"/>
  <c r="J20" i="253" s="1"/>
  <c r="K81" i="363"/>
  <c r="J81" i="363"/>
  <c r="H20" i="253" s="1"/>
  <c r="I81" i="363"/>
  <c r="G20" i="253" s="1"/>
  <c r="H81" i="363"/>
  <c r="F20" i="253" s="1"/>
  <c r="G81" i="363"/>
  <c r="E20" i="253" s="1"/>
  <c r="F81" i="363"/>
  <c r="D20" i="253" s="1"/>
  <c r="E81" i="363"/>
  <c r="C20" i="253" s="1"/>
  <c r="M80" i="363"/>
  <c r="K19" i="253" s="1"/>
  <c r="L80" i="363"/>
  <c r="K80" i="363"/>
  <c r="I19" i="253" s="1"/>
  <c r="J80" i="363"/>
  <c r="H19" i="253" s="1"/>
  <c r="I80" i="363"/>
  <c r="G19" i="253" s="1"/>
  <c r="H80" i="363"/>
  <c r="G80" i="363"/>
  <c r="E19" i="253" s="1"/>
  <c r="F80" i="363"/>
  <c r="D19" i="253" s="1"/>
  <c r="E80" i="363"/>
  <c r="C19" i="253" s="1"/>
  <c r="M79" i="363"/>
  <c r="K18" i="253" s="1"/>
  <c r="L79" i="363"/>
  <c r="J18" i="253" s="1"/>
  <c r="K79" i="363"/>
  <c r="I18" i="253" s="1"/>
  <c r="J79" i="363"/>
  <c r="H18" i="253" s="1"/>
  <c r="I79" i="363"/>
  <c r="G18" i="253" s="1"/>
  <c r="H79" i="363"/>
  <c r="F18" i="253" s="1"/>
  <c r="G79" i="363"/>
  <c r="E18" i="253" s="1"/>
  <c r="F79" i="363"/>
  <c r="D18" i="253" s="1"/>
  <c r="E79" i="363"/>
  <c r="C18" i="253" s="1"/>
  <c r="M78" i="363"/>
  <c r="L78" i="363"/>
  <c r="J17" i="253" s="1"/>
  <c r="K78" i="363"/>
  <c r="I17" i="253" s="1"/>
  <c r="J78" i="363"/>
  <c r="H17" i="253" s="1"/>
  <c r="I78" i="363"/>
  <c r="G17" i="253" s="1"/>
  <c r="H78" i="363"/>
  <c r="G78" i="363"/>
  <c r="F78" i="363"/>
  <c r="D17" i="253" s="1"/>
  <c r="E78" i="363"/>
  <c r="C17" i="253" s="1"/>
  <c r="M74" i="363"/>
  <c r="K13" i="253" s="1"/>
  <c r="L74" i="363"/>
  <c r="J13" i="253" s="1"/>
  <c r="K74" i="363"/>
  <c r="J74" i="363"/>
  <c r="H13" i="253" s="1"/>
  <c r="I74" i="363"/>
  <c r="G13" i="253" s="1"/>
  <c r="H74" i="363"/>
  <c r="F13" i="253" s="1"/>
  <c r="G74" i="363"/>
  <c r="F74" i="363"/>
  <c r="D13" i="253" s="1"/>
  <c r="M73" i="363"/>
  <c r="L73" i="363"/>
  <c r="J12" i="253" s="1"/>
  <c r="K73" i="363"/>
  <c r="I12" i="253" s="1"/>
  <c r="J73" i="363"/>
  <c r="H12" i="253" s="1"/>
  <c r="I73" i="363"/>
  <c r="G12" i="253" s="1"/>
  <c r="H73" i="363"/>
  <c r="F12" i="253" s="1"/>
  <c r="G73" i="363"/>
  <c r="E12" i="253" s="1"/>
  <c r="F73" i="363"/>
  <c r="D12" i="253" s="1"/>
  <c r="M72" i="363"/>
  <c r="K11" i="253" s="1"/>
  <c r="L72" i="363"/>
  <c r="J11" i="253" s="1"/>
  <c r="K72" i="363"/>
  <c r="I11" i="253" s="1"/>
  <c r="J72" i="363"/>
  <c r="I72" i="363"/>
  <c r="G11" i="253" s="1"/>
  <c r="H72" i="363"/>
  <c r="F11" i="253" s="1"/>
  <c r="G72" i="363"/>
  <c r="E11" i="253" s="1"/>
  <c r="F72" i="363"/>
  <c r="D11" i="253" s="1"/>
  <c r="E74" i="363"/>
  <c r="E73" i="363"/>
  <c r="C12" i="253" s="1"/>
  <c r="E72" i="363"/>
  <c r="C11" i="253" s="1"/>
  <c r="M70" i="363"/>
  <c r="K9" i="253" s="1"/>
  <c r="L70" i="363"/>
  <c r="J9" i="253" s="1"/>
  <c r="K70" i="363"/>
  <c r="J70" i="363"/>
  <c r="H9" i="253" s="1"/>
  <c r="I70" i="363"/>
  <c r="G9" i="253" s="1"/>
  <c r="H70" i="363"/>
  <c r="F9" i="253" s="1"/>
  <c r="G70" i="363"/>
  <c r="E9" i="253" s="1"/>
  <c r="F70" i="363"/>
  <c r="D9" i="253" s="1"/>
  <c r="M69" i="363"/>
  <c r="K8" i="253" s="1"/>
  <c r="L69" i="363"/>
  <c r="J8" i="253" s="1"/>
  <c r="K69" i="363"/>
  <c r="I8" i="253" s="1"/>
  <c r="J69" i="363"/>
  <c r="H8" i="253" s="1"/>
  <c r="I69" i="363"/>
  <c r="G8" i="253" s="1"/>
  <c r="H69" i="363"/>
  <c r="F8" i="253" s="1"/>
  <c r="G69" i="363"/>
  <c r="E8" i="253" s="1"/>
  <c r="F69" i="363"/>
  <c r="D8" i="253" s="1"/>
  <c r="M68" i="363"/>
  <c r="K7" i="253"/>
  <c r="L68" i="363"/>
  <c r="J7" i="253" s="1"/>
  <c r="K68" i="363"/>
  <c r="I7" i="253" s="1"/>
  <c r="J68" i="363"/>
  <c r="H7" i="253" s="1"/>
  <c r="I68" i="363"/>
  <c r="H68" i="363"/>
  <c r="F7" i="253" s="1"/>
  <c r="G68" i="363"/>
  <c r="E7" i="253" s="1"/>
  <c r="F68" i="363"/>
  <c r="D7" i="253" s="1"/>
  <c r="M67" i="363"/>
  <c r="L67" i="363"/>
  <c r="J6" i="253" s="1"/>
  <c r="K67" i="363"/>
  <c r="I6" i="253" s="1"/>
  <c r="J67" i="363"/>
  <c r="H6" i="253" s="1"/>
  <c r="I67" i="363"/>
  <c r="G6" i="253" s="1"/>
  <c r="H67" i="363"/>
  <c r="G67" i="363"/>
  <c r="E6" i="253" s="1"/>
  <c r="F67" i="363"/>
  <c r="D6" i="253" s="1"/>
  <c r="E68" i="363"/>
  <c r="C7" i="253" s="1"/>
  <c r="E69" i="363"/>
  <c r="C8" i="253" s="1"/>
  <c r="E70" i="363"/>
  <c r="C9" i="253" s="1"/>
  <c r="E67" i="363"/>
  <c r="C6" i="253" s="1"/>
  <c r="J42" i="253"/>
  <c r="E44" i="253"/>
  <c r="J44" i="253"/>
  <c r="F33" i="253"/>
  <c r="F23" i="253"/>
  <c r="E23" i="253"/>
  <c r="F21" i="253"/>
  <c r="G7" i="253"/>
  <c r="I15" i="255"/>
  <c r="I6" i="127" s="1"/>
  <c r="J46" i="123"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34" i="255" s="1"/>
  <c r="H9" i="127" s="1"/>
  <c r="I49" i="123" s="1"/>
  <c r="G33" i="255"/>
  <c r="G58" i="253" s="1"/>
  <c r="F33" i="255"/>
  <c r="F58" i="253" s="1"/>
  <c r="E33" i="255"/>
  <c r="E34" i="255" s="1"/>
  <c r="E9" i="127" s="1"/>
  <c r="F49" i="123" s="1"/>
  <c r="D33" i="255"/>
  <c r="D34" i="255" s="1"/>
  <c r="D9" i="127" s="1"/>
  <c r="E49" i="123" s="1"/>
  <c r="C33" i="255"/>
  <c r="C34" i="255" s="1"/>
  <c r="C9" i="127" s="1"/>
  <c r="D49" i="123" s="1"/>
  <c r="H26" i="255"/>
  <c r="G26" i="255"/>
  <c r="G27" i="255" s="1"/>
  <c r="G8" i="127" s="1"/>
  <c r="H48" i="123" s="1"/>
  <c r="F26" i="255"/>
  <c r="E26" i="255"/>
  <c r="E27" i="255" s="1"/>
  <c r="E8" i="127" s="1"/>
  <c r="F48" i="123" s="1"/>
  <c r="D26" i="255"/>
  <c r="D27" i="255" s="1"/>
  <c r="D8" i="127" s="1"/>
  <c r="E48" i="123" s="1"/>
  <c r="C26" i="255"/>
  <c r="C27" i="255" s="1"/>
  <c r="C8" i="127" s="1"/>
  <c r="D48" i="123" s="1"/>
  <c r="H20" i="255"/>
  <c r="H21" i="255" s="1"/>
  <c r="H7" i="127" s="1"/>
  <c r="I47" i="123" s="1"/>
  <c r="G20" i="255"/>
  <c r="G55" i="253" s="1"/>
  <c r="F20" i="255"/>
  <c r="F21" i="255" s="1"/>
  <c r="F7" i="127" s="1"/>
  <c r="G47" i="123" s="1"/>
  <c r="E20" i="255"/>
  <c r="E55" i="253" s="1"/>
  <c r="D20" i="255"/>
  <c r="C20" i="255"/>
  <c r="C55" i="25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H15" i="255" s="1"/>
  <c r="H6" i="127" s="1"/>
  <c r="G14" i="255"/>
  <c r="G15" i="255" s="1"/>
  <c r="G6" i="127" s="1"/>
  <c r="F14" i="255"/>
  <c r="F15" i="255" s="1"/>
  <c r="F6" i="127" s="1"/>
  <c r="E14" i="255"/>
  <c r="E57" i="253" s="1"/>
  <c r="D14" i="255"/>
  <c r="D57" i="253" s="1"/>
  <c r="C14" i="255"/>
  <c r="M260" i="363"/>
  <c r="L260" i="363"/>
  <c r="K260" i="363"/>
  <c r="J260" i="363"/>
  <c r="I260" i="363"/>
  <c r="H260" i="363"/>
  <c r="F59" i="253" s="1"/>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K230" i="363"/>
  <c r="J230" i="363"/>
  <c r="I230" i="363"/>
  <c r="H230" i="363"/>
  <c r="G230" i="363"/>
  <c r="F230" i="363"/>
  <c r="E230" i="363"/>
  <c r="M225" i="363"/>
  <c r="L225" i="363"/>
  <c r="K225" i="363"/>
  <c r="J225" i="363"/>
  <c r="I225" i="363"/>
  <c r="H225" i="363"/>
  <c r="G225" i="363"/>
  <c r="F225" i="363"/>
  <c r="E225" i="363"/>
  <c r="M221" i="363"/>
  <c r="L221" i="363"/>
  <c r="K221" i="363"/>
  <c r="J221" i="363"/>
  <c r="J226" i="363" s="1"/>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J189" i="363" s="1"/>
  <c r="I188" i="363"/>
  <c r="H188" i="363"/>
  <c r="G188" i="363"/>
  <c r="F188" i="363"/>
  <c r="E188" i="363"/>
  <c r="E189" i="363" s="1"/>
  <c r="M184" i="363"/>
  <c r="L184" i="363"/>
  <c r="K184" i="363"/>
  <c r="J184" i="363"/>
  <c r="I184" i="363"/>
  <c r="H184" i="363"/>
  <c r="G184" i="363"/>
  <c r="F184" i="363"/>
  <c r="E184" i="363"/>
  <c r="M179" i="363"/>
  <c r="L179" i="363"/>
  <c r="L180" i="363" s="1"/>
  <c r="K179" i="363"/>
  <c r="J179" i="363"/>
  <c r="I179" i="363"/>
  <c r="H179" i="363"/>
  <c r="G179" i="363"/>
  <c r="G180" i="363" s="1"/>
  <c r="F179" i="363"/>
  <c r="E179" i="363"/>
  <c r="M175" i="363"/>
  <c r="L175" i="363"/>
  <c r="K175" i="363"/>
  <c r="J175" i="363"/>
  <c r="I175" i="363"/>
  <c r="H175" i="363"/>
  <c r="G175" i="363"/>
  <c r="F175" i="363"/>
  <c r="E175" i="363"/>
  <c r="M167" i="363"/>
  <c r="L167" i="363"/>
  <c r="K167" i="363"/>
  <c r="J167" i="363"/>
  <c r="I167" i="363"/>
  <c r="H167" i="363"/>
  <c r="G167" i="363"/>
  <c r="G168" i="363" s="1"/>
  <c r="F167" i="363"/>
  <c r="E167" i="363"/>
  <c r="M163" i="363"/>
  <c r="L163" i="363"/>
  <c r="K163" i="363"/>
  <c r="K168" i="363" s="1"/>
  <c r="J163" i="363"/>
  <c r="I163" i="363"/>
  <c r="H163" i="363"/>
  <c r="H168" i="363" s="1"/>
  <c r="G163" i="363"/>
  <c r="F163" i="363"/>
  <c r="E163" i="363"/>
  <c r="J156" i="363"/>
  <c r="I156" i="363"/>
  <c r="H156" i="363"/>
  <c r="G156" i="363"/>
  <c r="F156" i="363"/>
  <c r="E156" i="363"/>
  <c r="M152" i="363"/>
  <c r="L152" i="363"/>
  <c r="K152" i="363"/>
  <c r="J152" i="363"/>
  <c r="I152" i="363"/>
  <c r="H152" i="363"/>
  <c r="G152" i="363"/>
  <c r="G153" i="363" s="1"/>
  <c r="F152" i="363"/>
  <c r="E152" i="363"/>
  <c r="M146" i="363"/>
  <c r="L146" i="363"/>
  <c r="K146" i="363"/>
  <c r="J146" i="363"/>
  <c r="I146" i="363"/>
  <c r="H146" i="363"/>
  <c r="G146" i="363"/>
  <c r="F146" i="363"/>
  <c r="E146" i="363"/>
  <c r="M142" i="363"/>
  <c r="L142" i="363"/>
  <c r="K142" i="363"/>
  <c r="J142" i="363"/>
  <c r="I142" i="363"/>
  <c r="H142" i="363"/>
  <c r="G142" i="363"/>
  <c r="F142" i="363"/>
  <c r="E142" i="363"/>
  <c r="M138" i="363"/>
  <c r="M143" i="363" s="1"/>
  <c r="L138" i="363"/>
  <c r="K138" i="363"/>
  <c r="J138" i="363"/>
  <c r="J143" i="363" s="1"/>
  <c r="I138" i="363"/>
  <c r="H138" i="363"/>
  <c r="G138" i="363"/>
  <c r="F138" i="363"/>
  <c r="E138" i="363"/>
  <c r="E143" i="363" s="1"/>
  <c r="M133" i="363"/>
  <c r="L133" i="363"/>
  <c r="K133" i="363"/>
  <c r="J133" i="363"/>
  <c r="J134" i="363" s="1"/>
  <c r="I133" i="363"/>
  <c r="H133" i="363"/>
  <c r="G133" i="363"/>
  <c r="F133" i="363"/>
  <c r="E133" i="363"/>
  <c r="M129" i="363"/>
  <c r="L129" i="363"/>
  <c r="K129" i="363"/>
  <c r="J129" i="363"/>
  <c r="I129" i="363"/>
  <c r="H129" i="363"/>
  <c r="G129" i="363"/>
  <c r="G134" i="363" s="1"/>
  <c r="F129" i="363"/>
  <c r="E129" i="363"/>
  <c r="M121" i="363"/>
  <c r="L121" i="363"/>
  <c r="L122" i="363" s="1"/>
  <c r="K121" i="363"/>
  <c r="J121" i="363"/>
  <c r="I121" i="363"/>
  <c r="H121" i="363"/>
  <c r="G121" i="363"/>
  <c r="F121" i="363"/>
  <c r="E121" i="363"/>
  <c r="M117" i="363"/>
  <c r="L117" i="363"/>
  <c r="K117" i="363"/>
  <c r="K122" i="363" s="1"/>
  <c r="J117" i="363"/>
  <c r="I117" i="363"/>
  <c r="H117" i="363"/>
  <c r="G117" i="363"/>
  <c r="F117" i="363"/>
  <c r="E117" i="363"/>
  <c r="J110" i="363"/>
  <c r="I110" i="363"/>
  <c r="H110" i="363"/>
  <c r="G110" i="363"/>
  <c r="F110" i="363"/>
  <c r="E11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I27" i="255"/>
  <c r="I8" i="127" s="1"/>
  <c r="J48" i="123" s="1"/>
  <c r="I21" i="255"/>
  <c r="I7" i="127" s="1"/>
  <c r="J47" i="123" s="1"/>
  <c r="L9" i="255"/>
  <c r="L5" i="127" s="1"/>
  <c r="Q5" i="137" s="1"/>
  <c r="K9" i="255"/>
  <c r="K5" i="127" s="1"/>
  <c r="P5" i="137" s="1"/>
  <c r="I9" i="255"/>
  <c r="I5" i="127" s="1"/>
  <c r="H9" i="255"/>
  <c r="H5" i="127" s="1"/>
  <c r="G5" i="86" s="1"/>
  <c r="G9" i="255"/>
  <c r="G5" i="127" s="1"/>
  <c r="F5" i="86" s="1"/>
  <c r="F9" i="255"/>
  <c r="F5" i="127" s="1"/>
  <c r="E9" i="255"/>
  <c r="E5" i="127" s="1"/>
  <c r="D5" i="86" s="1"/>
  <c r="D9" i="255"/>
  <c r="D5" i="127" s="1"/>
  <c r="C9" i="255"/>
  <c r="C5" i="127" s="1"/>
  <c r="N3" i="296"/>
  <c r="O3" i="296"/>
  <c r="A23" i="296"/>
  <c r="O204" i="256"/>
  <c r="P204" i="256"/>
  <c r="Q204" i="256"/>
  <c r="M217" i="256"/>
  <c r="N217" i="256"/>
  <c r="O217" i="256"/>
  <c r="P217" i="256"/>
  <c r="Q217" i="256"/>
  <c r="M218" i="256"/>
  <c r="N218" i="256"/>
  <c r="O218" i="256"/>
  <c r="P218" i="256"/>
  <c r="Q218" i="256"/>
  <c r="A2" i="294"/>
  <c r="B2" i="294"/>
  <c r="I3" i="294"/>
  <c r="F21" i="294"/>
  <c r="G21" i="294"/>
  <c r="G53" i="294" s="1"/>
  <c r="H21" i="294"/>
  <c r="I21" i="294"/>
  <c r="C40" i="294"/>
  <c r="D40" i="294"/>
  <c r="E40" i="294"/>
  <c r="F40" i="294"/>
  <c r="G40" i="294"/>
  <c r="H40" i="294"/>
  <c r="I40" i="294"/>
  <c r="I53" i="294" s="1"/>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E110" i="248" s="1"/>
  <c r="F68" i="350"/>
  <c r="F46" i="248" s="1"/>
  <c r="F110" i="248" s="1"/>
  <c r="G68" i="350"/>
  <c r="G46" i="248" s="1"/>
  <c r="H68" i="350"/>
  <c r="H46" i="248" s="1"/>
  <c r="I68" i="350"/>
  <c r="I46" i="248" s="1"/>
  <c r="J68" i="350"/>
  <c r="J46" i="248" s="1"/>
  <c r="K68" i="350"/>
  <c r="K46" i="248" s="1"/>
  <c r="C136" i="350"/>
  <c r="C58" i="248" s="1"/>
  <c r="C122" i="248" s="1"/>
  <c r="D136" i="350"/>
  <c r="D58" i="248" s="1"/>
  <c r="E136" i="350"/>
  <c r="E58" i="248" s="1"/>
  <c r="F136" i="350"/>
  <c r="F58" i="248" s="1"/>
  <c r="G136" i="350"/>
  <c r="G58" i="248" s="1"/>
  <c r="H136" i="350"/>
  <c r="H58" i="248" s="1"/>
  <c r="I136" i="350"/>
  <c r="I58" i="248" s="1"/>
  <c r="J136" i="350"/>
  <c r="J58" i="248" s="1"/>
  <c r="J122"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E23" i="139" s="1"/>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H42" i="139"/>
  <c r="I42" i="139"/>
  <c r="J42" i="139"/>
  <c r="K42" i="139"/>
  <c r="L42" i="139"/>
  <c r="L44" i="139" s="1"/>
  <c r="M42" i="139"/>
  <c r="N42" i="139"/>
  <c r="A45" i="139"/>
  <c r="A38" i="250"/>
  <c r="A2" i="301"/>
  <c r="B2" i="301"/>
  <c r="C3" i="301"/>
  <c r="D3" i="301"/>
  <c r="E3" i="301"/>
  <c r="F3" i="301"/>
  <c r="G3" i="301"/>
  <c r="H3" i="301"/>
  <c r="A5" i="301"/>
  <c r="A6" i="301"/>
  <c r="A7" i="301"/>
  <c r="A8" i="301"/>
  <c r="A24" i="301" s="1"/>
  <c r="A9" i="301"/>
  <c r="A10" i="301"/>
  <c r="A11" i="301"/>
  <c r="C11" i="301"/>
  <c r="D11" i="301"/>
  <c r="E11" i="301"/>
  <c r="F11" i="301"/>
  <c r="G11" i="301"/>
  <c r="H11" i="301"/>
  <c r="I11" i="301"/>
  <c r="K11" i="301"/>
  <c r="A12" i="301"/>
  <c r="A14" i="301"/>
  <c r="A15" i="301"/>
  <c r="A16" i="301"/>
  <c r="A17" i="301"/>
  <c r="A18" i="301"/>
  <c r="A19" i="301"/>
  <c r="C19" i="301"/>
  <c r="D19" i="301"/>
  <c r="E19" i="301"/>
  <c r="F19" i="301"/>
  <c r="G19" i="301"/>
  <c r="G20" i="301"/>
  <c r="H19" i="301"/>
  <c r="I19" i="301"/>
  <c r="J19" i="301"/>
  <c r="J20" i="301" s="1"/>
  <c r="K19"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M24" i="95"/>
  <c r="M25" i="95"/>
  <c r="A26" i="95"/>
  <c r="M26" i="95"/>
  <c r="A27" i="95"/>
  <c r="M27" i="95"/>
  <c r="A28" i="95"/>
  <c r="M28" i="95"/>
  <c r="A30" i="95"/>
  <c r="M30" i="95"/>
  <c r="A31" i="95"/>
  <c r="M31" i="95"/>
  <c r="M35" i="95"/>
  <c r="M36" i="95"/>
  <c r="M37" i="95"/>
  <c r="M38" i="95"/>
  <c r="M39" i="95"/>
  <c r="M40" i="95"/>
  <c r="M41" i="95"/>
  <c r="M42" i="95"/>
  <c r="M43" i="95"/>
  <c r="M44" i="95"/>
  <c r="B45" i="95"/>
  <c r="B51" i="95" s="1"/>
  <c r="C45" i="95"/>
  <c r="C51" i="95" s="1"/>
  <c r="D45" i="95"/>
  <c r="D51" i="95" s="1"/>
  <c r="E45" i="95"/>
  <c r="E62" i="95" s="1"/>
  <c r="F45" i="95"/>
  <c r="F62" i="95" s="1"/>
  <c r="G45" i="95"/>
  <c r="G51" i="95" s="1"/>
  <c r="H45" i="95"/>
  <c r="H62" i="95" s="1"/>
  <c r="I45" i="95"/>
  <c r="J45" i="95"/>
  <c r="J62" i="95" s="1"/>
  <c r="K45" i="95"/>
  <c r="K51" i="95" s="1"/>
  <c r="L45" i="95"/>
  <c r="L51" i="95" s="1"/>
  <c r="N45" i="95"/>
  <c r="N62" i="95" s="1"/>
  <c r="O45" i="95"/>
  <c r="O62" i="95" s="1"/>
  <c r="P45" i="95"/>
  <c r="P51"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P28" i="300"/>
  <c r="Q28" i="300"/>
  <c r="O29" i="300"/>
  <c r="N29" i="300" s="1"/>
  <c r="P29" i="300"/>
  <c r="Q29" i="300"/>
  <c r="O30" i="300"/>
  <c r="N30" i="300" s="1"/>
  <c r="P30" i="300"/>
  <c r="Q30" i="300"/>
  <c r="O31" i="300"/>
  <c r="P31" i="300"/>
  <c r="Q31" i="300"/>
  <c r="C32" i="300"/>
  <c r="C36" i="300" s="1"/>
  <c r="D32" i="300"/>
  <c r="D36" i="300" s="1"/>
  <c r="F32" i="300"/>
  <c r="F36" i="300" s="1"/>
  <c r="G32" i="300" s="1"/>
  <c r="G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J39" i="140" s="1"/>
  <c r="K38" i="140"/>
  <c r="L38" i="140"/>
  <c r="M38"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c r="P34" i="137"/>
  <c r="Q34" i="137"/>
  <c r="A35" i="137"/>
  <c r="C35" i="137"/>
  <c r="D35" i="137"/>
  <c r="E35" i="137"/>
  <c r="F35" i="137"/>
  <c r="G35" i="137"/>
  <c r="H35" i="137"/>
  <c r="I35" i="137"/>
  <c r="J35" i="137"/>
  <c r="K35" i="137"/>
  <c r="L35" i="137"/>
  <c r="M35" i="137"/>
  <c r="A37" i="137"/>
  <c r="A38" i="137"/>
  <c r="O38" i="137"/>
  <c r="N38" i="137" s="1"/>
  <c r="P38" i="137"/>
  <c r="Q38" i="137"/>
  <c r="A39" i="137"/>
  <c r="A40" i="137"/>
  <c r="O40" i="137"/>
  <c r="N40" i="137" s="1"/>
  <c r="P40" i="137"/>
  <c r="Q40" i="137"/>
  <c r="A41" i="137"/>
  <c r="A42" i="137"/>
  <c r="A42" i="299" s="1"/>
  <c r="O42" i="137"/>
  <c r="O42" i="299" s="1"/>
  <c r="N42" i="299" s="1"/>
  <c r="P42" i="137"/>
  <c r="P42" i="299" s="1"/>
  <c r="Q42" i="137"/>
  <c r="Q42" i="299" s="1"/>
  <c r="A43" i="137"/>
  <c r="A43" i="299" s="1"/>
  <c r="O43" i="137"/>
  <c r="P43" i="137"/>
  <c r="P43" i="299" s="1"/>
  <c r="Q43" i="137"/>
  <c r="Q43" i="299" s="1"/>
  <c r="A44" i="137"/>
  <c r="O44" i="137"/>
  <c r="N44" i="137" s="1"/>
  <c r="P44" i="137"/>
  <c r="Q44" i="137"/>
  <c r="A45" i="137"/>
  <c r="A46" i="137"/>
  <c r="B2" i="148"/>
  <c r="F10" i="148"/>
  <c r="G10" i="148"/>
  <c r="H10" i="148"/>
  <c r="I10" i="148"/>
  <c r="J10" i="148"/>
  <c r="K1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G14" i="146" s="1"/>
  <c r="H13" i="146"/>
  <c r="I13" i="146"/>
  <c r="J13" i="146"/>
  <c r="K13" i="146"/>
  <c r="C29" i="146"/>
  <c r="D29" i="146"/>
  <c r="E29" i="146"/>
  <c r="F29" i="146"/>
  <c r="G29" i="146"/>
  <c r="H29" i="146"/>
  <c r="I29" i="146"/>
  <c r="J29" i="146"/>
  <c r="K29" i="146"/>
  <c r="A30" i="146"/>
  <c r="B30" i="146"/>
  <c r="C45" i="146"/>
  <c r="D45" i="146"/>
  <c r="E45" i="146"/>
  <c r="F45" i="146"/>
  <c r="G45" i="146"/>
  <c r="H46" i="146" s="1"/>
  <c r="I45" i="146"/>
  <c r="J45" i="146"/>
  <c r="K45" i="146"/>
  <c r="A46" i="146"/>
  <c r="B46" i="146"/>
  <c r="C65" i="146"/>
  <c r="D65" i="146"/>
  <c r="E65" i="146"/>
  <c r="F65" i="146"/>
  <c r="F66" i="146" s="1"/>
  <c r="G65" i="146"/>
  <c r="G66" i="146" s="1"/>
  <c r="H65" i="146"/>
  <c r="I65" i="146"/>
  <c r="J65" i="146"/>
  <c r="K66" i="146" s="1"/>
  <c r="K65" i="146"/>
  <c r="A66" i="146"/>
  <c r="B66" i="146"/>
  <c r="C81" i="146"/>
  <c r="D81" i="146"/>
  <c r="E82" i="146" s="1"/>
  <c r="E81" i="146"/>
  <c r="F81" i="146"/>
  <c r="G81" i="146"/>
  <c r="H81" i="146"/>
  <c r="I81" i="146"/>
  <c r="J81" i="146"/>
  <c r="J82" i="146" s="1"/>
  <c r="K81" i="146"/>
  <c r="K82" i="146" s="1"/>
  <c r="A82" i="146"/>
  <c r="B82" i="146"/>
  <c r="C97" i="146"/>
  <c r="D97" i="146"/>
  <c r="E97" i="146"/>
  <c r="E98" i="146" s="1"/>
  <c r="F97" i="146"/>
  <c r="G97" i="146"/>
  <c r="H97" i="146"/>
  <c r="I98" i="146" s="1"/>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E15" i="305"/>
  <c r="F15" i="305"/>
  <c r="G15" i="305"/>
  <c r="H15" i="305"/>
  <c r="I15" i="305"/>
  <c r="J15" i="305"/>
  <c r="K15" i="305"/>
  <c r="L15" i="305"/>
  <c r="C21" i="305"/>
  <c r="D21" i="305"/>
  <c r="E21" i="305"/>
  <c r="F21" i="305"/>
  <c r="G21" i="305"/>
  <c r="H21" i="305"/>
  <c r="I21" i="305"/>
  <c r="J21" i="305"/>
  <c r="K21" i="305"/>
  <c r="L21" i="305"/>
  <c r="C26" i="305"/>
  <c r="D26" i="305"/>
  <c r="E26" i="305"/>
  <c r="F26" i="305"/>
  <c r="G26" i="305"/>
  <c r="H26" i="305"/>
  <c r="I26" i="305"/>
  <c r="J26" i="305"/>
  <c r="K26" i="305"/>
  <c r="L26" i="305"/>
  <c r="C32" i="305"/>
  <c r="D32" i="305"/>
  <c r="E32" i="305"/>
  <c r="F32" i="305"/>
  <c r="G32" i="305"/>
  <c r="H32" i="305"/>
  <c r="I32" i="305"/>
  <c r="J32" i="305"/>
  <c r="K32" i="305"/>
  <c r="L32" i="305"/>
  <c r="C39" i="305"/>
  <c r="D39" i="305"/>
  <c r="E39" i="305"/>
  <c r="F39" i="305"/>
  <c r="G39" i="305"/>
  <c r="H39" i="305"/>
  <c r="I39" i="305"/>
  <c r="J39" i="305"/>
  <c r="K39" i="305"/>
  <c r="L39" i="305"/>
  <c r="A42" i="305"/>
  <c r="C45" i="305"/>
  <c r="D45" i="305"/>
  <c r="E45" i="305"/>
  <c r="F45" i="305"/>
  <c r="G45" i="305"/>
  <c r="H45" i="305"/>
  <c r="I45" i="305"/>
  <c r="J45" i="305"/>
  <c r="K45" i="305"/>
  <c r="L45" i="305"/>
  <c r="A48" i="305"/>
  <c r="C51" i="305"/>
  <c r="D51" i="305"/>
  <c r="E51" i="305"/>
  <c r="F51" i="305"/>
  <c r="G51" i="305"/>
  <c r="H51" i="305"/>
  <c r="I51" i="305"/>
  <c r="J51" i="305"/>
  <c r="K51" i="305"/>
  <c r="L51" i="305"/>
  <c r="A54" i="305"/>
  <c r="C57" i="305"/>
  <c r="D57" i="305"/>
  <c r="E57" i="305"/>
  <c r="F57" i="305"/>
  <c r="G57" i="305"/>
  <c r="H57" i="305"/>
  <c r="I57" i="305"/>
  <c r="J57" i="305"/>
  <c r="K57" i="305"/>
  <c r="L57" i="305"/>
  <c r="A60" i="305"/>
  <c r="C63" i="305"/>
  <c r="D63" i="305"/>
  <c r="E63" i="305"/>
  <c r="F63" i="305"/>
  <c r="G63" i="305"/>
  <c r="H63" i="305"/>
  <c r="I63" i="305"/>
  <c r="J63" i="305"/>
  <c r="K63" i="305"/>
  <c r="L63" i="305"/>
  <c r="A66" i="305"/>
  <c r="A2" i="316"/>
  <c r="B2" i="316"/>
  <c r="C3" i="316"/>
  <c r="D3" i="316"/>
  <c r="E3" i="316"/>
  <c r="F3" i="316"/>
  <c r="G3" i="316"/>
  <c r="H3" i="316"/>
  <c r="A5" i="316"/>
  <c r="A29" i="316" s="1"/>
  <c r="C8" i="316"/>
  <c r="D8" i="316"/>
  <c r="E8" i="316"/>
  <c r="F8" i="316"/>
  <c r="G8" i="316"/>
  <c r="H8" i="316"/>
  <c r="I8" i="316"/>
  <c r="J8" i="316"/>
  <c r="K8" i="316"/>
  <c r="A12" i="316"/>
  <c r="A17" i="316" s="1"/>
  <c r="A13" i="316"/>
  <c r="C13" i="316"/>
  <c r="D13" i="316"/>
  <c r="E13" i="316"/>
  <c r="F13" i="316"/>
  <c r="G13" i="316"/>
  <c r="H13" i="316"/>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K23" i="316"/>
  <c r="C26" i="316"/>
  <c r="D26" i="316"/>
  <c r="D53" i="316" s="1"/>
  <c r="E26" i="316"/>
  <c r="F26" i="316"/>
  <c r="F53" i="316" s="1"/>
  <c r="G26" i="316"/>
  <c r="H26" i="316"/>
  <c r="I26" i="316"/>
  <c r="J26" i="316"/>
  <c r="K26" i="316"/>
  <c r="C32" i="316"/>
  <c r="D32" i="316"/>
  <c r="E32" i="316"/>
  <c r="F32" i="316"/>
  <c r="G32" i="316"/>
  <c r="H32" i="316"/>
  <c r="I32" i="316"/>
  <c r="J32" i="316"/>
  <c r="K32" i="316"/>
  <c r="A36" i="316"/>
  <c r="A41" i="316" s="1"/>
  <c r="A46" i="316"/>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H53" i="316" s="1"/>
  <c r="I50" i="316"/>
  <c r="J50" i="316"/>
  <c r="J53" i="316" s="1"/>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D45" i="136" s="1"/>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I67" i="144" s="1"/>
  <c r="J12" i="237" s="1"/>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N24" i="143" s="1"/>
  <c r="O15" i="143"/>
  <c r="O16" i="143"/>
  <c r="O17" i="143"/>
  <c r="O18" i="143"/>
  <c r="O19" i="143"/>
  <c r="O20" i="143"/>
  <c r="O21" i="143"/>
  <c r="K22" i="143"/>
  <c r="M22" i="143"/>
  <c r="N22" i="143"/>
  <c r="A26" i="143"/>
  <c r="B2" i="142"/>
  <c r="C3" i="142"/>
  <c r="D3" i="142"/>
  <c r="E3" i="142"/>
  <c r="F3" i="142"/>
  <c r="G3" i="142"/>
  <c r="H3" i="142"/>
  <c r="C17" i="142"/>
  <c r="D17" i="142"/>
  <c r="E17" i="142"/>
  <c r="F17" i="142"/>
  <c r="F36" i="142" s="1"/>
  <c r="G17" i="142"/>
  <c r="H17" i="142"/>
  <c r="I17" i="142"/>
  <c r="J17" i="142"/>
  <c r="K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s="1"/>
  <c r="E15" i="337"/>
  <c r="E17" i="337" s="1"/>
  <c r="F15" i="337"/>
  <c r="G15" i="337"/>
  <c r="G17" i="337" s="1"/>
  <c r="H15" i="337"/>
  <c r="H17" i="337" s="1"/>
  <c r="J15" i="337"/>
  <c r="J17" i="337" s="1"/>
  <c r="K15" i="337"/>
  <c r="K17" i="337" s="1"/>
  <c r="L15" i="337"/>
  <c r="L17" i="337" s="1"/>
  <c r="F17" i="337"/>
  <c r="A21" i="337"/>
  <c r="A22" i="337"/>
  <c r="A23" i="337"/>
  <c r="A24" i="337"/>
  <c r="A25" i="337"/>
  <c r="A26" i="337"/>
  <c r="A27" i="337"/>
  <c r="A28" i="337"/>
  <c r="A29" i="337"/>
  <c r="A30" i="337"/>
  <c r="C30" i="337"/>
  <c r="C32" i="337" s="1"/>
  <c r="D30" i="337"/>
  <c r="D32" i="337" s="1"/>
  <c r="E30" i="337"/>
  <c r="E32" i="337" s="1"/>
  <c r="F30" i="337"/>
  <c r="F32" i="337" s="1"/>
  <c r="G30" i="337"/>
  <c r="G32" i="337"/>
  <c r="H30" i="337"/>
  <c r="H32" i="337" s="1"/>
  <c r="J30" i="337"/>
  <c r="K30" i="337"/>
  <c r="K32" i="337" s="1"/>
  <c r="L30" i="337"/>
  <c r="L32" i="337" s="1"/>
  <c r="A31"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s="1"/>
  <c r="J45" i="337"/>
  <c r="J47" i="337" s="1"/>
  <c r="K45" i="337"/>
  <c r="K47" i="337" s="1"/>
  <c r="L45" i="337"/>
  <c r="L47" i="337" s="1"/>
  <c r="A46" i="337"/>
  <c r="I46" i="337"/>
  <c r="A48" i="337"/>
  <c r="A50" i="337"/>
  <c r="A2" i="362"/>
  <c r="B2" i="362"/>
  <c r="S61" i="362"/>
  <c r="S62"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42" i="123" s="1"/>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182" i="147"/>
  <c r="C183" i="147"/>
  <c r="D183" i="147"/>
  <c r="E183" i="147"/>
  <c r="F183" i="147"/>
  <c r="G183" i="147"/>
  <c r="H183" i="147"/>
  <c r="A189" i="147"/>
  <c r="A193" i="147"/>
  <c r="D2" i="314"/>
  <c r="E3" i="314"/>
  <c r="F3" i="314"/>
  <c r="G3" i="314"/>
  <c r="H3" i="314"/>
  <c r="I3" i="314"/>
  <c r="J3" i="314"/>
  <c r="E223" i="314"/>
  <c r="F223" i="314"/>
  <c r="G223" i="314"/>
  <c r="H223" i="314"/>
  <c r="I223" i="314"/>
  <c r="J223" i="314"/>
  <c r="K223" i="314"/>
  <c r="L223" i="314"/>
  <c r="M223" i="314"/>
  <c r="A224" i="314"/>
  <c r="D2" i="315"/>
  <c r="E3" i="315"/>
  <c r="F3" i="315"/>
  <c r="G3" i="315"/>
  <c r="H3" i="315"/>
  <c r="I3" i="315"/>
  <c r="J3" i="315"/>
  <c r="A26" i="315"/>
  <c r="E26" i="315"/>
  <c r="F26" i="315"/>
  <c r="G26" i="315"/>
  <c r="H26" i="315"/>
  <c r="I26" i="315"/>
  <c r="J26" i="315"/>
  <c r="K26" i="315"/>
  <c r="L26" i="315"/>
  <c r="M26" i="315"/>
  <c r="A27"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C7" i="129"/>
  <c r="D7" i="129"/>
  <c r="E7" i="129"/>
  <c r="G7" i="129"/>
  <c r="H7" i="129"/>
  <c r="I7" i="129"/>
  <c r="J7" i="129"/>
  <c r="K7" i="129"/>
  <c r="L7" i="129"/>
  <c r="A11" i="128"/>
  <c r="C14" i="128"/>
  <c r="C8" i="129" s="1"/>
  <c r="C35" i="237" s="1"/>
  <c r="D14" i="128"/>
  <c r="D8" i="129" s="1"/>
  <c r="E14" i="128"/>
  <c r="E8" i="129" s="1"/>
  <c r="F14" i="128"/>
  <c r="F8" i="129" s="1"/>
  <c r="G14" i="128"/>
  <c r="G8" i="129" s="1"/>
  <c r="H14" i="128"/>
  <c r="H8" i="129" s="1"/>
  <c r="I55" i="123" s="1"/>
  <c r="I14" i="128"/>
  <c r="I8" i="129" s="1"/>
  <c r="J14" i="128"/>
  <c r="J8" i="129"/>
  <c r="K14" i="128"/>
  <c r="K8" i="129" s="1"/>
  <c r="L14" i="128"/>
  <c r="C20" i="128"/>
  <c r="D20" i="128"/>
  <c r="E20" i="128"/>
  <c r="F20" i="128"/>
  <c r="H20" i="128"/>
  <c r="I20" i="128"/>
  <c r="J20" i="128"/>
  <c r="K20" i="128"/>
  <c r="L20" i="128"/>
  <c r="A22" i="128"/>
  <c r="A26" i="128" s="1"/>
  <c r="C26" i="128"/>
  <c r="C19" i="129" s="1"/>
  <c r="C24" i="129" s="1"/>
  <c r="B36" i="86" s="1"/>
  <c r="D26" i="128"/>
  <c r="D19" i="129" s="1"/>
  <c r="D24" i="129" s="1"/>
  <c r="C36" i="86" s="1"/>
  <c r="E26" i="128"/>
  <c r="E19" i="129" s="1"/>
  <c r="E24" i="129" s="1"/>
  <c r="D36" i="86" s="1"/>
  <c r="F26" i="128"/>
  <c r="F19" i="129" s="1"/>
  <c r="F24" i="129" s="1"/>
  <c r="E36" i="86" s="1"/>
  <c r="G26" i="128"/>
  <c r="G19" i="129" s="1"/>
  <c r="G24" i="129" s="1"/>
  <c r="F36" i="86" s="1"/>
  <c r="H26" i="128"/>
  <c r="I26" i="128"/>
  <c r="I19" i="129" s="1"/>
  <c r="J26" i="128"/>
  <c r="J19" i="129" s="1"/>
  <c r="K26" i="128"/>
  <c r="K19" i="129" s="1"/>
  <c r="L26" i="128"/>
  <c r="L19" i="129" s="1"/>
  <c r="A29" i="128"/>
  <c r="A32" i="128" s="1"/>
  <c r="C32" i="128"/>
  <c r="C30" i="129" s="1"/>
  <c r="D32" i="128"/>
  <c r="D30" i="129" s="1"/>
  <c r="E32" i="128"/>
  <c r="E30" i="129" s="1"/>
  <c r="F32" i="128"/>
  <c r="F30" i="129" s="1"/>
  <c r="G32" i="128"/>
  <c r="G30" i="129" s="1"/>
  <c r="H32" i="128"/>
  <c r="H30" i="129" s="1"/>
  <c r="I32" i="128"/>
  <c r="I30" i="129" s="1"/>
  <c r="J32" i="128"/>
  <c r="J30" i="129" s="1"/>
  <c r="K32" i="128"/>
  <c r="K30" i="129" s="1"/>
  <c r="L32" i="128"/>
  <c r="L30" i="129" s="1"/>
  <c r="A34" i="128"/>
  <c r="A39" i="128" s="1"/>
  <c r="C39" i="128"/>
  <c r="C32" i="129" s="1"/>
  <c r="D39" i="128"/>
  <c r="D32" i="129" s="1"/>
  <c r="E39" i="128"/>
  <c r="E32" i="129" s="1"/>
  <c r="F39" i="128"/>
  <c r="F32" i="129" s="1"/>
  <c r="G39" i="128"/>
  <c r="G32" i="129" s="1"/>
  <c r="H39" i="128"/>
  <c r="H32" i="129" s="1"/>
  <c r="I39" i="128"/>
  <c r="I32" i="129" s="1"/>
  <c r="J39" i="128"/>
  <c r="J32" i="129" s="1"/>
  <c r="K39" i="128"/>
  <c r="K32" i="129" s="1"/>
  <c r="L39" i="128"/>
  <c r="L32" i="129" s="1"/>
  <c r="A41" i="128"/>
  <c r="A44" i="128" s="1"/>
  <c r="C44" i="128"/>
  <c r="C37" i="129" s="1"/>
  <c r="D44" i="128"/>
  <c r="D37" i="129" s="1"/>
  <c r="D11" i="88" s="1"/>
  <c r="E44" i="128"/>
  <c r="E37" i="129" s="1"/>
  <c r="F44" i="128"/>
  <c r="F37" i="129" s="1"/>
  <c r="G44" i="128"/>
  <c r="G37" i="129" s="1"/>
  <c r="H44" i="128"/>
  <c r="H37" i="129" s="1"/>
  <c r="I44" i="128"/>
  <c r="I37" i="129" s="1"/>
  <c r="J44" i="128"/>
  <c r="J37" i="129" s="1"/>
  <c r="K44" i="128"/>
  <c r="K37" i="129" s="1"/>
  <c r="L44" i="128"/>
  <c r="L37" i="129" s="1"/>
  <c r="A46" i="128"/>
  <c r="A51" i="128" s="1"/>
  <c r="E38" i="129"/>
  <c r="I38" i="129"/>
  <c r="J38" i="129"/>
  <c r="J39" i="129" s="1"/>
  <c r="K38" i="129"/>
  <c r="L38" i="129"/>
  <c r="A54" i="128"/>
  <c r="A55" i="128" s="1"/>
  <c r="C57" i="128"/>
  <c r="D57" i="128"/>
  <c r="E57" i="128"/>
  <c r="F57" i="128"/>
  <c r="G57" i="128"/>
  <c r="H57" i="128"/>
  <c r="I57" i="128"/>
  <c r="A58" i="128"/>
  <c r="C70" i="128"/>
  <c r="C46" i="129" s="1"/>
  <c r="D70" i="128"/>
  <c r="D46" i="129" s="1"/>
  <c r="D48" i="129" s="1"/>
  <c r="C39" i="86" s="1"/>
  <c r="E70" i="128"/>
  <c r="E46" i="129" s="1"/>
  <c r="F70" i="128"/>
  <c r="F46" i="129" s="1"/>
  <c r="F48" i="129" s="1"/>
  <c r="E39" i="86" s="1"/>
  <c r="G70" i="128"/>
  <c r="G46" i="129" s="1"/>
  <c r="G48" i="129" s="1"/>
  <c r="F39" i="86" s="1"/>
  <c r="H70" i="128"/>
  <c r="H46" i="129" s="1"/>
  <c r="H48" i="129" s="1"/>
  <c r="G39" i="86" s="1"/>
  <c r="I70" i="128"/>
  <c r="I46" i="129" s="1"/>
  <c r="I48" i="129" s="1"/>
  <c r="H39" i="86" s="1"/>
  <c r="J70" i="128"/>
  <c r="J46" i="129" s="1"/>
  <c r="J48" i="129" s="1"/>
  <c r="I39" i="86" s="1"/>
  <c r="K70" i="128"/>
  <c r="L70" i="128"/>
  <c r="L46" i="129" s="1"/>
  <c r="L48" i="129" s="1"/>
  <c r="K39" i="86" s="1"/>
  <c r="A71" i="128"/>
  <c r="A77" i="128"/>
  <c r="E84" i="128"/>
  <c r="F84" i="128"/>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G35" i="246"/>
  <c r="H35" i="246"/>
  <c r="I35" i="246"/>
  <c r="J35" i="246"/>
  <c r="K35" i="246"/>
  <c r="L35" i="246"/>
  <c r="L37" i="246" s="1"/>
  <c r="L41" i="246" s="1"/>
  <c r="M35" i="246"/>
  <c r="M37" i="246" s="1"/>
  <c r="M41" i="246" s="1"/>
  <c r="N35" i="246"/>
  <c r="O35" i="246"/>
  <c r="O37" i="246" s="1"/>
  <c r="O41" i="246" s="1"/>
  <c r="P35" i="246"/>
  <c r="P37" i="246" s="1"/>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7" i="255" s="1"/>
  <c r="A29" i="255"/>
  <c r="A34" i="255" s="1"/>
  <c r="A62" i="255"/>
  <c r="A77" i="255" s="1"/>
  <c r="C75" i="255"/>
  <c r="C77" i="255" s="1"/>
  <c r="C24" i="127" s="1"/>
  <c r="B11" i="86" s="1"/>
  <c r="D75" i="255"/>
  <c r="D77" i="255" s="1"/>
  <c r="D24" i="127" s="1"/>
  <c r="C11" i="86" s="1"/>
  <c r="E75" i="255"/>
  <c r="E77" i="255" s="1"/>
  <c r="E24" i="127" s="1"/>
  <c r="D11" i="86" s="1"/>
  <c r="F75" i="255"/>
  <c r="F77" i="255" s="1"/>
  <c r="F24" i="127" s="1"/>
  <c r="E11" i="86" s="1"/>
  <c r="G75" i="255"/>
  <c r="G77" i="255" s="1"/>
  <c r="G24" i="127" s="1"/>
  <c r="F11" i="86" s="1"/>
  <c r="H75" i="255"/>
  <c r="H77" i="255" s="1"/>
  <c r="H24" i="127" s="1"/>
  <c r="G11" i="86" s="1"/>
  <c r="I75" i="255"/>
  <c r="I77" i="255" s="1"/>
  <c r="I24" i="127" s="1"/>
  <c r="H11" i="86" s="1"/>
  <c r="J75" i="255"/>
  <c r="J77" i="255" s="1"/>
  <c r="J24" i="127" s="1"/>
  <c r="O24" i="137" s="1"/>
  <c r="N24" i="137" s="1"/>
  <c r="K75" i="255"/>
  <c r="K77" i="255" s="1"/>
  <c r="K24" i="127" s="1"/>
  <c r="L75" i="255"/>
  <c r="L77" i="255" s="1"/>
  <c r="L24" i="127" s="1"/>
  <c r="K11" i="86" s="1"/>
  <c r="C39" i="127"/>
  <c r="B21" i="86" s="1"/>
  <c r="E39" i="127"/>
  <c r="D21" i="86" s="1"/>
  <c r="F39" i="127"/>
  <c r="E21" i="86" s="1"/>
  <c r="G39" i="127"/>
  <c r="F21" i="86" s="1"/>
  <c r="H39" i="127"/>
  <c r="G21" i="86" s="1"/>
  <c r="I39" i="127"/>
  <c r="H21" i="86" s="1"/>
  <c r="J39" i="127"/>
  <c r="I21" i="86" s="1"/>
  <c r="L39" i="127"/>
  <c r="K21" i="86" s="1"/>
  <c r="A88" i="255"/>
  <c r="A93" i="255" s="1"/>
  <c r="A95" i="255"/>
  <c r="C98" i="255"/>
  <c r="C29" i="127" s="1"/>
  <c r="B15" i="86" s="1"/>
  <c r="D98" i="255"/>
  <c r="D29" i="127" s="1"/>
  <c r="C15" i="86" s="1"/>
  <c r="E98" i="255"/>
  <c r="E29" i="127" s="1"/>
  <c r="D15" i="86" s="1"/>
  <c r="F98" i="255"/>
  <c r="F29" i="127" s="1"/>
  <c r="E15" i="86" s="1"/>
  <c r="G98" i="255"/>
  <c r="G29" i="127" s="1"/>
  <c r="F15" i="86" s="1"/>
  <c r="H98" i="255"/>
  <c r="H29" i="127" s="1"/>
  <c r="G15" i="86" s="1"/>
  <c r="I98" i="255"/>
  <c r="I29" i="127" s="1"/>
  <c r="H15" i="86" s="1"/>
  <c r="J98" i="255"/>
  <c r="J29" i="127" s="1"/>
  <c r="O29" i="137" s="1"/>
  <c r="N29" i="137" s="1"/>
  <c r="K98" i="255"/>
  <c r="K29" i="127" s="1"/>
  <c r="P29" i="137" s="1"/>
  <c r="L98" i="255"/>
  <c r="L29" i="127" s="1"/>
  <c r="Q29" i="137" s="1"/>
  <c r="A105" i="255"/>
  <c r="C219" i="255"/>
  <c r="D219" i="255"/>
  <c r="E219" i="255"/>
  <c r="F219" i="255"/>
  <c r="G219" i="255"/>
  <c r="H219" i="255"/>
  <c r="I219" i="255"/>
  <c r="J219" i="255"/>
  <c r="K219" i="255"/>
  <c r="L219" i="255"/>
  <c r="A224"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34" i="248" s="1"/>
  <c r="D144" i="248"/>
  <c r="D165" i="248" s="1"/>
  <c r="E144" i="248"/>
  <c r="E165" i="248" s="1"/>
  <c r="F144" i="248"/>
  <c r="F134" i="248" s="1"/>
  <c r="G144" i="248"/>
  <c r="G165" i="248" s="1"/>
  <c r="F53" i="86" s="1"/>
  <c r="H144" i="248"/>
  <c r="H134" i="248" s="1"/>
  <c r="I144" i="248"/>
  <c r="J144" i="248"/>
  <c r="J165" i="248" s="1"/>
  <c r="K144" i="248"/>
  <c r="K165" i="248"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C67" i="237" s="1"/>
  <c r="D54" i="237"/>
  <c r="D67" i="237" s="1"/>
  <c r="E54" i="237"/>
  <c r="F54" i="237"/>
  <c r="F67" i="237" s="1"/>
  <c r="G54" i="237"/>
  <c r="G67" i="237" s="1"/>
  <c r="H54" i="237"/>
  <c r="H67" i="237" s="1"/>
  <c r="I54" i="237"/>
  <c r="I67" i="237" s="1"/>
  <c r="J54" i="237"/>
  <c r="J67" i="237" s="1"/>
  <c r="K54" i="237"/>
  <c r="K67" i="237" s="1"/>
  <c r="L54" i="237"/>
  <c r="L67" i="237" s="1"/>
  <c r="A55" i="237"/>
  <c r="A56" i="237"/>
  <c r="E67" i="237"/>
  <c r="A2" i="131"/>
  <c r="B2" i="131"/>
  <c r="C3" i="131"/>
  <c r="D3" i="131"/>
  <c r="E3" i="131"/>
  <c r="F3" i="131"/>
  <c r="G3" i="131"/>
  <c r="H3" i="131"/>
  <c r="I3"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D17" i="131"/>
  <c r="C42" i="86" s="1"/>
  <c r="E17" i="131"/>
  <c r="D42" i="86" s="1"/>
  <c r="F17" i="131"/>
  <c r="E42" i="86" s="1"/>
  <c r="G17" i="131"/>
  <c r="F42" i="86" s="1"/>
  <c r="H17" i="131"/>
  <c r="G42" i="86" s="1"/>
  <c r="I17" i="131"/>
  <c r="H42" i="86" s="1"/>
  <c r="J21" i="131"/>
  <c r="K21" i="131"/>
  <c r="L21" i="131"/>
  <c r="J23" i="131"/>
  <c r="K23" i="131"/>
  <c r="L23" i="131"/>
  <c r="J24" i="131"/>
  <c r="K24" i="131"/>
  <c r="L24" i="131"/>
  <c r="J26" i="131"/>
  <c r="K26" i="131"/>
  <c r="L26" i="131"/>
  <c r="B43" i="86"/>
  <c r="C43" i="86"/>
  <c r="D43" i="86"/>
  <c r="G43" i="86"/>
  <c r="H43" i="86"/>
  <c r="J31" i="131"/>
  <c r="K31" i="131"/>
  <c r="L31" i="131"/>
  <c r="J32" i="131"/>
  <c r="K32" i="131"/>
  <c r="L32" i="131"/>
  <c r="J33" i="131"/>
  <c r="K33" i="131"/>
  <c r="L33" i="131"/>
  <c r="J35" i="131"/>
  <c r="K35" i="131"/>
  <c r="K49" i="131" s="1"/>
  <c r="L35" i="131"/>
  <c r="L49" i="131" s="1"/>
  <c r="C36" i="131"/>
  <c r="B44" i="86" s="1"/>
  <c r="D36" i="131"/>
  <c r="E36" i="131"/>
  <c r="F36" i="131"/>
  <c r="E44" i="86" s="1"/>
  <c r="G36" i="131"/>
  <c r="H36" i="131"/>
  <c r="G44" i="86" s="1"/>
  <c r="I36" i="131"/>
  <c r="H44" i="86" s="1"/>
  <c r="A41" i="131"/>
  <c r="C45" i="131"/>
  <c r="D45" i="131"/>
  <c r="E45" i="131"/>
  <c r="F45" i="131"/>
  <c r="G45" i="131"/>
  <c r="H45" i="131"/>
  <c r="I45" i="131"/>
  <c r="C46" i="131"/>
  <c r="D46" i="131"/>
  <c r="E46" i="131"/>
  <c r="F46" i="131"/>
  <c r="G46" i="131"/>
  <c r="G47" i="131" s="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F7" i="129"/>
  <c r="L8" i="129"/>
  <c r="L35" i="237" s="1"/>
  <c r="H19" i="129"/>
  <c r="H24" i="129" s="1"/>
  <c r="G36" i="86" s="1"/>
  <c r="E48" i="129"/>
  <c r="D39" i="86" s="1"/>
  <c r="A49" i="129"/>
  <c r="A2" i="343"/>
  <c r="B2" i="343"/>
  <c r="C3" i="343"/>
  <c r="D3" i="343"/>
  <c r="E3" i="343"/>
  <c r="F3" i="343"/>
  <c r="G3" i="343"/>
  <c r="H3" i="343"/>
  <c r="I3" i="343"/>
  <c r="C6" i="343"/>
  <c r="C6" i="126" s="1"/>
  <c r="D6" i="343"/>
  <c r="E6" i="343"/>
  <c r="F6" i="343"/>
  <c r="F6" i="126" s="1"/>
  <c r="G6" i="343"/>
  <c r="H6" i="343"/>
  <c r="H6" i="126" s="1"/>
  <c r="I6" i="343"/>
  <c r="I6" i="126" s="1"/>
  <c r="N6" i="343"/>
  <c r="O6" i="343"/>
  <c r="P6" i="343"/>
  <c r="R6" i="343"/>
  <c r="S6" i="343"/>
  <c r="T6" i="343"/>
  <c r="V6" i="343"/>
  <c r="W6" i="343"/>
  <c r="X6" i="343"/>
  <c r="A7" i="343"/>
  <c r="A176" i="343" s="1"/>
  <c r="L7" i="343"/>
  <c r="Q7" i="343"/>
  <c r="U7" i="343"/>
  <c r="K7" i="343" s="1"/>
  <c r="A8" i="343"/>
  <c r="A177" i="343" s="1"/>
  <c r="L8" i="343"/>
  <c r="Q8" i="343"/>
  <c r="J8" i="343" s="1"/>
  <c r="U8" i="343"/>
  <c r="K8" i="343" s="1"/>
  <c r="A9" i="343"/>
  <c r="A178" i="343" s="1"/>
  <c r="L9" i="343"/>
  <c r="Q9" i="343"/>
  <c r="U9" i="343"/>
  <c r="K9" i="343" s="1"/>
  <c r="A10" i="343"/>
  <c r="A179" i="343" s="1"/>
  <c r="L10" i="343"/>
  <c r="Q10" i="343"/>
  <c r="J10" i="343"/>
  <c r="U10" i="343"/>
  <c r="K10" i="343" s="1"/>
  <c r="A11" i="343"/>
  <c r="A180" i="343" s="1"/>
  <c r="L11" i="343"/>
  <c r="Q11" i="343"/>
  <c r="J11" i="343" s="1"/>
  <c r="U11" i="343"/>
  <c r="A12" i="343"/>
  <c r="A181" i="343" s="1"/>
  <c r="L12" i="343"/>
  <c r="Q12" i="343"/>
  <c r="J12" i="343"/>
  <c r="U12" i="343"/>
  <c r="K12" i="343" s="1"/>
  <c r="A13" i="343"/>
  <c r="A182" i="343" s="1"/>
  <c r="L13" i="343"/>
  <c r="Q13" i="343"/>
  <c r="J13" i="343" s="1"/>
  <c r="U13" i="343"/>
  <c r="K13" i="343" s="1"/>
  <c r="A14" i="343"/>
  <c r="A183" i="343" s="1"/>
  <c r="L14" i="343"/>
  <c r="Q14" i="343"/>
  <c r="J14" i="343" s="1"/>
  <c r="U14" i="343"/>
  <c r="K14" i="343" s="1"/>
  <c r="A15" i="343"/>
  <c r="A184" i="343" s="1"/>
  <c r="L15" i="343"/>
  <c r="Q15" i="343"/>
  <c r="J15" i="343" s="1"/>
  <c r="U15" i="343"/>
  <c r="K15" i="343" s="1"/>
  <c r="A16" i="343"/>
  <c r="A185" i="343"/>
  <c r="L16" i="343"/>
  <c r="Q16" i="343"/>
  <c r="J16" i="343" s="1"/>
  <c r="U16" i="343"/>
  <c r="K16" i="343" s="1"/>
  <c r="C17" i="343"/>
  <c r="D17" i="343"/>
  <c r="D7" i="126" s="1"/>
  <c r="E17" i="343"/>
  <c r="F17" i="343"/>
  <c r="F7" i="126" s="1"/>
  <c r="G17" i="343"/>
  <c r="G7" i="126" s="1"/>
  <c r="H17" i="343"/>
  <c r="H7" i="126" s="1"/>
  <c r="I17" i="343"/>
  <c r="I7" i="126" s="1"/>
  <c r="N17" i="343"/>
  <c r="O17" i="343"/>
  <c r="P17" i="343"/>
  <c r="R17" i="343"/>
  <c r="S17" i="343"/>
  <c r="T17" i="343"/>
  <c r="V17" i="343"/>
  <c r="W17" i="343"/>
  <c r="X17" i="343"/>
  <c r="A18" i="343"/>
  <c r="A187" i="343" s="1"/>
  <c r="L18" i="343"/>
  <c r="Q18" i="343"/>
  <c r="J18" i="343" s="1"/>
  <c r="U18" i="343"/>
  <c r="A19" i="343"/>
  <c r="A188" i="343" s="1"/>
  <c r="L19" i="343"/>
  <c r="Q19" i="343"/>
  <c r="U19" i="343"/>
  <c r="K19" i="343" s="1"/>
  <c r="A20" i="343"/>
  <c r="A189" i="343" s="1"/>
  <c r="L20" i="343"/>
  <c r="Q20" i="343"/>
  <c r="J20" i="343" s="1"/>
  <c r="U20" i="343"/>
  <c r="K20" i="343" s="1"/>
  <c r="A21" i="343"/>
  <c r="A190" i="343" s="1"/>
  <c r="L21" i="343"/>
  <c r="Q21" i="343"/>
  <c r="J21" i="343" s="1"/>
  <c r="U21" i="343"/>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s="1"/>
  <c r="L25" i="343"/>
  <c r="Q25" i="343"/>
  <c r="J25" i="343"/>
  <c r="U25" i="343"/>
  <c r="K25" i="343" s="1"/>
  <c r="A26" i="343"/>
  <c r="A195" i="343" s="1"/>
  <c r="L26" i="343"/>
  <c r="Q26" i="343"/>
  <c r="J26" i="343" s="1"/>
  <c r="U26" i="343"/>
  <c r="K26" i="343" s="1"/>
  <c r="A27" i="343"/>
  <c r="A196" i="343" s="1"/>
  <c r="L27" i="343"/>
  <c r="Q27" i="343"/>
  <c r="J27" i="343" s="1"/>
  <c r="U27" i="343"/>
  <c r="K27" i="343" s="1"/>
  <c r="C28" i="343"/>
  <c r="D28" i="343"/>
  <c r="D8" i="126" s="1"/>
  <c r="E28" i="343"/>
  <c r="F28" i="343"/>
  <c r="G28" i="343"/>
  <c r="G8" i="126" s="1"/>
  <c r="H28" i="343"/>
  <c r="H8" i="126" s="1"/>
  <c r="H21" i="126" s="1"/>
  <c r="I28" i="343"/>
  <c r="I8" i="126"/>
  <c r="N28" i="343"/>
  <c r="O28" i="343"/>
  <c r="P28" i="343"/>
  <c r="R28" i="343"/>
  <c r="S28" i="343"/>
  <c r="T28" i="343"/>
  <c r="V28" i="343"/>
  <c r="W28" i="343"/>
  <c r="X28" i="343"/>
  <c r="A29" i="343"/>
  <c r="A198" i="343" s="1"/>
  <c r="L29" i="343"/>
  <c r="Q29" i="343"/>
  <c r="J29" i="343" s="1"/>
  <c r="U29" i="343"/>
  <c r="K29" i="343" s="1"/>
  <c r="A30" i="343"/>
  <c r="A199" i="343"/>
  <c r="L30" i="343"/>
  <c r="Q30" i="343"/>
  <c r="J30" i="343" s="1"/>
  <c r="U30" i="343"/>
  <c r="K30" i="343" s="1"/>
  <c r="A31" i="343"/>
  <c r="A200" i="343" s="1"/>
  <c r="L31" i="343"/>
  <c r="Q31" i="343"/>
  <c r="J31" i="343"/>
  <c r="U31" i="343"/>
  <c r="K31" i="343" s="1"/>
  <c r="A32" i="343"/>
  <c r="A201" i="343" s="1"/>
  <c r="L32" i="343"/>
  <c r="Q32" i="343"/>
  <c r="J32" i="343" s="1"/>
  <c r="U32" i="343"/>
  <c r="K32" i="343" s="1"/>
  <c r="A33" i="343"/>
  <c r="A202" i="343" s="1"/>
  <c r="L33" i="343"/>
  <c r="Q33" i="343"/>
  <c r="J33" i="343" s="1"/>
  <c r="U33" i="343"/>
  <c r="K33" i="343"/>
  <c r="A34" i="343"/>
  <c r="A203" i="343" s="1"/>
  <c r="L34" i="343"/>
  <c r="Q34" i="343"/>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C39" i="343"/>
  <c r="C9" i="126" s="1"/>
  <c r="D39" i="343"/>
  <c r="E39" i="343"/>
  <c r="E9" i="126" s="1"/>
  <c r="F39" i="343"/>
  <c r="F9" i="126" s="1"/>
  <c r="G39" i="343"/>
  <c r="H39" i="343"/>
  <c r="H9" i="126" s="1"/>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K41" i="343" s="1"/>
  <c r="A42" i="343"/>
  <c r="A211" i="343" s="1"/>
  <c r="L42" i="343"/>
  <c r="Q42" i="343"/>
  <c r="U42" i="343"/>
  <c r="K42" i="343" s="1"/>
  <c r="A43" i="343"/>
  <c r="A212" i="343" s="1"/>
  <c r="L43" i="343"/>
  <c r="Q43" i="343"/>
  <c r="J43" i="343" s="1"/>
  <c r="U43" i="343"/>
  <c r="K43" i="343"/>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c r="L48" i="343"/>
  <c r="Q48" i="343"/>
  <c r="J48" i="343" s="1"/>
  <c r="U48" i="343"/>
  <c r="K48" i="343" s="1"/>
  <c r="A49" i="343"/>
  <c r="A218" i="343" s="1"/>
  <c r="L49" i="343"/>
  <c r="Q49" i="343"/>
  <c r="J49" i="343" s="1"/>
  <c r="U49" i="343"/>
  <c r="K49" i="343" s="1"/>
  <c r="C50" i="343"/>
  <c r="C10" i="126" s="1"/>
  <c r="D50" i="343"/>
  <c r="D10" i="126" s="1"/>
  <c r="E50" i="343"/>
  <c r="E10" i="126" s="1"/>
  <c r="F50" i="343"/>
  <c r="F10" i="126" s="1"/>
  <c r="G50" i="343"/>
  <c r="G10" i="126" s="1"/>
  <c r="H50" i="343"/>
  <c r="H10" i="126" s="1"/>
  <c r="I50" i="343"/>
  <c r="N50" i="343"/>
  <c r="O50" i="343"/>
  <c r="P50" i="343"/>
  <c r="R50" i="343"/>
  <c r="S50" i="343"/>
  <c r="T50" i="343"/>
  <c r="V50" i="343"/>
  <c r="W50" i="343"/>
  <c r="X50" i="343"/>
  <c r="A51" i="343"/>
  <c r="A220" i="343" s="1"/>
  <c r="L51" i="343"/>
  <c r="Q51" i="343"/>
  <c r="U51" i="343"/>
  <c r="K51" i="343" s="1"/>
  <c r="A52" i="343"/>
  <c r="A221" i="343" s="1"/>
  <c r="L52" i="343"/>
  <c r="Q52" i="343"/>
  <c r="J52" i="343"/>
  <c r="U52" i="343"/>
  <c r="K52" i="343" s="1"/>
  <c r="A53" i="343"/>
  <c r="A222" i="343"/>
  <c r="L53" i="343"/>
  <c r="Q53" i="343"/>
  <c r="J53" i="343" s="1"/>
  <c r="U53" i="343"/>
  <c r="K53" i="343" s="1"/>
  <c r="A54" i="343"/>
  <c r="A223" i="343" s="1"/>
  <c r="L54" i="343"/>
  <c r="Q54" i="343"/>
  <c r="J54" i="343" s="1"/>
  <c r="U54" i="343"/>
  <c r="K54" i="343"/>
  <c r="A55" i="343"/>
  <c r="A224" i="343" s="1"/>
  <c r="L55" i="343"/>
  <c r="Q55" i="343"/>
  <c r="J55" i="343" s="1"/>
  <c r="U55" i="343"/>
  <c r="A56" i="343"/>
  <c r="A225" i="343" s="1"/>
  <c r="L56" i="343"/>
  <c r="Q56" i="343"/>
  <c r="J56" i="343" s="1"/>
  <c r="U56" i="343"/>
  <c r="K56" i="343" s="1"/>
  <c r="A57" i="343"/>
  <c r="A226" i="343"/>
  <c r="L57" i="343"/>
  <c r="Q57" i="343"/>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D61" i="343"/>
  <c r="D11" i="126" s="1"/>
  <c r="E61" i="343"/>
  <c r="F61" i="343"/>
  <c r="F11" i="126" s="1"/>
  <c r="G61" i="343"/>
  <c r="H61" i="343"/>
  <c r="I61" i="343"/>
  <c r="I11" i="126" s="1"/>
  <c r="N61" i="343"/>
  <c r="O61" i="343"/>
  <c r="P61" i="343"/>
  <c r="R61" i="343"/>
  <c r="S61" i="343"/>
  <c r="T61" i="343"/>
  <c r="V61" i="343"/>
  <c r="W61" i="343"/>
  <c r="X61" i="343"/>
  <c r="A62" i="343"/>
  <c r="A231" i="343" s="1"/>
  <c r="L62" i="343"/>
  <c r="Q62" i="343"/>
  <c r="J62" i="343" s="1"/>
  <c r="U62" i="343"/>
  <c r="A63" i="343"/>
  <c r="A232" i="343" s="1"/>
  <c r="L63" i="343"/>
  <c r="Q63" i="343"/>
  <c r="U63" i="343"/>
  <c r="K63" i="343" s="1"/>
  <c r="A64" i="343"/>
  <c r="A233" i="343" s="1"/>
  <c r="L64" i="343"/>
  <c r="Q64" i="343"/>
  <c r="J64" i="343" s="1"/>
  <c r="U64" i="343"/>
  <c r="K64" i="343"/>
  <c r="A65" i="343"/>
  <c r="A234" i="343" s="1"/>
  <c r="L65" i="343"/>
  <c r="Q65" i="343"/>
  <c r="J65" i="343" s="1"/>
  <c r="U65" i="343"/>
  <c r="K65" i="343" s="1"/>
  <c r="A66" i="343"/>
  <c r="A235" i="343" s="1"/>
  <c r="L66" i="343"/>
  <c r="Q66" i="343"/>
  <c r="J66" i="343" s="1"/>
  <c r="U66" i="343"/>
  <c r="K66" i="343" s="1"/>
  <c r="A67" i="343"/>
  <c r="A236" i="343"/>
  <c r="L67" i="343"/>
  <c r="Q67" i="343"/>
  <c r="J67" i="343" s="1"/>
  <c r="U67" i="343"/>
  <c r="K67" i="343" s="1"/>
  <c r="A68" i="343"/>
  <c r="A237" i="343" s="1"/>
  <c r="L68" i="343"/>
  <c r="Q68" i="343"/>
  <c r="J68" i="343" s="1"/>
  <c r="U68" i="343"/>
  <c r="K68" i="343" s="1"/>
  <c r="A69" i="343"/>
  <c r="A238" i="343" s="1"/>
  <c r="L69" i="343"/>
  <c r="Q69" i="343"/>
  <c r="J69" i="343"/>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E12" i="126" s="1"/>
  <c r="F72" i="343"/>
  <c r="F12" i="126" s="1"/>
  <c r="G72" i="343"/>
  <c r="H72" i="343"/>
  <c r="H12" i="126"/>
  <c r="I72" i="343"/>
  <c r="I12" i="126" s="1"/>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K74" i="343" s="1"/>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U78" i="343"/>
  <c r="K78" i="343" s="1"/>
  <c r="A79" i="343"/>
  <c r="A248" i="343" s="1"/>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E13" i="126" s="1"/>
  <c r="F83" i="343"/>
  <c r="F13" i="126" s="1"/>
  <c r="G83" i="343"/>
  <c r="G13" i="126" s="1"/>
  <c r="H83" i="343"/>
  <c r="H13" i="126"/>
  <c r="I83" i="343"/>
  <c r="N83" i="343"/>
  <c r="O83" i="343"/>
  <c r="P83" i="343"/>
  <c r="R83" i="343"/>
  <c r="S83" i="343"/>
  <c r="T83" i="343"/>
  <c r="V83" i="343"/>
  <c r="W83" i="343"/>
  <c r="X83" i="343"/>
  <c r="A84" i="343"/>
  <c r="A253" i="343"/>
  <c r="L84" i="343"/>
  <c r="Q84" i="343"/>
  <c r="U84" i="343"/>
  <c r="K84" i="343"/>
  <c r="A85" i="343"/>
  <c r="L85" i="343"/>
  <c r="Q85" i="343"/>
  <c r="J85" i="343" s="1"/>
  <c r="U85" i="343"/>
  <c r="K85" i="343" s="1"/>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A258" i="343" s="1"/>
  <c r="L89" i="343"/>
  <c r="Q89" i="343"/>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C94" i="343"/>
  <c r="D94" i="343"/>
  <c r="D14" i="126" s="1"/>
  <c r="E94" i="343"/>
  <c r="E14" i="126" s="1"/>
  <c r="F94" i="343"/>
  <c r="F14" i="126" s="1"/>
  <c r="G94" i="343"/>
  <c r="G14" i="126" s="1"/>
  <c r="H94" i="343"/>
  <c r="H14" i="126" s="1"/>
  <c r="I94" i="343"/>
  <c r="I14" i="126" s="1"/>
  <c r="N94" i="343"/>
  <c r="O94" i="343"/>
  <c r="P94" i="343"/>
  <c r="R94" i="343"/>
  <c r="S94" i="343"/>
  <c r="T94" i="343"/>
  <c r="V94" i="343"/>
  <c r="W94" i="343"/>
  <c r="X94" i="343"/>
  <c r="A95" i="343"/>
  <c r="L95" i="343"/>
  <c r="Q95" i="343"/>
  <c r="U95" i="343"/>
  <c r="A96" i="343"/>
  <c r="A265" i="343" s="1"/>
  <c r="L96" i="343"/>
  <c r="Q96" i="343"/>
  <c r="J96" i="343" s="1"/>
  <c r="U96" i="343"/>
  <c r="K96" i="343" s="1"/>
  <c r="A97" i="343"/>
  <c r="A266" i="343" s="1"/>
  <c r="L97" i="343"/>
  <c r="Q97" i="343"/>
  <c r="J97" i="343" s="1"/>
  <c r="U97" i="343"/>
  <c r="K97" i="343" s="1"/>
  <c r="A98" i="343"/>
  <c r="A267" i="343" s="1"/>
  <c r="L98" i="343"/>
  <c r="Q98" i="343"/>
  <c r="J98" i="343" s="1"/>
  <c r="U98" i="343"/>
  <c r="A99" i="343"/>
  <c r="A268" i="343"/>
  <c r="L99" i="343"/>
  <c r="Q99" i="343"/>
  <c r="J99" i="343" s="1"/>
  <c r="U99" i="343"/>
  <c r="K99" i="343"/>
  <c r="A100" i="343"/>
  <c r="A269" i="343" s="1"/>
  <c r="L100" i="343"/>
  <c r="Q100" i="343"/>
  <c r="J100" i="343" s="1"/>
  <c r="U100" i="343"/>
  <c r="K100" i="343" s="1"/>
  <c r="A101" i="343"/>
  <c r="A270" i="343" s="1"/>
  <c r="L101" i="343"/>
  <c r="Q101" i="343"/>
  <c r="U101" i="343"/>
  <c r="K101" i="343" s="1"/>
  <c r="A102" i="343"/>
  <c r="A271" i="343" s="1"/>
  <c r="L102" i="343"/>
  <c r="Q102" i="343"/>
  <c r="J102" i="343" s="1"/>
  <c r="U102" i="343"/>
  <c r="K102" i="343" s="1"/>
  <c r="A103" i="343"/>
  <c r="A272" i="343" s="1"/>
  <c r="L103" i="343"/>
  <c r="Q103" i="343"/>
  <c r="J103" i="343" s="1"/>
  <c r="U103" i="343"/>
  <c r="K103" i="343" s="1"/>
  <c r="A104" i="343"/>
  <c r="A273" i="343"/>
  <c r="L104" i="343"/>
  <c r="Q104" i="343"/>
  <c r="J104" i="343" s="1"/>
  <c r="U104" i="343"/>
  <c r="K104" i="343" s="1"/>
  <c r="C105" i="343"/>
  <c r="C15" i="126" s="1"/>
  <c r="D105" i="343"/>
  <c r="D15" i="126" s="1"/>
  <c r="E105" i="343"/>
  <c r="E15" i="126" s="1"/>
  <c r="F105" i="343"/>
  <c r="G105" i="343"/>
  <c r="G15" i="126" s="1"/>
  <c r="H105" i="343"/>
  <c r="I105" i="343"/>
  <c r="I15" i="126" s="1"/>
  <c r="N105" i="343"/>
  <c r="O105" i="343"/>
  <c r="P105" i="343"/>
  <c r="R105" i="343"/>
  <c r="S105" i="343"/>
  <c r="T105" i="343"/>
  <c r="V105" i="343"/>
  <c r="W105" i="343"/>
  <c r="X105" i="343"/>
  <c r="A106" i="343"/>
  <c r="A275" i="343" s="1"/>
  <c r="L106" i="343"/>
  <c r="Q106" i="343"/>
  <c r="U106" i="343"/>
  <c r="A107" i="343"/>
  <c r="A276" i="343" s="1"/>
  <c r="L107" i="343"/>
  <c r="Q107" i="343"/>
  <c r="J107" i="343" s="1"/>
  <c r="U107" i="343"/>
  <c r="K107" i="343" s="1"/>
  <c r="A108" i="343"/>
  <c r="A277" i="343" s="1"/>
  <c r="L108" i="343"/>
  <c r="Q108" i="343"/>
  <c r="J108" i="343" s="1"/>
  <c r="U108" i="343"/>
  <c r="K108" i="343" s="1"/>
  <c r="A109" i="343"/>
  <c r="A278" i="343" s="1"/>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A114" i="343"/>
  <c r="A283" i="343" s="1"/>
  <c r="L114" i="343"/>
  <c r="Q114" i="343"/>
  <c r="J114" i="343" s="1"/>
  <c r="U114" i="343"/>
  <c r="K114" i="343" s="1"/>
  <c r="A115" i="343"/>
  <c r="A284" i="343" s="1"/>
  <c r="L115" i="343"/>
  <c r="Q115" i="343"/>
  <c r="J115" i="343" s="1"/>
  <c r="U115" i="343"/>
  <c r="K115" i="343" s="1"/>
  <c r="C116" i="343"/>
  <c r="D116" i="343"/>
  <c r="E116" i="343"/>
  <c r="F116" i="343"/>
  <c r="F16" i="126"/>
  <c r="G116" i="343"/>
  <c r="H116" i="343"/>
  <c r="I116" i="343"/>
  <c r="I16" i="126" s="1"/>
  <c r="N116" i="343"/>
  <c r="O116" i="343"/>
  <c r="P116" i="343"/>
  <c r="R116" i="343"/>
  <c r="S116" i="343"/>
  <c r="T116" i="343"/>
  <c r="V116" i="343"/>
  <c r="W116" i="343"/>
  <c r="X116" i="343"/>
  <c r="A117" i="343"/>
  <c r="A286" i="343" s="1"/>
  <c r="L117" i="343"/>
  <c r="Q117" i="343"/>
  <c r="J117" i="343" s="1"/>
  <c r="U117" i="343"/>
  <c r="K117" i="343" s="1"/>
  <c r="A118" i="343"/>
  <c r="A287" i="343" s="1"/>
  <c r="L118" i="343"/>
  <c r="Q118" i="343"/>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c r="U121" i="343"/>
  <c r="K121" i="343" s="1"/>
  <c r="K116" i="343" s="1"/>
  <c r="K16" i="126" s="1"/>
  <c r="A122" i="343"/>
  <c r="A291" i="343" s="1"/>
  <c r="L122" i="343"/>
  <c r="Q122" i="343"/>
  <c r="J122" i="343" s="1"/>
  <c r="U122" i="343"/>
  <c r="K122" i="343" s="1"/>
  <c r="A123" i="343"/>
  <c r="L123" i="343"/>
  <c r="Q123" i="343"/>
  <c r="J123" i="343" s="1"/>
  <c r="U123" i="343"/>
  <c r="K123" i="343" s="1"/>
  <c r="A124" i="343"/>
  <c r="A293" i="343" s="1"/>
  <c r="L124" i="343"/>
  <c r="Q124" i="343"/>
  <c r="J124" i="343" s="1"/>
  <c r="U124" i="343"/>
  <c r="K124" i="343" s="1"/>
  <c r="A125" i="343"/>
  <c r="A294" i="343"/>
  <c r="L125" i="343"/>
  <c r="Q125" i="343"/>
  <c r="J125" i="343" s="1"/>
  <c r="U125" i="343"/>
  <c r="K125" i="343" s="1"/>
  <c r="A126" i="343"/>
  <c r="A295" i="343" s="1"/>
  <c r="L126" i="343"/>
  <c r="L16" i="233" s="1"/>
  <c r="Q126" i="343"/>
  <c r="J126" i="343" s="1"/>
  <c r="U126" i="343"/>
  <c r="K126" i="343" s="1"/>
  <c r="C127" i="343"/>
  <c r="C17" i="126" s="1"/>
  <c r="D127" i="343"/>
  <c r="D17" i="126" s="1"/>
  <c r="E127" i="343"/>
  <c r="E17" i="126" s="1"/>
  <c r="F127" i="343"/>
  <c r="F17" i="126" s="1"/>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s="1"/>
  <c r="A132" i="343"/>
  <c r="A301" i="343"/>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A136" i="343"/>
  <c r="A305" i="343" s="1"/>
  <c r="L136" i="343"/>
  <c r="Q136" i="343"/>
  <c r="J136" i="343" s="1"/>
  <c r="U136" i="343"/>
  <c r="K136" i="343" s="1"/>
  <c r="A137" i="343"/>
  <c r="A306" i="343" s="1"/>
  <c r="L137" i="343"/>
  <c r="L17" i="233" s="1"/>
  <c r="Q137" i="343"/>
  <c r="U137" i="343"/>
  <c r="K137" i="343" s="1"/>
  <c r="C138" i="343"/>
  <c r="C18" i="126" s="1"/>
  <c r="D138" i="343"/>
  <c r="E138" i="343"/>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s="1"/>
  <c r="L141" i="343"/>
  <c r="Q141" i="343"/>
  <c r="J141" i="343" s="1"/>
  <c r="U141" i="343"/>
  <c r="K141" i="343"/>
  <c r="A142" i="343"/>
  <c r="A311" i="343" s="1"/>
  <c r="L142" i="343"/>
  <c r="Q142" i="343"/>
  <c r="J142" i="343"/>
  <c r="U142" i="343"/>
  <c r="K142" i="343" s="1"/>
  <c r="A143" i="343"/>
  <c r="A312" i="343"/>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L18" i="233" s="1"/>
  <c r="Q148" i="343"/>
  <c r="J148" i="343" s="1"/>
  <c r="U148" i="343"/>
  <c r="C149" i="343"/>
  <c r="C19" i="126" s="1"/>
  <c r="D149" i="343"/>
  <c r="D19" i="126" s="1"/>
  <c r="E149" i="343"/>
  <c r="E19" i="126" s="1"/>
  <c r="F149" i="343"/>
  <c r="G149" i="343"/>
  <c r="H149" i="343"/>
  <c r="H19" i="126" s="1"/>
  <c r="I149" i="343"/>
  <c r="I19" i="126" s="1"/>
  <c r="N149" i="343"/>
  <c r="O149" i="343"/>
  <c r="P149" i="343"/>
  <c r="R149" i="343"/>
  <c r="S149" i="343"/>
  <c r="T149" i="343"/>
  <c r="V149" i="343"/>
  <c r="W149" i="343"/>
  <c r="X149" i="343"/>
  <c r="A150" i="343"/>
  <c r="A319" i="343" s="1"/>
  <c r="L150" i="343"/>
  <c r="Q150" i="343"/>
  <c r="J150" i="343"/>
  <c r="U150" i="343"/>
  <c r="K150" i="343" s="1"/>
  <c r="A151" i="343"/>
  <c r="A320" i="343"/>
  <c r="L151" i="343"/>
  <c r="Q151" i="343"/>
  <c r="J151" i="343" s="1"/>
  <c r="U151" i="343"/>
  <c r="K151" i="343" s="1"/>
  <c r="A152" i="343"/>
  <c r="A321" i="343"/>
  <c r="L152" i="343"/>
  <c r="Q152" i="343"/>
  <c r="J152" i="343"/>
  <c r="U152" i="343"/>
  <c r="K152" i="343" s="1"/>
  <c r="A153" i="343"/>
  <c r="A322" i="343"/>
  <c r="L153" i="343"/>
  <c r="Q153" i="343"/>
  <c r="J153" i="343" s="1"/>
  <c r="U153" i="343"/>
  <c r="A154" i="343"/>
  <c r="A323" i="343" s="1"/>
  <c r="L154" i="343"/>
  <c r="Q154" i="343"/>
  <c r="J154" i="343" s="1"/>
  <c r="U154" i="343"/>
  <c r="A155" i="343"/>
  <c r="A324" i="343"/>
  <c r="L155" i="343"/>
  <c r="Q155" i="343"/>
  <c r="J155" i="343"/>
  <c r="U155" i="343"/>
  <c r="K155" i="343" s="1"/>
  <c r="A156" i="343"/>
  <c r="A325" i="343" s="1"/>
  <c r="L156" i="343"/>
  <c r="Q156" i="343"/>
  <c r="J156" i="343" s="1"/>
  <c r="U156" i="343"/>
  <c r="K156" i="343" s="1"/>
  <c r="A157" i="343"/>
  <c r="A326" i="343"/>
  <c r="L157" i="343"/>
  <c r="Q157" i="343"/>
  <c r="J157" i="343" s="1"/>
  <c r="U157" i="343"/>
  <c r="K157" i="343" s="1"/>
  <c r="A158" i="343"/>
  <c r="A327" i="343" s="1"/>
  <c r="L158" i="343"/>
  <c r="Q158" i="343"/>
  <c r="J158" i="343" s="1"/>
  <c r="U158" i="343"/>
  <c r="K158" i="343"/>
  <c r="A159" i="343"/>
  <c r="A328" i="343" s="1"/>
  <c r="L159" i="343"/>
  <c r="Q159" i="343"/>
  <c r="J159" i="343" s="1"/>
  <c r="U159" i="343"/>
  <c r="K159" i="343" s="1"/>
  <c r="C160" i="343"/>
  <c r="C20" i="126" s="1"/>
  <c r="D160" i="343"/>
  <c r="D20" i="126" s="1"/>
  <c r="E160" i="343"/>
  <c r="F160" i="343"/>
  <c r="G160" i="343"/>
  <c r="G20" i="126" s="1"/>
  <c r="H160" i="343"/>
  <c r="H20" i="126" s="1"/>
  <c r="I160" i="343"/>
  <c r="I20" i="126"/>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A167" i="343"/>
  <c r="L167" i="343"/>
  <c r="Q167" i="343"/>
  <c r="U167" i="343"/>
  <c r="K167" i="343" s="1"/>
  <c r="A168" i="343"/>
  <c r="A337" i="343" s="1"/>
  <c r="L168" i="343"/>
  <c r="Q168" i="343"/>
  <c r="J168" i="343" s="1"/>
  <c r="U168" i="343"/>
  <c r="K168" i="343" s="1"/>
  <c r="A169" i="343"/>
  <c r="A338" i="343" s="1"/>
  <c r="L169" i="343"/>
  <c r="Q169" i="343"/>
  <c r="J169" i="343" s="1"/>
  <c r="J160" i="343" s="1"/>
  <c r="J20" i="126" s="1"/>
  <c r="U169" i="343"/>
  <c r="K169" i="343" s="1"/>
  <c r="A170" i="343"/>
  <c r="A339" i="343" s="1"/>
  <c r="L170" i="343"/>
  <c r="Q170" i="343"/>
  <c r="J170" i="343" s="1"/>
  <c r="U170" i="343"/>
  <c r="K170" i="343" s="1"/>
  <c r="C175" i="343"/>
  <c r="D175" i="343"/>
  <c r="E175" i="343"/>
  <c r="E24" i="126" s="1"/>
  <c r="F175" i="343"/>
  <c r="F24" i="126"/>
  <c r="G175" i="343"/>
  <c r="H175" i="343"/>
  <c r="I175" i="343"/>
  <c r="J175" i="343"/>
  <c r="J24" i="126" s="1"/>
  <c r="O23" i="140" s="1"/>
  <c r="N23" i="140" s="1"/>
  <c r="K175" i="343"/>
  <c r="L175" i="343"/>
  <c r="L24" i="126" s="1"/>
  <c r="Q23" i="140" s="1"/>
  <c r="C186" i="343"/>
  <c r="C25" i="126" s="1"/>
  <c r="D186" i="343"/>
  <c r="D25" i="126" s="1"/>
  <c r="E186" i="343"/>
  <c r="E25" i="126" s="1"/>
  <c r="F186" i="343"/>
  <c r="F25" i="126" s="1"/>
  <c r="G186" i="343"/>
  <c r="G25" i="126" s="1"/>
  <c r="H186" i="343"/>
  <c r="H25" i="126" s="1"/>
  <c r="I186" i="343"/>
  <c r="I25" i="126" s="1"/>
  <c r="J186" i="343"/>
  <c r="K186" i="343"/>
  <c r="K25" i="126" s="1"/>
  <c r="L186" i="343"/>
  <c r="L25" i="126" s="1"/>
  <c r="Q24" i="140" s="1"/>
  <c r="C197" i="343"/>
  <c r="C26" i="126" s="1"/>
  <c r="D197" i="343"/>
  <c r="D26" i="126" s="1"/>
  <c r="E197" i="343"/>
  <c r="E26" i="126" s="1"/>
  <c r="F197" i="343"/>
  <c r="G197" i="343"/>
  <c r="G26" i="126" s="1"/>
  <c r="H197" i="343"/>
  <c r="H26" i="126" s="1"/>
  <c r="I197" i="343"/>
  <c r="I26" i="126" s="1"/>
  <c r="J197" i="343"/>
  <c r="J26" i="126" s="1"/>
  <c r="O25" i="140" s="1"/>
  <c r="N25" i="140" s="1"/>
  <c r="K197" i="343"/>
  <c r="L197" i="343"/>
  <c r="L26" i="126" s="1"/>
  <c r="Q25" i="140" s="1"/>
  <c r="C208" i="343"/>
  <c r="D208" i="343"/>
  <c r="D27" i="126" s="1"/>
  <c r="E208" i="343"/>
  <c r="E27" i="126" s="1"/>
  <c r="F208" i="343"/>
  <c r="F27" i="126" s="1"/>
  <c r="G208" i="343"/>
  <c r="G27" i="126" s="1"/>
  <c r="H208" i="343"/>
  <c r="H27" i="126" s="1"/>
  <c r="I208" i="343"/>
  <c r="I27" i="126" s="1"/>
  <c r="J208" i="343"/>
  <c r="J27" i="126" s="1"/>
  <c r="O26" i="140" s="1"/>
  <c r="N26" i="140" s="1"/>
  <c r="K208" i="343"/>
  <c r="L208" i="343"/>
  <c r="C219" i="343"/>
  <c r="C28" i="126" s="1"/>
  <c r="D219" i="343"/>
  <c r="D28" i="126" s="1"/>
  <c r="E219" i="343"/>
  <c r="E28" i="126" s="1"/>
  <c r="F219" i="343"/>
  <c r="F28" i="126" s="1"/>
  <c r="G219" i="343"/>
  <c r="G28" i="126" s="1"/>
  <c r="H219" i="343"/>
  <c r="H28" i="126" s="1"/>
  <c r="I219" i="343"/>
  <c r="I28" i="126" s="1"/>
  <c r="J219" i="343"/>
  <c r="J28" i="126" s="1"/>
  <c r="O27" i="140" s="1"/>
  <c r="N27" i="140" s="1"/>
  <c r="K219" i="343"/>
  <c r="K28" i="126" s="1"/>
  <c r="P27" i="140" s="1"/>
  <c r="L219" i="343"/>
  <c r="L28" i="126" s="1"/>
  <c r="Q27" i="140" s="1"/>
  <c r="C230" i="343"/>
  <c r="C29" i="126" s="1"/>
  <c r="D230" i="343"/>
  <c r="E230" i="343"/>
  <c r="F230" i="343"/>
  <c r="F29" i="126" s="1"/>
  <c r="G230" i="343"/>
  <c r="G29" i="126" s="1"/>
  <c r="H230" i="343"/>
  <c r="H29" i="126" s="1"/>
  <c r="I230" i="343"/>
  <c r="I29" i="126" s="1"/>
  <c r="J230" i="343"/>
  <c r="K230" i="343"/>
  <c r="K29" i="126" s="1"/>
  <c r="P28" i="140" s="1"/>
  <c r="L230" i="343"/>
  <c r="L29" i="126" s="1"/>
  <c r="Q28" i="140" s="1"/>
  <c r="C241" i="343"/>
  <c r="C30" i="126" s="1"/>
  <c r="D241" i="343"/>
  <c r="D30" i="126" s="1"/>
  <c r="E241" i="343"/>
  <c r="E30" i="126" s="1"/>
  <c r="F241" i="343"/>
  <c r="F30" i="126" s="1"/>
  <c r="G241" i="343"/>
  <c r="G30" i="126" s="1"/>
  <c r="H241" i="343"/>
  <c r="H30" i="126" s="1"/>
  <c r="I241" i="343"/>
  <c r="I30" i="126" s="1"/>
  <c r="J241" i="343"/>
  <c r="J30" i="126" s="1"/>
  <c r="O29" i="140" s="1"/>
  <c r="N29" i="140" s="1"/>
  <c r="K241" i="343"/>
  <c r="K30" i="126" s="1"/>
  <c r="P29" i="140" s="1"/>
  <c r="L241" i="343"/>
  <c r="L30" i="126" s="1"/>
  <c r="Q29" i="140" s="1"/>
  <c r="C252" i="343"/>
  <c r="C31" i="126" s="1"/>
  <c r="D252" i="343"/>
  <c r="D31" i="126" s="1"/>
  <c r="E252" i="343"/>
  <c r="E31" i="126" s="1"/>
  <c r="F252" i="343"/>
  <c r="F31" i="126" s="1"/>
  <c r="G252" i="343"/>
  <c r="G31" i="126" s="1"/>
  <c r="H252" i="343"/>
  <c r="H31" i="126" s="1"/>
  <c r="I252" i="343"/>
  <c r="I31" i="126" s="1"/>
  <c r="J252" i="343"/>
  <c r="J31" i="126" s="1"/>
  <c r="O30" i="140" s="1"/>
  <c r="N30" i="140" s="1"/>
  <c r="K252" i="343"/>
  <c r="K31" i="126" s="1"/>
  <c r="P30" i="140" s="1"/>
  <c r="L252" i="343"/>
  <c r="L31" i="126" s="1"/>
  <c r="Q30" i="140" s="1"/>
  <c r="A254" i="343"/>
  <c r="C263" i="343"/>
  <c r="C32" i="126" s="1"/>
  <c r="D263" i="343"/>
  <c r="D32" i="126" s="1"/>
  <c r="E263" i="343"/>
  <c r="E32" i="126" s="1"/>
  <c r="F263" i="343"/>
  <c r="G263" i="343"/>
  <c r="G32" i="126" s="1"/>
  <c r="H263" i="343"/>
  <c r="H32" i="126" s="1"/>
  <c r="I263" i="343"/>
  <c r="I32" i="126" s="1"/>
  <c r="J263" i="343"/>
  <c r="J32" i="126" s="1"/>
  <c r="O31" i="140" s="1"/>
  <c r="N31" i="140" s="1"/>
  <c r="K263" i="343"/>
  <c r="K32" i="126" s="1"/>
  <c r="P31" i="140" s="1"/>
  <c r="L263" i="343"/>
  <c r="L32" i="126" s="1"/>
  <c r="Q31" i="140" s="1"/>
  <c r="A264" i="343"/>
  <c r="C274" i="343"/>
  <c r="C33" i="126" s="1"/>
  <c r="D274" i="343"/>
  <c r="D33" i="126" s="1"/>
  <c r="E274" i="343"/>
  <c r="F274" i="343"/>
  <c r="F33" i="126" s="1"/>
  <c r="G274" i="343"/>
  <c r="G33" i="126" s="1"/>
  <c r="H274" i="343"/>
  <c r="H33" i="126" s="1"/>
  <c r="I274" i="343"/>
  <c r="I33" i="126"/>
  <c r="J274" i="343"/>
  <c r="J33" i="126" s="1"/>
  <c r="O32" i="140" s="1"/>
  <c r="N32" i="140" s="1"/>
  <c r="K274" i="343"/>
  <c r="K33" i="126"/>
  <c r="P32" i="140" s="1"/>
  <c r="L274" i="343"/>
  <c r="L33" i="126" s="1"/>
  <c r="Q32" i="140" s="1"/>
  <c r="C285" i="343"/>
  <c r="C34" i="126" s="1"/>
  <c r="D285" i="343"/>
  <c r="D34" i="126" s="1"/>
  <c r="E285" i="343"/>
  <c r="E34" i="126" s="1"/>
  <c r="F285" i="343"/>
  <c r="G285" i="343"/>
  <c r="G34" i="126" s="1"/>
  <c r="H285" i="343"/>
  <c r="H34" i="126" s="1"/>
  <c r="I285" i="343"/>
  <c r="I34" i="126" s="1"/>
  <c r="J285" i="343"/>
  <c r="J34" i="126" s="1"/>
  <c r="O33" i="140" s="1"/>
  <c r="N33" i="140" s="1"/>
  <c r="K285" i="343"/>
  <c r="K34" i="126" s="1"/>
  <c r="P33" i="140" s="1"/>
  <c r="L285" i="343"/>
  <c r="A292" i="343"/>
  <c r="C296" i="343"/>
  <c r="C35" i="126" s="1"/>
  <c r="D296" i="343"/>
  <c r="D35" i="126" s="1"/>
  <c r="E296" i="343"/>
  <c r="E35" i="126" s="1"/>
  <c r="F296" i="343"/>
  <c r="F35" i="126" s="1"/>
  <c r="G296" i="343"/>
  <c r="G35" i="126" s="1"/>
  <c r="H296" i="343"/>
  <c r="H35" i="126" s="1"/>
  <c r="I296" i="343"/>
  <c r="I35" i="126"/>
  <c r="J296" i="343"/>
  <c r="J35" i="126" s="1"/>
  <c r="O34" i="140" s="1"/>
  <c r="N34" i="140" s="1"/>
  <c r="K296" i="343"/>
  <c r="L296" i="343"/>
  <c r="L35" i="126" s="1"/>
  <c r="Q34" i="140" s="1"/>
  <c r="C307" i="343"/>
  <c r="C36" i="126" s="1"/>
  <c r="D307" i="343"/>
  <c r="D36" i="126" s="1"/>
  <c r="E307" i="343"/>
  <c r="E36" i="126" s="1"/>
  <c r="F307" i="343"/>
  <c r="F36" i="126" s="1"/>
  <c r="G307" i="343"/>
  <c r="G36" i="126" s="1"/>
  <c r="H307" i="343"/>
  <c r="H36" i="126" s="1"/>
  <c r="I307" i="343"/>
  <c r="I36" i="126" s="1"/>
  <c r="J307" i="343"/>
  <c r="J36" i="126" s="1"/>
  <c r="K307" i="343"/>
  <c r="K36" i="126" s="1"/>
  <c r="P35" i="140" s="1"/>
  <c r="L307" i="343"/>
  <c r="L36" i="126" s="1"/>
  <c r="Q35" i="140" s="1"/>
  <c r="C318" i="343"/>
  <c r="C37" i="126" s="1"/>
  <c r="D318" i="343"/>
  <c r="D37" i="126" s="1"/>
  <c r="E318" i="343"/>
  <c r="E37" i="126"/>
  <c r="F318" i="343"/>
  <c r="F37" i="126" s="1"/>
  <c r="G318" i="343"/>
  <c r="G37" i="126" s="1"/>
  <c r="H318" i="343"/>
  <c r="H37" i="126" s="1"/>
  <c r="I318" i="343"/>
  <c r="I37" i="126" s="1"/>
  <c r="J318" i="343"/>
  <c r="J37" i="126" s="1"/>
  <c r="O36" i="140" s="1"/>
  <c r="N36" i="140" s="1"/>
  <c r="K318" i="343"/>
  <c r="K37" i="126" s="1"/>
  <c r="P36" i="140" s="1"/>
  <c r="L318" i="343"/>
  <c r="L37" i="126" s="1"/>
  <c r="Q36" i="140" s="1"/>
  <c r="C329" i="343"/>
  <c r="C38" i="126" s="1"/>
  <c r="D329" i="343"/>
  <c r="D38" i="126" s="1"/>
  <c r="E329" i="343"/>
  <c r="E38" i="126" s="1"/>
  <c r="F329" i="343"/>
  <c r="F38" i="126" s="1"/>
  <c r="G329" i="343"/>
  <c r="G38" i="126" s="1"/>
  <c r="H329" i="343"/>
  <c r="H38" i="126" s="1"/>
  <c r="I329" i="343"/>
  <c r="I38" i="126" s="1"/>
  <c r="J329" i="343"/>
  <c r="J38" i="126" s="1"/>
  <c r="O37" i="140" s="1"/>
  <c r="N37" i="140" s="1"/>
  <c r="K329" i="343"/>
  <c r="K38" i="126" s="1"/>
  <c r="P37" i="140" s="1"/>
  <c r="L329" i="343"/>
  <c r="L38" i="126" s="1"/>
  <c r="Q37" i="140" s="1"/>
  <c r="A336" i="343"/>
  <c r="A2" i="126"/>
  <c r="B2" i="126"/>
  <c r="C3" i="126"/>
  <c r="D3" i="126"/>
  <c r="E3" i="126"/>
  <c r="F3" i="126"/>
  <c r="G3" i="126"/>
  <c r="H3" i="126"/>
  <c r="I3" i="126"/>
  <c r="E6" i="126"/>
  <c r="E7" i="126"/>
  <c r="E8" i="126"/>
  <c r="D9" i="126"/>
  <c r="G9" i="126"/>
  <c r="I10" i="126"/>
  <c r="C11" i="126"/>
  <c r="E11" i="126"/>
  <c r="G11" i="126"/>
  <c r="H11" i="126"/>
  <c r="G12" i="126"/>
  <c r="C14" i="126"/>
  <c r="F15" i="126"/>
  <c r="H15" i="126"/>
  <c r="D16" i="126"/>
  <c r="E16" i="126"/>
  <c r="F19" i="126"/>
  <c r="G19" i="126"/>
  <c r="E20" i="126"/>
  <c r="D24" i="126"/>
  <c r="K26" i="126"/>
  <c r="P25" i="140" s="1"/>
  <c r="K27" i="126"/>
  <c r="P26" i="140" s="1"/>
  <c r="E29" i="126"/>
  <c r="F34" i="126"/>
  <c r="L34" i="126"/>
  <c r="Q33" i="140" s="1"/>
  <c r="K35" i="126"/>
  <c r="P34" i="140" s="1"/>
  <c r="O35" i="140"/>
  <c r="N35" i="140" s="1"/>
  <c r="C43" i="126"/>
  <c r="D43" i="126"/>
  <c r="E43" i="126"/>
  <c r="F43" i="126"/>
  <c r="G43" i="126"/>
  <c r="H43" i="126"/>
  <c r="I43" i="126"/>
  <c r="J43" i="126"/>
  <c r="O5" i="300" s="1"/>
  <c r="K43" i="126"/>
  <c r="P5" i="300" s="1"/>
  <c r="L43" i="126"/>
  <c r="Q5" i="300" s="1"/>
  <c r="C47" i="126"/>
  <c r="D47" i="126"/>
  <c r="E47" i="126"/>
  <c r="F47" i="126"/>
  <c r="G47" i="126"/>
  <c r="H47" i="126"/>
  <c r="I47" i="126"/>
  <c r="J47" i="126"/>
  <c r="O9" i="300" s="1"/>
  <c r="K47" i="126"/>
  <c r="P9" i="300" s="1"/>
  <c r="L47" i="126"/>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K57" i="126"/>
  <c r="P19" i="300" s="1"/>
  <c r="L57" i="126"/>
  <c r="Q19" i="300" s="1"/>
  <c r="C70" i="126"/>
  <c r="D70" i="126"/>
  <c r="D74" i="126" s="1"/>
  <c r="E70" i="126"/>
  <c r="E74" i="126" s="1"/>
  <c r="F70" i="126"/>
  <c r="G70" i="126"/>
  <c r="H70" i="126"/>
  <c r="H74" i="126" s="1"/>
  <c r="I70" i="126"/>
  <c r="J70" i="126"/>
  <c r="I28" i="86" s="1"/>
  <c r="K107" i="123" s="1"/>
  <c r="K70" i="126"/>
  <c r="K74" i="126" s="1"/>
  <c r="L70" i="126"/>
  <c r="L74" i="126" s="1"/>
  <c r="A75" i="126"/>
  <c r="A2" i="127"/>
  <c r="B2" i="127"/>
  <c r="M2" i="127"/>
  <c r="C3" i="127"/>
  <c r="D3" i="127"/>
  <c r="E3" i="127"/>
  <c r="F3" i="127"/>
  <c r="G3" i="127"/>
  <c r="H3" i="127"/>
  <c r="I3" i="127"/>
  <c r="M21" i="127"/>
  <c r="N21" i="127"/>
  <c r="O21" i="127"/>
  <c r="P21" i="127"/>
  <c r="Q21" i="127"/>
  <c r="R21" i="127"/>
  <c r="S21" i="127"/>
  <c r="T21" i="127"/>
  <c r="U21" i="127"/>
  <c r="V21" i="127"/>
  <c r="W21" i="127"/>
  <c r="X21" i="127"/>
  <c r="K33" i="127"/>
  <c r="P33" i="137" s="1"/>
  <c r="M35" i="127"/>
  <c r="N35" i="127"/>
  <c r="N37" i="127"/>
  <c r="O35" i="127"/>
  <c r="P35" i="127"/>
  <c r="Q35" i="127"/>
  <c r="R35" i="127"/>
  <c r="S35" i="127"/>
  <c r="T35" i="127"/>
  <c r="U35" i="127"/>
  <c r="V35" i="127"/>
  <c r="W35" i="127"/>
  <c r="X35" i="127"/>
  <c r="D39" i="127"/>
  <c r="C21" i="86" s="1"/>
  <c r="K39" i="127"/>
  <c r="P39" i="137"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c r="G5" i="342"/>
  <c r="G5" i="233" s="1"/>
  <c r="H5" i="342"/>
  <c r="I5" i="342"/>
  <c r="J5" i="342"/>
  <c r="J5" i="233" s="1"/>
  <c r="P5" i="299" s="1"/>
  <c r="K5" i="342"/>
  <c r="A6" i="342"/>
  <c r="A174" i="342" s="1"/>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D6" i="233" s="1"/>
  <c r="E16" i="342"/>
  <c r="E6" i="233" s="1"/>
  <c r="F16" i="342"/>
  <c r="G16" i="342"/>
  <c r="G6" i="233" s="1"/>
  <c r="H16" i="342"/>
  <c r="H6" i="233" s="1"/>
  <c r="I16" i="342"/>
  <c r="I6" i="233" s="1"/>
  <c r="O6" i="299" s="1"/>
  <c r="N6" i="299" s="1"/>
  <c r="J16" i="342"/>
  <c r="J6" i="233" s="1"/>
  <c r="P6" i="299" s="1"/>
  <c r="K16" i="342"/>
  <c r="K6" i="233" s="1"/>
  <c r="Q6" i="299" s="1"/>
  <c r="A17" i="342"/>
  <c r="A185" i="342" s="1"/>
  <c r="A18" i="342"/>
  <c r="A186" i="342" s="1"/>
  <c r="A19" i="342"/>
  <c r="A187" i="342" s="1"/>
  <c r="A20" i="342"/>
  <c r="A188" i="342" s="1"/>
  <c r="A21" i="342"/>
  <c r="A189" i="342"/>
  <c r="A22" i="342"/>
  <c r="A190" i="342" s="1"/>
  <c r="A23" i="342"/>
  <c r="A191" i="342" s="1"/>
  <c r="A24" i="342"/>
  <c r="A192" i="342" s="1"/>
  <c r="A25" i="342"/>
  <c r="A193" i="342"/>
  <c r="A26" i="342"/>
  <c r="A194" i="342" s="1"/>
  <c r="C27" i="342"/>
  <c r="C7" i="233" s="1"/>
  <c r="D27" i="342"/>
  <c r="D7" i="233" s="1"/>
  <c r="E27" i="342"/>
  <c r="E7" i="233" s="1"/>
  <c r="F27" i="342"/>
  <c r="F7" i="233" s="1"/>
  <c r="G27" i="342"/>
  <c r="G7" i="233" s="1"/>
  <c r="H27" i="342"/>
  <c r="H7" i="233" s="1"/>
  <c r="I27" i="342"/>
  <c r="I7" i="233" s="1"/>
  <c r="O7" i="299" s="1"/>
  <c r="N7" i="299" s="1"/>
  <c r="J27" i="342"/>
  <c r="J7" i="233" s="1"/>
  <c r="P7" i="299" s="1"/>
  <c r="K27" i="342"/>
  <c r="K7" i="233" s="1"/>
  <c r="Q7" i="299" s="1"/>
  <c r="A28" i="342"/>
  <c r="A196" i="342" s="1"/>
  <c r="A29" i="342"/>
  <c r="A197" i="342" s="1"/>
  <c r="A30" i="342"/>
  <c r="A198" i="342" s="1"/>
  <c r="A31" i="342"/>
  <c r="A199" i="342" s="1"/>
  <c r="A32" i="342"/>
  <c r="A200" i="342"/>
  <c r="A33" i="342"/>
  <c r="A201" i="342" s="1"/>
  <c r="A34" i="342"/>
  <c r="A202" i="342" s="1"/>
  <c r="A35" i="342"/>
  <c r="A203" i="342" s="1"/>
  <c r="A36" i="342"/>
  <c r="A204" i="342" s="1"/>
  <c r="A37" i="342"/>
  <c r="A205" i="342" s="1"/>
  <c r="C38" i="342"/>
  <c r="C8" i="233" s="1"/>
  <c r="D38" i="342"/>
  <c r="D8" i="233" s="1"/>
  <c r="E38" i="342"/>
  <c r="E8" i="233" s="1"/>
  <c r="F38" i="342"/>
  <c r="F8" i="233" s="1"/>
  <c r="G38" i="342"/>
  <c r="G8" i="233" s="1"/>
  <c r="H38" i="342"/>
  <c r="H8" i="233" s="1"/>
  <c r="I38" i="342"/>
  <c r="I8" i="233" s="1"/>
  <c r="O8" i="299" s="1"/>
  <c r="N8" i="299" s="1"/>
  <c r="J38" i="342"/>
  <c r="J8" i="233" s="1"/>
  <c r="P8" i="299" s="1"/>
  <c r="K38" i="342"/>
  <c r="K8" i="233" s="1"/>
  <c r="Q8" i="299" s="1"/>
  <c r="A39" i="342"/>
  <c r="A207" i="342" s="1"/>
  <c r="A40" i="342"/>
  <c r="A208" i="342" s="1"/>
  <c r="A41" i="342"/>
  <c r="A209" i="342" s="1"/>
  <c r="A42" i="342"/>
  <c r="A210" i="342" s="1"/>
  <c r="A43" i="342"/>
  <c r="A211" i="342" s="1"/>
  <c r="A44" i="342"/>
  <c r="A212" i="342" s="1"/>
  <c r="A45" i="342"/>
  <c r="A213" i="342" s="1"/>
  <c r="A46" i="342"/>
  <c r="A214" i="342" s="1"/>
  <c r="A47" i="342"/>
  <c r="A215" i="342" s="1"/>
  <c r="A48" i="342"/>
  <c r="A216" i="342" s="1"/>
  <c r="C49" i="342"/>
  <c r="C9" i="233" s="1"/>
  <c r="D49" i="342"/>
  <c r="D9" i="233" s="1"/>
  <c r="E49" i="342"/>
  <c r="E9" i="233" s="1"/>
  <c r="F49" i="342"/>
  <c r="F9" i="233" s="1"/>
  <c r="G49" i="342"/>
  <c r="G9" i="233" s="1"/>
  <c r="H49" i="342"/>
  <c r="H9" i="233" s="1"/>
  <c r="I49" i="342"/>
  <c r="I9" i="233" s="1"/>
  <c r="O9" i="299" s="1"/>
  <c r="N9" i="299" s="1"/>
  <c r="J49" i="342"/>
  <c r="J9" i="233" s="1"/>
  <c r="P9" i="299" s="1"/>
  <c r="K49" i="342"/>
  <c r="K9" i="233" s="1"/>
  <c r="Q9" i="299" s="1"/>
  <c r="A50" i="342"/>
  <c r="A218" i="342" s="1"/>
  <c r="A51" i="342"/>
  <c r="A219" i="342" s="1"/>
  <c r="A52" i="342"/>
  <c r="A220" i="342" s="1"/>
  <c r="A53" i="342"/>
  <c r="A221" i="342" s="1"/>
  <c r="A54" i="342"/>
  <c r="A222" i="342" s="1"/>
  <c r="A55" i="342"/>
  <c r="A223" i="342" s="1"/>
  <c r="A56" i="342"/>
  <c r="A224" i="342" s="1"/>
  <c r="A57" i="342"/>
  <c r="A225" i="342" s="1"/>
  <c r="A58" i="342"/>
  <c r="A59" i="342"/>
  <c r="A227" i="342" s="1"/>
  <c r="C60" i="342"/>
  <c r="C10" i="233" s="1"/>
  <c r="D60" i="342"/>
  <c r="D10" i="233" s="1"/>
  <c r="E60" i="342"/>
  <c r="E10" i="233" s="1"/>
  <c r="F60" i="342"/>
  <c r="F10" i="233" s="1"/>
  <c r="G60" i="342"/>
  <c r="G10" i="233" s="1"/>
  <c r="H60" i="342"/>
  <c r="H10" i="233" s="1"/>
  <c r="I60" i="342"/>
  <c r="I10" i="233" s="1"/>
  <c r="O10" i="299" s="1"/>
  <c r="N10" i="299" s="1"/>
  <c r="J60" i="342"/>
  <c r="J10" i="233"/>
  <c r="P10" i="299" s="1"/>
  <c r="K60" i="342"/>
  <c r="K10" i="233" s="1"/>
  <c r="Q10" i="299" s="1"/>
  <c r="A61" i="342"/>
  <c r="A229" i="342" s="1"/>
  <c r="A62" i="342"/>
  <c r="A230" i="342" s="1"/>
  <c r="A63" i="342"/>
  <c r="A231" i="342" s="1"/>
  <c r="A64" i="342"/>
  <c r="A232" i="342" s="1"/>
  <c r="A65" i="342"/>
  <c r="A233" i="342"/>
  <c r="A66" i="342"/>
  <c r="A234" i="342" s="1"/>
  <c r="A67" i="342"/>
  <c r="A68" i="342"/>
  <c r="A236" i="342" s="1"/>
  <c r="A69" i="342"/>
  <c r="A237" i="342" s="1"/>
  <c r="A70" i="342"/>
  <c r="A238" i="342" s="1"/>
  <c r="C71" i="342"/>
  <c r="C11" i="233" s="1"/>
  <c r="D71" i="342"/>
  <c r="D11" i="233" s="1"/>
  <c r="E71" i="342"/>
  <c r="E11" i="233" s="1"/>
  <c r="F71" i="342"/>
  <c r="F11" i="233" s="1"/>
  <c r="G71" i="342"/>
  <c r="G11" i="233" s="1"/>
  <c r="H71" i="342"/>
  <c r="H11" i="233" s="1"/>
  <c r="I71" i="342"/>
  <c r="I11" i="233" s="1"/>
  <c r="O11" i="299" s="1"/>
  <c r="N11" i="299" s="1"/>
  <c r="J71" i="342"/>
  <c r="J11" i="233" s="1"/>
  <c r="P11" i="299" s="1"/>
  <c r="K71" i="342"/>
  <c r="K11" i="233" s="1"/>
  <c r="Q11" i="299" s="1"/>
  <c r="A72" i="342"/>
  <c r="A240" i="342" s="1"/>
  <c r="A73" i="342"/>
  <c r="A241" i="342" s="1"/>
  <c r="A74" i="342"/>
  <c r="A242" i="342" s="1"/>
  <c r="A75" i="342"/>
  <c r="A243" i="342"/>
  <c r="A76" i="342"/>
  <c r="A244" i="342" s="1"/>
  <c r="A77" i="342"/>
  <c r="A245" i="342" s="1"/>
  <c r="A78" i="342"/>
  <c r="A246" i="342" s="1"/>
  <c r="A79" i="342"/>
  <c r="A247" i="342" s="1"/>
  <c r="A80" i="342"/>
  <c r="A248" i="342" s="1"/>
  <c r="A81" i="342"/>
  <c r="A249" i="342" s="1"/>
  <c r="C82" i="342"/>
  <c r="C12" i="233" s="1"/>
  <c r="D82" i="342"/>
  <c r="D12" i="233" s="1"/>
  <c r="E82" i="342"/>
  <c r="E12" i="233" s="1"/>
  <c r="F82" i="342"/>
  <c r="F12" i="233" s="1"/>
  <c r="G82" i="342"/>
  <c r="G12" i="233" s="1"/>
  <c r="H82" i="342"/>
  <c r="H12" i="233" s="1"/>
  <c r="I82" i="342"/>
  <c r="I12" i="233" s="1"/>
  <c r="O12" i="299" s="1"/>
  <c r="N12" i="299" s="1"/>
  <c r="J82" i="342"/>
  <c r="J12" i="233" s="1"/>
  <c r="P12" i="299" s="1"/>
  <c r="K82" i="342"/>
  <c r="K12" i="233" s="1"/>
  <c r="Q12" i="299" s="1"/>
  <c r="A83" i="342"/>
  <c r="A251" i="342" s="1"/>
  <c r="A84" i="342"/>
  <c r="A252" i="342" s="1"/>
  <c r="A85" i="342"/>
  <c r="A253" i="342" s="1"/>
  <c r="A86" i="342"/>
  <c r="A254" i="342" s="1"/>
  <c r="A87" i="342"/>
  <c r="A255" i="342" s="1"/>
  <c r="A88" i="342"/>
  <c r="A89" i="342"/>
  <c r="A257" i="342" s="1"/>
  <c r="A90" i="342"/>
  <c r="A258" i="342" s="1"/>
  <c r="A91" i="342"/>
  <c r="A259" i="342" s="1"/>
  <c r="A92" i="342"/>
  <c r="A260" i="342" s="1"/>
  <c r="C93" i="342"/>
  <c r="C13" i="233" s="1"/>
  <c r="D93" i="342"/>
  <c r="D13" i="233"/>
  <c r="E93" i="342"/>
  <c r="E13" i="233" s="1"/>
  <c r="F93" i="342"/>
  <c r="F13" i="233" s="1"/>
  <c r="G93" i="342"/>
  <c r="H93" i="342"/>
  <c r="H13" i="233" s="1"/>
  <c r="I93" i="342"/>
  <c r="I13" i="233" s="1"/>
  <c r="O13" i="299" s="1"/>
  <c r="N13" i="299" s="1"/>
  <c r="J93" i="342"/>
  <c r="J13" i="233" s="1"/>
  <c r="P13" i="299" s="1"/>
  <c r="K93" i="342"/>
  <c r="K13" i="233" s="1"/>
  <c r="Q13" i="299" s="1"/>
  <c r="A94" i="342"/>
  <c r="A262" i="342" s="1"/>
  <c r="A95" i="342"/>
  <c r="A263" i="342" s="1"/>
  <c r="A96" i="342"/>
  <c r="A264" i="342" s="1"/>
  <c r="A97" i="342"/>
  <c r="A265" i="342" s="1"/>
  <c r="A98" i="342"/>
  <c r="A266" i="342" s="1"/>
  <c r="A99" i="342"/>
  <c r="A267" i="342" s="1"/>
  <c r="A100" i="342"/>
  <c r="A268" i="342"/>
  <c r="A101" i="342"/>
  <c r="A269" i="342" s="1"/>
  <c r="A102" i="342"/>
  <c r="A270" i="342" s="1"/>
  <c r="A103" i="342"/>
  <c r="A271" i="342" s="1"/>
  <c r="C104" i="342"/>
  <c r="C14" i="233"/>
  <c r="D104" i="342"/>
  <c r="D14" i="233" s="1"/>
  <c r="E104" i="342"/>
  <c r="F104" i="342"/>
  <c r="F14" i="233" s="1"/>
  <c r="G104" i="342"/>
  <c r="G14" i="233" s="1"/>
  <c r="H104" i="342"/>
  <c r="H14" i="233" s="1"/>
  <c r="I104" i="342"/>
  <c r="I14" i="233" s="1"/>
  <c r="O14" i="299" s="1"/>
  <c r="N14" i="299" s="1"/>
  <c r="J104" i="342"/>
  <c r="K104" i="342"/>
  <c r="K14" i="233" s="1"/>
  <c r="Q14" i="299" s="1"/>
  <c r="A105" i="342"/>
  <c r="A273" i="342" s="1"/>
  <c r="A106" i="342"/>
  <c r="A274" i="342"/>
  <c r="A107" i="342"/>
  <c r="A275" i="342" s="1"/>
  <c r="A108" i="342"/>
  <c r="A276" i="342" s="1"/>
  <c r="A109" i="342"/>
  <c r="A277" i="342" s="1"/>
  <c r="A110" i="342"/>
  <c r="A278" i="342"/>
  <c r="A111" i="342"/>
  <c r="A279" i="342" s="1"/>
  <c r="A112" i="342"/>
  <c r="A280" i="342" s="1"/>
  <c r="A113" i="342"/>
  <c r="A281" i="342" s="1"/>
  <c r="A114" i="342"/>
  <c r="A282" i="342" s="1"/>
  <c r="C115" i="342"/>
  <c r="C15" i="233" s="1"/>
  <c r="D115" i="342"/>
  <c r="D15" i="233" s="1"/>
  <c r="E115" i="342"/>
  <c r="E15" i="233"/>
  <c r="F115" i="342"/>
  <c r="F15" i="233" s="1"/>
  <c r="G115" i="342"/>
  <c r="H115" i="342"/>
  <c r="I115" i="342"/>
  <c r="I15" i="233" s="1"/>
  <c r="O15" i="299" s="1"/>
  <c r="N15" i="299" s="1"/>
  <c r="J115" i="342"/>
  <c r="J15" i="233" s="1"/>
  <c r="P15" i="299" s="1"/>
  <c r="K115" i="342"/>
  <c r="K15" i="233" s="1"/>
  <c r="Q15" i="299"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s="1"/>
  <c r="D126" i="342"/>
  <c r="D16" i="233" s="1"/>
  <c r="E126" i="342"/>
  <c r="E16" i="233"/>
  <c r="F126" i="342"/>
  <c r="F16" i="233" s="1"/>
  <c r="G126" i="342"/>
  <c r="G16" i="233" s="1"/>
  <c r="H126" i="342"/>
  <c r="H16" i="233" s="1"/>
  <c r="I126" i="342"/>
  <c r="I16" i="233" s="1"/>
  <c r="O16" i="299" s="1"/>
  <c r="N16" i="299" s="1"/>
  <c r="J126" i="342"/>
  <c r="J16" i="233" s="1"/>
  <c r="P16" i="299" s="1"/>
  <c r="K126" i="342"/>
  <c r="K16" i="233" s="1"/>
  <c r="Q16" i="299" s="1"/>
  <c r="A127" i="342"/>
  <c r="A295" i="342" s="1"/>
  <c r="A128" i="342"/>
  <c r="A296" i="342" s="1"/>
  <c r="A129" i="342"/>
  <c r="A297" i="342" s="1"/>
  <c r="A130" i="342"/>
  <c r="A298" i="342" s="1"/>
  <c r="A131" i="342"/>
  <c r="A299" i="342" s="1"/>
  <c r="A132" i="342"/>
  <c r="A300" i="342" s="1"/>
  <c r="A133" i="342"/>
  <c r="A301" i="342" s="1"/>
  <c r="A134" i="342"/>
  <c r="A302" i="342" s="1"/>
  <c r="A135" i="342"/>
  <c r="A303" i="342" s="1"/>
  <c r="A136" i="342"/>
  <c r="A304" i="342" s="1"/>
  <c r="C137" i="342"/>
  <c r="C17" i="233" s="1"/>
  <c r="D137" i="342"/>
  <c r="D17" i="233" s="1"/>
  <c r="E137" i="342"/>
  <c r="E17" i="233" s="1"/>
  <c r="F137" i="342"/>
  <c r="F17" i="233" s="1"/>
  <c r="G137" i="342"/>
  <c r="G17" i="233" s="1"/>
  <c r="H137" i="342"/>
  <c r="H17" i="233"/>
  <c r="I137" i="342"/>
  <c r="I17" i="233" s="1"/>
  <c r="O17" i="299" s="1"/>
  <c r="N17" i="299" s="1"/>
  <c r="J137" i="342"/>
  <c r="J17" i="233" s="1"/>
  <c r="K137" i="342"/>
  <c r="K17" i="233" s="1"/>
  <c r="Q17" i="299" s="1"/>
  <c r="A138" i="342"/>
  <c r="A306" i="342" s="1"/>
  <c r="A139" i="342"/>
  <c r="A307" i="342" s="1"/>
  <c r="A140" i="342"/>
  <c r="A308" i="342" s="1"/>
  <c r="A141" i="342"/>
  <c r="A309" i="342" s="1"/>
  <c r="A142" i="342"/>
  <c r="A310" i="342" s="1"/>
  <c r="A143" i="342"/>
  <c r="A311" i="342" s="1"/>
  <c r="A144" i="342"/>
  <c r="A312" i="342" s="1"/>
  <c r="A145" i="342"/>
  <c r="A313" i="342" s="1"/>
  <c r="A146" i="342"/>
  <c r="A314" i="342" s="1"/>
  <c r="A147" i="342"/>
  <c r="A315" i="342" s="1"/>
  <c r="C148" i="342"/>
  <c r="C18" i="233" s="1"/>
  <c r="D148" i="342"/>
  <c r="D18" i="233" s="1"/>
  <c r="E148" i="342"/>
  <c r="E18" i="233" s="1"/>
  <c r="F148" i="342"/>
  <c r="F18" i="233" s="1"/>
  <c r="G148" i="342"/>
  <c r="G18" i="233" s="1"/>
  <c r="H148" i="342"/>
  <c r="H18" i="233" s="1"/>
  <c r="I148" i="342"/>
  <c r="I18" i="233" s="1"/>
  <c r="O18" i="299" s="1"/>
  <c r="N18" i="299" s="1"/>
  <c r="J148" i="342"/>
  <c r="J18" i="233" s="1"/>
  <c r="P18" i="299" s="1"/>
  <c r="K148" i="342"/>
  <c r="K18" i="233"/>
  <c r="Q18" i="299" s="1"/>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C19" i="233" s="1"/>
  <c r="D159" i="342"/>
  <c r="D19" i="233" s="1"/>
  <c r="E159" i="342"/>
  <c r="E19" i="233" s="1"/>
  <c r="F159" i="342"/>
  <c r="F19" i="233" s="1"/>
  <c r="G159" i="342"/>
  <c r="H159" i="342"/>
  <c r="H19" i="233" s="1"/>
  <c r="I159" i="342"/>
  <c r="I19" i="233" s="1"/>
  <c r="O19" i="299" s="1"/>
  <c r="N19" i="299" s="1"/>
  <c r="J159" i="342"/>
  <c r="J19" i="233" s="1"/>
  <c r="P19" i="299" s="1"/>
  <c r="K159" i="342"/>
  <c r="A160" i="342"/>
  <c r="A328" i="342" s="1"/>
  <c r="A161" i="342"/>
  <c r="A329" i="342" s="1"/>
  <c r="A162" i="342"/>
  <c r="A330" i="342" s="1"/>
  <c r="A163" i="342"/>
  <c r="A331" i="342"/>
  <c r="A164" i="342"/>
  <c r="A332" i="342" s="1"/>
  <c r="A165" i="342"/>
  <c r="A333" i="342" s="1"/>
  <c r="A166" i="342"/>
  <c r="A334" i="342" s="1"/>
  <c r="A167" i="342"/>
  <c r="A335" i="342" s="1"/>
  <c r="A168" i="342"/>
  <c r="A336" i="342" s="1"/>
  <c r="A169" i="342"/>
  <c r="A337" i="342"/>
  <c r="L170" i="342"/>
  <c r="M170" i="342"/>
  <c r="N170" i="342"/>
  <c r="O170" i="342"/>
  <c r="P170" i="342"/>
  <c r="Q170" i="342"/>
  <c r="R170" i="342"/>
  <c r="S170" i="342"/>
  <c r="S340" i="342" s="1"/>
  <c r="T170" i="342"/>
  <c r="T340" i="342" s="1"/>
  <c r="U170" i="342"/>
  <c r="V170" i="342"/>
  <c r="W170" i="342"/>
  <c r="C173" i="342"/>
  <c r="D173" i="342"/>
  <c r="D23" i="233" s="1"/>
  <c r="E173" i="342"/>
  <c r="E23" i="233" s="1"/>
  <c r="F173" i="342"/>
  <c r="F23" i="233" s="1"/>
  <c r="G173" i="342"/>
  <c r="G23" i="233" s="1"/>
  <c r="H173" i="342"/>
  <c r="H23" i="233" s="1"/>
  <c r="I173" i="342"/>
  <c r="I23" i="233" s="1"/>
  <c r="O23" i="299" s="1"/>
  <c r="N23" i="299" s="1"/>
  <c r="J173" i="342"/>
  <c r="J23" i="233" s="1"/>
  <c r="P23" i="299" s="1"/>
  <c r="K173" i="342"/>
  <c r="K23" i="233" s="1"/>
  <c r="Q23" i="299" s="1"/>
  <c r="C184" i="342"/>
  <c r="C24" i="233" s="1"/>
  <c r="D184" i="342"/>
  <c r="D24" i="233" s="1"/>
  <c r="E184" i="342"/>
  <c r="E24" i="233" s="1"/>
  <c r="F184" i="342"/>
  <c r="F24" i="233" s="1"/>
  <c r="G184" i="342"/>
  <c r="G24" i="233" s="1"/>
  <c r="H184" i="342"/>
  <c r="H24" i="233" s="1"/>
  <c r="I184" i="342"/>
  <c r="I24" i="233" s="1"/>
  <c r="O24" i="299" s="1"/>
  <c r="N24" i="299" s="1"/>
  <c r="J184" i="342"/>
  <c r="J24" i="233" s="1"/>
  <c r="P24" i="299" s="1"/>
  <c r="K184" i="342"/>
  <c r="K24" i="233" s="1"/>
  <c r="Q24" i="299" s="1"/>
  <c r="C195" i="342"/>
  <c r="C25" i="233" s="1"/>
  <c r="D195" i="342"/>
  <c r="D25" i="233" s="1"/>
  <c r="E195" i="342"/>
  <c r="E25" i="233" s="1"/>
  <c r="F195" i="342"/>
  <c r="F25" i="233" s="1"/>
  <c r="G195" i="342"/>
  <c r="H195" i="342"/>
  <c r="H25" i="233" s="1"/>
  <c r="I195" i="342"/>
  <c r="I25" i="233" s="1"/>
  <c r="O25" i="299" s="1"/>
  <c r="N25" i="299" s="1"/>
  <c r="J195" i="342"/>
  <c r="J25" i="233" s="1"/>
  <c r="P25" i="299" s="1"/>
  <c r="K195" i="342"/>
  <c r="K25" i="233" s="1"/>
  <c r="Q25" i="299" s="1"/>
  <c r="C206" i="342"/>
  <c r="C26" i="233" s="1"/>
  <c r="D206" i="342"/>
  <c r="D26" i="233" s="1"/>
  <c r="E206" i="342"/>
  <c r="E26" i="233" s="1"/>
  <c r="F206" i="342"/>
  <c r="G206" i="342"/>
  <c r="G26" i="233" s="1"/>
  <c r="H206" i="342"/>
  <c r="H26" i="233" s="1"/>
  <c r="I206" i="342"/>
  <c r="I26" i="233" s="1"/>
  <c r="O26" i="299" s="1"/>
  <c r="N26" i="299" s="1"/>
  <c r="J206" i="342"/>
  <c r="J26" i="233" s="1"/>
  <c r="P26" i="299" s="1"/>
  <c r="K206" i="342"/>
  <c r="K26" i="233" s="1"/>
  <c r="Q26" i="299" s="1"/>
  <c r="C217" i="342"/>
  <c r="C27" i="233" s="1"/>
  <c r="D217" i="342"/>
  <c r="D27" i="233" s="1"/>
  <c r="E217" i="342"/>
  <c r="E27" i="233" s="1"/>
  <c r="F217" i="342"/>
  <c r="F27" i="233" s="1"/>
  <c r="G217" i="342"/>
  <c r="G27" i="233" s="1"/>
  <c r="H217" i="342"/>
  <c r="H27" i="233" s="1"/>
  <c r="I217" i="342"/>
  <c r="I27" i="233" s="1"/>
  <c r="O27" i="299" s="1"/>
  <c r="N27" i="299" s="1"/>
  <c r="J217" i="342"/>
  <c r="J27" i="233" s="1"/>
  <c r="P27" i="299" s="1"/>
  <c r="K217" i="342"/>
  <c r="K27" i="233" s="1"/>
  <c r="A226" i="342"/>
  <c r="C228" i="342"/>
  <c r="C28" i="233" s="1"/>
  <c r="D228" i="342"/>
  <c r="D28" i="233" s="1"/>
  <c r="E228" i="342"/>
  <c r="E28" i="233"/>
  <c r="F228" i="342"/>
  <c r="F28" i="233" s="1"/>
  <c r="G228" i="342"/>
  <c r="G28" i="233" s="1"/>
  <c r="H228" i="342"/>
  <c r="H28" i="233" s="1"/>
  <c r="I228" i="342"/>
  <c r="I28" i="233" s="1"/>
  <c r="O28" i="299" s="1"/>
  <c r="N28" i="299" s="1"/>
  <c r="J228" i="342"/>
  <c r="J28" i="233" s="1"/>
  <c r="P28" i="299" s="1"/>
  <c r="K228" i="342"/>
  <c r="K28" i="233" s="1"/>
  <c r="Q28" i="299" s="1"/>
  <c r="A235" i="342"/>
  <c r="C239" i="342"/>
  <c r="C29" i="233" s="1"/>
  <c r="D239" i="342"/>
  <c r="D29" i="233" s="1"/>
  <c r="E239" i="342"/>
  <c r="E29" i="233" s="1"/>
  <c r="F239" i="342"/>
  <c r="F29" i="233" s="1"/>
  <c r="G239" i="342"/>
  <c r="G29" i="233" s="1"/>
  <c r="H239" i="342"/>
  <c r="H29" i="233" s="1"/>
  <c r="I239" i="342"/>
  <c r="I29" i="233" s="1"/>
  <c r="O29" i="299" s="1"/>
  <c r="N29" i="299" s="1"/>
  <c r="J239" i="342"/>
  <c r="J29" i="233" s="1"/>
  <c r="P29" i="299" s="1"/>
  <c r="K239" i="342"/>
  <c r="C250" i="342"/>
  <c r="C30" i="233" s="1"/>
  <c r="D250" i="342"/>
  <c r="D30" i="233" s="1"/>
  <c r="E250" i="342"/>
  <c r="E30" i="233" s="1"/>
  <c r="F250" i="342"/>
  <c r="F30" i="233" s="1"/>
  <c r="G250" i="342"/>
  <c r="G30" i="233" s="1"/>
  <c r="H250" i="342"/>
  <c r="H30" i="233" s="1"/>
  <c r="I250" i="342"/>
  <c r="I30" i="233" s="1"/>
  <c r="O30" i="299" s="1"/>
  <c r="N30" i="299" s="1"/>
  <c r="J250" i="342"/>
  <c r="J30" i="233" s="1"/>
  <c r="P30" i="299" s="1"/>
  <c r="K250" i="342"/>
  <c r="K30" i="233" s="1"/>
  <c r="Q30" i="299" s="1"/>
  <c r="A256" i="342"/>
  <c r="C261" i="342"/>
  <c r="C31" i="233" s="1"/>
  <c r="D261" i="342"/>
  <c r="D31" i="233" s="1"/>
  <c r="E261" i="342"/>
  <c r="E31" i="233" s="1"/>
  <c r="F261" i="342"/>
  <c r="F31" i="233"/>
  <c r="G261" i="342"/>
  <c r="G31" i="233" s="1"/>
  <c r="H261" i="342"/>
  <c r="H31" i="233"/>
  <c r="I261" i="342"/>
  <c r="I31" i="233" s="1"/>
  <c r="J261" i="342"/>
  <c r="J31" i="233" s="1"/>
  <c r="P31" i="299" s="1"/>
  <c r="K261" i="342"/>
  <c r="K31" i="233" s="1"/>
  <c r="Q31" i="299" s="1"/>
  <c r="C272" i="342"/>
  <c r="C32" i="233" s="1"/>
  <c r="D272" i="342"/>
  <c r="D32" i="233" s="1"/>
  <c r="E272" i="342"/>
  <c r="E32" i="233" s="1"/>
  <c r="F272" i="342"/>
  <c r="F32" i="233" s="1"/>
  <c r="G272" i="342"/>
  <c r="G32" i="233" s="1"/>
  <c r="H272" i="342"/>
  <c r="H32" i="233" s="1"/>
  <c r="I272" i="342"/>
  <c r="I32" i="233" s="1"/>
  <c r="O32" i="299" s="1"/>
  <c r="N32" i="299" s="1"/>
  <c r="J272" i="342"/>
  <c r="J32" i="233" s="1"/>
  <c r="P32" i="299" s="1"/>
  <c r="K272" i="342"/>
  <c r="K32" i="233" s="1"/>
  <c r="Q32" i="299" s="1"/>
  <c r="C283" i="342"/>
  <c r="C33" i="233" s="1"/>
  <c r="D283" i="342"/>
  <c r="D33" i="233" s="1"/>
  <c r="E283" i="342"/>
  <c r="E33" i="233" s="1"/>
  <c r="F283" i="342"/>
  <c r="F33" i="233"/>
  <c r="G283" i="342"/>
  <c r="G33" i="233" s="1"/>
  <c r="H283" i="342"/>
  <c r="H33" i="233" s="1"/>
  <c r="I283" i="342"/>
  <c r="I33" i="233" s="1"/>
  <c r="O33" i="299" s="1"/>
  <c r="N33" i="299" s="1"/>
  <c r="J283" i="342"/>
  <c r="J33" i="233" s="1"/>
  <c r="K283" i="342"/>
  <c r="K33" i="233" s="1"/>
  <c r="Q33" i="299" s="1"/>
  <c r="C294" i="342"/>
  <c r="C34" i="233" s="1"/>
  <c r="D294" i="342"/>
  <c r="D34" i="233"/>
  <c r="E294" i="342"/>
  <c r="E34" i="233" s="1"/>
  <c r="F294" i="342"/>
  <c r="F34" i="233" s="1"/>
  <c r="G294" i="342"/>
  <c r="G34" i="233" s="1"/>
  <c r="H294" i="342"/>
  <c r="H34" i="233" s="1"/>
  <c r="I294" i="342"/>
  <c r="I34" i="233" s="1"/>
  <c r="O34" i="299" s="1"/>
  <c r="N34" i="299" s="1"/>
  <c r="J294" i="342"/>
  <c r="J34" i="233" s="1"/>
  <c r="P34" i="299" s="1"/>
  <c r="K294" i="342"/>
  <c r="K34" i="233" s="1"/>
  <c r="Q34" i="299" s="1"/>
  <c r="C305" i="342"/>
  <c r="C35" i="233" s="1"/>
  <c r="D305" i="342"/>
  <c r="D35" i="233" s="1"/>
  <c r="E305" i="342"/>
  <c r="E35" i="233" s="1"/>
  <c r="F305" i="342"/>
  <c r="F35" i="233" s="1"/>
  <c r="G305" i="342"/>
  <c r="G35" i="233" s="1"/>
  <c r="H305" i="342"/>
  <c r="H35" i="233" s="1"/>
  <c r="I305" i="342"/>
  <c r="I35" i="233" s="1"/>
  <c r="O35" i="299" s="1"/>
  <c r="N35" i="299" s="1"/>
  <c r="J305" i="342"/>
  <c r="J35" i="233" s="1"/>
  <c r="P35" i="299" s="1"/>
  <c r="K305" i="342"/>
  <c r="K35" i="233" s="1"/>
  <c r="Q35" i="299" s="1"/>
  <c r="C316" i="342"/>
  <c r="C36" i="233" s="1"/>
  <c r="D316" i="342"/>
  <c r="D36" i="233" s="1"/>
  <c r="E316" i="342"/>
  <c r="E36" i="233" s="1"/>
  <c r="F316" i="342"/>
  <c r="F36" i="233" s="1"/>
  <c r="G316" i="342"/>
  <c r="G36" i="233" s="1"/>
  <c r="H316" i="342"/>
  <c r="H36" i="233" s="1"/>
  <c r="I316" i="342"/>
  <c r="I36" i="233" s="1"/>
  <c r="O36" i="299" s="1"/>
  <c r="N36" i="299" s="1"/>
  <c r="J316" i="342"/>
  <c r="J36" i="233" s="1"/>
  <c r="P36" i="299" s="1"/>
  <c r="K316" i="342"/>
  <c r="K36" i="233" s="1"/>
  <c r="Q36" i="299" s="1"/>
  <c r="C327" i="342"/>
  <c r="C37" i="233" s="1"/>
  <c r="D327" i="342"/>
  <c r="D37" i="233" s="1"/>
  <c r="E327" i="342"/>
  <c r="E37" i="233" s="1"/>
  <c r="F327" i="342"/>
  <c r="F37" i="233" s="1"/>
  <c r="G327" i="342"/>
  <c r="G37" i="233" s="1"/>
  <c r="H327" i="342"/>
  <c r="H37" i="233" s="1"/>
  <c r="I327" i="342"/>
  <c r="I37" i="233" s="1"/>
  <c r="O37" i="299" s="1"/>
  <c r="N37" i="299" s="1"/>
  <c r="J327" i="342"/>
  <c r="J37" i="233" s="1"/>
  <c r="K327" i="342"/>
  <c r="K37" i="233" s="1"/>
  <c r="Q37" i="299" s="1"/>
  <c r="L338" i="342"/>
  <c r="M338" i="342"/>
  <c r="N338" i="342"/>
  <c r="O338" i="342"/>
  <c r="P338" i="342"/>
  <c r="Q338" i="342"/>
  <c r="R338" i="342"/>
  <c r="S338" i="342"/>
  <c r="T338" i="342"/>
  <c r="U338" i="342"/>
  <c r="V338" i="342"/>
  <c r="V340" i="342"/>
  <c r="W338" i="342"/>
  <c r="W340" i="342" s="1"/>
  <c r="A340" i="342"/>
  <c r="A341" i="342"/>
  <c r="A2" i="233"/>
  <c r="B2" i="233"/>
  <c r="L2" i="233"/>
  <c r="C3" i="233"/>
  <c r="D3" i="233"/>
  <c r="E3" i="233"/>
  <c r="F3" i="233"/>
  <c r="G3" i="233"/>
  <c r="H3" i="233"/>
  <c r="H5" i="233"/>
  <c r="G13" i="233"/>
  <c r="J14" i="233"/>
  <c r="P14" i="299" s="1"/>
  <c r="G15" i="233"/>
  <c r="H15" i="233"/>
  <c r="L15" i="233"/>
  <c r="K19" i="233"/>
  <c r="Q19" i="299" s="1"/>
  <c r="L19" i="233"/>
  <c r="K29" i="233"/>
  <c r="Q29" i="299" s="1"/>
  <c r="L33" i="233"/>
  <c r="L34" i="233"/>
  <c r="L35" i="233"/>
  <c r="L36" i="233"/>
  <c r="L37" i="233"/>
  <c r="L38" i="233"/>
  <c r="L39" i="233" s="1"/>
  <c r="M38" i="233"/>
  <c r="M39" i="233" s="1"/>
  <c r="N38" i="233"/>
  <c r="N39" i="233" s="1"/>
  <c r="O38" i="233"/>
  <c r="O39" i="233"/>
  <c r="P38" i="233"/>
  <c r="P39" i="233" s="1"/>
  <c r="Q38" i="233"/>
  <c r="Q39" i="233" s="1"/>
  <c r="R38" i="233"/>
  <c r="R39" i="233" s="1"/>
  <c r="S38" i="233"/>
  <c r="S39" i="233" s="1"/>
  <c r="T38" i="233"/>
  <c r="T39" i="233" s="1"/>
  <c r="U38" i="233"/>
  <c r="U39" i="233" s="1"/>
  <c r="V38" i="233"/>
  <c r="V39" i="233" s="1"/>
  <c r="W38" i="233"/>
  <c r="W39" i="233" s="1"/>
  <c r="A39" i="233"/>
  <c r="A45" i="233" s="1"/>
  <c r="A40" i="233"/>
  <c r="B2" i="351"/>
  <c r="C3" i="351"/>
  <c r="D3" i="351"/>
  <c r="E3" i="351"/>
  <c r="F3" i="351"/>
  <c r="G3" i="351"/>
  <c r="H3" i="351"/>
  <c r="C6" i="351"/>
  <c r="C6" i="133" s="1"/>
  <c r="D6" i="351"/>
  <c r="D6" i="133" s="1"/>
  <c r="E6" i="351"/>
  <c r="F6" i="351"/>
  <c r="F6" i="133" s="1"/>
  <c r="G6" i="351"/>
  <c r="H6" i="351"/>
  <c r="H6" i="133" s="1"/>
  <c r="I6" i="351"/>
  <c r="I6" i="133" s="1"/>
  <c r="O6" i="298" s="1"/>
  <c r="N6" i="298" s="1"/>
  <c r="J6" i="351"/>
  <c r="K6" i="351"/>
  <c r="K6" i="133" s="1"/>
  <c r="C23" i="351"/>
  <c r="C8" i="133" s="1"/>
  <c r="D23" i="351"/>
  <c r="D8" i="133" s="1"/>
  <c r="E23" i="351"/>
  <c r="E8" i="133" s="1"/>
  <c r="F23" i="351"/>
  <c r="G23" i="351"/>
  <c r="G8" i="133" s="1"/>
  <c r="H23" i="351"/>
  <c r="H8" i="133" s="1"/>
  <c r="I23" i="351"/>
  <c r="I8" i="133" s="1"/>
  <c r="O8" i="298" s="1"/>
  <c r="N8" i="298" s="1"/>
  <c r="J23" i="351"/>
  <c r="J8" i="133" s="1"/>
  <c r="P8" i="298" s="1"/>
  <c r="K23" i="351"/>
  <c r="K8" i="133" s="1"/>
  <c r="Q8" i="298" s="1"/>
  <c r="C54" i="351"/>
  <c r="C12" i="133" s="1"/>
  <c r="D54" i="351"/>
  <c r="D12" i="133" s="1"/>
  <c r="E54" i="351"/>
  <c r="E12" i="133" s="1"/>
  <c r="F54" i="351"/>
  <c r="F12" i="133" s="1"/>
  <c r="G54" i="351"/>
  <c r="G12" i="133" s="1"/>
  <c r="H54" i="351"/>
  <c r="H12" i="133" s="1"/>
  <c r="I54" i="351"/>
  <c r="I12" i="133" s="1"/>
  <c r="O12" i="298" s="1"/>
  <c r="N12" i="298" s="1"/>
  <c r="J54" i="351"/>
  <c r="J12" i="133" s="1"/>
  <c r="P12" i="298" s="1"/>
  <c r="K54" i="351"/>
  <c r="K12" i="133" s="1"/>
  <c r="Q12" i="298" s="1"/>
  <c r="C107" i="351"/>
  <c r="C22" i="133" s="1"/>
  <c r="D107" i="351"/>
  <c r="D22" i="133" s="1"/>
  <c r="E107" i="351"/>
  <c r="E22" i="133" s="1"/>
  <c r="F107" i="351"/>
  <c r="F22" i="133" s="1"/>
  <c r="G107" i="351"/>
  <c r="G22" i="133" s="1"/>
  <c r="H107" i="351"/>
  <c r="H22" i="133" s="1"/>
  <c r="I107" i="351"/>
  <c r="J107" i="351"/>
  <c r="J22" i="133" s="1"/>
  <c r="P22" i="298" s="1"/>
  <c r="K107" i="351"/>
  <c r="K22" i="133" s="1"/>
  <c r="Q22" i="298" s="1"/>
  <c r="J23" i="133"/>
  <c r="P23" i="298" s="1"/>
  <c r="C117" i="351"/>
  <c r="C24" i="133" s="1"/>
  <c r="D117" i="351"/>
  <c r="D24" i="133" s="1"/>
  <c r="E117" i="351"/>
  <c r="E24" i="133" s="1"/>
  <c r="F117" i="351"/>
  <c r="F24" i="133" s="1"/>
  <c r="G117" i="351"/>
  <c r="G24" i="133" s="1"/>
  <c r="H117" i="351"/>
  <c r="H24" i="133" s="1"/>
  <c r="I117" i="351"/>
  <c r="I24" i="133" s="1"/>
  <c r="O24" i="298" s="1"/>
  <c r="N24" i="298" s="1"/>
  <c r="J117" i="351"/>
  <c r="J24" i="133" s="1"/>
  <c r="P24" i="298" s="1"/>
  <c r="K117" i="351"/>
  <c r="K24" i="133" s="1"/>
  <c r="Q24" i="298" s="1"/>
  <c r="A124" i="351"/>
  <c r="A127" i="351"/>
  <c r="A128" i="351"/>
  <c r="C128" i="351"/>
  <c r="C29" i="133" s="1"/>
  <c r="D128" i="351"/>
  <c r="D29" i="133" s="1"/>
  <c r="E128" i="351"/>
  <c r="E29" i="133" s="1"/>
  <c r="F128" i="351"/>
  <c r="F29" i="133" s="1"/>
  <c r="G128" i="351"/>
  <c r="G29" i="133" s="1"/>
  <c r="H128" i="351"/>
  <c r="H29" i="133" s="1"/>
  <c r="I128" i="351"/>
  <c r="I29" i="133" s="1"/>
  <c r="O29" i="298" s="1"/>
  <c r="N29" i="298" s="1"/>
  <c r="J128" i="351"/>
  <c r="J29" i="133" s="1"/>
  <c r="P29" i="298" s="1"/>
  <c r="K128" i="351"/>
  <c r="A129" i="351"/>
  <c r="A130" i="351"/>
  <c r="A131" i="351"/>
  <c r="A145" i="351"/>
  <c r="C145" i="351"/>
  <c r="C31" i="133" s="1"/>
  <c r="D145" i="351"/>
  <c r="D31" i="133" s="1"/>
  <c r="E145" i="351"/>
  <c r="E31" i="133"/>
  <c r="F145" i="351"/>
  <c r="F31" i="133" s="1"/>
  <c r="G145" i="351"/>
  <c r="G31" i="133" s="1"/>
  <c r="H145" i="351"/>
  <c r="I145" i="351"/>
  <c r="I31" i="133" s="1"/>
  <c r="O31" i="298" s="1"/>
  <c r="N31" i="298" s="1"/>
  <c r="J145" i="351"/>
  <c r="K145" i="351"/>
  <c r="K31" i="133" s="1"/>
  <c r="Q31" i="298" s="1"/>
  <c r="A146" i="351"/>
  <c r="A147" i="351"/>
  <c r="A148" i="351"/>
  <c r="A170" i="351"/>
  <c r="A176" i="351"/>
  <c r="C176" i="351"/>
  <c r="C35" i="133" s="1"/>
  <c r="D176" i="351"/>
  <c r="D35" i="133" s="1"/>
  <c r="E176" i="351"/>
  <c r="E35" i="133" s="1"/>
  <c r="F176" i="351"/>
  <c r="F35" i="133" s="1"/>
  <c r="G176" i="351"/>
  <c r="G35" i="133" s="1"/>
  <c r="H176" i="351"/>
  <c r="H35" i="133" s="1"/>
  <c r="I176" i="351"/>
  <c r="I35" i="133" s="1"/>
  <c r="O35" i="298" s="1"/>
  <c r="N35" i="298" s="1"/>
  <c r="J176" i="351"/>
  <c r="J35" i="133" s="1"/>
  <c r="P35" i="298" s="1"/>
  <c r="K176" i="351"/>
  <c r="K35" i="133" s="1"/>
  <c r="Q35" i="298" s="1"/>
  <c r="A177" i="351"/>
  <c r="A178" i="351"/>
  <c r="A185" i="351"/>
  <c r="A188" i="351"/>
  <c r="A196" i="351"/>
  <c r="A197" i="351"/>
  <c r="A208" i="351"/>
  <c r="C208" i="351"/>
  <c r="C40" i="133" s="1"/>
  <c r="D208" i="351"/>
  <c r="D40" i="133" s="1"/>
  <c r="E208" i="351"/>
  <c r="E40" i="133" s="1"/>
  <c r="F208" i="351"/>
  <c r="F40" i="133" s="1"/>
  <c r="G208" i="351"/>
  <c r="G40" i="133" s="1"/>
  <c r="H208" i="351"/>
  <c r="H40" i="133" s="1"/>
  <c r="I208" i="351"/>
  <c r="I40" i="133" s="1"/>
  <c r="O40" i="298" s="1"/>
  <c r="N40" i="298" s="1"/>
  <c r="J208" i="351"/>
  <c r="J40" i="133" s="1"/>
  <c r="P40" i="298" s="1"/>
  <c r="K208" i="351"/>
  <c r="K40" i="133" s="1"/>
  <c r="Q40" i="298" s="1"/>
  <c r="A209" i="351"/>
  <c r="A213" i="351"/>
  <c r="A220" i="351"/>
  <c r="A221" i="351"/>
  <c r="A222" i="351"/>
  <c r="A223" i="351"/>
  <c r="A225" i="351"/>
  <c r="A229" i="351"/>
  <c r="A234" i="351"/>
  <c r="A239" i="351"/>
  <c r="A246" i="351"/>
  <c r="A247" i="351"/>
  <c r="A248" i="351"/>
  <c r="B2" i="133"/>
  <c r="C3" i="133"/>
  <c r="D3" i="133"/>
  <c r="E3" i="133"/>
  <c r="F3" i="133"/>
  <c r="G3" i="133"/>
  <c r="H3" i="133"/>
  <c r="A25" i="133"/>
  <c r="A25" i="298" s="1"/>
  <c r="A28" i="298"/>
  <c r="A29" i="298"/>
  <c r="A30" i="298"/>
  <c r="A31" i="298"/>
  <c r="A32" i="298"/>
  <c r="A33" i="298"/>
  <c r="A34" i="298"/>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s="1"/>
  <c r="C30" i="86"/>
  <c r="E106" i="123" s="1"/>
  <c r="D30" i="86"/>
  <c r="F106" i="123" s="1"/>
  <c r="E30" i="86"/>
  <c r="G106" i="123" s="1"/>
  <c r="F30" i="86"/>
  <c r="H106" i="123" s="1"/>
  <c r="G30" i="86"/>
  <c r="I106" i="123" s="1"/>
  <c r="H30" i="86"/>
  <c r="I30" i="86"/>
  <c r="K106" i="123"/>
  <c r="J30" i="86"/>
  <c r="L106" i="123" s="1"/>
  <c r="K30" i="86"/>
  <c r="M106" i="123" s="1"/>
  <c r="A31" i="86"/>
  <c r="B31" i="86"/>
  <c r="D105" i="123" s="1"/>
  <c r="C31" i="86"/>
  <c r="E105" i="123" s="1"/>
  <c r="D31" i="86"/>
  <c r="F105" i="123" s="1"/>
  <c r="E31" i="86"/>
  <c r="G105" i="123" s="1"/>
  <c r="F31" i="86"/>
  <c r="H105" i="123" s="1"/>
  <c r="G31" i="86"/>
  <c r="I105" i="123" s="1"/>
  <c r="H31" i="86"/>
  <c r="I31" i="86"/>
  <c r="K105" i="123" s="1"/>
  <c r="J31" i="86"/>
  <c r="L105" i="123" s="1"/>
  <c r="K31" i="86"/>
  <c r="M105" i="123" s="1"/>
  <c r="A35" i="86"/>
  <c r="A36" i="86"/>
  <c r="A37" i="86"/>
  <c r="A38" i="86"/>
  <c r="E43" i="86"/>
  <c r="F43" i="86"/>
  <c r="C44" i="86"/>
  <c r="F44" i="86"/>
  <c r="A45" i="86"/>
  <c r="A41" i="301" s="1"/>
  <c r="A48" i="86"/>
  <c r="A49" i="86"/>
  <c r="A62" i="86"/>
  <c r="A63" i="86"/>
  <c r="A64" i="86"/>
  <c r="A65" i="86"/>
  <c r="A2" i="347"/>
  <c r="A6" i="343" s="1"/>
  <c r="A3" i="347"/>
  <c r="D3" i="347"/>
  <c r="A4" i="347"/>
  <c r="D4" i="347"/>
  <c r="A5" i="347"/>
  <c r="A39" i="343" s="1"/>
  <c r="A208" i="343" s="1"/>
  <c r="D5" i="347"/>
  <c r="A6" i="347"/>
  <c r="A50" i="343" s="1"/>
  <c r="A219" i="343" s="1"/>
  <c r="D6" i="347"/>
  <c r="A7" i="347"/>
  <c r="D7" i="347"/>
  <c r="A8" i="347"/>
  <c r="D8" i="347"/>
  <c r="A9" i="347"/>
  <c r="A83" i="343" s="1"/>
  <c r="A252" i="343" s="1"/>
  <c r="D9" i="347"/>
  <c r="A10" i="347"/>
  <c r="A93" i="342" s="1"/>
  <c r="D10" i="347"/>
  <c r="A11" i="347"/>
  <c r="D11" i="347"/>
  <c r="A12" i="347"/>
  <c r="D12" i="347"/>
  <c r="A13" i="347"/>
  <c r="A126" i="342" s="1"/>
  <c r="A14" i="347"/>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04" i="100" s="1"/>
  <c r="E100" i="100"/>
  <c r="F100" i="100"/>
  <c r="E102" i="100"/>
  <c r="F102" i="100"/>
  <c r="E103" i="100"/>
  <c r="F103" i="100"/>
  <c r="A28" i="315" s="1"/>
  <c r="E105" i="100"/>
  <c r="F105" i="100"/>
  <c r="A79"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2760" i="364" s="1"/>
  <c r="J35" i="237"/>
  <c r="H143" i="363"/>
  <c r="L143" i="363"/>
  <c r="J168" i="363"/>
  <c r="H214" i="363"/>
  <c r="I214" i="363"/>
  <c r="H189" i="363"/>
  <c r="E168" i="363"/>
  <c r="I168" i="363"/>
  <c r="I245" i="363"/>
  <c r="E199" i="363"/>
  <c r="I199" i="363"/>
  <c r="G235" i="363"/>
  <c r="H180" i="363"/>
  <c r="F189" i="363"/>
  <c r="I189" i="363"/>
  <c r="M189" i="363"/>
  <c r="G226" i="363"/>
  <c r="K226" i="363"/>
  <c r="E235" i="363"/>
  <c r="I235" i="363"/>
  <c r="I180" i="363"/>
  <c r="G189" i="363"/>
  <c r="F235" i="363"/>
  <c r="G143" i="363"/>
  <c r="F199" i="363"/>
  <c r="J199" i="363"/>
  <c r="F226" i="363"/>
  <c r="I153" i="363"/>
  <c r="F180" i="363"/>
  <c r="J180" i="363"/>
  <c r="F214" i="363"/>
  <c r="J214" i="363"/>
  <c r="E214" i="363"/>
  <c r="M214" i="363"/>
  <c r="F245" i="363"/>
  <c r="J245" i="363"/>
  <c r="H245" i="363"/>
  <c r="I96" i="363"/>
  <c r="G96" i="363"/>
  <c r="E64" i="305"/>
  <c r="E102" i="255" s="1"/>
  <c r="K245" i="363"/>
  <c r="J35" i="253"/>
  <c r="L96" i="363"/>
  <c r="K189" i="363"/>
  <c r="L168" i="363"/>
  <c r="L75" i="363"/>
  <c r="M168" i="363"/>
  <c r="K59" i="253"/>
  <c r="K235" i="363"/>
  <c r="L226" i="363"/>
  <c r="L199" i="363"/>
  <c r="M180" i="363"/>
  <c r="K17" i="253"/>
  <c r="L100" i="363"/>
  <c r="L189" i="363"/>
  <c r="J23" i="253"/>
  <c r="A160" i="343"/>
  <c r="A159" i="342"/>
  <c r="I24" i="126"/>
  <c r="Q9" i="300"/>
  <c r="K166" i="343"/>
  <c r="I32" i="253"/>
  <c r="K96" i="363"/>
  <c r="J40" i="253"/>
  <c r="I42" i="253"/>
  <c r="J7" i="343"/>
  <c r="K44" i="139"/>
  <c r="G44" i="139"/>
  <c r="C44" i="139"/>
  <c r="A82" i="342"/>
  <c r="A250" i="342" s="1"/>
  <c r="A30" i="233" s="1"/>
  <c r="A38" i="342"/>
  <c r="A206" i="342" s="1"/>
  <c r="A26" i="233" s="1"/>
  <c r="J25" i="126"/>
  <c r="O24" i="140" s="1"/>
  <c r="N24" i="140" s="1"/>
  <c r="J51" i="343"/>
  <c r="N42" i="137"/>
  <c r="G16" i="126"/>
  <c r="C16" i="126"/>
  <c r="D6" i="126"/>
  <c r="J95" i="343"/>
  <c r="O22" i="143"/>
  <c r="K45" i="136"/>
  <c r="H14" i="146"/>
  <c r="A12" i="128"/>
  <c r="A14" i="128"/>
  <c r="J45" i="136"/>
  <c r="C27" i="249"/>
  <c r="D32" i="142"/>
  <c r="E27" i="136"/>
  <c r="A47" i="316"/>
  <c r="G46" i="146"/>
  <c r="F48" i="146"/>
  <c r="H51" i="95"/>
  <c r="H53" i="95" s="1"/>
  <c r="H63" i="95" s="1"/>
  <c r="I75" i="363"/>
  <c r="E13" i="253"/>
  <c r="K23" i="139"/>
  <c r="C23" i="139"/>
  <c r="M23" i="139"/>
  <c r="I23" i="139"/>
  <c r="H44" i="139"/>
  <c r="D44" i="139"/>
  <c r="H87" i="363"/>
  <c r="H33" i="253"/>
  <c r="H35" i="253" s="1"/>
  <c r="G64" i="86" s="1"/>
  <c r="J96" i="363"/>
  <c r="C13" i="253"/>
  <c r="E17" i="253"/>
  <c r="G59" i="253"/>
  <c r="I9" i="253"/>
  <c r="K71" i="363"/>
  <c r="M199" i="363"/>
  <c r="D59" i="253"/>
  <c r="G42" i="253"/>
  <c r="E59" i="253"/>
  <c r="J39" i="131"/>
  <c r="A71" i="336"/>
  <c r="B2254" i="364"/>
  <c r="B1213" i="364"/>
  <c r="B575" i="364"/>
  <c r="F93" i="248"/>
  <c r="C139" i="367"/>
  <c r="I92" i="248"/>
  <c r="I93" i="248" s="1"/>
  <c r="F139" i="367"/>
  <c r="J118" i="367"/>
  <c r="E118" i="367"/>
  <c r="E86" i="248"/>
  <c r="I110" i="367"/>
  <c r="J84" i="248"/>
  <c r="J86" i="248" s="1"/>
  <c r="C110" i="367"/>
  <c r="G110" i="367"/>
  <c r="F81" i="248"/>
  <c r="K74" i="367"/>
  <c r="H74" i="367"/>
  <c r="F110" i="358"/>
  <c r="G110" i="358"/>
  <c r="G74" i="358"/>
  <c r="C139" i="349"/>
  <c r="E139" i="349"/>
  <c r="G139" i="349"/>
  <c r="K192" i="248"/>
  <c r="K193" i="248" s="1"/>
  <c r="E110" i="349"/>
  <c r="D186" i="248"/>
  <c r="F110" i="349"/>
  <c r="J110" i="349"/>
  <c r="K110" i="349"/>
  <c r="J74" i="349"/>
  <c r="E60" i="248"/>
  <c r="E61" i="248" s="1"/>
  <c r="I60" i="248"/>
  <c r="I61" i="248" s="1"/>
  <c r="G139" i="350"/>
  <c r="H61" i="248"/>
  <c r="E118" i="350"/>
  <c r="I118" i="350"/>
  <c r="J55" i="248"/>
  <c r="I54" i="248"/>
  <c r="I74" i="350"/>
  <c r="H108" i="248"/>
  <c r="I126" i="248"/>
  <c r="F28" i="248"/>
  <c r="I123" i="248"/>
  <c r="G118" i="134"/>
  <c r="C118" i="134"/>
  <c r="D23" i="248"/>
  <c r="F110" i="134"/>
  <c r="J110" i="134"/>
  <c r="G110" i="134"/>
  <c r="K20" i="248"/>
  <c r="K116" i="248"/>
  <c r="E110" i="134"/>
  <c r="H16" i="248"/>
  <c r="H112" i="248" s="1"/>
  <c r="E108" i="248"/>
  <c r="G107" i="248"/>
  <c r="G67" i="144"/>
  <c r="G12" i="237" s="1"/>
  <c r="I15" i="337"/>
  <c r="H35" i="237"/>
  <c r="I35" i="237"/>
  <c r="J36" i="142"/>
  <c r="D84" i="128"/>
  <c r="C84" i="128" s="1"/>
  <c r="O51" i="95"/>
  <c r="D53" i="95"/>
  <c r="C28" i="86"/>
  <c r="E107" i="123" s="1"/>
  <c r="K42" i="123"/>
  <c r="I42" i="123"/>
  <c r="H38" i="131"/>
  <c r="H40" i="131" s="1"/>
  <c r="G38" i="131"/>
  <c r="K37" i="246"/>
  <c r="K41" i="246" s="1"/>
  <c r="K46" i="129"/>
  <c r="K48" i="129" s="1"/>
  <c r="J39" i="86" s="1"/>
  <c r="E11" i="88"/>
  <c r="E35" i="237"/>
  <c r="J55" i="123"/>
  <c r="G84" i="123" s="1"/>
  <c r="J15" i="123"/>
  <c r="H36" i="142"/>
  <c r="K67" i="144"/>
  <c r="L12" i="237" s="1"/>
  <c r="C67" i="144"/>
  <c r="C12" i="237" s="1"/>
  <c r="K34" i="144"/>
  <c r="J34" i="144"/>
  <c r="F34" i="144"/>
  <c r="J49" i="131"/>
  <c r="H131" i="248"/>
  <c r="H130" i="248"/>
  <c r="E130" i="248"/>
  <c r="D129" i="248"/>
  <c r="D92" i="248"/>
  <c r="D93" i="248" s="1"/>
  <c r="J139" i="367"/>
  <c r="K139" i="367"/>
  <c r="G139" i="367"/>
  <c r="K93" i="248"/>
  <c r="H123" i="248"/>
  <c r="F123" i="248"/>
  <c r="G123" i="248"/>
  <c r="K123" i="248"/>
  <c r="K122" i="248"/>
  <c r="J89" i="248"/>
  <c r="C120" i="248"/>
  <c r="C118" i="367"/>
  <c r="H118" i="367"/>
  <c r="K89" i="248"/>
  <c r="I89" i="248"/>
  <c r="K118" i="367"/>
  <c r="H87" i="248"/>
  <c r="G86" i="248"/>
  <c r="F110" i="367"/>
  <c r="I86" i="248"/>
  <c r="C86" i="248"/>
  <c r="D110" i="367"/>
  <c r="F86" i="248"/>
  <c r="D84" i="248"/>
  <c r="D86" i="248" s="1"/>
  <c r="E110" i="367"/>
  <c r="I116" i="248"/>
  <c r="K110" i="367"/>
  <c r="E74" i="367"/>
  <c r="G82" i="248"/>
  <c r="E113" i="248"/>
  <c r="E82" i="248"/>
  <c r="C80" i="248"/>
  <c r="G74" i="367"/>
  <c r="D109" i="248"/>
  <c r="C71" i="248"/>
  <c r="G6" i="367"/>
  <c r="D6" i="367"/>
  <c r="H71" i="248"/>
  <c r="G70" i="248"/>
  <c r="J118" i="358"/>
  <c r="E193" i="248"/>
  <c r="J192" i="248"/>
  <c r="J193" i="248" s="1"/>
  <c r="C189" i="248"/>
  <c r="F189" i="248"/>
  <c r="G188" i="248"/>
  <c r="D189" i="248"/>
  <c r="H188" i="248"/>
  <c r="J189" i="248"/>
  <c r="D118" i="349"/>
  <c r="F118" i="349"/>
  <c r="I186" i="248"/>
  <c r="F185" i="248"/>
  <c r="J185" i="248"/>
  <c r="J186" i="248" s="1"/>
  <c r="K185" i="248"/>
  <c r="K186" i="248" s="1"/>
  <c r="D110" i="349"/>
  <c r="H110" i="349"/>
  <c r="E184" i="248"/>
  <c r="E186" i="248" s="1"/>
  <c r="J182" i="248"/>
  <c r="H182" i="248"/>
  <c r="C74" i="349"/>
  <c r="F182" i="248"/>
  <c r="I74" i="349"/>
  <c r="K180" i="248"/>
  <c r="F74" i="349"/>
  <c r="I180" i="248"/>
  <c r="I182" i="248" s="1"/>
  <c r="H74" i="349"/>
  <c r="G172" i="248"/>
  <c r="E131" i="248"/>
  <c r="J131" i="248"/>
  <c r="C131" i="248"/>
  <c r="F130" i="248"/>
  <c r="K129" i="248"/>
  <c r="C129" i="248"/>
  <c r="I129" i="248"/>
  <c r="H129" i="248"/>
  <c r="H128" i="248"/>
  <c r="F126" i="248"/>
  <c r="D126" i="248"/>
  <c r="C123" i="248"/>
  <c r="J123" i="248"/>
  <c r="E122" i="248"/>
  <c r="I122" i="248"/>
  <c r="F57" i="248"/>
  <c r="K57" i="248"/>
  <c r="F120" i="248"/>
  <c r="G57" i="248"/>
  <c r="I56" i="248"/>
  <c r="F118" i="350"/>
  <c r="H57" i="248"/>
  <c r="K118" i="350"/>
  <c r="G118" i="350"/>
  <c r="H120" i="248"/>
  <c r="D57" i="248"/>
  <c r="D118" i="350"/>
  <c r="D54" i="248"/>
  <c r="F117" i="248"/>
  <c r="I110" i="350"/>
  <c r="H110" i="350"/>
  <c r="K54" i="248"/>
  <c r="E110" i="350"/>
  <c r="D110" i="350"/>
  <c r="F52" i="248"/>
  <c r="J52" i="248"/>
  <c r="J116" i="248" s="1"/>
  <c r="K110" i="350"/>
  <c r="G52" i="248"/>
  <c r="E115" i="248"/>
  <c r="F115" i="248"/>
  <c r="J115" i="248"/>
  <c r="G115" i="248"/>
  <c r="D115" i="248"/>
  <c r="H115" i="248"/>
  <c r="G74" i="350"/>
  <c r="D50" i="248"/>
  <c r="H74" i="350"/>
  <c r="K74" i="350"/>
  <c r="G113" i="248"/>
  <c r="J50" i="248"/>
  <c r="I50" i="248"/>
  <c r="D74" i="350"/>
  <c r="F50" i="248"/>
  <c r="K48" i="248"/>
  <c r="K112" i="248" s="1"/>
  <c r="I110" i="248"/>
  <c r="C110" i="248"/>
  <c r="K45" i="248"/>
  <c r="F109" i="248"/>
  <c r="F108" i="248"/>
  <c r="J108" i="248"/>
  <c r="J107" i="248"/>
  <c r="D106" i="248"/>
  <c r="G6" i="350"/>
  <c r="F106" i="248"/>
  <c r="K105" i="248"/>
  <c r="D40" i="248"/>
  <c r="E38" i="248"/>
  <c r="I38" i="248"/>
  <c r="E29" i="248"/>
  <c r="K28" i="248"/>
  <c r="E139" i="134"/>
  <c r="I139" i="134"/>
  <c r="D123" i="248"/>
  <c r="C25" i="248"/>
  <c r="H25" i="248"/>
  <c r="I23" i="248"/>
  <c r="H118" i="134"/>
  <c r="I22" i="248"/>
  <c r="I117" i="248"/>
  <c r="H110" i="134"/>
  <c r="I110" i="134"/>
  <c r="J22" i="248"/>
  <c r="G20" i="248"/>
  <c r="G116" i="248" s="1"/>
  <c r="K22" i="248"/>
  <c r="H20" i="248"/>
  <c r="F74" i="134"/>
  <c r="J17" i="248"/>
  <c r="J113" i="248" s="1"/>
  <c r="K74" i="134"/>
  <c r="G18" i="248"/>
  <c r="G74" i="134"/>
  <c r="D18" i="248"/>
  <c r="F18" i="248"/>
  <c r="K18" i="248"/>
  <c r="E16" i="248"/>
  <c r="J16" i="248"/>
  <c r="D74" i="134"/>
  <c r="K14" i="248"/>
  <c r="I6" i="134"/>
  <c r="H7" i="248"/>
  <c r="I7" i="248"/>
  <c r="F10" i="133"/>
  <c r="J32" i="337"/>
  <c r="J51" i="95"/>
  <c r="D39" i="248"/>
  <c r="I41" i="248"/>
  <c r="I105" i="248" s="1"/>
  <c r="K42" i="248"/>
  <c r="K6" i="350"/>
  <c r="H18" i="248"/>
  <c r="F33" i="337"/>
  <c r="L27" i="126"/>
  <c r="Q26" i="140" s="1"/>
  <c r="K24" i="126"/>
  <c r="P23" i="140" s="1"/>
  <c r="G24" i="126"/>
  <c r="C24" i="126"/>
  <c r="J63" i="343"/>
  <c r="Q61" i="343"/>
  <c r="K21" i="343"/>
  <c r="K140" i="343"/>
  <c r="E18" i="126"/>
  <c r="E171" i="343"/>
  <c r="H16" i="126"/>
  <c r="H171" i="343"/>
  <c r="C7" i="126"/>
  <c r="K72" i="343"/>
  <c r="K12" i="126" s="1"/>
  <c r="K113" i="343"/>
  <c r="J84" i="343"/>
  <c r="I13" i="126"/>
  <c r="U39" i="343"/>
  <c r="J34" i="343"/>
  <c r="I5" i="233"/>
  <c r="O5" i="299" s="1"/>
  <c r="N5" i="299" s="1"/>
  <c r="I30" i="253"/>
  <c r="I31" i="253" s="1"/>
  <c r="K92" i="363"/>
  <c r="K97" i="363" s="1"/>
  <c r="C32" i="253"/>
  <c r="B1853" i="364"/>
  <c r="B56" i="364"/>
  <c r="B342" i="364"/>
  <c r="B3" i="100"/>
  <c r="D2" i="144" s="1"/>
  <c r="K28" i="86"/>
  <c r="M107" i="123" s="1"/>
  <c r="K162" i="343"/>
  <c r="K154" i="343"/>
  <c r="J106" i="343"/>
  <c r="F8" i="126"/>
  <c r="L62" i="95"/>
  <c r="K42" i="253"/>
  <c r="B66" i="364"/>
  <c r="A13" i="126"/>
  <c r="A31" i="126" s="1"/>
  <c r="A30" i="140" s="1"/>
  <c r="G171" i="343"/>
  <c r="G6" i="126"/>
  <c r="G21" i="126" s="1"/>
  <c r="I45" i="136"/>
  <c r="A48" i="316"/>
  <c r="A43" i="316"/>
  <c r="K20" i="301"/>
  <c r="A116" i="343"/>
  <c r="A285" i="343" s="1"/>
  <c r="A115" i="342"/>
  <c r="A15" i="233" s="1"/>
  <c r="M2" i="246" s="1"/>
  <c r="F26" i="126"/>
  <c r="L105" i="343"/>
  <c r="L15" i="126" s="1"/>
  <c r="K95" i="343"/>
  <c r="U61" i="343"/>
  <c r="K12" i="253"/>
  <c r="K29" i="253"/>
  <c r="M92" i="363"/>
  <c r="K62" i="343"/>
  <c r="K61" i="343" s="1"/>
  <c r="K11" i="126" s="1"/>
  <c r="F67" i="144"/>
  <c r="F12" i="237" s="1"/>
  <c r="I49" i="316"/>
  <c r="G57" i="145"/>
  <c r="C57" i="145"/>
  <c r="D23" i="253"/>
  <c r="H23" i="253"/>
  <c r="M96" i="363"/>
  <c r="M100" i="363"/>
  <c r="K38" i="253"/>
  <c r="K39" i="253" s="1"/>
  <c r="F139" i="350"/>
  <c r="C20" i="248"/>
  <c r="C22" i="248" s="1"/>
  <c r="C110" i="134"/>
  <c r="L149" i="343"/>
  <c r="L19" i="126" s="1"/>
  <c r="L127" i="343"/>
  <c r="L17" i="126" s="1"/>
  <c r="Q16" i="140" s="1"/>
  <c r="U116" i="343"/>
  <c r="U72" i="343"/>
  <c r="M42" i="123"/>
  <c r="E67" i="144"/>
  <c r="E12" i="237" s="1"/>
  <c r="D49" i="316"/>
  <c r="N23" i="139"/>
  <c r="F23" i="139"/>
  <c r="G87" i="363"/>
  <c r="F57" i="145"/>
  <c r="E48" i="298"/>
  <c r="I62" i="95"/>
  <c r="I51" i="95"/>
  <c r="E118" i="349"/>
  <c r="E187" i="248"/>
  <c r="E189" i="248" s="1"/>
  <c r="K53" i="316"/>
  <c r="G98" i="146"/>
  <c r="F118" i="134"/>
  <c r="F23" i="248"/>
  <c r="F25" i="248" s="1"/>
  <c r="G185" i="248"/>
  <c r="G186" i="248" s="1"/>
  <c r="G110" i="349"/>
  <c r="I74" i="134"/>
  <c r="I16" i="248"/>
  <c r="I112" i="248" s="1"/>
  <c r="J74" i="367"/>
  <c r="J80" i="248"/>
  <c r="J82" i="248" s="1"/>
  <c r="C74" i="134"/>
  <c r="D28" i="248"/>
  <c r="D29" i="248" s="1"/>
  <c r="D139" i="134"/>
  <c r="I187" i="248"/>
  <c r="I189" i="248" s="1"/>
  <c r="H192" i="248"/>
  <c r="H193" i="248" s="1"/>
  <c r="H139" i="349"/>
  <c r="C16" i="248"/>
  <c r="C112" i="248" s="1"/>
  <c r="D118" i="367"/>
  <c r="I118" i="367"/>
  <c r="D87" i="248"/>
  <c r="D89" i="248" s="1"/>
  <c r="B38" i="364"/>
  <c r="B1261" i="364"/>
  <c r="B388" i="364"/>
  <c r="B480" i="364"/>
  <c r="B936" i="364"/>
  <c r="B1541" i="364"/>
  <c r="B499" i="364"/>
  <c r="B1098" i="364"/>
  <c r="B1712" i="364"/>
  <c r="B873" i="364"/>
  <c r="B1327" i="364"/>
  <c r="B2521" i="364"/>
  <c r="B1964" i="364"/>
  <c r="B2343" i="364"/>
  <c r="B2620" i="364"/>
  <c r="B1068" i="364"/>
  <c r="B223" i="364"/>
  <c r="B2225" i="364"/>
  <c r="B1023" i="364"/>
  <c r="B276" i="364"/>
  <c r="B592" i="364"/>
  <c r="B1084" i="364"/>
  <c r="B1688" i="364"/>
  <c r="B611" i="364"/>
  <c r="B1254" i="364"/>
  <c r="B1906" i="364"/>
  <c r="B985" i="364"/>
  <c r="B1469" i="364"/>
  <c r="B1953" i="364"/>
  <c r="B2273" i="364"/>
  <c r="B2827" i="364"/>
  <c r="B992" i="364"/>
  <c r="B15" i="364"/>
  <c r="B2445" i="364"/>
  <c r="B2295" i="364"/>
  <c r="B2832" i="364"/>
  <c r="B2355" i="364"/>
  <c r="B2217" i="364"/>
  <c r="B2018" i="364"/>
  <c r="B1916" i="364"/>
  <c r="B1788" i="364"/>
  <c r="B1722" i="364"/>
  <c r="B1658" i="364"/>
  <c r="B1594" i="364"/>
  <c r="B1530" i="364"/>
  <c r="B1466" i="364"/>
  <c r="B1402" i="364"/>
  <c r="B1338" i="364"/>
  <c r="B1274" i="364"/>
  <c r="B1210" i="364"/>
  <c r="B1146" i="364"/>
  <c r="B1082" i="364"/>
  <c r="B1018" i="364"/>
  <c r="B954" i="364"/>
  <c r="B922" i="364"/>
  <c r="B890" i="364"/>
  <c r="B858" i="364"/>
  <c r="B2276" i="364"/>
  <c r="B1909" i="364"/>
  <c r="B1781" i="364"/>
  <c r="B1713" i="364"/>
  <c r="B1649" i="364"/>
  <c r="B1585" i="364"/>
  <c r="B1521" i="364"/>
  <c r="B1457" i="364"/>
  <c r="B1393" i="364"/>
  <c r="B1329" i="364"/>
  <c r="B1265" i="364"/>
  <c r="B1201" i="364"/>
  <c r="B1137" i="364"/>
  <c r="B1073" i="364"/>
  <c r="B1009" i="364"/>
  <c r="B848" i="364"/>
  <c r="B721" i="364"/>
  <c r="B684" i="364"/>
  <c r="B634" i="364"/>
  <c r="B593" i="364"/>
  <c r="B556" i="364"/>
  <c r="B2274" i="364"/>
  <c r="B2050" i="364"/>
  <c r="B1877" i="364"/>
  <c r="B1806" i="364"/>
  <c r="B1685" i="364"/>
  <c r="B1557" i="364"/>
  <c r="B1429" i="364"/>
  <c r="B1301" i="364"/>
  <c r="B1173" i="364"/>
  <c r="B1045" i="364"/>
  <c r="B941" i="364"/>
  <c r="B877" i="364"/>
  <c r="B830" i="364"/>
  <c r="B798" i="364"/>
  <c r="B766" i="364"/>
  <c r="B734" i="364"/>
  <c r="B697" i="364"/>
  <c r="B660" i="364"/>
  <c r="B610" i="364"/>
  <c r="B569" i="364"/>
  <c r="B532" i="364"/>
  <c r="B482" i="364"/>
  <c r="B441" i="364"/>
  <c r="B421" i="364"/>
  <c r="B405" i="364"/>
  <c r="B389" i="364"/>
  <c r="B373" i="364"/>
  <c r="B357" i="364"/>
  <c r="B341" i="364"/>
  <c r="B325" i="364"/>
  <c r="B2561" i="364"/>
  <c r="B1971" i="364"/>
  <c r="B1782" i="364"/>
  <c r="B1653" i="364"/>
  <c r="B1525" i="364"/>
  <c r="B2762" i="364"/>
  <c r="B2345" i="364"/>
  <c r="B2172" i="364"/>
  <c r="B2306" i="364"/>
  <c r="B2119" i="364"/>
  <c r="B1934" i="364"/>
  <c r="B1762" i="364"/>
  <c r="B1690" i="364"/>
  <c r="B1602" i="364"/>
  <c r="B1506" i="364"/>
  <c r="B1434" i="364"/>
  <c r="B1346" i="364"/>
  <c r="B1250" i="364"/>
  <c r="B1178" i="364"/>
  <c r="B1090" i="364"/>
  <c r="B994" i="364"/>
  <c r="B931" i="364"/>
  <c r="B894" i="364"/>
  <c r="B2679" i="364"/>
  <c r="B2089" i="364"/>
  <c r="B1821" i="364"/>
  <c r="B1703" i="364"/>
  <c r="B1612" i="364"/>
  <c r="B1536" i="364"/>
  <c r="B1447" i="364"/>
  <c r="B1356" i="364"/>
  <c r="B1280" i="364"/>
  <c r="B1191" i="364"/>
  <c r="B1100"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622" i="364"/>
  <c r="B1553" i="364"/>
  <c r="B1041" i="364"/>
  <c r="B554" i="364"/>
  <c r="B452" i="364"/>
  <c r="B410" i="364"/>
  <c r="B350" i="364"/>
  <c r="B307" i="364"/>
  <c r="B275" i="364"/>
  <c r="B243" i="364"/>
  <c r="B211" i="364"/>
  <c r="B183" i="364"/>
  <c r="B151" i="364"/>
  <c r="B119" i="364"/>
  <c r="B87" i="364"/>
  <c r="B55" i="364"/>
  <c r="B23" i="364"/>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1376" i="364"/>
  <c r="B626" i="364"/>
  <c r="B457" i="364"/>
  <c r="B390" i="364"/>
  <c r="B326" i="364"/>
  <c r="B290" i="364"/>
  <c r="B240" i="364"/>
  <c r="B197" i="364"/>
  <c r="B158" i="364"/>
  <c r="B110" i="364"/>
  <c r="B71" i="364"/>
  <c r="B30" i="364"/>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L3" i="315" s="1"/>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1632" i="364"/>
  <c r="B586" i="364"/>
  <c r="B429" i="364"/>
  <c r="B346" i="364"/>
  <c r="B272" i="364"/>
  <c r="B226" i="364"/>
  <c r="B167" i="364"/>
  <c r="B103" i="364"/>
  <c r="B46" i="364"/>
  <c r="B7" i="100"/>
  <c r="O2" i="368" s="1"/>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B1297" i="364"/>
  <c r="B498" i="364"/>
  <c r="B414" i="364"/>
  <c r="B320" i="364"/>
  <c r="B261" i="364"/>
  <c r="B208" i="364"/>
  <c r="B142" i="364"/>
  <c r="B94" i="364"/>
  <c r="B39" i="364"/>
  <c r="B11" i="364"/>
  <c r="B107" i="364"/>
  <c r="B224" i="364"/>
  <c r="B318" i="364"/>
  <c r="B797" i="364"/>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4" i="100"/>
  <c r="C2" i="301" s="1"/>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22" i="100"/>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F63" i="363"/>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16"/>
  <c r="D2" i="134"/>
  <c r="D2" i="336"/>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H2" i="363"/>
  <c r="D2" i="342"/>
  <c r="B416" i="364"/>
  <c r="B5" i="100"/>
  <c r="G2" i="123" s="1"/>
  <c r="B287" i="364"/>
  <c r="B291" i="364"/>
  <c r="B336" i="364"/>
  <c r="B713" i="364"/>
  <c r="B317" i="364"/>
  <c r="B2856" i="364"/>
  <c r="B1871" i="364"/>
  <c r="B1599" i="364"/>
  <c r="B1367" i="364"/>
  <c r="B1143" i="364"/>
  <c r="B919" i="364"/>
  <c r="B687" i="364"/>
  <c r="B463" i="364"/>
  <c r="B337" i="364"/>
  <c r="B217" i="364"/>
  <c r="B105" i="364"/>
  <c r="B6" i="100"/>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H3" i="294"/>
  <c r="C2" i="294"/>
  <c r="I2" i="351"/>
  <c r="E2" i="139"/>
  <c r="I2" i="358"/>
  <c r="P2" i="296"/>
  <c r="K2" i="315"/>
  <c r="J2" i="255"/>
  <c r="K155" i="363"/>
  <c r="I2" i="367"/>
  <c r="I2" i="249"/>
  <c r="B50" i="100"/>
  <c r="K2" i="363"/>
  <c r="H2" i="361"/>
  <c r="O2" i="256"/>
  <c r="K2" i="123"/>
  <c r="J2" i="127"/>
  <c r="K2" i="141"/>
  <c r="J2" i="126"/>
  <c r="I2" i="337"/>
  <c r="I2" i="248"/>
  <c r="I2" i="86"/>
  <c r="I2" i="336"/>
  <c r="K63" i="363"/>
  <c r="J2" i="131"/>
  <c r="I2" i="146"/>
  <c r="C2" i="349"/>
  <c r="G2" i="363"/>
  <c r="C813" i="364"/>
  <c r="C1337" i="364"/>
  <c r="C1464" i="364"/>
  <c r="C335" i="364"/>
  <c r="C624" i="364"/>
  <c r="C2721" i="364"/>
  <c r="C791" i="364"/>
  <c r="C2336" i="364"/>
  <c r="C1841" i="364"/>
  <c r="C900" i="364"/>
  <c r="C1761" i="364"/>
  <c r="C2488" i="364"/>
  <c r="C1614" i="364"/>
  <c r="C1001" i="364"/>
  <c r="C1426" i="364"/>
  <c r="C349" i="364"/>
  <c r="C2769" i="364"/>
  <c r="C456" i="364"/>
  <c r="C1970" i="364"/>
  <c r="C1668" i="364"/>
  <c r="C474" i="364"/>
  <c r="C1096" i="364"/>
  <c r="C833" i="364"/>
  <c r="C977" i="364"/>
  <c r="C62" i="364"/>
  <c r="C406" i="364"/>
  <c r="C408" i="364"/>
  <c r="C850" i="364"/>
  <c r="C1393" i="364"/>
  <c r="C2355" i="364"/>
  <c r="C2438" i="364"/>
  <c r="C2484" i="364"/>
  <c r="C578" i="364"/>
  <c r="C1108" i="364"/>
  <c r="C2272" i="364"/>
  <c r="C2090" i="364"/>
  <c r="C431" i="364"/>
  <c r="C1966" i="364"/>
  <c r="C2729" i="364"/>
  <c r="C721" i="364"/>
  <c r="C1143" i="364"/>
  <c r="C2209" i="364"/>
  <c r="C305" i="364"/>
  <c r="C2678" i="364"/>
  <c r="C2186" i="364"/>
  <c r="C1387" i="364"/>
  <c r="C1933" i="364"/>
  <c r="C1926" i="364"/>
  <c r="C304" i="364"/>
  <c r="C988" i="364"/>
  <c r="C2510" i="364"/>
  <c r="C627" i="364"/>
  <c r="C372" i="364"/>
  <c r="C1892" i="364"/>
  <c r="C2411" i="364"/>
  <c r="C1687" i="364"/>
  <c r="C1339" i="364"/>
  <c r="C319" i="364"/>
  <c r="C1514" i="364"/>
  <c r="C1153" i="364"/>
  <c r="C563" i="364"/>
  <c r="C1399" i="364"/>
  <c r="C2869" i="364"/>
  <c r="C114" i="364"/>
  <c r="C1224" i="364"/>
  <c r="C508" i="364"/>
  <c r="C2762" i="364"/>
  <c r="C2199" i="364"/>
  <c r="C1602" i="364"/>
  <c r="C751" i="364"/>
  <c r="C69" i="364"/>
  <c r="C2043" i="364"/>
  <c r="C688" i="364"/>
  <c r="C1296" i="364"/>
  <c r="C914" i="364"/>
  <c r="C533" i="364"/>
  <c r="C535" i="364"/>
  <c r="C1595" i="364"/>
  <c r="C445" i="364"/>
  <c r="C1370" i="364"/>
  <c r="C1383" i="364"/>
  <c r="C1984" i="364"/>
  <c r="C1748" i="364"/>
  <c r="C959" i="364"/>
  <c r="C2331" i="364"/>
  <c r="C173" i="364"/>
  <c r="C1420" i="364"/>
  <c r="C2087" i="364"/>
  <c r="C1759" i="364"/>
  <c r="C2832" i="364"/>
  <c r="C1006" i="364"/>
  <c r="C2117" i="364"/>
  <c r="C925" i="364"/>
  <c r="C669" i="364"/>
  <c r="C573" i="364"/>
  <c r="C208" i="364"/>
  <c r="N3" i="368"/>
  <c r="A3" i="335"/>
  <c r="F2" i="255"/>
  <c r="H247" i="363"/>
  <c r="F2" i="88"/>
  <c r="F2" i="233"/>
  <c r="J2" i="139"/>
  <c r="O3" i="127"/>
  <c r="F2" i="142"/>
  <c r="J64" i="86"/>
  <c r="J112" i="248"/>
  <c r="E16" i="294"/>
  <c r="H89" i="248"/>
  <c r="H119" i="248"/>
  <c r="H121" i="248" s="1"/>
  <c r="P37" i="299"/>
  <c r="K18" i="343"/>
  <c r="U17" i="343"/>
  <c r="I118" i="248"/>
  <c r="A9" i="126"/>
  <c r="A8" i="140" s="1"/>
  <c r="C727" i="364"/>
  <c r="C1218" i="364"/>
  <c r="C2517" i="364"/>
  <c r="C1850" i="364"/>
  <c r="C104" i="364"/>
  <c r="C2737" i="364"/>
  <c r="C800" i="364"/>
  <c r="C430" i="364"/>
  <c r="C518" i="364"/>
  <c r="A71" i="342"/>
  <c r="A72" i="343"/>
  <c r="J118" i="343"/>
  <c r="J116" i="343" s="1"/>
  <c r="J16" i="126" s="1"/>
  <c r="C15" i="294" s="1"/>
  <c r="Q116" i="343"/>
  <c r="O36" i="139"/>
  <c r="I192" i="248"/>
  <c r="I193" i="248"/>
  <c r="I139" i="349"/>
  <c r="C1276" i="364"/>
  <c r="B1709" i="364"/>
  <c r="B164" i="364"/>
  <c r="B1235" i="364"/>
  <c r="B726" i="364"/>
  <c r="B2330" i="364"/>
  <c r="B1643" i="364"/>
  <c r="B2773" i="364"/>
  <c r="B283" i="364"/>
  <c r="C106" i="364"/>
  <c r="C570" i="364"/>
  <c r="C1176" i="364"/>
  <c r="C802" i="364"/>
  <c r="C1852" i="364"/>
  <c r="C1250" i="364"/>
  <c r="C567" i="364"/>
  <c r="C1257" i="364"/>
  <c r="C733" i="364"/>
  <c r="B1485" i="364"/>
  <c r="B49" i="364"/>
  <c r="B1385" i="364"/>
  <c r="B950" i="364"/>
  <c r="B761" i="364"/>
  <c r="B1867" i="364"/>
  <c r="B2110" i="364"/>
  <c r="B218" i="364"/>
  <c r="C2739" i="364"/>
  <c r="C866" i="364"/>
  <c r="C1921" i="364"/>
  <c r="C19" i="364"/>
  <c r="C1930" i="364"/>
  <c r="C827" i="364"/>
  <c r="A8" i="233"/>
  <c r="F2" i="246" s="1"/>
  <c r="C2712" i="364"/>
  <c r="A94" i="343"/>
  <c r="A263" i="343" s="1"/>
  <c r="B42" i="86"/>
  <c r="K153" i="343"/>
  <c r="U149" i="343"/>
  <c r="U105" i="343"/>
  <c r="K106" i="343"/>
  <c r="K105" i="343" s="1"/>
  <c r="K15" i="126" s="1"/>
  <c r="F27" i="136"/>
  <c r="H23" i="139"/>
  <c r="S37" i="127"/>
  <c r="L6" i="343"/>
  <c r="L6" i="126" s="1"/>
  <c r="L15" i="123"/>
  <c r="H32" i="142"/>
  <c r="H34" i="144"/>
  <c r="H71" i="144" s="1"/>
  <c r="D34" i="144"/>
  <c r="D71" i="144" s="1"/>
  <c r="G30" i="146"/>
  <c r="D57" i="145"/>
  <c r="O42" i="139"/>
  <c r="O44" i="139" s="1"/>
  <c r="A22" i="316"/>
  <c r="F19" i="253"/>
  <c r="U37" i="127"/>
  <c r="L61" i="343"/>
  <c r="L11" i="126" s="1"/>
  <c r="L17" i="343"/>
  <c r="L7" i="126" s="1"/>
  <c r="Q6" i="140" s="1"/>
  <c r="J14" i="146"/>
  <c r="M44" i="139"/>
  <c r="E44" i="139"/>
  <c r="L23" i="139"/>
  <c r="D23" i="139"/>
  <c r="F51" i="95"/>
  <c r="M245" i="363"/>
  <c r="I87" i="363"/>
  <c r="G35" i="253"/>
  <c r="F64" i="86" s="1"/>
  <c r="D60" i="248"/>
  <c r="D124" i="248" s="1"/>
  <c r="D125" i="248" s="1"/>
  <c r="D139" i="350"/>
  <c r="I44" i="139"/>
  <c r="C52" i="248"/>
  <c r="C116" i="248" s="1"/>
  <c r="C110" i="350"/>
  <c r="L245" i="363"/>
  <c r="H11" i="253"/>
  <c r="H14" i="253" s="1"/>
  <c r="G62" i="86" s="1"/>
  <c r="J75" i="363"/>
  <c r="H28" i="248"/>
  <c r="H29" i="248" s="1"/>
  <c r="C184" i="248"/>
  <c r="C186" i="248" s="1"/>
  <c r="C110" i="349"/>
  <c r="J14" i="253"/>
  <c r="J62" i="86" s="1"/>
  <c r="I100" i="363"/>
  <c r="G38" i="253"/>
  <c r="G39" i="253" s="1"/>
  <c r="D108" i="248"/>
  <c r="D24" i="248"/>
  <c r="D120" i="248" s="1"/>
  <c r="D118" i="134"/>
  <c r="K118" i="358"/>
  <c r="C193" i="248"/>
  <c r="D139" i="349"/>
  <c r="D192" i="248"/>
  <c r="D193" i="248" s="1"/>
  <c r="G193" i="248"/>
  <c r="H92" i="248"/>
  <c r="H139" i="367"/>
  <c r="A12" i="126"/>
  <c r="A30" i="126" s="1"/>
  <c r="A29" i="140" s="1"/>
  <c r="A241" i="343"/>
  <c r="A239" i="342"/>
  <c r="A29" i="233" s="1"/>
  <c r="A11" i="233"/>
  <c r="I2" i="246" s="1"/>
  <c r="J105" i="123"/>
  <c r="C373" i="364"/>
  <c r="C200" i="364"/>
  <c r="C344" i="364"/>
  <c r="C2072" i="364"/>
  <c r="C444" i="364"/>
  <c r="C39" i="364"/>
  <c r="C1781" i="364"/>
  <c r="C890" i="364"/>
  <c r="C1239" i="364"/>
  <c r="C353" i="364"/>
  <c r="C891" i="364"/>
  <c r="C1039" i="364"/>
  <c r="C73" i="364"/>
  <c r="C1726" i="364"/>
  <c r="C2442" i="364"/>
  <c r="C2589" i="364"/>
  <c r="C2439" i="364"/>
  <c r="C1816" i="364"/>
  <c r="C2809" i="364"/>
  <c r="C1509" i="364"/>
  <c r="C1690" i="364"/>
  <c r="C601" i="364"/>
  <c r="C342" i="364"/>
  <c r="C2506" i="364"/>
  <c r="C2543" i="364"/>
  <c r="C1883" i="364"/>
  <c r="C1124" i="364"/>
  <c r="C841" i="364"/>
  <c r="C367" i="364"/>
  <c r="C941" i="364"/>
  <c r="C974" i="364"/>
  <c r="C183" i="364"/>
  <c r="C1788" i="364"/>
  <c r="C460" i="364"/>
  <c r="C2092" i="364"/>
  <c r="C532" i="364"/>
  <c r="C1643" i="364"/>
  <c r="C1193" i="364"/>
  <c r="C598" i="364"/>
  <c r="C544" i="364"/>
  <c r="C2139" i="364"/>
  <c r="C2309" i="364"/>
  <c r="C1786" i="364"/>
  <c r="C204" i="364"/>
  <c r="C2124" i="364"/>
  <c r="C2380" i="364"/>
  <c r="C402" i="364"/>
  <c r="C1611" i="364"/>
  <c r="C1247" i="364"/>
  <c r="C557" i="364"/>
  <c r="C1013" i="364"/>
  <c r="C752" i="364"/>
  <c r="C320" i="364"/>
  <c r="C2153" i="364"/>
  <c r="C1502" i="364"/>
  <c r="A1" i="123"/>
  <c r="C1766" i="364"/>
  <c r="C896" i="364"/>
  <c r="C586" i="364"/>
  <c r="C1087" i="364"/>
  <c r="C777" i="364"/>
  <c r="C2579" i="364"/>
  <c r="C2691" i="364"/>
  <c r="C547" i="364"/>
  <c r="C2732" i="364"/>
  <c r="C2019" i="364"/>
  <c r="C1058" i="364"/>
  <c r="C2846" i="364"/>
  <c r="C1671" i="364"/>
  <c r="C1135" i="364"/>
  <c r="C663" i="364"/>
  <c r="C134" i="364"/>
  <c r="C2169" i="364"/>
  <c r="C817" i="364"/>
  <c r="C2316" i="364"/>
  <c r="C1865" i="364"/>
  <c r="C1169" i="364"/>
  <c r="C885" i="364"/>
  <c r="C2547" i="364"/>
  <c r="C61" i="364"/>
  <c r="C2300" i="364"/>
  <c r="C1922" i="364"/>
  <c r="C1676" i="364"/>
  <c r="C1832" i="364"/>
  <c r="C79" i="364"/>
  <c r="C809" i="364"/>
  <c r="C2373" i="364"/>
  <c r="C857" i="364"/>
  <c r="C1403" i="364"/>
  <c r="C2114" i="364"/>
  <c r="C2123" i="364"/>
  <c r="C1162" i="364"/>
  <c r="C1520" i="364"/>
  <c r="C2477" i="364"/>
  <c r="C2468" i="364"/>
  <c r="C2224" i="364"/>
  <c r="C931" i="364"/>
  <c r="C168" i="364"/>
  <c r="C220" i="364"/>
  <c r="C2662" i="364"/>
  <c r="C874" i="364"/>
  <c r="C2633" i="364"/>
  <c r="C938" i="364"/>
  <c r="C2078" i="364"/>
  <c r="C830" i="364"/>
  <c r="C1972" i="364"/>
  <c r="A1" i="315"/>
  <c r="C1629" i="364"/>
  <c r="C110" i="364"/>
  <c r="C1604" i="364"/>
  <c r="C2840" i="364"/>
  <c r="C247" i="364"/>
  <c r="C1593" i="364"/>
  <c r="C1016" i="364"/>
  <c r="C466" i="364"/>
  <c r="C2491" i="364"/>
  <c r="C2018" i="364"/>
  <c r="C2341" i="364"/>
  <c r="C690" i="364"/>
  <c r="C1037" i="364"/>
  <c r="C902" i="364"/>
  <c r="C944" i="364"/>
  <c r="C1523" i="364"/>
  <c r="C1074" i="364"/>
  <c r="C278" i="364"/>
  <c r="C425" i="364"/>
  <c r="C2813" i="364"/>
  <c r="C2875" i="364"/>
  <c r="C1299" i="364"/>
  <c r="C2596" i="364"/>
  <c r="C711" i="364"/>
  <c r="C1076" i="364"/>
  <c r="C1264" i="364"/>
  <c r="C1021" i="364"/>
  <c r="C435" i="364"/>
  <c r="C1199" i="364"/>
  <c r="C1953" i="364"/>
  <c r="C881" i="364"/>
  <c r="C2237" i="364"/>
  <c r="C1093" i="364"/>
  <c r="C836" i="364"/>
  <c r="C2261" i="364"/>
  <c r="C2601" i="364"/>
  <c r="C2163" i="364"/>
  <c r="C517" i="364"/>
  <c r="C613" i="364"/>
  <c r="C1066" i="364"/>
  <c r="C2665" i="364"/>
  <c r="C294" i="364"/>
  <c r="C2236" i="364"/>
  <c r="C2593" i="364"/>
  <c r="C116" i="364"/>
  <c r="C2118" i="364"/>
  <c r="C1707" i="364"/>
  <c r="C1463" i="364"/>
  <c r="C1633" i="364"/>
  <c r="C2555" i="364"/>
  <c r="C1875" i="364"/>
  <c r="C1962" i="364"/>
  <c r="C1112" i="364"/>
  <c r="C1284" i="364"/>
  <c r="C2723" i="364"/>
  <c r="C893" i="364"/>
  <c r="C379" i="364"/>
  <c r="C1874" i="364"/>
  <c r="C913" i="364"/>
  <c r="C2545" i="364"/>
  <c r="C1889" i="364"/>
  <c r="C2364" i="364"/>
  <c r="C1667" i="364"/>
  <c r="C1934" i="364"/>
  <c r="C2259" i="364"/>
  <c r="C1102" i="364"/>
  <c r="C1968" i="364"/>
  <c r="C552" i="364"/>
  <c r="C1141" i="364"/>
  <c r="C783" i="364"/>
  <c r="C971" i="364"/>
  <c r="C1412" i="364"/>
  <c r="C1977" i="364"/>
  <c r="C1386" i="364"/>
  <c r="C2330" i="364"/>
  <c r="C20" i="364"/>
  <c r="C1698" i="364"/>
  <c r="C1702" i="364"/>
  <c r="C1448" i="364"/>
  <c r="C455" i="364"/>
  <c r="C1374" i="364"/>
  <c r="C1026" i="364"/>
  <c r="C2855" i="364"/>
  <c r="C2360" i="364"/>
  <c r="C292" i="364"/>
  <c r="C345" i="364"/>
  <c r="C2156" i="364"/>
  <c r="C1598" i="364"/>
  <c r="C1580" i="364"/>
  <c r="C307" i="364"/>
  <c r="C1661" i="364"/>
  <c r="C2800" i="364"/>
  <c r="C471" i="364"/>
  <c r="C2698" i="364"/>
  <c r="C781" i="364"/>
  <c r="C887" i="364"/>
  <c r="C942" i="364"/>
  <c r="C892" i="364"/>
  <c r="C670" i="364"/>
  <c r="C1583" i="364"/>
  <c r="C1864" i="364"/>
  <c r="C237" i="364"/>
  <c r="C2749" i="364"/>
  <c r="C2222" i="364"/>
  <c r="C2766" i="364"/>
  <c r="C1261" i="364"/>
  <c r="C2126" i="364"/>
  <c r="C2432" i="364"/>
  <c r="C1123" i="364"/>
  <c r="C2566" i="364"/>
  <c r="C2587" i="364"/>
  <c r="C1478" i="364"/>
  <c r="C2708" i="364"/>
  <c r="C171" i="364"/>
  <c r="C646" i="364"/>
  <c r="C248" i="364"/>
  <c r="C1209" i="364"/>
  <c r="C311" i="364"/>
  <c r="C915" i="364"/>
  <c r="C1185" i="364"/>
  <c r="C1996" i="364"/>
  <c r="C361" i="364"/>
  <c r="C859" i="364"/>
  <c r="C2103" i="364"/>
  <c r="C223" i="364"/>
  <c r="C868" i="364"/>
  <c r="C1753" i="364"/>
  <c r="C1151" i="364"/>
  <c r="C1490" i="364"/>
  <c r="C1354" i="364"/>
  <c r="C283" i="364"/>
  <c r="C521" i="364"/>
  <c r="C485" i="364"/>
  <c r="C222" i="364"/>
  <c r="C2148" i="364"/>
  <c r="C2836" i="364"/>
  <c r="C2258" i="364"/>
  <c r="C2489" i="364"/>
  <c r="C1955" i="364"/>
  <c r="C2804" i="364"/>
  <c r="C2234" i="364"/>
  <c r="C2518" i="364"/>
  <c r="C1867" i="364"/>
  <c r="C1390" i="364"/>
  <c r="C644" i="364"/>
  <c r="C45" i="364"/>
  <c r="A1" i="139"/>
  <c r="C606" i="364"/>
  <c r="C88" i="364"/>
  <c r="C1345" i="364"/>
  <c r="C1715" i="364"/>
  <c r="C2704" i="364"/>
  <c r="C2580" i="364"/>
  <c r="C2660" i="364"/>
  <c r="C2695" i="364"/>
  <c r="C741" i="364"/>
  <c r="C2616" i="364"/>
  <c r="C1814" i="364"/>
  <c r="C2777" i="364"/>
  <c r="C2266" i="364"/>
  <c r="C2797" i="364"/>
  <c r="C1803" i="364"/>
  <c r="C1134" i="364"/>
  <c r="C2819" i="364"/>
  <c r="C109" i="364"/>
  <c r="C2141" i="364"/>
  <c r="C1119" i="364"/>
  <c r="C327" i="364"/>
  <c r="C2812" i="364"/>
  <c r="C2102" i="364"/>
  <c r="C1173" i="364"/>
  <c r="C559" i="364"/>
  <c r="C2343" i="364"/>
  <c r="C2598" i="364"/>
  <c r="C1799" i="364"/>
  <c r="C473" i="364"/>
  <c r="C1103" i="364"/>
  <c r="C2238" i="364"/>
  <c r="C1050" i="364"/>
  <c r="C2274" i="364"/>
  <c r="C2682" i="364"/>
  <c r="C1749" i="364"/>
  <c r="C1398" i="364"/>
  <c r="C543" i="364"/>
  <c r="C1492" i="364"/>
  <c r="C2385" i="364"/>
  <c r="C2270" i="364"/>
  <c r="C1985" i="364"/>
  <c r="C867" i="364"/>
  <c r="C185" i="364"/>
  <c r="C1679" i="364"/>
  <c r="A1" i="148"/>
  <c r="C852" i="364"/>
  <c r="C1796" i="364"/>
  <c r="C2664" i="364"/>
  <c r="C396" i="364"/>
  <c r="C816" i="364"/>
  <c r="C844" i="364"/>
  <c r="C2062" i="364"/>
  <c r="C2359" i="364"/>
  <c r="C2244" i="364"/>
  <c r="C917" i="364"/>
  <c r="C2204" i="364"/>
  <c r="C1287" i="364"/>
  <c r="A1" i="361"/>
  <c r="C1213" i="364"/>
  <c r="C2021"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C4" i="355"/>
  <c r="C59" i="364"/>
  <c r="C1466" i="364"/>
  <c r="C360" i="364"/>
  <c r="C1576" i="364"/>
  <c r="C1601" i="364"/>
  <c r="C2143" i="364"/>
  <c r="C668" i="364"/>
  <c r="C1771" i="364"/>
  <c r="C1699" i="364"/>
  <c r="C259" i="364"/>
  <c r="C1364" i="364"/>
  <c r="C929" i="364"/>
  <c r="C427" i="364"/>
  <c r="C190" i="364"/>
  <c r="C2866" i="364"/>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G19" i="133"/>
  <c r="C19" i="133"/>
  <c r="E44" i="133"/>
  <c r="E21" i="133"/>
  <c r="F8" i="133"/>
  <c r="F5" i="351"/>
  <c r="E6" i="133"/>
  <c r="J6" i="133"/>
  <c r="P6" i="298" s="1"/>
  <c r="G6" i="133"/>
  <c r="G5" i="133" s="1"/>
  <c r="G10" i="133"/>
  <c r="K45" i="133"/>
  <c r="Q45" i="298" s="1"/>
  <c r="I39" i="133"/>
  <c r="I196" i="351"/>
  <c r="F41" i="133"/>
  <c r="O43" i="298"/>
  <c r="N43" i="298" s="1"/>
  <c r="F11" i="133"/>
  <c r="J31" i="133"/>
  <c r="P31" i="298" s="1"/>
  <c r="Q6" i="298"/>
  <c r="P39" i="298"/>
  <c r="P45" i="298"/>
  <c r="D46" i="133"/>
  <c r="H31" i="133"/>
  <c r="O21" i="298"/>
  <c r="N21" i="298" s="1"/>
  <c r="C127" i="351"/>
  <c r="I22" i="133"/>
  <c r="I14" i="133"/>
  <c r="C11" i="133"/>
  <c r="Q11" i="298"/>
  <c r="D10" i="133"/>
  <c r="H16" i="133"/>
  <c r="I36" i="133"/>
  <c r="F86" i="351"/>
  <c r="F17" i="133" s="1"/>
  <c r="H86" i="351"/>
  <c r="G86" i="351"/>
  <c r="G17" i="133" s="1"/>
  <c r="G15" i="133" s="1"/>
  <c r="D86" i="351"/>
  <c r="D17" i="133" s="1"/>
  <c r="I86" i="351"/>
  <c r="I17" i="133" s="1"/>
  <c r="C86" i="351"/>
  <c r="K86" i="351"/>
  <c r="K74" i="351" s="1"/>
  <c r="E86" i="351"/>
  <c r="J86" i="351"/>
  <c r="E42" i="123"/>
  <c r="A15" i="299"/>
  <c r="A33" i="299" s="1"/>
  <c r="P3" i="256"/>
  <c r="W3" i="343"/>
  <c r="L110" i="363"/>
  <c r="I3" i="362"/>
  <c r="Q18" i="140"/>
  <c r="E18" i="294"/>
  <c r="A294" i="342"/>
  <c r="A34" i="233" s="1"/>
  <c r="A16" i="233"/>
  <c r="Q27" i="299"/>
  <c r="J149" i="343"/>
  <c r="J19" i="126" s="1"/>
  <c r="K135" i="343"/>
  <c r="U127" i="343"/>
  <c r="C27" i="126"/>
  <c r="Q138" i="343"/>
  <c r="H28" i="86"/>
  <c r="J107" i="123" s="1"/>
  <c r="U160" i="343"/>
  <c r="F2" i="315"/>
  <c r="D2" i="305"/>
  <c r="E2" i="123"/>
  <c r="D2" i="127"/>
  <c r="D2" i="255"/>
  <c r="E2" i="362"/>
  <c r="K29" i="248"/>
  <c r="E14" i="233"/>
  <c r="D2" i="233"/>
  <c r="F155" i="363"/>
  <c r="D2" i="129"/>
  <c r="D116" i="248"/>
  <c r="F29" i="248"/>
  <c r="Q105" i="343"/>
  <c r="I35" i="253"/>
  <c r="H64" i="86" s="1"/>
  <c r="A78" i="128"/>
  <c r="A24" i="141"/>
  <c r="A49" i="342"/>
  <c r="D2" i="147"/>
  <c r="D2" i="133"/>
  <c r="I171" i="343"/>
  <c r="H103" i="248"/>
  <c r="C103" i="248"/>
  <c r="L116" i="343"/>
  <c r="L16" i="126" s="1"/>
  <c r="E15" i="294" s="1"/>
  <c r="J28" i="86"/>
  <c r="J32" i="86" s="1"/>
  <c r="E57" i="145"/>
  <c r="V171" i="343"/>
  <c r="H42" i="123"/>
  <c r="I110" i="358"/>
  <c r="H139" i="350"/>
  <c r="F139" i="349"/>
  <c r="F192" i="248"/>
  <c r="F193" i="248" s="1"/>
  <c r="F53" i="294"/>
  <c r="E118" i="358"/>
  <c r="H85" i="248"/>
  <c r="H86" i="248" s="1"/>
  <c r="H110" i="367"/>
  <c r="K181" i="248"/>
  <c r="K182" i="248" s="1"/>
  <c r="E139" i="367"/>
  <c r="H117" i="248"/>
  <c r="L55" i="123"/>
  <c r="I84" i="123" s="1"/>
  <c r="M55" i="123"/>
  <c r="J84" i="123" s="1"/>
  <c r="K11" i="88"/>
  <c r="E36" i="142"/>
  <c r="C12" i="129"/>
  <c r="B35" i="86" s="1"/>
  <c r="H11" i="88"/>
  <c r="K35" i="237"/>
  <c r="E12" i="129"/>
  <c r="J71" i="144"/>
  <c r="L12" i="129"/>
  <c r="K35" i="86" s="1"/>
  <c r="J11" i="88"/>
  <c r="F2" i="337"/>
  <c r="N2" i="296"/>
  <c r="J2" i="363"/>
  <c r="F2" i="301"/>
  <c r="F2" i="367"/>
  <c r="H63" i="363"/>
  <c r="J3" i="144"/>
  <c r="J3" i="349"/>
  <c r="K3" i="337"/>
  <c r="E2" i="86"/>
  <c r="F2" i="136"/>
  <c r="F2" i="129"/>
  <c r="F2" i="134"/>
  <c r="F2" i="126"/>
  <c r="H109" i="363"/>
  <c r="F2" i="349"/>
  <c r="F2" i="316"/>
  <c r="H2" i="314"/>
  <c r="F2" i="131"/>
  <c r="L3" i="342"/>
  <c r="K3" i="126"/>
  <c r="D2" i="131"/>
  <c r="D2" i="249"/>
  <c r="D2" i="349"/>
  <c r="D2" i="358"/>
  <c r="J3" i="233"/>
  <c r="F2" i="148"/>
  <c r="F2" i="144"/>
  <c r="H2" i="141"/>
  <c r="G2" i="361"/>
  <c r="F2" i="343"/>
  <c r="H2" i="315"/>
  <c r="D3" i="294"/>
  <c r="J3" i="142"/>
  <c r="P3" i="140"/>
  <c r="L3" i="314"/>
  <c r="F2" i="237"/>
  <c r="G2" i="362"/>
  <c r="N3" i="256"/>
  <c r="D2" i="139"/>
  <c r="F2" i="350"/>
  <c r="F2" i="249"/>
  <c r="F2" i="127"/>
  <c r="F2" i="342"/>
  <c r="F2" i="305"/>
  <c r="F182" i="147"/>
  <c r="F2" i="128"/>
  <c r="D2" i="146"/>
  <c r="F247" i="363"/>
  <c r="F109" i="363"/>
  <c r="O15" i="140"/>
  <c r="N15" i="140" s="1"/>
  <c r="Q10" i="140"/>
  <c r="E10" i="294"/>
  <c r="D14" i="294"/>
  <c r="P14" i="140"/>
  <c r="D10" i="294"/>
  <c r="P10" i="140"/>
  <c r="P11" i="140"/>
  <c r="F54" i="248"/>
  <c r="A12" i="233"/>
  <c r="J2" i="246" s="1"/>
  <c r="A105" i="343"/>
  <c r="A274" i="343" s="1"/>
  <c r="A104" i="342"/>
  <c r="A14" i="233" s="1"/>
  <c r="D18" i="126"/>
  <c r="D171" i="343"/>
  <c r="O43" i="299"/>
  <c r="N43" i="299" s="1"/>
  <c r="N43" i="137"/>
  <c r="E45" i="248"/>
  <c r="E6" i="350"/>
  <c r="I45" i="248"/>
  <c r="I109" i="248" s="1"/>
  <c r="G8" i="248"/>
  <c r="G104" i="248" s="1"/>
  <c r="J9" i="248"/>
  <c r="E10" i="248"/>
  <c r="C12" i="248"/>
  <c r="C108" i="248" s="1"/>
  <c r="C6" i="134"/>
  <c r="C167" i="134" s="1"/>
  <c r="J23" i="248"/>
  <c r="J25" i="248" s="1"/>
  <c r="J118" i="134"/>
  <c r="I24" i="248"/>
  <c r="I124" i="248"/>
  <c r="I125" i="248" s="1"/>
  <c r="I29" i="248"/>
  <c r="A16" i="126"/>
  <c r="A15" i="294" s="1"/>
  <c r="A34" i="294" s="1"/>
  <c r="D29" i="126"/>
  <c r="D340" i="343"/>
  <c r="J138" i="343"/>
  <c r="J18" i="126" s="1"/>
  <c r="J42" i="343"/>
  <c r="J39" i="343" s="1"/>
  <c r="Q39" i="343"/>
  <c r="K39" i="343"/>
  <c r="K9" i="126" s="1"/>
  <c r="P8" i="140" s="1"/>
  <c r="R171" i="343"/>
  <c r="A327" i="342"/>
  <c r="A37" i="233" s="1"/>
  <c r="A19" i="233"/>
  <c r="C18" i="364"/>
  <c r="C295" i="364"/>
  <c r="A61" i="343"/>
  <c r="A11" i="126" s="1"/>
  <c r="A10" i="294" s="1"/>
  <c r="A29" i="294" s="1"/>
  <c r="A60" i="342"/>
  <c r="A10" i="233" s="1"/>
  <c r="C74" i="126"/>
  <c r="B28" i="86"/>
  <c r="B32" i="86" s="1"/>
  <c r="D108" i="123" s="1"/>
  <c r="J57" i="343"/>
  <c r="Q50" i="343"/>
  <c r="A12" i="294"/>
  <c r="A31" i="294"/>
  <c r="H22" i="248"/>
  <c r="G40" i="131"/>
  <c r="H5" i="123" s="1"/>
  <c r="U340" i="342"/>
  <c r="O37" i="127"/>
  <c r="J167" i="343"/>
  <c r="Q160" i="343"/>
  <c r="J78" i="343"/>
  <c r="Q72" i="343"/>
  <c r="J61" i="343"/>
  <c r="J11" i="126" s="1"/>
  <c r="Q149" i="343"/>
  <c r="L28" i="343"/>
  <c r="L8" i="126" s="1"/>
  <c r="E34" i="129"/>
  <c r="D37" i="86" s="1"/>
  <c r="F32" i="253"/>
  <c r="F35" i="253" s="1"/>
  <c r="H96" i="363"/>
  <c r="C55" i="248"/>
  <c r="C119" i="248" s="1"/>
  <c r="C121" i="248" s="1"/>
  <c r="C118" i="350"/>
  <c r="J56" i="248"/>
  <c r="J57" i="248" s="1"/>
  <c r="J118" i="350"/>
  <c r="I134" i="248"/>
  <c r="I165" i="248"/>
  <c r="I53" i="86" s="1"/>
  <c r="I64" i="305"/>
  <c r="I102" i="255" s="1"/>
  <c r="H30" i="146"/>
  <c r="M226" i="363"/>
  <c r="E39" i="129"/>
  <c r="D38" i="86" s="1"/>
  <c r="N44" i="139"/>
  <c r="K134" i="248"/>
  <c r="G134" i="248"/>
  <c r="C165" i="248"/>
  <c r="B53" i="86" s="1"/>
  <c r="I108" i="248"/>
  <c r="E118" i="134"/>
  <c r="E23" i="248"/>
  <c r="E25" i="248" s="1"/>
  <c r="G29" i="253"/>
  <c r="E35" i="253"/>
  <c r="D64" i="86" s="1"/>
  <c r="K107" i="248"/>
  <c r="D110" i="358"/>
  <c r="H110" i="358"/>
  <c r="A272" i="342"/>
  <c r="A32" i="233" s="1"/>
  <c r="J120" i="248"/>
  <c r="A230" i="343"/>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181"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E182" i="248" l="1"/>
  <c r="E74" i="349"/>
  <c r="F165" i="248"/>
  <c r="E53" i="86" s="1"/>
  <c r="F127" i="248"/>
  <c r="F89" i="248"/>
  <c r="F119" i="248"/>
  <c r="F121" i="248" s="1"/>
  <c r="F118" i="367"/>
  <c r="F112" i="248"/>
  <c r="H189" i="248"/>
  <c r="H118" i="349"/>
  <c r="G189" i="248"/>
  <c r="G118" i="349"/>
  <c r="H40" i="248"/>
  <c r="H104" i="248" s="1"/>
  <c r="H124" i="248"/>
  <c r="H125" i="248" s="1"/>
  <c r="G103" i="248"/>
  <c r="K118" i="349"/>
  <c r="K23" i="248"/>
  <c r="D47" i="131"/>
  <c r="C196" i="351"/>
  <c r="D38" i="133"/>
  <c r="F82" i="146"/>
  <c r="G50" i="131"/>
  <c r="E25" i="129"/>
  <c r="I66" i="146"/>
  <c r="E20" i="301"/>
  <c r="K98" i="146"/>
  <c r="J100" i="146"/>
  <c r="I100" i="146"/>
  <c r="D15" i="294"/>
  <c r="P15" i="140"/>
  <c r="G106" i="248"/>
  <c r="G47" i="248"/>
  <c r="G112" i="248"/>
  <c r="G114" i="248" s="1"/>
  <c r="G50" i="248"/>
  <c r="K86" i="248"/>
  <c r="K117" i="248"/>
  <c r="K118" i="248" s="1"/>
  <c r="D102" i="248"/>
  <c r="D47" i="248"/>
  <c r="I11" i="88"/>
  <c r="L18" i="337"/>
  <c r="G36" i="142"/>
  <c r="M24" i="143"/>
  <c r="E180" i="363"/>
  <c r="G105" i="248"/>
  <c r="E116" i="248"/>
  <c r="K127" i="248"/>
  <c r="C110" i="358"/>
  <c r="K110" i="358"/>
  <c r="H118" i="358"/>
  <c r="E106" i="248"/>
  <c r="G79" i="248"/>
  <c r="C93" i="248"/>
  <c r="H126" i="248"/>
  <c r="I130" i="248"/>
  <c r="G131" i="248"/>
  <c r="I18" i="248"/>
  <c r="D119" i="248"/>
  <c r="D121" i="248" s="1"/>
  <c r="E14" i="253"/>
  <c r="D62" i="86" s="1"/>
  <c r="I103" i="248"/>
  <c r="I107" i="248"/>
  <c r="F107" i="248"/>
  <c r="F22" i="248"/>
  <c r="H122" i="248"/>
  <c r="J72" i="343"/>
  <c r="J12" i="126" s="1"/>
  <c r="E21" i="126"/>
  <c r="O171" i="343"/>
  <c r="L50" i="343"/>
  <c r="L10" i="126" s="1"/>
  <c r="N171" i="343"/>
  <c r="L39" i="343"/>
  <c r="L9" i="126" s="1"/>
  <c r="Q8" i="140" s="1"/>
  <c r="E47" i="131"/>
  <c r="E50" i="131" s="1"/>
  <c r="J30" i="146"/>
  <c r="O15" i="139"/>
  <c r="K143" i="363"/>
  <c r="K199" i="363"/>
  <c r="K214" i="363"/>
  <c r="H226" i="363"/>
  <c r="M235" i="363"/>
  <c r="F14" i="253"/>
  <c r="E62" i="86" s="1"/>
  <c r="K126" i="248"/>
  <c r="E110" i="358"/>
  <c r="C118" i="358"/>
  <c r="E103" i="248"/>
  <c r="G220" i="351"/>
  <c r="A228" i="342"/>
  <c r="A28" i="233" s="1"/>
  <c r="F9" i="133"/>
  <c r="H93" i="248"/>
  <c r="K149" i="343"/>
  <c r="K19" i="126" s="1"/>
  <c r="H201" i="363"/>
  <c r="R37" i="127"/>
  <c r="L12" i="255"/>
  <c r="L15" i="255" s="1"/>
  <c r="L6" i="127" s="1"/>
  <c r="K17" i="343"/>
  <c r="K7" i="126" s="1"/>
  <c r="P6" i="140" s="1"/>
  <c r="C18" i="248"/>
  <c r="B36" i="100"/>
  <c r="L138" i="343"/>
  <c r="L18" i="126" s="1"/>
  <c r="W171" i="343"/>
  <c r="I32" i="142"/>
  <c r="K32" i="142"/>
  <c r="E34" i="144"/>
  <c r="E71" i="144" s="1"/>
  <c r="J49" i="316"/>
  <c r="D64" i="305"/>
  <c r="D102" i="255" s="1"/>
  <c r="H100" i="146"/>
  <c r="K100" i="146"/>
  <c r="J57" i="253"/>
  <c r="K12" i="255"/>
  <c r="F74" i="367"/>
  <c r="C89" i="248"/>
  <c r="E47" i="248"/>
  <c r="A11" i="140"/>
  <c r="F2" i="248"/>
  <c r="I119" i="248"/>
  <c r="I30" i="337"/>
  <c r="H45" i="249"/>
  <c r="D46" i="146"/>
  <c r="L39" i="140"/>
  <c r="D39" i="140"/>
  <c r="P32" i="300"/>
  <c r="J12" i="255"/>
  <c r="J15" i="255" s="1"/>
  <c r="J6" i="127" s="1"/>
  <c r="J110" i="367"/>
  <c r="F28" i="133"/>
  <c r="L340" i="342"/>
  <c r="J36" i="131"/>
  <c r="C34" i="144"/>
  <c r="K39" i="140"/>
  <c r="C39" i="140"/>
  <c r="G245" i="363"/>
  <c r="C59" i="253"/>
  <c r="I127" i="248"/>
  <c r="K130" i="248"/>
  <c r="D39" i="126"/>
  <c r="I57" i="248"/>
  <c r="J105" i="248"/>
  <c r="A283" i="342"/>
  <c r="A33" i="233" s="1"/>
  <c r="F2" i="147"/>
  <c r="F2" i="351"/>
  <c r="J3" i="358"/>
  <c r="F2" i="336"/>
  <c r="F2" i="146"/>
  <c r="L202" i="363"/>
  <c r="K127" i="343"/>
  <c r="K17" i="126" s="1"/>
  <c r="F2" i="133"/>
  <c r="F2" i="253"/>
  <c r="E2" i="314"/>
  <c r="I2" i="144"/>
  <c r="I2" i="342"/>
  <c r="J2" i="129"/>
  <c r="B29" i="100"/>
  <c r="B27" i="100"/>
  <c r="B25" i="100"/>
  <c r="B23" i="100"/>
  <c r="B21" i="100"/>
  <c r="B19" i="100"/>
  <c r="B17" i="100"/>
  <c r="B15" i="100"/>
  <c r="B2" i="100"/>
  <c r="N340" i="342"/>
  <c r="G33" i="337"/>
  <c r="G49" i="316"/>
  <c r="K48" i="146"/>
  <c r="F48" i="298"/>
  <c r="D25" i="300"/>
  <c r="J44" i="139"/>
  <c r="F26" i="253"/>
  <c r="E63" i="86" s="1"/>
  <c r="L24" i="129"/>
  <c r="K36" i="86" s="1"/>
  <c r="K24" i="129"/>
  <c r="J36" i="86" s="1"/>
  <c r="J24" i="129"/>
  <c r="I36" i="86" s="1"/>
  <c r="I24" i="129"/>
  <c r="H36" i="86" s="1"/>
  <c r="H165" i="248"/>
  <c r="H53" i="86" s="1"/>
  <c r="M14" i="123"/>
  <c r="K14" i="123"/>
  <c r="E32" i="300"/>
  <c r="E36" i="300" s="1"/>
  <c r="M25" i="300"/>
  <c r="E25" i="300"/>
  <c r="I25" i="300"/>
  <c r="K25" i="300"/>
  <c r="I14" i="146"/>
  <c r="K30" i="146"/>
  <c r="G28" i="86"/>
  <c r="I107" i="123" s="1"/>
  <c r="E49" i="316"/>
  <c r="E25" i="316"/>
  <c r="E59" i="316" s="1"/>
  <c r="F25" i="316"/>
  <c r="F59" i="316" s="1"/>
  <c r="K71" i="144"/>
  <c r="G32" i="142"/>
  <c r="K36" i="142"/>
  <c r="L39" i="129"/>
  <c r="K38" i="86" s="1"/>
  <c r="L11" i="88"/>
  <c r="F39" i="129"/>
  <c r="E38" i="86" s="1"/>
  <c r="F11" i="88"/>
  <c r="K34" i="129"/>
  <c r="K15" i="88" s="1"/>
  <c r="J34" i="129"/>
  <c r="I37" i="86" s="1"/>
  <c r="I34" i="129"/>
  <c r="H37" i="86" s="1"/>
  <c r="J53" i="86"/>
  <c r="J217" i="248"/>
  <c r="C19" i="294"/>
  <c r="O19" i="140"/>
  <c r="N19" i="140" s="1"/>
  <c r="E48" i="248"/>
  <c r="E50" i="248" s="1"/>
  <c r="E74" i="350"/>
  <c r="D80" i="248"/>
  <c r="D112" i="248" s="1"/>
  <c r="D74" i="367"/>
  <c r="D167" i="367" s="1"/>
  <c r="J50" i="343"/>
  <c r="J10" i="126" s="1"/>
  <c r="O9" i="140" s="1"/>
  <c r="N9" i="140" s="1"/>
  <c r="K11" i="343"/>
  <c r="K6" i="343" s="1"/>
  <c r="K6" i="126" s="1"/>
  <c r="U6" i="343"/>
  <c r="C48" i="129"/>
  <c r="B39" i="86" s="1"/>
  <c r="C11" i="88"/>
  <c r="F35" i="237"/>
  <c r="G55" i="123"/>
  <c r="D32" i="253"/>
  <c r="D35" i="253" s="1"/>
  <c r="C64" i="86" s="1"/>
  <c r="F96" i="363"/>
  <c r="K13" i="248"/>
  <c r="K6" i="134"/>
  <c r="G217" i="248"/>
  <c r="J134" i="248"/>
  <c r="D341" i="343"/>
  <c r="E8" i="294"/>
  <c r="K55" i="343"/>
  <c r="K50" i="343" s="1"/>
  <c r="K10" i="126" s="1"/>
  <c r="U50" i="343"/>
  <c r="H25" i="253"/>
  <c r="J87" i="363"/>
  <c r="E57" i="248"/>
  <c r="E120" i="248"/>
  <c r="J15" i="248"/>
  <c r="E167" i="350"/>
  <c r="G109" i="248"/>
  <c r="I36" i="142"/>
  <c r="J12" i="129"/>
  <c r="J14" i="88" s="1"/>
  <c r="C33" i="253"/>
  <c r="E96" i="363"/>
  <c r="E117" i="248"/>
  <c r="E54" i="248"/>
  <c r="K60" i="248"/>
  <c r="K61" i="248" s="1"/>
  <c r="K139" i="350"/>
  <c r="F172" i="248"/>
  <c r="F179" i="248" s="1"/>
  <c r="F169" i="248" s="1"/>
  <c r="F6" i="349"/>
  <c r="C81" i="248"/>
  <c r="C74" i="367"/>
  <c r="J119" i="248"/>
  <c r="J121" i="248" s="1"/>
  <c r="J15" i="88"/>
  <c r="C2042" i="364"/>
  <c r="C2472" i="364"/>
  <c r="C1389" i="364"/>
  <c r="C448" i="364"/>
  <c r="C1909" i="364"/>
  <c r="C2219" i="364"/>
  <c r="C368" i="364"/>
  <c r="C2264" i="364"/>
  <c r="C534" i="364"/>
  <c r="C438" i="364"/>
  <c r="C1683" i="364"/>
  <c r="C2613" i="364"/>
  <c r="C1484" i="364"/>
  <c r="C1474" i="364"/>
  <c r="C2646" i="364"/>
  <c r="C2338" i="364"/>
  <c r="C2746" i="364"/>
  <c r="C903" i="364"/>
  <c r="C969" i="364"/>
  <c r="C1660" i="364"/>
  <c r="C839" i="364"/>
  <c r="A1" i="146"/>
  <c r="C30" i="364"/>
  <c r="C102" i="364"/>
  <c r="C50" i="364"/>
  <c r="C1640" i="364"/>
  <c r="C2569" i="364"/>
  <c r="C1498" i="364"/>
  <c r="C1010" i="364"/>
  <c r="C117" i="364"/>
  <c r="C1820" i="364"/>
  <c r="C1791" i="364"/>
  <c r="C911" i="364"/>
  <c r="C1249" i="364"/>
  <c r="C2696" i="364"/>
  <c r="C1963" i="364"/>
  <c r="C1929" i="364"/>
  <c r="C1855" i="364"/>
  <c r="C175" i="364"/>
  <c r="C2876" i="364"/>
  <c r="C1348" i="364"/>
  <c r="C1481" i="364"/>
  <c r="C1413" i="364"/>
  <c r="C1983" i="364"/>
  <c r="C1823" i="364"/>
  <c r="C1999" i="364"/>
  <c r="C2289" i="364"/>
  <c r="C418" i="364"/>
  <c r="C1472" i="364"/>
  <c r="C1626" i="364"/>
  <c r="C964" i="364"/>
  <c r="C2428" i="364"/>
  <c r="C1542" i="364"/>
  <c r="C2192" i="364"/>
  <c r="C2657" i="364"/>
  <c r="C1338" i="364"/>
  <c r="C1710" i="364"/>
  <c r="C284" i="364"/>
  <c r="C384" i="364"/>
  <c r="C1992" i="364"/>
  <c r="C1022" i="364"/>
  <c r="C542" i="364"/>
  <c r="C1797" i="364"/>
  <c r="C595" i="364"/>
  <c r="C2332" i="364"/>
  <c r="C1159" i="364"/>
  <c r="C1655" i="364"/>
  <c r="C356" i="364"/>
  <c r="C1422" i="364"/>
  <c r="C1132" i="364"/>
  <c r="C1822" i="364"/>
  <c r="C639" i="364"/>
  <c r="C87" i="364"/>
  <c r="C2157" i="364"/>
  <c r="C681" i="364"/>
  <c r="C1613" i="364"/>
  <c r="C306" i="364"/>
  <c r="C333" i="364"/>
  <c r="C2112" i="364"/>
  <c r="C2738" i="364"/>
  <c r="C1618" i="364"/>
  <c r="C976" i="364"/>
  <c r="C194" i="364"/>
  <c r="C2356" i="364"/>
  <c r="C2599" i="364"/>
  <c r="C2669" i="364"/>
  <c r="C2802" i="364"/>
  <c r="C1052" i="364"/>
  <c r="C1747" i="364"/>
  <c r="C651" i="364"/>
  <c r="C1215" i="364"/>
  <c r="C414" i="364"/>
  <c r="C1846" i="364"/>
  <c r="C1244" i="364"/>
  <c r="C675" i="364"/>
  <c r="C1106" i="364"/>
  <c r="C1437" i="364"/>
  <c r="C1981" i="364"/>
  <c r="C234" i="364"/>
  <c r="C395" i="364"/>
  <c r="C1692" i="364"/>
  <c r="C2069" i="364"/>
  <c r="C873" i="364"/>
  <c r="C1148" i="364"/>
  <c r="C2167" i="364"/>
  <c r="C871" i="364"/>
  <c r="C2144" i="364"/>
  <c r="C2511" i="364"/>
  <c r="C1756" i="364"/>
  <c r="C1146" i="364"/>
  <c r="C1453" i="364"/>
  <c r="C2792" i="364"/>
  <c r="C1351" i="364"/>
  <c r="C640" i="364"/>
  <c r="C605" i="364"/>
  <c r="C454" i="364"/>
  <c r="C2446" i="364"/>
  <c r="C2135" i="364"/>
  <c r="C2097" i="364"/>
  <c r="C2345" i="364"/>
  <c r="C997" i="364"/>
  <c r="C446" i="364"/>
  <c r="C2827" i="364"/>
  <c r="C1553" i="364"/>
  <c r="C948" i="364"/>
  <c r="C2429" i="364"/>
  <c r="C1280" i="364"/>
  <c r="C312" i="364"/>
  <c r="C1521" i="364"/>
  <c r="C582" i="364"/>
  <c r="C2576" i="364"/>
  <c r="C482" i="364"/>
  <c r="C1948" i="364"/>
  <c r="C2709" i="364"/>
  <c r="C24" i="364"/>
  <c r="C869" i="364"/>
  <c r="C2625" i="364"/>
  <c r="C2553" i="364"/>
  <c r="C2396" i="364"/>
  <c r="C2051" i="364"/>
  <c r="C2028" i="364"/>
  <c r="C1945" i="364"/>
  <c r="C2783" i="364"/>
  <c r="C80" i="364"/>
  <c r="C1054" i="364"/>
  <c r="C847" i="364"/>
  <c r="C2810" i="364"/>
  <c r="A1" i="141"/>
  <c r="C686" i="364"/>
  <c r="C264" i="364"/>
  <c r="C828" i="364"/>
  <c r="C1430" i="364"/>
  <c r="C709" i="364"/>
  <c r="C2644" i="364"/>
  <c r="C2220" i="364"/>
  <c r="C602" i="364"/>
  <c r="C362" i="364"/>
  <c r="C1638" i="364"/>
  <c r="C1366" i="364"/>
  <c r="C2701" i="364"/>
  <c r="C370" i="364"/>
  <c r="C935" i="364"/>
  <c r="C1046" i="364"/>
  <c r="C1952" i="364"/>
  <c r="C2221" i="364"/>
  <c r="C250" i="364"/>
  <c r="C1704" i="364"/>
  <c r="C1917" i="364"/>
  <c r="C2798" i="364"/>
  <c r="C436" i="364"/>
  <c r="C2588" i="364"/>
  <c r="C2321" i="364"/>
  <c r="C1133" i="364"/>
  <c r="C1642" i="364"/>
  <c r="C159" i="364"/>
  <c r="C2685" i="364"/>
  <c r="C1885" i="364"/>
  <c r="C263" i="364"/>
  <c r="C326" i="364"/>
  <c r="C2778" i="364"/>
  <c r="C1480" i="364"/>
  <c r="C2181" i="364"/>
  <c r="C2027" i="364"/>
  <c r="C188" i="364"/>
  <c r="C2249" i="364"/>
  <c r="C1647" i="364"/>
  <c r="C2375" i="364"/>
  <c r="C1360" i="364"/>
  <c r="C2287" i="364"/>
  <c r="C1531" i="364"/>
  <c r="C1332" i="364"/>
  <c r="C2304" i="364"/>
  <c r="C192" i="364"/>
  <c r="C1775" i="364"/>
  <c r="C506" i="364"/>
  <c r="C794" i="364"/>
  <c r="C1854" i="364"/>
  <c r="C1042" i="364"/>
  <c r="C1270" i="364"/>
  <c r="C649" i="364"/>
  <c r="C498" i="364"/>
  <c r="C808" i="364"/>
  <c r="C1317" i="364"/>
  <c r="C1782" i="364"/>
  <c r="C203" i="364"/>
  <c r="C313" i="364"/>
  <c r="C2382" i="364"/>
  <c r="C1813" i="364"/>
  <c r="C2768" i="364"/>
  <c r="C1594" i="364"/>
  <c r="C1961" i="364"/>
  <c r="C2260" i="364"/>
  <c r="C1978" i="364"/>
  <c r="C2796" i="364"/>
  <c r="C1778" i="364"/>
  <c r="C1536" i="364"/>
  <c r="C2061" i="364"/>
  <c r="C2392" i="364"/>
  <c r="C1080" i="364"/>
  <c r="C1274" i="364"/>
  <c r="C2420" i="364"/>
  <c r="C516" i="364"/>
  <c r="C2302" i="364"/>
  <c r="C1475" i="364"/>
  <c r="C991" i="364"/>
  <c r="C1651" i="364"/>
  <c r="C985" i="364"/>
  <c r="C78" i="364"/>
  <c r="C2105" i="364"/>
  <c r="C411" i="364"/>
  <c r="C2447" i="364"/>
  <c r="C2070" i="364"/>
  <c r="C2756" i="364"/>
  <c r="C1168" i="364"/>
  <c r="C63" i="364"/>
  <c r="C1716" i="364"/>
  <c r="C715" i="364"/>
  <c r="C1958" i="364"/>
  <c r="C1182" i="364"/>
  <c r="C2679" i="364"/>
  <c r="C2395" i="364"/>
  <c r="C1503" i="364"/>
  <c r="C642" i="364"/>
  <c r="C2353" i="364"/>
  <c r="C426" i="364"/>
  <c r="C2503" i="364"/>
  <c r="C2499" i="364"/>
  <c r="C581" i="364"/>
  <c r="C477" i="364"/>
  <c r="C1126" i="364"/>
  <c r="C4" i="364"/>
  <c r="C1510" i="364"/>
  <c r="C712" i="364"/>
  <c r="C1851" i="364"/>
  <c r="C2213" i="364"/>
  <c r="C40" i="364"/>
  <c r="C634" i="364"/>
  <c r="C162" i="364"/>
  <c r="C714" i="364"/>
  <c r="C960" i="364"/>
  <c r="C609" i="364"/>
  <c r="C2457" i="364"/>
  <c r="C1439" i="364"/>
  <c r="C174" i="364"/>
  <c r="C696" i="364"/>
  <c r="C86" i="364"/>
  <c r="C793" i="364"/>
  <c r="C1653" i="364"/>
  <c r="C459" i="364"/>
  <c r="C956" i="364"/>
  <c r="C2647" i="364"/>
  <c r="C2011" i="364"/>
  <c r="C1828" i="364"/>
  <c r="C1830" i="364"/>
  <c r="C2539" i="364"/>
  <c r="C1627" i="364"/>
  <c r="C2686" i="364"/>
  <c r="C371" i="364"/>
  <c r="C357" i="364"/>
  <c r="C1495" i="364"/>
  <c r="C980" i="364"/>
  <c r="C236" i="364"/>
  <c r="C1722" i="364"/>
  <c r="C1406" i="364"/>
  <c r="C1650" i="364"/>
  <c r="C645" i="364"/>
  <c r="C2247" i="364"/>
  <c r="C2416" i="364"/>
  <c r="C242" i="364"/>
  <c r="C1899" i="364"/>
  <c r="C665" i="364"/>
  <c r="C880" i="364"/>
  <c r="C1086" i="364"/>
  <c r="C238" i="364"/>
  <c r="C1628" i="364"/>
  <c r="C439" i="364"/>
  <c r="C224" i="364"/>
  <c r="C1896" i="364"/>
  <c r="C1829" i="364"/>
  <c r="C1267" i="364"/>
  <c r="C1935" i="364"/>
  <c r="C2326" i="364"/>
  <c r="C2575" i="364"/>
  <c r="C387" i="364"/>
  <c r="C1014" i="364"/>
  <c r="C2378" i="364"/>
  <c r="C2406" i="364"/>
  <c r="C2052" i="364"/>
  <c r="C2377" i="364"/>
  <c r="C2217" i="364"/>
  <c r="C1507" i="364"/>
  <c r="C2267" i="364"/>
  <c r="C310" i="364"/>
  <c r="C71" i="364"/>
  <c r="C1894" i="364"/>
  <c r="C1566" i="364"/>
  <c r="C641" i="364"/>
  <c r="C2026" i="364"/>
  <c r="C1573" i="364"/>
  <c r="C940" i="364"/>
  <c r="C2196" i="364"/>
  <c r="C1744" i="364"/>
  <c r="C700" i="364"/>
  <c r="C72" i="364"/>
  <c r="C2536" i="364"/>
  <c r="C2296" i="364"/>
  <c r="C1275" i="364"/>
  <c r="C1072" i="364"/>
  <c r="C1456" i="364"/>
  <c r="C193" i="364"/>
  <c r="C2059" i="364"/>
  <c r="C2509" i="364"/>
  <c r="C2730" i="364"/>
  <c r="C1041" i="364"/>
  <c r="C895" i="364"/>
  <c r="C1147" i="364"/>
  <c r="C1030" i="364"/>
  <c r="C2198" i="364"/>
  <c r="C2833" i="364"/>
  <c r="C209" i="364"/>
  <c r="C1027" i="364"/>
  <c r="C1516" i="364"/>
  <c r="C589" i="364"/>
  <c r="A1" i="362"/>
  <c r="C2179" i="364"/>
  <c r="C505" i="364"/>
  <c r="C1384" i="364"/>
  <c r="C244" i="364"/>
  <c r="C246" i="364"/>
  <c r="C619" i="364"/>
  <c r="C2772" i="364"/>
  <c r="C1312" i="364"/>
  <c r="C2421" i="364"/>
  <c r="C273" i="364"/>
  <c r="C2857" i="364"/>
  <c r="C1278" i="364"/>
  <c r="C858" i="364"/>
  <c r="C2307" i="364"/>
  <c r="C142" i="364"/>
  <c r="C1214" i="364"/>
  <c r="C315" i="364"/>
  <c r="C901" i="364"/>
  <c r="C2703" i="364"/>
  <c r="C2567" i="364"/>
  <c r="C1670" i="364"/>
  <c r="C369" i="364"/>
  <c r="C316" i="364"/>
  <c r="C656" i="364"/>
  <c r="C291" i="364"/>
  <c r="C2230" i="364"/>
  <c r="C198" i="364"/>
  <c r="C1568" i="364"/>
  <c r="C1574" i="364"/>
  <c r="C2490" i="364"/>
  <c r="C269" i="364"/>
  <c r="C1876" i="364"/>
  <c r="C2086" i="364"/>
  <c r="C2658" i="364"/>
  <c r="C1811" i="364"/>
  <c r="C1291" i="364"/>
  <c r="C2386" i="364"/>
  <c r="C1916" i="364"/>
  <c r="C807" i="364"/>
  <c r="C934" i="364"/>
  <c r="C2761" i="364"/>
  <c r="C2728" i="364"/>
  <c r="C2548" i="364"/>
  <c r="C2128" i="364"/>
  <c r="C636" i="364"/>
  <c r="C240" i="364"/>
  <c r="C1617" i="364"/>
  <c r="C1599" i="364"/>
  <c r="C907" i="364"/>
  <c r="C1848" i="364"/>
  <c r="C1241" i="364"/>
  <c r="C266" i="364"/>
  <c r="C860" i="364"/>
  <c r="C1857" i="364"/>
  <c r="C1630" i="364"/>
  <c r="C1428" i="364"/>
  <c r="C2495" i="364"/>
  <c r="C260" i="364"/>
  <c r="C2047" i="364"/>
  <c r="C1330" i="364"/>
  <c r="C1634" i="364"/>
  <c r="C2035" i="364"/>
  <c r="C1167" i="364"/>
  <c r="C1681" i="364"/>
  <c r="C55" i="364"/>
  <c r="C2856" i="364"/>
  <c r="C515" i="364"/>
  <c r="C775" i="364"/>
  <c r="C1161" i="364"/>
  <c r="C1483" i="364"/>
  <c r="C2531" i="364"/>
  <c r="C347" i="364"/>
  <c r="C744" i="364"/>
  <c r="C1941" i="364"/>
  <c r="C1458" i="364"/>
  <c r="C674" i="364"/>
  <c r="C1824" i="364"/>
  <c r="C492" i="364"/>
  <c r="C163" i="364"/>
  <c r="C233" i="364"/>
  <c r="C1608" i="364"/>
  <c r="C1607" i="364"/>
  <c r="C57" i="364"/>
  <c r="C614" i="364"/>
  <c r="C2764" i="364"/>
  <c r="C2748" i="364"/>
  <c r="C1691" i="364"/>
  <c r="C835" i="364"/>
  <c r="C68" i="364"/>
  <c r="C1940" i="364"/>
  <c r="C648" i="364"/>
  <c r="C2564" i="364"/>
  <c r="C1597" i="364"/>
  <c r="C2008" i="364"/>
  <c r="C2187" i="364"/>
  <c r="C1226" i="364"/>
  <c r="C615" i="364"/>
  <c r="C89" i="364"/>
  <c r="C723" i="364"/>
  <c r="C2843" i="364"/>
  <c r="C2210" i="364"/>
  <c r="C1152" i="364"/>
  <c r="C132" i="364"/>
  <c r="C1728" i="364"/>
  <c r="C1575" i="364"/>
  <c r="C94" i="364"/>
  <c r="C2574" i="364"/>
  <c r="C610" i="364"/>
  <c r="C2311" i="364"/>
  <c r="C2344" i="364"/>
  <c r="C1543" i="364"/>
  <c r="C2716" i="364"/>
  <c r="C2478" i="364"/>
  <c r="A1" i="305"/>
  <c r="C37" i="364"/>
  <c r="C1025" i="364"/>
  <c r="C504" i="364"/>
  <c r="C862" i="364"/>
  <c r="C1265" i="364"/>
  <c r="C390" i="364"/>
  <c r="C493" i="364"/>
  <c r="C66" i="364"/>
  <c r="C112" i="364"/>
  <c r="C2340" i="364"/>
  <c r="C726" i="364"/>
  <c r="C2306" i="364"/>
  <c r="C2563" i="364"/>
  <c r="C83" i="364"/>
  <c r="C2100" i="364"/>
  <c r="C487" i="364"/>
  <c r="C1723" i="364"/>
  <c r="C1619" i="364"/>
  <c r="C2015" i="364"/>
  <c r="C386" i="364"/>
  <c r="C2083" i="364"/>
  <c r="C1476" i="364"/>
  <c r="C2540" i="364"/>
  <c r="C1183" i="364"/>
  <c r="C986" i="364"/>
  <c r="C1913" i="364"/>
  <c r="C1130" i="364"/>
  <c r="C705" i="364"/>
  <c r="C227" i="364"/>
  <c r="C70" i="364"/>
  <c r="C2793" i="364"/>
  <c r="C2464" i="364"/>
  <c r="C205" i="364"/>
  <c r="C1743" i="364"/>
  <c r="C1053" i="364"/>
  <c r="C46" i="364"/>
  <c r="C1821" i="364"/>
  <c r="C225" i="364"/>
  <c r="C689" i="364"/>
  <c r="C928" i="364"/>
  <c r="C1847" i="364"/>
  <c r="C340" i="364"/>
  <c r="C2530" i="364"/>
  <c r="C1795" i="364"/>
  <c r="C1035" i="364"/>
  <c r="C1760" i="364"/>
  <c r="C1589" i="364"/>
  <c r="C1459" i="364"/>
  <c r="C440" i="364"/>
  <c r="C2315" i="364"/>
  <c r="C2649" i="364"/>
  <c r="C336" i="364"/>
  <c r="C2417" i="364"/>
  <c r="C1409" i="364"/>
  <c r="C819" i="364"/>
  <c r="C875" i="364"/>
  <c r="C1372" i="364"/>
  <c r="C1237" i="364"/>
  <c r="C1012" i="364"/>
  <c r="C389" i="364"/>
  <c r="C1758" i="364"/>
  <c r="C1768" i="364"/>
  <c r="C1071" i="364"/>
  <c r="C1000" i="364"/>
  <c r="C1928" i="364"/>
  <c r="C1181" i="364"/>
  <c r="C176" i="364"/>
  <c r="C330" i="364"/>
  <c r="C897" i="364"/>
  <c r="C2101" i="364"/>
  <c r="C476" i="364"/>
  <c r="C1682" i="364"/>
  <c r="C801" i="364"/>
  <c r="C1282" i="364"/>
  <c r="C2534" i="364"/>
  <c r="C1139" i="364"/>
  <c r="C2583" i="364"/>
  <c r="C2348" i="364"/>
  <c r="C1105" i="364"/>
  <c r="C2734" i="364"/>
  <c r="C2787" i="364"/>
  <c r="C720" i="364"/>
  <c r="C241" i="364"/>
  <c r="C562" i="364"/>
  <c r="C1203" i="364"/>
  <c r="C2524" i="364"/>
  <c r="C2635" i="364"/>
  <c r="C1522" i="364"/>
  <c r="C2814" i="364"/>
  <c r="C2711" i="364"/>
  <c r="C2020" i="364"/>
  <c r="C1780" i="364"/>
  <c r="C1340" i="364"/>
  <c r="C2335" i="364"/>
  <c r="C1004" i="364"/>
  <c r="C1404" i="364"/>
  <c r="C526" i="364"/>
  <c r="C2130" i="364"/>
  <c r="C1122" i="364"/>
  <c r="C1359" i="364"/>
  <c r="C687" i="364"/>
  <c r="C254" i="364"/>
  <c r="C2295" i="364"/>
  <c r="C2556" i="364"/>
  <c r="C2368" i="364"/>
  <c r="C1227" i="364"/>
  <c r="C2412" i="364"/>
  <c r="A1" i="255"/>
  <c r="C620" i="364"/>
  <c r="C1831" i="364"/>
  <c r="C694" i="364"/>
  <c r="C2617" i="364"/>
  <c r="C746" i="364"/>
  <c r="C1092" i="364"/>
  <c r="C2111" i="364"/>
  <c r="C536" i="364"/>
  <c r="A1" i="145"/>
  <c r="C693" i="364"/>
  <c r="C1178" i="364"/>
  <c r="C1881" i="364"/>
  <c r="C2177" i="364"/>
  <c r="C2394" i="364"/>
  <c r="C2310" i="364"/>
  <c r="C1385" i="364"/>
  <c r="C2572" i="364"/>
  <c r="C708" i="364"/>
  <c r="C2138" i="364"/>
  <c r="C1610" i="364"/>
  <c r="C1664" i="364"/>
  <c r="C815" i="364"/>
  <c r="C2541" i="364"/>
  <c r="C1798" i="364"/>
  <c r="C1701" i="364"/>
  <c r="C1931" i="364"/>
  <c r="C1501" i="364"/>
  <c r="C2232" i="364"/>
  <c r="C1300" i="364"/>
  <c r="C1212" i="364"/>
  <c r="C2223" i="364"/>
  <c r="C1208" i="364"/>
  <c r="C1637" i="364"/>
  <c r="C258" i="364"/>
  <c r="C2640" i="364"/>
  <c r="C2208" i="364"/>
  <c r="C2409" i="364"/>
  <c r="C215" i="364"/>
  <c r="C2323" i="364"/>
  <c r="A1" i="144"/>
  <c r="C2180" i="364"/>
  <c r="C184" i="364"/>
  <c r="C2095" i="364"/>
  <c r="C596" i="364"/>
  <c r="C2240" i="364"/>
  <c r="C1295" i="364"/>
  <c r="C1336" i="364"/>
  <c r="C1621" i="364"/>
  <c r="C34" i="364"/>
  <c r="C2001" i="364"/>
  <c r="C1932" i="364"/>
  <c r="C2201" i="364"/>
  <c r="C968" i="364"/>
  <c r="C1990" i="364"/>
  <c r="C226" i="364"/>
  <c r="C1081" i="364"/>
  <c r="C979" i="364"/>
  <c r="C1078" i="364"/>
  <c r="C2434" i="364"/>
  <c r="C1680" i="364"/>
  <c r="C1165" i="364"/>
  <c r="C1419" i="364"/>
  <c r="C730" i="364"/>
  <c r="C1488" i="364"/>
  <c r="C1897" i="364"/>
  <c r="C2862" i="364"/>
  <c r="C1804" i="364"/>
  <c r="C729" i="364"/>
  <c r="C1550" i="364"/>
  <c r="C2265" i="364"/>
  <c r="C467" i="364"/>
  <c r="C138" i="364"/>
  <c r="C1730" i="364"/>
  <c r="C576" i="364"/>
  <c r="C528" i="364"/>
  <c r="C889" i="364"/>
  <c r="C76" i="364"/>
  <c r="C967" i="364"/>
  <c r="C25" i="364"/>
  <c r="C1843" i="364"/>
  <c r="C2154" i="364"/>
  <c r="C2002" i="364"/>
  <c r="A1" i="147"/>
  <c r="C747" i="364"/>
  <c r="C130" i="364"/>
  <c r="C1005" i="364"/>
  <c r="C218" i="364"/>
  <c r="C2215" i="364"/>
  <c r="C157" i="364"/>
  <c r="C1839" i="364"/>
  <c r="C1665" i="364"/>
  <c r="C1853" i="364"/>
  <c r="C2867" i="364"/>
  <c r="C1414" i="364"/>
  <c r="C1697" i="364"/>
  <c r="C1392" i="364"/>
  <c r="C1914" i="364"/>
  <c r="C769" i="364"/>
  <c r="C1303" i="364"/>
  <c r="C1446" i="364"/>
  <c r="C916" i="364"/>
  <c r="C826" i="364"/>
  <c r="C374" i="364"/>
  <c r="C658" i="364"/>
  <c r="C172" i="364"/>
  <c r="C537" i="364"/>
  <c r="C734" i="364"/>
  <c r="C978" i="364"/>
  <c r="C2751" i="364"/>
  <c r="C981" i="364"/>
  <c r="C437" i="364"/>
  <c r="A1" i="136"/>
  <c r="C2263" i="364"/>
  <c r="C829" i="364"/>
  <c r="C2423" i="364"/>
  <c r="C2623" i="364"/>
  <c r="C2494" i="364"/>
  <c r="C443" i="364"/>
  <c r="C2722" i="364"/>
  <c r="C805" i="364"/>
  <c r="C2826" i="364"/>
  <c r="C2268" i="364"/>
  <c r="C38" i="364"/>
  <c r="C661" i="364"/>
  <c r="C1557" i="364"/>
  <c r="C2825" i="364"/>
  <c r="C1101" i="364"/>
  <c r="C317" i="364"/>
  <c r="C2750" i="364"/>
  <c r="C462" i="364"/>
  <c r="C1322" i="364"/>
  <c r="C1038" i="364"/>
  <c r="C1344" i="364"/>
  <c r="C197" i="364"/>
  <c r="C2064" i="364"/>
  <c r="C2110" i="364"/>
  <c r="C2559" i="364"/>
  <c r="C1150" i="364"/>
  <c r="C1198" i="364"/>
  <c r="C1809" i="364"/>
  <c r="C2376" i="364"/>
  <c r="C2604" i="364"/>
  <c r="C491" i="364"/>
  <c r="C2535" i="364"/>
  <c r="C1371" i="364"/>
  <c r="C1527" i="364"/>
  <c r="C486" i="364"/>
  <c r="C1107" i="364"/>
  <c r="C2055" i="364"/>
  <c r="C1895" i="364"/>
  <c r="C1031" i="364"/>
  <c r="C904" i="364"/>
  <c r="C1717" i="364"/>
  <c r="C2121" i="364"/>
  <c r="C450" i="364"/>
  <c r="C1436" i="364"/>
  <c r="C550" i="364"/>
  <c r="C698" i="364"/>
  <c r="C2085" i="364"/>
  <c r="C856" i="364"/>
  <c r="C2710" i="364"/>
  <c r="C2337" i="364"/>
  <c r="C2346" i="364"/>
  <c r="C551" i="364"/>
  <c r="C806" i="364"/>
  <c r="C2104" i="364"/>
  <c r="C2811" i="364"/>
  <c r="C1964" i="364"/>
  <c r="C2735" i="364"/>
  <c r="C1727" i="364"/>
  <c r="C2627" i="364"/>
  <c r="C2591" i="364"/>
  <c r="C1233" i="364"/>
  <c r="C837" i="364"/>
  <c r="C126" i="364"/>
  <c r="C287" i="364"/>
  <c r="C2440" i="364"/>
  <c r="C2582" i="364"/>
  <c r="C464" i="364"/>
  <c r="C1491" i="364"/>
  <c r="C1056" i="364"/>
  <c r="C2145" i="364"/>
  <c r="C36" i="364"/>
  <c r="C1551" i="364"/>
  <c r="C2666" i="364"/>
  <c r="C1616" i="364"/>
  <c r="A1" i="88"/>
  <c r="C786" i="364"/>
  <c r="C1837" i="364"/>
  <c r="C253" i="364"/>
  <c r="C245" i="364"/>
  <c r="C1751" i="364"/>
  <c r="C566" i="364"/>
  <c r="C1020" i="364"/>
  <c r="C14" i="364"/>
  <c r="C1220" i="364"/>
  <c r="C2007" i="364"/>
  <c r="C1394" i="364"/>
  <c r="C1115" i="364"/>
  <c r="C2262" i="364"/>
  <c r="C2322" i="364"/>
  <c r="C58" i="364"/>
  <c r="C930" i="364"/>
  <c r="C1740" i="364"/>
  <c r="C2492" i="364"/>
  <c r="C2542" i="364"/>
  <c r="C1465" i="364"/>
  <c r="C1447" i="364"/>
  <c r="C1343" i="364"/>
  <c r="C1880" i="364"/>
  <c r="C970" i="364"/>
  <c r="C1290" i="364"/>
  <c r="C2327" i="364"/>
  <c r="C1421" i="364"/>
  <c r="A1" i="316"/>
  <c r="C339" i="364"/>
  <c r="C1187" i="364"/>
  <c r="C2643" i="364"/>
  <c r="C1043" i="364"/>
  <c r="C1764" i="364"/>
  <c r="C2560" i="364"/>
  <c r="C1127" i="364"/>
  <c r="C631" i="364"/>
  <c r="C1327" i="364"/>
  <c r="C975" i="364"/>
  <c r="C1077" i="364"/>
  <c r="C2853" i="364"/>
  <c r="C2037" i="364"/>
  <c r="C1259" i="364"/>
  <c r="C514" i="364"/>
  <c r="C953" i="364"/>
  <c r="C1240" i="364"/>
  <c r="C1645" i="364"/>
  <c r="C1075" i="364"/>
  <c r="C2140" i="364"/>
  <c r="C1363" i="364"/>
  <c r="C2645" i="364"/>
  <c r="C187" i="364"/>
  <c r="C952" i="364"/>
  <c r="C2305" i="364"/>
  <c r="C298" i="364"/>
  <c r="C1281" i="364"/>
  <c r="C2012" i="364"/>
  <c r="C1089" i="364"/>
  <c r="C1559" i="364"/>
  <c r="C415" i="364"/>
  <c r="C1927" i="364"/>
  <c r="C2694" i="364"/>
  <c r="C2581" i="364"/>
  <c r="W3" i="233"/>
  <c r="W3" i="342"/>
  <c r="X3" i="127"/>
  <c r="P171" i="343"/>
  <c r="F30" i="253"/>
  <c r="H92" i="363"/>
  <c r="H97" i="363" s="1"/>
  <c r="F41" i="248"/>
  <c r="F6" i="350"/>
  <c r="H9" i="248"/>
  <c r="H105" i="248" s="1"/>
  <c r="H6" i="134"/>
  <c r="H167" i="134" s="1"/>
  <c r="I81" i="248"/>
  <c r="I82" i="248" s="1"/>
  <c r="I74" i="367"/>
  <c r="H217" i="248"/>
  <c r="C54" i="248"/>
  <c r="F116" i="248"/>
  <c r="F118" i="248" s="1"/>
  <c r="L25" i="129"/>
  <c r="A28" i="343"/>
  <c r="A27" i="342"/>
  <c r="A195" i="342" s="1"/>
  <c r="A25" i="233" s="1"/>
  <c r="D21" i="126"/>
  <c r="J137" i="343"/>
  <c r="J127" i="343" s="1"/>
  <c r="J17" i="126" s="1"/>
  <c r="Q127" i="343"/>
  <c r="K38" i="343"/>
  <c r="K28" i="343" s="1"/>
  <c r="K8" i="126" s="1"/>
  <c r="U28" i="343"/>
  <c r="J9" i="343"/>
  <c r="J6" i="343" s="1"/>
  <c r="J6" i="126" s="1"/>
  <c r="O5" i="140" s="1"/>
  <c r="N5" i="140" s="1"/>
  <c r="Q6" i="343"/>
  <c r="N3" i="342"/>
  <c r="N3" i="233"/>
  <c r="O3" i="343"/>
  <c r="N2" i="343"/>
  <c r="J40" i="248"/>
  <c r="J104" i="248" s="1"/>
  <c r="J6" i="350"/>
  <c r="O3" i="233"/>
  <c r="P3" i="127"/>
  <c r="K3" i="253"/>
  <c r="Q3" i="299"/>
  <c r="K3" i="349"/>
  <c r="M3" i="141"/>
  <c r="M248" i="363"/>
  <c r="Q3" i="298"/>
  <c r="M3" i="123"/>
  <c r="J3" i="361"/>
  <c r="L3" i="305"/>
  <c r="E3" i="294"/>
  <c r="K3" i="336"/>
  <c r="G3" i="139"/>
  <c r="L3" i="337"/>
  <c r="K3" i="144"/>
  <c r="K3" i="358"/>
  <c r="L3" i="131"/>
  <c r="Q3" i="300"/>
  <c r="K3" i="133"/>
  <c r="L3" i="128"/>
  <c r="L3" i="237"/>
  <c r="Q3" i="256"/>
  <c r="R3" i="296"/>
  <c r="E2" i="126"/>
  <c r="E2" i="249"/>
  <c r="F2" i="362"/>
  <c r="G201" i="363"/>
  <c r="E2" i="342"/>
  <c r="E2" i="305"/>
  <c r="M3" i="256"/>
  <c r="E2" i="351"/>
  <c r="E182" i="147"/>
  <c r="E2" i="129"/>
  <c r="E2" i="248"/>
  <c r="G247" i="363"/>
  <c r="E2" i="128"/>
  <c r="E2" i="134"/>
  <c r="A149" i="343"/>
  <c r="A148" i="342"/>
  <c r="A16" i="342"/>
  <c r="A17" i="343"/>
  <c r="A7" i="126" s="1"/>
  <c r="A6" i="294" s="1"/>
  <c r="A25" i="294" s="1"/>
  <c r="C2" i="350"/>
  <c r="C2" i="237"/>
  <c r="C2" i="248"/>
  <c r="C2" i="134"/>
  <c r="C2" i="367"/>
  <c r="E63" i="363"/>
  <c r="C2" i="127"/>
  <c r="C2" i="233"/>
  <c r="E109" i="363"/>
  <c r="B2" i="86"/>
  <c r="E247" i="363"/>
  <c r="C2" i="144"/>
  <c r="C2" i="351"/>
  <c r="C2" i="343"/>
  <c r="C82" i="248"/>
  <c r="F32" i="126"/>
  <c r="F39" i="126" s="1"/>
  <c r="F340" i="343"/>
  <c r="J101" i="343"/>
  <c r="Q94" i="343"/>
  <c r="A138" i="343"/>
  <c r="A137" i="342"/>
  <c r="U138" i="343"/>
  <c r="K148" i="343"/>
  <c r="K138" i="343" s="1"/>
  <c r="K18" i="126" s="1"/>
  <c r="T37" i="127"/>
  <c r="E112" i="248"/>
  <c r="E114" i="248" s="1"/>
  <c r="E28" i="86"/>
  <c r="F74" i="126"/>
  <c r="F125" i="248"/>
  <c r="M97" i="363"/>
  <c r="C35" i="253"/>
  <c r="B64" i="86" s="1"/>
  <c r="K114" i="248"/>
  <c r="A127" i="343"/>
  <c r="P340" i="342"/>
  <c r="Q37" i="127"/>
  <c r="D104" i="248"/>
  <c r="G108" i="248"/>
  <c r="B28" i="100"/>
  <c r="B26" i="100"/>
  <c r="B24" i="100"/>
  <c r="N2" i="139" s="1"/>
  <c r="O340" i="342"/>
  <c r="F63" i="126"/>
  <c r="E27" i="86" s="1"/>
  <c r="G112" i="123" s="1"/>
  <c r="G25" i="300"/>
  <c r="H31" i="300" s="1"/>
  <c r="H102" i="248"/>
  <c r="E89" i="248"/>
  <c r="J28" i="343"/>
  <c r="J8" i="126" s="1"/>
  <c r="K167" i="350"/>
  <c r="H47" i="248"/>
  <c r="J60" i="316"/>
  <c r="F124" i="248"/>
  <c r="G60" i="316"/>
  <c r="M340" i="342"/>
  <c r="V37" i="127"/>
  <c r="H33" i="337"/>
  <c r="H22" i="253"/>
  <c r="J18" i="248"/>
  <c r="K124" i="248"/>
  <c r="D50" i="131"/>
  <c r="W37" i="127"/>
  <c r="Q28" i="343"/>
  <c r="N37" i="246"/>
  <c r="N41" i="246" s="1"/>
  <c r="F42" i="123"/>
  <c r="I34" i="144"/>
  <c r="I71" i="144" s="1"/>
  <c r="C45" i="136"/>
  <c r="K27" i="136"/>
  <c r="C27" i="136"/>
  <c r="C25" i="316"/>
  <c r="C59" i="316" s="1"/>
  <c r="J66" i="146"/>
  <c r="E48" i="146"/>
  <c r="C40" i="299"/>
  <c r="C45" i="299" s="1"/>
  <c r="Q32" i="300"/>
  <c r="Q36" i="300" s="1"/>
  <c r="F20" i="301"/>
  <c r="L235" i="363"/>
  <c r="L87" i="363"/>
  <c r="G106" i="363"/>
  <c r="C117" i="248"/>
  <c r="C118" i="248" s="1"/>
  <c r="I131" i="248"/>
  <c r="C6" i="358"/>
  <c r="D82" i="248"/>
  <c r="E128" i="248"/>
  <c r="H5" i="133"/>
  <c r="H48" i="337"/>
  <c r="F32" i="142"/>
  <c r="L64" i="305"/>
  <c r="L102" i="255" s="1"/>
  <c r="G64" i="305"/>
  <c r="G102" i="255" s="1"/>
  <c r="D33" i="305"/>
  <c r="D101" i="255" s="1"/>
  <c r="D46" i="88" s="1"/>
  <c r="G37" i="148"/>
  <c r="G23" i="139"/>
  <c r="H59" i="253"/>
  <c r="C50" i="248"/>
  <c r="D110" i="134"/>
  <c r="I118" i="134"/>
  <c r="I167" i="134" s="1"/>
  <c r="G127" i="248"/>
  <c r="I6" i="358"/>
  <c r="H34" i="129"/>
  <c r="I17" i="337"/>
  <c r="I27" i="136"/>
  <c r="C45" i="249"/>
  <c r="I27" i="249"/>
  <c r="K104" i="146"/>
  <c r="C48" i="146"/>
  <c r="I59" i="253"/>
  <c r="G54" i="248"/>
  <c r="D130" i="248"/>
  <c r="G6" i="134"/>
  <c r="E107" i="248"/>
  <c r="H127" i="248"/>
  <c r="D6" i="349"/>
  <c r="D118" i="358"/>
  <c r="G38" i="133"/>
  <c r="L72" i="343"/>
  <c r="L12" i="126" s="1"/>
  <c r="S171" i="343"/>
  <c r="J42" i="123"/>
  <c r="D36" i="142"/>
  <c r="H67" i="144"/>
  <c r="H12" i="237" s="1"/>
  <c r="H45" i="136"/>
  <c r="K45" i="249"/>
  <c r="F49" i="316"/>
  <c r="J25" i="316"/>
  <c r="J59" i="316" s="1"/>
  <c r="H25" i="316"/>
  <c r="H59" i="316" s="1"/>
  <c r="J98" i="146"/>
  <c r="H66" i="146"/>
  <c r="F14" i="146"/>
  <c r="J37" i="148"/>
  <c r="J48" i="298"/>
  <c r="C25" i="300"/>
  <c r="I122" i="363"/>
  <c r="F143" i="363"/>
  <c r="C14" i="253"/>
  <c r="B62" i="86" s="1"/>
  <c r="E26" i="253"/>
  <c r="D63" i="86" s="1"/>
  <c r="D105" i="248"/>
  <c r="G110" i="350"/>
  <c r="C28" i="248"/>
  <c r="C29" i="248" s="1"/>
  <c r="D74" i="349"/>
  <c r="I118" i="349"/>
  <c r="D5" i="133"/>
  <c r="I147" i="351"/>
  <c r="P53" i="95"/>
  <c r="P63" i="95" s="1"/>
  <c r="I48" i="146"/>
  <c r="G40" i="299"/>
  <c r="G45" i="299" s="1"/>
  <c r="E39" i="140"/>
  <c r="H45" i="253"/>
  <c r="G65" i="86" s="1"/>
  <c r="H106" i="363"/>
  <c r="J139" i="350"/>
  <c r="E102" i="248"/>
  <c r="K108" i="248"/>
  <c r="C127" i="248"/>
  <c r="G6" i="358"/>
  <c r="G167" i="358" s="1"/>
  <c r="G173" i="358" s="1"/>
  <c r="G98" i="351"/>
  <c r="I127" i="351"/>
  <c r="L83" i="343"/>
  <c r="L13" i="126" s="1"/>
  <c r="Q12" i="140" s="1"/>
  <c r="I47" i="131"/>
  <c r="I50" i="131" s="1"/>
  <c r="L14" i="123"/>
  <c r="J32" i="142"/>
  <c r="G34" i="144"/>
  <c r="G71" i="144" s="1"/>
  <c r="F45" i="136"/>
  <c r="E53" i="316"/>
  <c r="H64" i="305"/>
  <c r="H102" i="255" s="1"/>
  <c r="K64" i="305"/>
  <c r="K102" i="255" s="1"/>
  <c r="F33" i="305"/>
  <c r="I20" i="301"/>
  <c r="F44" i="139"/>
  <c r="O30" i="139"/>
  <c r="O21" i="139"/>
  <c r="O23" i="139" s="1"/>
  <c r="O9" i="139"/>
  <c r="M153" i="363"/>
  <c r="G199" i="363"/>
  <c r="H235" i="363"/>
  <c r="I10" i="253"/>
  <c r="H83" i="363"/>
  <c r="G122" i="248"/>
  <c r="D127" i="248"/>
  <c r="K189" i="248"/>
  <c r="G118" i="358"/>
  <c r="F122" i="248"/>
  <c r="H25" i="351"/>
  <c r="L48" i="337"/>
  <c r="E27" i="249"/>
  <c r="K49" i="316"/>
  <c r="K60" i="316" s="1"/>
  <c r="F98" i="146"/>
  <c r="K14" i="146"/>
  <c r="O32" i="300"/>
  <c r="H20" i="301"/>
  <c r="H53" i="294"/>
  <c r="K134" i="363"/>
  <c r="I143" i="363"/>
  <c r="E226" i="363"/>
  <c r="J235" i="363"/>
  <c r="D14" i="253"/>
  <c r="C62" i="86" s="1"/>
  <c r="G119" i="248"/>
  <c r="E127" i="248"/>
  <c r="F25" i="351"/>
  <c r="K82" i="248"/>
  <c r="H25" i="300"/>
  <c r="L25" i="300"/>
  <c r="G39" i="140"/>
  <c r="K74" i="358"/>
  <c r="I74" i="358"/>
  <c r="H74" i="358"/>
  <c r="H6" i="358"/>
  <c r="K6" i="358"/>
  <c r="J6" i="358"/>
  <c r="I11" i="145"/>
  <c r="J42" i="133"/>
  <c r="P42" i="298" s="1"/>
  <c r="J19" i="133"/>
  <c r="P19" i="298" s="1"/>
  <c r="I19" i="133"/>
  <c r="O19" i="298" s="1"/>
  <c r="N19" i="298" s="1"/>
  <c r="K98" i="351"/>
  <c r="J98" i="351"/>
  <c r="K20" i="133"/>
  <c r="Q20" i="298" s="1"/>
  <c r="I38" i="131"/>
  <c r="I40" i="131" s="1"/>
  <c r="H47" i="131"/>
  <c r="H50" i="131" s="1"/>
  <c r="H51" i="131" s="1"/>
  <c r="I5" i="123"/>
  <c r="H23" i="88"/>
  <c r="D127" i="351"/>
  <c r="D15" i="133"/>
  <c r="D25" i="351"/>
  <c r="D19" i="133"/>
  <c r="C98" i="351"/>
  <c r="C5" i="351"/>
  <c r="D9" i="133"/>
  <c r="E134" i="248"/>
  <c r="K53" i="123"/>
  <c r="M53" i="123"/>
  <c r="L40" i="299"/>
  <c r="L45" i="299" s="1"/>
  <c r="D40" i="299"/>
  <c r="D45" i="299" s="1"/>
  <c r="C25" i="298"/>
  <c r="L48" i="298"/>
  <c r="H48" i="298"/>
  <c r="D48" i="298"/>
  <c r="K25" i="298"/>
  <c r="K26" i="298" s="1"/>
  <c r="G25" i="298"/>
  <c r="G26" i="298" s="1"/>
  <c r="F25" i="298"/>
  <c r="F26" i="298" s="1"/>
  <c r="I25" i="298"/>
  <c r="I26" i="298" s="1"/>
  <c r="E25" i="298"/>
  <c r="E26" i="298" s="1"/>
  <c r="M25" i="298"/>
  <c r="M26" i="298" s="1"/>
  <c r="J25" i="298"/>
  <c r="J26" i="298" s="1"/>
  <c r="L25" i="298"/>
  <c r="D25" i="298"/>
  <c r="F40" i="299"/>
  <c r="F45" i="299" s="1"/>
  <c r="C37" i="137"/>
  <c r="C41" i="137" s="1"/>
  <c r="C45" i="137" s="1"/>
  <c r="G37" i="137"/>
  <c r="G41" i="137" s="1"/>
  <c r="G45" i="137" s="1"/>
  <c r="D37" i="137"/>
  <c r="D41" i="137" s="1"/>
  <c r="D45" i="137" s="1"/>
  <c r="M37" i="137"/>
  <c r="M41" i="137" s="1"/>
  <c r="M45" i="137" s="1"/>
  <c r="F37" i="137"/>
  <c r="F41" i="137" s="1"/>
  <c r="F45" i="137" s="1"/>
  <c r="J37" i="137"/>
  <c r="J41" i="137" s="1"/>
  <c r="J45" i="137" s="1"/>
  <c r="I37" i="137"/>
  <c r="I41" i="137" s="1"/>
  <c r="I45" i="137" s="1"/>
  <c r="L37" i="137"/>
  <c r="L41" i="137" s="1"/>
  <c r="L45" i="137" s="1"/>
  <c r="K37" i="137"/>
  <c r="K41" i="137" s="1"/>
  <c r="K45" i="137" s="1"/>
  <c r="H37" i="137"/>
  <c r="H41" i="137" s="1"/>
  <c r="H45" i="137" s="1"/>
  <c r="E37" i="137"/>
  <c r="E41" i="137" s="1"/>
  <c r="E45" i="137" s="1"/>
  <c r="K48" i="337"/>
  <c r="K33" i="337"/>
  <c r="L33" i="337"/>
  <c r="I45" i="337"/>
  <c r="I32" i="337"/>
  <c r="K18" i="337"/>
  <c r="J18" i="337"/>
  <c r="E48" i="337"/>
  <c r="E33" i="337"/>
  <c r="E51" i="95"/>
  <c r="E53" i="95" s="1"/>
  <c r="E63" i="95" s="1"/>
  <c r="K62" i="95"/>
  <c r="G62" i="95"/>
  <c r="C53" i="95"/>
  <c r="G53" i="95"/>
  <c r="G63" i="95" s="1"/>
  <c r="K53" i="95"/>
  <c r="K63" i="95" s="1"/>
  <c r="I53" i="95"/>
  <c r="I63" i="95" s="1"/>
  <c r="J53" i="95"/>
  <c r="J63" i="95" s="1"/>
  <c r="B53" i="95"/>
  <c r="B55" i="95" s="1"/>
  <c r="C54" i="95" s="1"/>
  <c r="L53" i="95"/>
  <c r="L63" i="95" s="1"/>
  <c r="M20" i="95"/>
  <c r="M32" i="95" s="1"/>
  <c r="L46" i="131"/>
  <c r="J48" i="131"/>
  <c r="L36" i="131"/>
  <c r="K44" i="86" s="1"/>
  <c r="L49" i="88"/>
  <c r="O53" i="95"/>
  <c r="O63" i="95" s="1"/>
  <c r="K27" i="131"/>
  <c r="J43" i="86" s="1"/>
  <c r="K46" i="131"/>
  <c r="J27" i="131"/>
  <c r="I43" i="86" s="1"/>
  <c r="J46" i="131"/>
  <c r="M45" i="95"/>
  <c r="M51" i="95" s="1"/>
  <c r="P62" i="95"/>
  <c r="N51" i="95"/>
  <c r="N53" i="95" s="1"/>
  <c r="N55" i="95" s="1"/>
  <c r="O54" i="95" s="1"/>
  <c r="L27" i="131"/>
  <c r="K43" i="86" s="1"/>
  <c r="J49" i="88"/>
  <c r="L45" i="131"/>
  <c r="L47" i="131" s="1"/>
  <c r="J17" i="131"/>
  <c r="I42" i="86" s="1"/>
  <c r="L17" i="131"/>
  <c r="K42" i="86" s="1"/>
  <c r="K17" i="131"/>
  <c r="J42" i="86" s="1"/>
  <c r="H18" i="337"/>
  <c r="H34" i="337"/>
  <c r="J33" i="337"/>
  <c r="E18" i="337"/>
  <c r="J6" i="134"/>
  <c r="J167" i="134" s="1"/>
  <c r="I104" i="248"/>
  <c r="I6" i="350"/>
  <c r="I167" i="350" s="1"/>
  <c r="I79" i="248"/>
  <c r="I6" i="367"/>
  <c r="I167" i="367" s="1"/>
  <c r="J69" i="248"/>
  <c r="J6" i="367"/>
  <c r="J167" i="367" s="1"/>
  <c r="I102" i="248"/>
  <c r="G37" i="246"/>
  <c r="G41" i="246" s="1"/>
  <c r="I37" i="246"/>
  <c r="I41" i="246" s="1"/>
  <c r="J37" i="246"/>
  <c r="J41" i="246" s="1"/>
  <c r="F37" i="246"/>
  <c r="F41" i="246" s="1"/>
  <c r="E37" i="246"/>
  <c r="E41" i="246" s="1"/>
  <c r="R35" i="246"/>
  <c r="C37" i="246"/>
  <c r="C41" i="246" s="1"/>
  <c r="H37" i="246"/>
  <c r="H41" i="246" s="1"/>
  <c r="R21" i="246"/>
  <c r="D37" i="246"/>
  <c r="D41" i="246" s="1"/>
  <c r="N28" i="300"/>
  <c r="K17" i="133"/>
  <c r="Q17" i="298" s="1"/>
  <c r="J5" i="351"/>
  <c r="G11" i="88"/>
  <c r="G12" i="129"/>
  <c r="H15" i="123"/>
  <c r="G35" i="237"/>
  <c r="G15" i="123"/>
  <c r="G18" i="337"/>
  <c r="H27" i="249"/>
  <c r="H47" i="249" s="1"/>
  <c r="H6" i="349"/>
  <c r="H179" i="248"/>
  <c r="H169" i="248" s="1"/>
  <c r="H56" i="86" s="1"/>
  <c r="H98" i="146"/>
  <c r="I82" i="146"/>
  <c r="G100" i="146"/>
  <c r="D82" i="146"/>
  <c r="C104" i="146"/>
  <c r="D66" i="146"/>
  <c r="C39" i="129"/>
  <c r="B38" i="86" s="1"/>
  <c r="C71" i="144"/>
  <c r="E15" i="123"/>
  <c r="F15" i="123"/>
  <c r="C53" i="86"/>
  <c r="D217" i="248"/>
  <c r="D134" i="248"/>
  <c r="C42" i="133"/>
  <c r="C220" i="351"/>
  <c r="D30" i="133"/>
  <c r="D5" i="351"/>
  <c r="C853" i="364"/>
  <c r="C2820" i="364"/>
  <c r="C2549" i="364"/>
  <c r="C1554" i="364"/>
  <c r="C2677" i="364"/>
  <c r="C701" i="364"/>
  <c r="C1738" i="364"/>
  <c r="C1582" i="364"/>
  <c r="C2399" i="364"/>
  <c r="C585" i="364"/>
  <c r="C773" i="364"/>
  <c r="C1029" i="364"/>
  <c r="C1859" i="364"/>
  <c r="C156" i="364"/>
  <c r="C2602" i="364"/>
  <c r="C285" i="364"/>
  <c r="C1326" i="364"/>
  <c r="C2361" i="364"/>
  <c r="C1907" i="364"/>
  <c r="C1449" i="364"/>
  <c r="C2449" i="364"/>
  <c r="C1938" i="364"/>
  <c r="C1718" i="364"/>
  <c r="A1" i="360"/>
  <c r="C270" i="364"/>
  <c r="C1065" i="364"/>
  <c r="C1154" i="364"/>
  <c r="C1469" i="364"/>
  <c r="C1292" i="364"/>
  <c r="C2094" i="364"/>
  <c r="C331" i="364"/>
  <c r="C2164" i="364"/>
  <c r="C85" i="364"/>
  <c r="C447" i="364"/>
  <c r="C2398" i="364"/>
  <c r="C996" i="364"/>
  <c r="C1802" i="364"/>
  <c r="C135" i="364"/>
  <c r="C150" i="364"/>
  <c r="C2271" i="364"/>
  <c r="C728" i="364"/>
  <c r="C622" i="364"/>
  <c r="C512" i="364"/>
  <c r="C2004" i="364"/>
  <c r="C2071" i="364"/>
  <c r="C211" i="364"/>
  <c r="C923" i="364"/>
  <c r="C27" i="364"/>
  <c r="C2226" i="364"/>
  <c r="C1166" i="364"/>
  <c r="C2801" i="364"/>
  <c r="C2076" i="364"/>
  <c r="C1434" i="364"/>
  <c r="C2381" i="364"/>
  <c r="C1673" i="364"/>
  <c r="C583" i="364"/>
  <c r="C1230" i="364"/>
  <c r="C1910" i="364"/>
  <c r="C1826" i="364"/>
  <c r="C1201" i="364"/>
  <c r="C429" i="364"/>
  <c r="C2786" i="364"/>
  <c r="C354" i="364"/>
  <c r="C2414" i="364"/>
  <c r="C107" i="364"/>
  <c r="C2594" i="364"/>
  <c r="C2173" i="364"/>
  <c r="C1810" i="364"/>
  <c r="C1462" i="364"/>
  <c r="C1546" i="364"/>
  <c r="C1473" i="364"/>
  <c r="C1427" i="364"/>
  <c r="C279" i="364"/>
  <c r="C1649" i="364"/>
  <c r="C451" i="364"/>
  <c r="C2039" i="364"/>
  <c r="C1197" i="364"/>
  <c r="C660" i="364"/>
  <c r="C2546" i="364"/>
  <c r="C832" i="364"/>
  <c r="C590" i="364"/>
  <c r="C232" i="364"/>
  <c r="C472" i="364"/>
  <c r="C228" i="364"/>
  <c r="C1246" i="364"/>
  <c r="C329" i="364"/>
  <c r="C143" i="364"/>
  <c r="C475" i="364"/>
  <c r="C47" i="364"/>
  <c r="C2250" i="364"/>
  <c r="C2461" i="364"/>
  <c r="C1746" i="364"/>
  <c r="A1" i="363"/>
  <c r="C2066" i="364"/>
  <c r="A1" i="335"/>
  <c r="C1099" i="364"/>
  <c r="C2480" i="364"/>
  <c r="C167" i="364"/>
  <c r="C2794" i="364"/>
  <c r="C1524" i="364"/>
  <c r="C1082" i="364"/>
  <c r="C2401" i="364"/>
  <c r="C1915" i="364"/>
  <c r="C2835" i="364"/>
  <c r="C2544" i="364"/>
  <c r="C2755" i="364"/>
  <c r="C2845" i="364"/>
  <c r="C1047" i="364"/>
  <c r="C1779" i="364"/>
  <c r="C1204" i="364"/>
  <c r="C1223" i="364"/>
  <c r="C1487" i="364"/>
  <c r="C1325" i="364"/>
  <c r="C1440" i="364"/>
  <c r="C2431" i="364"/>
  <c r="C780" i="364"/>
  <c r="C1581" i="364"/>
  <c r="C2203" i="364"/>
  <c r="C2273" i="364"/>
  <c r="C26" i="364"/>
  <c r="C2526" i="364"/>
  <c r="C1861" i="364"/>
  <c r="C2403" i="364"/>
  <c r="C1188" i="364"/>
  <c r="C1563" i="364"/>
  <c r="C1654" i="364"/>
  <c r="C2067" i="364"/>
  <c r="C255" i="364"/>
  <c r="C2142" i="364"/>
  <c r="C899" i="364"/>
  <c r="C593" i="364"/>
  <c r="C1331" i="364"/>
  <c r="C1407" i="364"/>
  <c r="C2479" i="364"/>
  <c r="C1085" i="364"/>
  <c r="C397" i="364"/>
  <c r="C757" i="364"/>
  <c r="C2592" i="364"/>
  <c r="C1350" i="364"/>
  <c r="C1918" i="364"/>
  <c r="C2294" i="364"/>
  <c r="C2425" i="364"/>
  <c r="C2159" i="364"/>
  <c r="C788" i="364"/>
  <c r="C878" i="364"/>
  <c r="C108" i="364"/>
  <c r="C158" i="364"/>
  <c r="C787" i="364"/>
  <c r="C2789" i="364"/>
  <c r="C2388" i="364"/>
  <c r="C1734" i="364"/>
  <c r="C1684" i="364"/>
  <c r="C2184" i="364"/>
  <c r="C1063" i="364"/>
  <c r="C803" i="364"/>
  <c r="C1807" i="364"/>
  <c r="C1836" i="364"/>
  <c r="C267" i="364"/>
  <c r="C1965" i="364"/>
  <c r="C136" i="364"/>
  <c r="C1600" i="364"/>
  <c r="C1808" i="364"/>
  <c r="C666" i="364"/>
  <c r="C484" i="364"/>
  <c r="C664" i="364"/>
  <c r="C488" i="364"/>
  <c r="C1200" i="364"/>
  <c r="C100" i="364"/>
  <c r="C131" i="364"/>
  <c r="C41" i="364"/>
  <c r="C772" i="364"/>
  <c r="C797" i="364"/>
  <c r="C1603" i="364"/>
  <c r="C2211" i="364"/>
  <c r="C318" i="364"/>
  <c r="A1" i="368"/>
  <c r="C1411" i="364"/>
  <c r="C2799" i="364"/>
  <c r="C680" i="364"/>
  <c r="C507" i="364"/>
  <c r="C1438" i="364"/>
  <c r="C1585" i="364"/>
  <c r="C1783" i="364"/>
  <c r="C2299" i="364"/>
  <c r="C1666" i="364"/>
  <c r="C697" i="364"/>
  <c r="C1196" i="364"/>
  <c r="C2214" i="364"/>
  <c r="C2471" i="364"/>
  <c r="C621" i="364"/>
  <c r="C363" i="364"/>
  <c r="C946" i="364"/>
  <c r="C322" i="364"/>
  <c r="C1584" i="364"/>
  <c r="C990" i="364"/>
  <c r="C2024" i="364"/>
  <c r="C2713" i="364"/>
  <c r="C293" i="364"/>
  <c r="C1739" i="364"/>
  <c r="C2058" i="364"/>
  <c r="C391" i="364"/>
  <c r="C2016" i="364"/>
  <c r="C2496" i="364"/>
  <c r="C217" i="364"/>
  <c r="C2178" i="364"/>
  <c r="C1695" i="364"/>
  <c r="C2785" i="364"/>
  <c r="C954" i="364"/>
  <c r="C684" i="364"/>
  <c r="C2707" i="364"/>
  <c r="C1378" i="364"/>
  <c r="C1657" i="364"/>
  <c r="C1879" i="364"/>
  <c r="C882" i="364"/>
  <c r="C1904" i="364"/>
  <c r="C2127" i="364"/>
  <c r="C662" i="364"/>
  <c r="C2521" i="364"/>
  <c r="C2652" i="364"/>
  <c r="C607" i="364"/>
  <c r="C2859" i="364"/>
  <c r="C1878" i="364"/>
  <c r="C111" i="364"/>
  <c r="C1418" i="364"/>
  <c r="C7" i="364"/>
  <c r="C2513" i="364"/>
  <c r="C2207" i="364"/>
  <c r="C1328" i="364"/>
  <c r="C784" i="364"/>
  <c r="C894" i="364"/>
  <c r="C300" i="364"/>
  <c r="C366" i="364"/>
  <c r="C1304" i="364"/>
  <c r="C155" i="364"/>
  <c r="C564" i="364"/>
  <c r="C128" i="364"/>
  <c r="C1376" i="364"/>
  <c r="C876" i="364"/>
  <c r="C2741" i="364"/>
  <c r="C1367" i="364"/>
  <c r="C1674" i="364"/>
  <c r="C2391" i="364"/>
  <c r="C2667" i="364"/>
  <c r="C1365" i="364"/>
  <c r="A1" i="142"/>
  <c r="C2629" i="364"/>
  <c r="C2151" i="364"/>
  <c r="C2333" i="364"/>
  <c r="C480" i="364"/>
  <c r="C410" i="364"/>
  <c r="C16" i="364"/>
  <c r="C2533" i="364"/>
  <c r="C277" i="364"/>
  <c r="C568" i="364"/>
  <c r="C1956" i="364"/>
  <c r="C452" i="364"/>
  <c r="C811" i="364"/>
  <c r="C1019" i="364"/>
  <c r="C1441" i="364"/>
  <c r="C2393" i="364"/>
  <c r="C755" i="364"/>
  <c r="C1556" i="364"/>
  <c r="C2483" i="364"/>
  <c r="C790" i="364"/>
  <c r="C920" i="364"/>
  <c r="C761" i="364"/>
  <c r="C2369" i="364"/>
  <c r="C1285" i="364"/>
  <c r="C1334" i="364"/>
  <c r="C2699" i="364"/>
  <c r="C2864" i="364"/>
  <c r="C2752" i="364"/>
  <c r="C1980" i="364"/>
  <c r="C1357" i="364"/>
  <c r="C2202" i="364"/>
  <c r="C1515" i="364"/>
  <c r="C1388" i="364"/>
  <c r="C1070" i="364"/>
  <c r="C1310" i="364"/>
  <c r="C2044" i="364"/>
  <c r="C1222" i="364"/>
  <c r="C2312" i="364"/>
  <c r="C1023" i="364"/>
  <c r="C502" i="364"/>
  <c r="C1560" i="364"/>
  <c r="C2443" i="364"/>
  <c r="C1592" i="364"/>
  <c r="C1335" i="364"/>
  <c r="C1591" i="364"/>
  <c r="C509" i="364"/>
  <c r="C617" i="364"/>
  <c r="C499" i="364"/>
  <c r="C541" i="364"/>
  <c r="C124" i="364"/>
  <c r="C2194" i="364"/>
  <c r="C2108" i="364"/>
  <c r="C1155" i="364"/>
  <c r="C2690" i="364"/>
  <c r="C2675" i="364"/>
  <c r="C2603" i="364"/>
  <c r="C1675" i="364"/>
  <c r="C2057" i="364"/>
  <c r="C2697" i="364"/>
  <c r="C2125" i="364"/>
  <c r="C2781" i="364"/>
  <c r="C1289" i="364"/>
  <c r="C423" i="364"/>
  <c r="C2552" i="364"/>
  <c r="C1395" i="364"/>
  <c r="C2251" i="364"/>
  <c r="C11" i="364"/>
  <c r="C1652" i="364"/>
  <c r="C2424" i="364"/>
  <c r="C2171" i="364"/>
  <c r="C1567" i="364"/>
  <c r="C1369" i="364"/>
  <c r="C77" i="364"/>
  <c r="C1362" i="364"/>
  <c r="C2568" i="364"/>
  <c r="C2803" i="364"/>
  <c r="C2528" i="364"/>
  <c r="C1207" i="364"/>
  <c r="C1485" i="364"/>
  <c r="C1060" i="364"/>
  <c r="C2149" i="364"/>
  <c r="C1533" i="364"/>
  <c r="C272" i="364"/>
  <c r="C2191" i="364"/>
  <c r="C2454" i="364"/>
  <c r="C1644" i="364"/>
  <c r="C529" i="364"/>
  <c r="C2402" i="364"/>
  <c r="C1793" i="364"/>
  <c r="C1158" i="364"/>
  <c r="C1624" i="364"/>
  <c r="C1924" i="364"/>
  <c r="C1171" i="364"/>
  <c r="C1104" i="364"/>
  <c r="C2390" i="364"/>
  <c r="C1277" i="364"/>
  <c r="C1477" i="364"/>
  <c r="C201" i="364"/>
  <c r="C2374" i="364"/>
  <c r="C118" i="364"/>
  <c r="C2841" i="364"/>
  <c r="C2782" i="364"/>
  <c r="C2828" i="364"/>
  <c r="C2758" i="364"/>
  <c r="C2823" i="364"/>
  <c r="C1445" i="364"/>
  <c r="C2013" i="364"/>
  <c r="C1297" i="364"/>
  <c r="C1884" i="364"/>
  <c r="C2507" i="364"/>
  <c r="C1565" i="364"/>
  <c r="C821" i="364"/>
  <c r="C1672" i="364"/>
  <c r="C442" i="364"/>
  <c r="C2080" i="364"/>
  <c r="C699" i="364"/>
  <c r="C2155" i="364"/>
  <c r="C2460" i="364"/>
  <c r="C2493" i="364"/>
  <c r="C2082" i="364"/>
  <c r="C2805" i="364"/>
  <c r="C1615" i="364"/>
  <c r="C93" i="364"/>
  <c r="C1620" i="364"/>
  <c r="C611" i="364"/>
  <c r="C49" i="364"/>
  <c r="C1460" i="364"/>
  <c r="C2049" i="364"/>
  <c r="C202" i="364"/>
  <c r="C416" i="364"/>
  <c r="C736" i="364"/>
  <c r="C2745" i="364"/>
  <c r="C2872" i="364"/>
  <c r="C879" i="364"/>
  <c r="C1745" i="364"/>
  <c r="C461" i="364"/>
  <c r="C949" i="364"/>
  <c r="C1517" i="364"/>
  <c r="C1144" i="364"/>
  <c r="C924" i="364"/>
  <c r="C358" i="364"/>
  <c r="C760" i="364"/>
  <c r="C230" i="364"/>
  <c r="C2422" i="364"/>
  <c r="C2620" i="364"/>
  <c r="C398" i="364"/>
  <c r="C716" i="364"/>
  <c r="C1416" i="364"/>
  <c r="C91" i="364"/>
  <c r="C1206" i="364"/>
  <c r="C2291" i="364"/>
  <c r="C1988" i="364"/>
  <c r="C2612" i="364"/>
  <c r="C23" i="364"/>
  <c r="C1500" i="364"/>
  <c r="C1512" i="364"/>
  <c r="C722" i="364"/>
  <c r="C1095" i="364"/>
  <c r="C1120" i="364"/>
  <c r="C170" i="364"/>
  <c r="C864" i="364"/>
  <c r="C1873" i="364"/>
  <c r="C1669" i="364"/>
  <c r="C2497" i="364"/>
  <c r="C177" i="364"/>
  <c r="C513" i="364"/>
  <c r="C1100" i="364"/>
  <c r="C382" i="364"/>
  <c r="C1177" i="364"/>
  <c r="C2325" i="364"/>
  <c r="C1260" i="364"/>
  <c r="C2852" i="364"/>
  <c r="C2418" i="364"/>
  <c r="C1251" i="364"/>
  <c r="C2557" i="364"/>
  <c r="C1003" i="364"/>
  <c r="C2870" i="364"/>
  <c r="C1545" i="364"/>
  <c r="C955" i="364"/>
  <c r="C1396" i="364"/>
  <c r="C2241" i="364"/>
  <c r="C1754" i="364"/>
  <c r="C84" i="364"/>
  <c r="C2308" i="364"/>
  <c r="C2205" i="364"/>
  <c r="C731" i="364"/>
  <c r="C478" i="364"/>
  <c r="C2839" i="364"/>
  <c r="C1467" i="364"/>
  <c r="C2301" i="364"/>
  <c r="C2622" i="364"/>
  <c r="C831" i="364"/>
  <c r="C1622" i="364"/>
  <c r="C161" i="364"/>
  <c r="C1429" i="364"/>
  <c r="C612" i="364"/>
  <c r="C1773" i="364"/>
  <c r="C756" i="364"/>
  <c r="C1444" i="364"/>
  <c r="C1976" i="364"/>
  <c r="C2611" i="364"/>
  <c r="C1539" i="364"/>
  <c r="C1451" i="364"/>
  <c r="C2200" i="364"/>
  <c r="C101" i="364"/>
  <c r="C1457" i="364"/>
  <c r="C2245" i="364"/>
  <c r="C2046" i="364"/>
  <c r="C2459" i="364"/>
  <c r="C1765" i="364"/>
  <c r="C1901" i="364"/>
  <c r="C2389" i="364"/>
  <c r="C939" i="364"/>
  <c r="C1320" i="364"/>
  <c r="C468" i="364"/>
  <c r="C286" i="364"/>
  <c r="C2146" i="364"/>
  <c r="C1663" i="364"/>
  <c r="C1346" i="364"/>
  <c r="C1405" i="364"/>
  <c r="C1125" i="364"/>
  <c r="C725" i="364"/>
  <c r="C2190" i="364"/>
  <c r="C1088" i="364"/>
  <c r="C796" i="364"/>
  <c r="C1752" i="364"/>
  <c r="C178" i="364"/>
  <c r="C98" i="364"/>
  <c r="C403" i="364"/>
  <c r="C48" i="364"/>
  <c r="C1528" i="364"/>
  <c r="C2303" i="364"/>
  <c r="C296" i="364"/>
  <c r="C565" i="364"/>
  <c r="C579" i="364"/>
  <c r="C994" i="364"/>
  <c r="C125" i="364"/>
  <c r="C6" i="364"/>
  <c r="C2014" i="364"/>
  <c r="C181" i="364"/>
  <c r="C1648" i="364"/>
  <c r="C2780" i="364"/>
  <c r="C323" i="364"/>
  <c r="C908" i="364"/>
  <c r="C1057" i="364"/>
  <c r="C898" i="364"/>
  <c r="C479" i="364"/>
  <c r="C1677" i="364"/>
  <c r="C1266" i="364"/>
  <c r="C2158" i="364"/>
  <c r="C2463" i="364"/>
  <c r="C325" i="364"/>
  <c r="C577" i="364"/>
  <c r="C1869" i="364"/>
  <c r="C531" i="364"/>
  <c r="C1900" i="364"/>
  <c r="C2033" i="364"/>
  <c r="C2371" i="364"/>
  <c r="C1806" i="364"/>
  <c r="C2754" i="364"/>
  <c r="C2387" i="364"/>
  <c r="C1947" i="364"/>
  <c r="C359" i="364"/>
  <c r="A1" i="128"/>
  <c r="C2193" i="364"/>
  <c r="C1750" i="364"/>
  <c r="C2740" i="364"/>
  <c r="C121" i="364"/>
  <c r="C1700" i="364"/>
  <c r="C1402" i="364"/>
  <c r="C1834" i="364"/>
  <c r="C1113" i="364"/>
  <c r="C2705" i="364"/>
  <c r="C1732" i="364"/>
  <c r="C2243" i="364"/>
  <c r="C1731" i="364"/>
  <c r="C15" i="364"/>
  <c r="C2426" i="364"/>
  <c r="C2032" i="364"/>
  <c r="C1646" i="364"/>
  <c r="C2584" i="364"/>
  <c r="C1838" i="364"/>
  <c r="C1631" i="364"/>
  <c r="C647" i="364"/>
  <c r="C2384" i="364"/>
  <c r="C2400" i="364"/>
  <c r="C383" i="364"/>
  <c r="C1954" i="364"/>
  <c r="C1329" i="364"/>
  <c r="C2724" i="364"/>
  <c r="C1375" i="364"/>
  <c r="C2847" i="364"/>
  <c r="C2586" i="364"/>
  <c r="C1379" i="364"/>
  <c r="C2719" i="364"/>
  <c r="C849" i="364"/>
  <c r="C1313" i="364"/>
  <c r="C2357" i="364"/>
  <c r="C2405" i="364"/>
  <c r="C35" i="364"/>
  <c r="C1194" i="364"/>
  <c r="C539" i="364"/>
  <c r="C1191" i="364"/>
  <c r="C1872" i="364"/>
  <c r="C740" i="364"/>
  <c r="C1949" i="364"/>
  <c r="C588" i="364"/>
  <c r="C405" i="364"/>
  <c r="C399" i="364"/>
  <c r="C1454" i="364"/>
  <c r="C2760" i="364"/>
  <c r="C2065" i="364"/>
  <c r="C749" i="364"/>
  <c r="C449" i="364"/>
  <c r="C702" i="364"/>
  <c r="C682" i="364"/>
  <c r="C824" i="364"/>
  <c r="C196" i="364"/>
  <c r="C31" i="364"/>
  <c r="C216" i="364"/>
  <c r="C886" i="364"/>
  <c r="C888" i="364"/>
  <c r="C2578" i="364"/>
  <c r="C2610" i="364"/>
  <c r="C762" i="364"/>
  <c r="C626" i="364"/>
  <c r="C2453" i="364"/>
  <c r="C555" i="364"/>
  <c r="C2565" i="364"/>
  <c r="C717" i="364"/>
  <c r="C1489" i="364"/>
  <c r="C1858" i="364"/>
  <c r="C2441" i="364"/>
  <c r="C870" i="364"/>
  <c r="C2474" i="364"/>
  <c r="C282" i="364"/>
  <c r="C854" i="364"/>
  <c r="C738" i="364"/>
  <c r="C388" i="364"/>
  <c r="C1064" i="364"/>
  <c r="C2837" i="364"/>
  <c r="C1431" i="364"/>
  <c r="C1114" i="364"/>
  <c r="C707" i="364"/>
  <c r="C2045" i="364"/>
  <c r="C623" i="364"/>
  <c r="C2850" i="364"/>
  <c r="C1221" i="364"/>
  <c r="C105" i="364"/>
  <c r="C1034" i="364"/>
  <c r="C1423" i="364"/>
  <c r="C909" i="364"/>
  <c r="C999" i="364"/>
  <c r="C2227" i="364"/>
  <c r="C1410" i="364"/>
  <c r="C463" i="364"/>
  <c r="C1641" i="364"/>
  <c r="C53" i="364"/>
  <c r="C2615" i="364"/>
  <c r="C2036" i="364"/>
  <c r="C1017" i="364"/>
  <c r="C1252" i="364"/>
  <c r="C1415" i="364"/>
  <c r="C1314" i="364"/>
  <c r="C1685" i="364"/>
  <c r="C180" i="364"/>
  <c r="C966" i="364"/>
  <c r="C1243" i="364"/>
  <c r="C243" i="364"/>
  <c r="C2288" i="364"/>
  <c r="C1391" i="364"/>
  <c r="C2029" i="364"/>
  <c r="C2537" i="364"/>
  <c r="C2727" i="364"/>
  <c r="C1302" i="364"/>
  <c r="C1689" i="364"/>
  <c r="C1703" i="364"/>
  <c r="C497" i="364"/>
  <c r="C1401" i="364"/>
  <c r="C1570" i="364"/>
  <c r="C149" i="364"/>
  <c r="C2009" i="364"/>
  <c r="C2283" i="364"/>
  <c r="C1774" i="364"/>
  <c r="C2074" i="364"/>
  <c r="C1294" i="364"/>
  <c r="C2162" i="364"/>
  <c r="C2849" i="364"/>
  <c r="C1906" i="364"/>
  <c r="C2433" i="364"/>
  <c r="C1950" i="364"/>
  <c r="C638" i="364"/>
  <c r="C676" i="364"/>
  <c r="C1170" i="364"/>
  <c r="C1356" i="364"/>
  <c r="C1711" i="364"/>
  <c r="C376" i="364"/>
  <c r="C1532" i="364"/>
  <c r="C1333" i="364"/>
  <c r="C643" i="364"/>
  <c r="C2040" i="364"/>
  <c r="C958" i="364"/>
  <c r="C2626" i="364"/>
  <c r="C814" i="364"/>
  <c r="C933" i="364"/>
  <c r="C2648" i="364"/>
  <c r="C2590" i="364"/>
  <c r="C1596" i="364"/>
  <c r="C767" i="364"/>
  <c r="C545" i="364"/>
  <c r="C877" i="364"/>
  <c r="C1712" i="364"/>
  <c r="C1433" i="364"/>
  <c r="C271" i="364"/>
  <c r="C1724" i="364"/>
  <c r="C1069" i="364"/>
  <c r="C2674" i="364"/>
  <c r="C2706" i="364"/>
  <c r="C1612" i="364"/>
  <c r="C822" i="364"/>
  <c r="C810" i="364"/>
  <c r="C2634" i="364"/>
  <c r="C151" i="364"/>
  <c r="C2595" i="364"/>
  <c r="C1288" i="364"/>
  <c r="C407" i="364"/>
  <c r="C160" i="364"/>
  <c r="C249" i="364"/>
  <c r="C1316" i="364"/>
  <c r="C153" i="364"/>
  <c r="C2731" i="364"/>
  <c r="C393" i="364"/>
  <c r="C785" i="364"/>
  <c r="C1763" i="364"/>
  <c r="C2189" i="364"/>
  <c r="C2419" i="364"/>
  <c r="C511" i="364"/>
  <c r="C632" i="364"/>
  <c r="C2514" i="364"/>
  <c r="C1455" i="364"/>
  <c r="C795" i="364"/>
  <c r="C2280" i="364"/>
  <c r="C2822" i="364"/>
  <c r="C2791" i="364"/>
  <c r="C2285" i="364"/>
  <c r="C763" i="364"/>
  <c r="C2147" i="364"/>
  <c r="C1067" i="364"/>
  <c r="C1994" i="364"/>
  <c r="C1974" i="364"/>
  <c r="C199" i="364"/>
  <c r="C2349" i="364"/>
  <c r="C1397" i="364"/>
  <c r="C1186" i="364"/>
  <c r="C2744" i="364"/>
  <c r="C1986" i="364"/>
  <c r="C2467" i="364"/>
  <c r="C2558" i="364"/>
  <c r="C2034" i="364"/>
  <c r="C1482" i="364"/>
  <c r="C883" i="364"/>
  <c r="C1504" i="364"/>
  <c r="C1632" i="364"/>
  <c r="C337" i="364"/>
  <c r="C851" i="364"/>
  <c r="C2063" i="364"/>
  <c r="C1888" i="364"/>
  <c r="C704" i="364"/>
  <c r="C2642" i="364"/>
  <c r="C29" i="364"/>
  <c r="C2370" i="364"/>
  <c r="C919" i="364"/>
  <c r="C1231" i="364"/>
  <c r="C2277" i="364"/>
  <c r="C1160" i="364"/>
  <c r="C252" i="364"/>
  <c r="C2618" i="364"/>
  <c r="C774" i="364"/>
  <c r="C82" i="364"/>
  <c r="C630" i="364"/>
  <c r="C912" i="364"/>
  <c r="C922" i="364"/>
  <c r="A1" i="249"/>
  <c r="C213" i="364"/>
  <c r="C1989" i="364"/>
  <c r="C338" i="364"/>
  <c r="C2607" i="364"/>
  <c r="C1321" i="364"/>
  <c r="C1971" i="364"/>
  <c r="C1552" i="364"/>
  <c r="C44" i="364"/>
  <c r="C654" i="364"/>
  <c r="C718" i="364"/>
  <c r="C288" i="364"/>
  <c r="C481" i="364"/>
  <c r="C95" i="364"/>
  <c r="C2600" i="364"/>
  <c r="C1311" i="364"/>
  <c r="C2282" i="364"/>
  <c r="C417" i="364"/>
  <c r="C2324" i="364"/>
  <c r="C569" i="364"/>
  <c r="C1255" i="364"/>
  <c r="C2505" i="364"/>
  <c r="C735" i="364"/>
  <c r="C2437" i="364"/>
  <c r="C1659" i="364"/>
  <c r="C92" i="364"/>
  <c r="C67" i="364"/>
  <c r="C122" i="364"/>
  <c r="C2551" i="364"/>
  <c r="C2328" i="364"/>
  <c r="C2183" i="364"/>
  <c r="C2816" i="364"/>
  <c r="C1902" i="364"/>
  <c r="C2362" i="364"/>
  <c r="C1347" i="364"/>
  <c r="C413" i="364"/>
  <c r="C2632" i="364"/>
  <c r="C1015" i="364"/>
  <c r="C469" i="364"/>
  <c r="C1024" i="364"/>
  <c r="C2084" i="364"/>
  <c r="C1997" i="364"/>
  <c r="C2372" i="364"/>
  <c r="C677" i="364"/>
  <c r="C2871" i="364"/>
  <c r="C1987" i="364"/>
  <c r="C99" i="364"/>
  <c r="C251" i="364"/>
  <c r="C2863" i="364"/>
  <c r="C770" i="364"/>
  <c r="C804" i="364"/>
  <c r="C1358" i="364"/>
  <c r="C2597" i="364"/>
  <c r="C2366" i="364"/>
  <c r="C2516" i="364"/>
  <c r="C724" i="364"/>
  <c r="C348" i="364"/>
  <c r="C364" i="364"/>
  <c r="C2228" i="364"/>
  <c r="C1936" i="364"/>
  <c r="C778" i="364"/>
  <c r="C2638" i="364"/>
  <c r="C1045" i="364"/>
  <c r="C2444" i="364"/>
  <c r="C2550" i="364"/>
  <c r="C90" i="364"/>
  <c r="C409" i="364"/>
  <c r="C341" i="364"/>
  <c r="C1720" i="364"/>
  <c r="C1400" i="364"/>
  <c r="C652" i="364"/>
  <c r="C290" i="364"/>
  <c r="C1229" i="364"/>
  <c r="C628" i="364"/>
  <c r="C538" i="364"/>
  <c r="C556" i="364"/>
  <c r="C1232" i="364"/>
  <c r="C1048" i="364"/>
  <c r="C1920" i="364"/>
  <c r="C2733" i="364"/>
  <c r="C2334" i="364"/>
  <c r="C321" i="364"/>
  <c r="C1842" i="364"/>
  <c r="C377" i="364"/>
  <c r="C1149" i="364"/>
  <c r="C2759" i="364"/>
  <c r="C351" i="364"/>
  <c r="C2672" i="364"/>
  <c r="C546" i="364"/>
  <c r="C838" i="364"/>
  <c r="C522" i="364"/>
  <c r="C458" i="364"/>
  <c r="C1688" i="364"/>
  <c r="C820" i="364"/>
  <c r="C1696" i="364"/>
  <c r="C2109" i="364"/>
  <c r="C1116" i="364"/>
  <c r="C195" i="364"/>
  <c r="C1479" i="364"/>
  <c r="C951" i="364"/>
  <c r="C2216" i="364"/>
  <c r="C2763" i="364"/>
  <c r="C1254" i="364"/>
  <c r="C1540" i="364"/>
  <c r="C1849" i="364"/>
  <c r="C653" i="364"/>
  <c r="C1790" i="364"/>
  <c r="C1937" i="364"/>
  <c r="C2129" i="364"/>
  <c r="C671" i="364"/>
  <c r="C1353" i="364"/>
  <c r="C2834" i="364"/>
  <c r="C2182" i="364"/>
  <c r="C2702" i="364"/>
  <c r="C1529" i="364"/>
  <c r="C771" i="364"/>
  <c r="C1073" i="364"/>
  <c r="C404" i="364"/>
  <c r="C1225" i="364"/>
  <c r="C2451" i="364"/>
  <c r="C43" i="364"/>
  <c r="C13" i="364"/>
  <c r="C2637" i="364"/>
  <c r="C2668" i="364"/>
  <c r="A1" i="250"/>
  <c r="C1571" i="364"/>
  <c r="C2747" i="364"/>
  <c r="C2577" i="364"/>
  <c r="C603" i="364"/>
  <c r="C1541" i="364"/>
  <c r="C139" i="364"/>
  <c r="C212" i="364"/>
  <c r="C2774" i="364"/>
  <c r="A1" i="336"/>
  <c r="C1526" i="364"/>
  <c r="C1789" i="364"/>
  <c r="C1061" i="364"/>
  <c r="C299" i="364"/>
  <c r="C872" i="364"/>
  <c r="C1128" i="364"/>
  <c r="C910" i="364"/>
  <c r="C950" i="364"/>
  <c r="C256" i="364"/>
  <c r="C1008" i="364"/>
  <c r="C1408" i="364"/>
  <c r="C932" i="364"/>
  <c r="C2134" i="364"/>
  <c r="C2152" i="364"/>
  <c r="C1998" i="364"/>
  <c r="C186" i="364"/>
  <c r="C2807" i="364"/>
  <c r="C1368" i="364"/>
  <c r="C608" i="364"/>
  <c r="C2255" i="364"/>
  <c r="C737" i="364"/>
  <c r="C1898" i="364"/>
  <c r="C239" i="364"/>
  <c r="C594" i="364"/>
  <c r="C2795" i="364"/>
  <c r="C1156" i="364"/>
  <c r="C1686" i="364"/>
  <c r="C1794" i="364"/>
  <c r="C1925" i="364"/>
  <c r="C1248" i="364"/>
  <c r="C210" i="364"/>
  <c r="C2281" i="364"/>
  <c r="C995" i="364"/>
  <c r="C1269" i="364"/>
  <c r="C2176" i="364"/>
  <c r="C2408" i="364"/>
  <c r="C637" i="364"/>
  <c r="C2096" i="364"/>
  <c r="C2692" i="364"/>
  <c r="C1049" i="364"/>
  <c r="C2242" i="364"/>
  <c r="C1870" i="364"/>
  <c r="C1714" i="364"/>
  <c r="C983" i="364"/>
  <c r="C1272" i="364"/>
  <c r="C1309" i="364"/>
  <c r="C1844" i="364"/>
  <c r="C1217" i="364"/>
  <c r="C1959" i="364"/>
  <c r="C1871" i="364"/>
  <c r="C2619" i="364"/>
  <c r="C1179" i="364"/>
  <c r="C672" i="364"/>
  <c r="C96" i="364"/>
  <c r="C1136" i="364"/>
  <c r="C2824" i="364"/>
  <c r="C2532" i="364"/>
  <c r="C119" i="364"/>
  <c r="C1725" i="364"/>
  <c r="C1586" i="364"/>
  <c r="C655" i="364"/>
  <c r="C2631" i="364"/>
  <c r="C1236" i="364"/>
  <c r="C1735" i="364"/>
  <c r="C2256" i="364"/>
  <c r="C1991" i="364"/>
  <c r="C1995" i="364"/>
  <c r="C1564" i="364"/>
  <c r="C144" i="364"/>
  <c r="C558" i="364"/>
  <c r="C2818" i="364"/>
  <c r="C1939" i="364"/>
  <c r="C779" i="364"/>
  <c r="C2073" i="364"/>
  <c r="C765" i="364"/>
  <c r="C1957" i="364"/>
  <c r="C1769" i="364"/>
  <c r="C2829" i="364"/>
  <c r="C2231" i="364"/>
  <c r="C2276" i="364"/>
  <c r="C2771" i="364"/>
  <c r="C1856" i="364"/>
  <c r="C2651" i="364"/>
  <c r="C1118" i="364"/>
  <c r="C650" i="364"/>
  <c r="C750" i="364"/>
  <c r="C1011" i="364"/>
  <c r="C324" i="364"/>
  <c r="C133" i="364"/>
  <c r="C420" i="364"/>
  <c r="C1018" i="364"/>
  <c r="C667" i="364"/>
  <c r="C1109" i="364"/>
  <c r="C1893" i="364"/>
  <c r="C2093" i="364"/>
  <c r="C1424" i="364"/>
  <c r="C1279" i="364"/>
  <c r="C191" i="364"/>
  <c r="C1036" i="364"/>
  <c r="C1051" i="364"/>
  <c r="C587" i="364"/>
  <c r="C2257" i="364"/>
  <c r="C494" i="364"/>
  <c r="C2486" i="364"/>
  <c r="C842" i="364"/>
  <c r="C346" i="364"/>
  <c r="C2458" i="364"/>
  <c r="C1658" i="364"/>
  <c r="C2775" i="364"/>
  <c r="C1040" i="364"/>
  <c r="C1609" i="364"/>
  <c r="C659" i="364"/>
  <c r="C1271" i="364"/>
  <c r="C2757" i="364"/>
  <c r="C235" i="364"/>
  <c r="C1470" i="364"/>
  <c r="C1293" i="364"/>
  <c r="C2673" i="364"/>
  <c r="C2450" i="364"/>
  <c r="C1091" i="364"/>
  <c r="A1" i="343"/>
  <c r="B107" i="100"/>
  <c r="A1" i="237" s="1"/>
  <c r="B139" i="100"/>
  <c r="A1" i="298" s="1"/>
  <c r="B103" i="100"/>
  <c r="A1" i="127" s="1"/>
  <c r="B149" i="100"/>
  <c r="A1" i="358" s="1"/>
  <c r="B101" i="100"/>
  <c r="A1" i="133" s="1"/>
  <c r="B150" i="100"/>
  <c r="A1" i="367" s="1"/>
  <c r="B154" i="100"/>
  <c r="B141" i="100"/>
  <c r="A1" i="300" s="1"/>
  <c r="B151" i="100"/>
  <c r="A1" i="294" s="1"/>
  <c r="B148" i="100"/>
  <c r="A1" i="349" s="1"/>
  <c r="B146" i="100"/>
  <c r="A1" i="134" s="1"/>
  <c r="B152" i="100"/>
  <c r="A1" i="256" s="1"/>
  <c r="B140" i="100"/>
  <c r="A1" i="140" s="1"/>
  <c r="B142" i="100"/>
  <c r="A1" i="95" s="1"/>
  <c r="B143" i="100"/>
  <c r="A1" i="301" s="1"/>
  <c r="B108" i="100"/>
  <c r="A1" i="248" s="1"/>
  <c r="B137" i="100"/>
  <c r="A1" i="137" s="1"/>
  <c r="B105" i="100"/>
  <c r="A1" i="129" s="1"/>
  <c r="B102" i="100"/>
  <c r="A1" i="233" s="1"/>
  <c r="B112" i="100"/>
  <c r="A1" i="246" s="1"/>
  <c r="B138" i="100"/>
  <c r="A1" i="299" s="1"/>
  <c r="B100" i="100"/>
  <c r="A1" i="86" s="1"/>
  <c r="B106" i="100"/>
  <c r="A1" i="131" s="1"/>
  <c r="B153" i="100"/>
  <c r="A1" i="296" s="1"/>
  <c r="B109" i="100"/>
  <c r="A1" i="253" s="1"/>
  <c r="K46" i="146"/>
  <c r="J104" i="146"/>
  <c r="I104" i="146"/>
  <c r="J48" i="146"/>
  <c r="J46" i="146"/>
  <c r="I46" i="146"/>
  <c r="H104" i="146"/>
  <c r="H48" i="146"/>
  <c r="H33" i="305"/>
  <c r="H101" i="255" s="1"/>
  <c r="H49" i="316"/>
  <c r="H60" i="316" s="1"/>
  <c r="H27" i="136"/>
  <c r="I340" i="343"/>
  <c r="I341" i="343" s="1"/>
  <c r="H32" i="86"/>
  <c r="J108" i="123" s="1"/>
  <c r="J106" i="123"/>
  <c r="I63" i="126"/>
  <c r="H27" i="86" s="1"/>
  <c r="J112" i="123" s="1"/>
  <c r="H63" i="126"/>
  <c r="G27" i="86" s="1"/>
  <c r="I112" i="123" s="1"/>
  <c r="H38" i="233"/>
  <c r="H338" i="342"/>
  <c r="H170" i="342"/>
  <c r="H42" i="133"/>
  <c r="H220" i="351"/>
  <c r="H196" i="351"/>
  <c r="H39" i="133"/>
  <c r="H38" i="133" s="1"/>
  <c r="H32" i="133"/>
  <c r="H147" i="351"/>
  <c r="H28" i="133"/>
  <c r="H127" i="351"/>
  <c r="H98" i="351"/>
  <c r="H19" i="133"/>
  <c r="H13" i="133"/>
  <c r="H9" i="133" s="1"/>
  <c r="H5" i="351"/>
  <c r="G75" i="363"/>
  <c r="M75" i="363"/>
  <c r="J122" i="363"/>
  <c r="I71" i="363"/>
  <c r="H71" i="363"/>
  <c r="J10" i="253"/>
  <c r="J15" i="253" s="1"/>
  <c r="G71" i="363"/>
  <c r="F6" i="253"/>
  <c r="F10" i="253" s="1"/>
  <c r="G122" i="363"/>
  <c r="G10" i="253"/>
  <c r="M71" i="363"/>
  <c r="J71" i="363"/>
  <c r="H122" i="363"/>
  <c r="H10" i="253"/>
  <c r="H15" i="253" s="1"/>
  <c r="G22" i="253"/>
  <c r="M134" i="363"/>
  <c r="G83" i="363"/>
  <c r="L83" i="363"/>
  <c r="L88" i="363" s="1"/>
  <c r="J24" i="253"/>
  <c r="J26" i="253" s="1"/>
  <c r="J63" i="86" s="1"/>
  <c r="I26" i="253"/>
  <c r="H31" i="253"/>
  <c r="H36" i="253" s="1"/>
  <c r="J92" i="363"/>
  <c r="J97" i="363" s="1"/>
  <c r="I92" i="363"/>
  <c r="I97" i="363" s="1"/>
  <c r="G31" i="253"/>
  <c r="G36" i="253" s="1"/>
  <c r="E40" i="253"/>
  <c r="J106" i="363"/>
  <c r="K106" i="363"/>
  <c r="G45" i="253"/>
  <c r="F65" i="86" s="1"/>
  <c r="L106" i="363"/>
  <c r="F41" i="253"/>
  <c r="F45" i="253" s="1"/>
  <c r="E65" i="86" s="1"/>
  <c r="G100" i="363"/>
  <c r="L153" i="363"/>
  <c r="I6" i="349"/>
  <c r="J118" i="349"/>
  <c r="J6" i="349"/>
  <c r="I175" i="248"/>
  <c r="I179" i="248" s="1"/>
  <c r="I169" i="248" s="1"/>
  <c r="K6" i="349"/>
  <c r="K167" i="349" s="1"/>
  <c r="J170" i="248"/>
  <c r="J179" i="248" s="1"/>
  <c r="J169" i="248" s="1"/>
  <c r="I25" i="316"/>
  <c r="J27" i="249"/>
  <c r="K27" i="249"/>
  <c r="K47" i="249" s="1"/>
  <c r="I46" i="136"/>
  <c r="J27" i="136"/>
  <c r="J46" i="136" s="1"/>
  <c r="D11" i="294"/>
  <c r="E9" i="294"/>
  <c r="P24" i="140"/>
  <c r="K39" i="126"/>
  <c r="K340" i="343"/>
  <c r="L340" i="343"/>
  <c r="D6" i="294"/>
  <c r="L107" i="123"/>
  <c r="P36" i="300"/>
  <c r="O36" i="300"/>
  <c r="K32" i="86"/>
  <c r="M109" i="123" s="1"/>
  <c r="I32" i="86"/>
  <c r="Q25" i="300"/>
  <c r="L63" i="126"/>
  <c r="P25" i="300"/>
  <c r="N9" i="300"/>
  <c r="J63" i="126"/>
  <c r="I27" i="86" s="1"/>
  <c r="K112" i="123" s="1"/>
  <c r="N5" i="300"/>
  <c r="O25" i="300"/>
  <c r="J33" i="305"/>
  <c r="K338" i="342"/>
  <c r="I338" i="342"/>
  <c r="J170" i="342"/>
  <c r="I170" i="342"/>
  <c r="N20" i="299"/>
  <c r="O20" i="299"/>
  <c r="I20" i="233"/>
  <c r="K220" i="351"/>
  <c r="J220" i="351"/>
  <c r="I220" i="351"/>
  <c r="I246" i="351" s="1"/>
  <c r="I42" i="133"/>
  <c r="O42" i="298" s="1"/>
  <c r="N42" i="298" s="1"/>
  <c r="K42" i="133"/>
  <c r="Q42" i="298" s="1"/>
  <c r="J38" i="133"/>
  <c r="P38" i="298" s="1"/>
  <c r="J196" i="351"/>
  <c r="I38" i="133"/>
  <c r="O38" i="298" s="1"/>
  <c r="N38" i="298" s="1"/>
  <c r="K196" i="351"/>
  <c r="I34" i="133"/>
  <c r="O34" i="298" s="1"/>
  <c r="N34" i="298" s="1"/>
  <c r="J147" i="351"/>
  <c r="K32" i="133"/>
  <c r="Q32" i="298" s="1"/>
  <c r="K147" i="351"/>
  <c r="K127" i="351"/>
  <c r="I30" i="133"/>
  <c r="O30" i="298" s="1"/>
  <c r="N30" i="298" s="1"/>
  <c r="J127" i="351"/>
  <c r="K29" i="133"/>
  <c r="P20" i="298"/>
  <c r="J74" i="351"/>
  <c r="K25" i="351"/>
  <c r="K5" i="351"/>
  <c r="K5" i="133"/>
  <c r="Q5" i="298" s="1"/>
  <c r="I98" i="351"/>
  <c r="K19" i="133"/>
  <c r="Q19" i="298" s="1"/>
  <c r="J17" i="133"/>
  <c r="J15" i="133" s="1"/>
  <c r="P15" i="298" s="1"/>
  <c r="I9" i="133"/>
  <c r="O9" i="298" s="1"/>
  <c r="N9" i="298" s="1"/>
  <c r="I25" i="351"/>
  <c r="J25" i="351"/>
  <c r="K9" i="133"/>
  <c r="Q9" i="298" s="1"/>
  <c r="I5" i="133"/>
  <c r="O5" i="298" s="1"/>
  <c r="J5" i="133"/>
  <c r="P5" i="298" s="1"/>
  <c r="I5" i="351"/>
  <c r="G102" i="248"/>
  <c r="G179" i="248"/>
  <c r="G6" i="349"/>
  <c r="G15" i="248"/>
  <c r="G28" i="248"/>
  <c r="G167" i="134"/>
  <c r="H82" i="146"/>
  <c r="G104" i="146"/>
  <c r="G82" i="146"/>
  <c r="G45" i="249"/>
  <c r="G27" i="136"/>
  <c r="J31" i="253"/>
  <c r="J36" i="253" s="1"/>
  <c r="E31" i="253"/>
  <c r="E36" i="253" s="1"/>
  <c r="G92" i="363"/>
  <c r="G97" i="363" s="1"/>
  <c r="L92" i="363"/>
  <c r="L97" i="363" s="1"/>
  <c r="I36" i="253"/>
  <c r="K31" i="253"/>
  <c r="K36" i="253" s="1"/>
  <c r="F31" i="253"/>
  <c r="F36" i="253" s="1"/>
  <c r="G26" i="253"/>
  <c r="G27" i="253" s="1"/>
  <c r="I134" i="363"/>
  <c r="H88" i="363"/>
  <c r="H26" i="253"/>
  <c r="G63" i="86" s="1"/>
  <c r="K87" i="363"/>
  <c r="H134" i="363"/>
  <c r="G88" i="363"/>
  <c r="M83" i="363"/>
  <c r="J19" i="253"/>
  <c r="J22" i="253" s="1"/>
  <c r="L134" i="363"/>
  <c r="K22" i="253"/>
  <c r="E22" i="253"/>
  <c r="E27" i="253" s="1"/>
  <c r="I83" i="363"/>
  <c r="I88" i="363" s="1"/>
  <c r="J83" i="363"/>
  <c r="J88" i="363" s="1"/>
  <c r="F17" i="253"/>
  <c r="F22" i="253" s="1"/>
  <c r="F27" i="253" s="1"/>
  <c r="K14" i="253"/>
  <c r="K62" i="86" s="1"/>
  <c r="K6" i="253"/>
  <c r="K10" i="253" s="1"/>
  <c r="L71" i="363"/>
  <c r="L76" i="363" s="1"/>
  <c r="G14" i="253"/>
  <c r="F62" i="86" s="1"/>
  <c r="I76" i="363"/>
  <c r="J76" i="363"/>
  <c r="E10" i="253"/>
  <c r="E15" i="253" s="1"/>
  <c r="G34" i="129"/>
  <c r="F37" i="86" s="1"/>
  <c r="I15" i="123"/>
  <c r="H55" i="123"/>
  <c r="G51" i="131"/>
  <c r="G340" i="343"/>
  <c r="G341" i="343" s="1"/>
  <c r="G63" i="126"/>
  <c r="F27" i="86" s="1"/>
  <c r="H112" i="123" s="1"/>
  <c r="G338" i="342"/>
  <c r="G25" i="233"/>
  <c r="G43" i="133"/>
  <c r="G42" i="133" s="1"/>
  <c r="G196" i="351"/>
  <c r="G147" i="351"/>
  <c r="G32" i="133"/>
  <c r="G28" i="133"/>
  <c r="G127" i="351"/>
  <c r="G25" i="351"/>
  <c r="G9" i="133"/>
  <c r="G25" i="133" s="1"/>
  <c r="G5" i="351"/>
  <c r="F101" i="255"/>
  <c r="F46" i="88" s="1"/>
  <c r="J64" i="305"/>
  <c r="J102" i="255" s="1"/>
  <c r="I33" i="305"/>
  <c r="I101" i="255" s="1"/>
  <c r="I103" i="255" s="1"/>
  <c r="I32" i="127" s="1"/>
  <c r="H16" i="86" s="1"/>
  <c r="G33" i="305"/>
  <c r="G101" i="255" s="1"/>
  <c r="G46" i="88" s="1"/>
  <c r="G39" i="88" s="1"/>
  <c r="H7" i="123" s="1"/>
  <c r="H117" i="123" s="1"/>
  <c r="L33" i="305"/>
  <c r="F64" i="305"/>
  <c r="F102" i="255" s="1"/>
  <c r="C64" i="305"/>
  <c r="C102" i="255" s="1"/>
  <c r="K33" i="305"/>
  <c r="K101" i="255" s="1"/>
  <c r="E33" i="305"/>
  <c r="E65" i="305" s="1"/>
  <c r="E196" i="351"/>
  <c r="E38" i="133"/>
  <c r="E5" i="351"/>
  <c r="E98" i="351"/>
  <c r="E74" i="351"/>
  <c r="E5" i="133"/>
  <c r="K37" i="148"/>
  <c r="F37" i="148"/>
  <c r="F34" i="337"/>
  <c r="F100" i="363"/>
  <c r="D33" i="337"/>
  <c r="E153" i="363"/>
  <c r="F104" i="248"/>
  <c r="C104" i="248"/>
  <c r="C79" i="248"/>
  <c r="C69" i="248" s="1"/>
  <c r="C6" i="367"/>
  <c r="C167" i="367" s="1"/>
  <c r="C169" i="367" s="1"/>
  <c r="E122" i="363"/>
  <c r="F106" i="363"/>
  <c r="E6" i="358"/>
  <c r="E15" i="248"/>
  <c r="E6" i="134"/>
  <c r="E46" i="146"/>
  <c r="F46" i="146"/>
  <c r="E104" i="146"/>
  <c r="E30" i="146"/>
  <c r="F30" i="146"/>
  <c r="E14" i="146"/>
  <c r="F49" i="146"/>
  <c r="E13" i="88"/>
  <c r="D28" i="86"/>
  <c r="E38" i="233"/>
  <c r="E170" i="342"/>
  <c r="E20" i="233"/>
  <c r="E42" i="133"/>
  <c r="E220" i="351"/>
  <c r="E32" i="133"/>
  <c r="E147" i="351"/>
  <c r="E28" i="133"/>
  <c r="E127" i="351"/>
  <c r="E19" i="133"/>
  <c r="E17" i="133"/>
  <c r="E15" i="133" s="1"/>
  <c r="E9" i="133"/>
  <c r="E25" i="351"/>
  <c r="C340" i="343"/>
  <c r="C39" i="126"/>
  <c r="E32" i="86"/>
  <c r="G108" i="123" s="1"/>
  <c r="G107" i="123"/>
  <c r="C32" i="86"/>
  <c r="E109" i="123" s="1"/>
  <c r="C63" i="126"/>
  <c r="B27" i="86" s="1"/>
  <c r="D112" i="123" s="1"/>
  <c r="D63" i="126"/>
  <c r="C27" i="86" s="1"/>
  <c r="E112" i="123" s="1"/>
  <c r="D38" i="233"/>
  <c r="D338" i="342"/>
  <c r="F170" i="342"/>
  <c r="C20" i="233"/>
  <c r="D20" i="233"/>
  <c r="C170" i="342"/>
  <c r="F6" i="233"/>
  <c r="F220" i="351"/>
  <c r="D220" i="351"/>
  <c r="F38" i="133"/>
  <c r="D196" i="351"/>
  <c r="F196" i="351"/>
  <c r="C38" i="133"/>
  <c r="D147" i="351"/>
  <c r="C32" i="133"/>
  <c r="F32" i="133"/>
  <c r="D32" i="133"/>
  <c r="C147" i="351"/>
  <c r="C246" i="351" s="1"/>
  <c r="F147" i="351"/>
  <c r="F127" i="351"/>
  <c r="C28" i="133"/>
  <c r="F19" i="133"/>
  <c r="F98" i="351"/>
  <c r="D98" i="351"/>
  <c r="D74" i="351"/>
  <c r="F15" i="133"/>
  <c r="F74" i="351"/>
  <c r="C25" i="351"/>
  <c r="C9" i="133"/>
  <c r="F5" i="133"/>
  <c r="A11" i="294"/>
  <c r="A30" i="294" s="1"/>
  <c r="A10" i="126"/>
  <c r="A8" i="299"/>
  <c r="A26" i="299" s="1"/>
  <c r="A184" i="342"/>
  <c r="A24" i="233" s="1"/>
  <c r="A6" i="233"/>
  <c r="A5" i="342"/>
  <c r="A5" i="233" s="1"/>
  <c r="A175" i="343"/>
  <c r="A6" i="126"/>
  <c r="A24" i="126" s="1"/>
  <c r="A23" i="140" s="1"/>
  <c r="C38" i="131"/>
  <c r="C40" i="131" s="1"/>
  <c r="C47" i="131"/>
  <c r="C50" i="131" s="1"/>
  <c r="F38" i="131"/>
  <c r="F40" i="131" s="1"/>
  <c r="D38" i="131"/>
  <c r="D40" i="131" s="1"/>
  <c r="H55" i="253"/>
  <c r="E15" i="255"/>
  <c r="E6" i="127" s="1"/>
  <c r="F46" i="123" s="1"/>
  <c r="G79" i="253"/>
  <c r="F60" i="86" s="1"/>
  <c r="I57" i="253"/>
  <c r="K27" i="255"/>
  <c r="K8" i="127" s="1"/>
  <c r="L48" i="123" s="1"/>
  <c r="L40" i="123" s="1"/>
  <c r="A18" i="255"/>
  <c r="J55" i="253"/>
  <c r="I11" i="86"/>
  <c r="K99" i="123" s="1"/>
  <c r="F17" i="86"/>
  <c r="B17" i="86"/>
  <c r="K92" i="123"/>
  <c r="C56" i="253"/>
  <c r="G34" i="255"/>
  <c r="G9" i="127" s="1"/>
  <c r="H49" i="123" s="1"/>
  <c r="I41" i="123" s="1"/>
  <c r="D79" i="253"/>
  <c r="C60" i="86" s="1"/>
  <c r="H79" i="253"/>
  <c r="G60" i="86" s="1"/>
  <c r="E56" i="253"/>
  <c r="I56" i="253"/>
  <c r="I45" i="123"/>
  <c r="F45" i="123"/>
  <c r="Q24" i="137"/>
  <c r="F57" i="253"/>
  <c r="H92" i="123"/>
  <c r="L21" i="255"/>
  <c r="L7" i="127" s="1"/>
  <c r="M47" i="123" s="1"/>
  <c r="I58" i="253"/>
  <c r="K56" i="253"/>
  <c r="O8" i="137"/>
  <c r="N8" i="137" s="1"/>
  <c r="K15" i="86"/>
  <c r="I97" i="123"/>
  <c r="J17" i="88"/>
  <c r="C21" i="255"/>
  <c r="C7" i="127" s="1"/>
  <c r="D47" i="123" s="1"/>
  <c r="J97" i="123"/>
  <c r="G21" i="255"/>
  <c r="G7" i="127" s="1"/>
  <c r="H47" i="123" s="1"/>
  <c r="H39" i="123" s="1"/>
  <c r="K58" i="253"/>
  <c r="H57" i="253"/>
  <c r="J9" i="86"/>
  <c r="H17" i="86"/>
  <c r="D17" i="86"/>
  <c r="K47" i="123"/>
  <c r="O7" i="137"/>
  <c r="N7" i="137" s="1"/>
  <c r="J5" i="86"/>
  <c r="I92" i="123"/>
  <c r="K57" i="253"/>
  <c r="E58" i="253"/>
  <c r="L45" i="123"/>
  <c r="K15" i="255"/>
  <c r="K6" i="127" s="1"/>
  <c r="L46" i="123" s="1"/>
  <c r="K40" i="123"/>
  <c r="K5" i="86"/>
  <c r="H45" i="123"/>
  <c r="E79" i="253"/>
  <c r="D60" i="86" s="1"/>
  <c r="J39" i="123"/>
  <c r="F40" i="123"/>
  <c r="K79" i="253"/>
  <c r="K60" i="86" s="1"/>
  <c r="J13" i="86"/>
  <c r="O39" i="137"/>
  <c r="N39" i="137" s="1"/>
  <c r="A15" i="255"/>
  <c r="G92" i="123"/>
  <c r="J92" i="123"/>
  <c r="F34" i="255"/>
  <c r="F9" i="127" s="1"/>
  <c r="G49" i="123" s="1"/>
  <c r="G41" i="123" s="1"/>
  <c r="I79" i="253"/>
  <c r="I60" i="86" s="1"/>
  <c r="J41" i="123"/>
  <c r="G99" i="123"/>
  <c r="G97" i="123"/>
  <c r="I93" i="123"/>
  <c r="I46" i="123"/>
  <c r="J93" i="123"/>
  <c r="L49" i="123"/>
  <c r="P9" i="137"/>
  <c r="M49" i="123"/>
  <c r="Q9" i="137"/>
  <c r="E97" i="123"/>
  <c r="F97" i="123"/>
  <c r="H46" i="123"/>
  <c r="E40" i="123"/>
  <c r="I9" i="86"/>
  <c r="J54" i="123"/>
  <c r="J10" i="123" s="1"/>
  <c r="I36" i="237" s="1"/>
  <c r="I29" i="237" s="1"/>
  <c r="I32" i="237" s="1"/>
  <c r="I14" i="237" s="1"/>
  <c r="I18" i="237" s="1"/>
  <c r="H49" i="86" s="1"/>
  <c r="I17" i="86"/>
  <c r="I15" i="86"/>
  <c r="M92" i="123"/>
  <c r="K45" i="123"/>
  <c r="J15" i="86"/>
  <c r="D56" i="253"/>
  <c r="M45" i="123"/>
  <c r="F55" i="253"/>
  <c r="L47" i="123"/>
  <c r="L92" i="123"/>
  <c r="Q27" i="137"/>
  <c r="G57" i="253"/>
  <c r="J58" i="253"/>
  <c r="J21" i="86"/>
  <c r="G56" i="253"/>
  <c r="F79" i="253"/>
  <c r="E60" i="86" s="1"/>
  <c r="H93" i="123"/>
  <c r="H58" i="253"/>
  <c r="J79" i="253"/>
  <c r="J60" i="86" s="1"/>
  <c r="K49" i="123"/>
  <c r="I5" i="86"/>
  <c r="O5" i="137"/>
  <c r="G45" i="123"/>
  <c r="H97" i="123"/>
  <c r="O19" i="137"/>
  <c r="N19" i="137" s="1"/>
  <c r="I55" i="253"/>
  <c r="G46" i="123"/>
  <c r="E5" i="86"/>
  <c r="B5" i="86"/>
  <c r="D45" i="123"/>
  <c r="F92" i="123"/>
  <c r="E45" i="123"/>
  <c r="F34" i="129"/>
  <c r="E55" i="123"/>
  <c r="E84" i="123" s="1"/>
  <c r="D35" i="237"/>
  <c r="F55" i="123"/>
  <c r="F84" i="123" s="1"/>
  <c r="D12" i="129"/>
  <c r="I45" i="253"/>
  <c r="I65" i="86" s="1"/>
  <c r="L107" i="363"/>
  <c r="M106" i="363"/>
  <c r="M107" i="363" s="1"/>
  <c r="J45" i="253"/>
  <c r="J65" i="86" s="1"/>
  <c r="K100" i="363"/>
  <c r="K107" i="363" s="1"/>
  <c r="I106" i="363"/>
  <c r="I107" i="363" s="1"/>
  <c r="J153" i="363"/>
  <c r="H46" i="253"/>
  <c r="J100" i="363"/>
  <c r="E45" i="253"/>
  <c r="D65" i="86" s="1"/>
  <c r="C45" i="253"/>
  <c r="B65" i="86" s="1"/>
  <c r="E134" i="363"/>
  <c r="C31" i="253"/>
  <c r="C36" i="253" s="1"/>
  <c r="F153" i="363"/>
  <c r="D18" i="337"/>
  <c r="D45" i="249"/>
  <c r="G27" i="249"/>
  <c r="G47" i="249" s="1"/>
  <c r="F27" i="249"/>
  <c r="F46" i="136"/>
  <c r="D25" i="316"/>
  <c r="D52" i="316" s="1"/>
  <c r="C33" i="305"/>
  <c r="C65" i="305" s="1"/>
  <c r="D65" i="305"/>
  <c r="F100" i="146"/>
  <c r="F102" i="146" s="1"/>
  <c r="F104" i="146"/>
  <c r="D100" i="146"/>
  <c r="D104" i="146"/>
  <c r="D48" i="146"/>
  <c r="D49" i="146" s="1"/>
  <c r="D30" i="146"/>
  <c r="D14" i="146"/>
  <c r="F6" i="134"/>
  <c r="F15" i="248"/>
  <c r="F5" i="248" s="1"/>
  <c r="D15" i="248"/>
  <c r="D6" i="134"/>
  <c r="D167" i="134" s="1"/>
  <c r="C60" i="248"/>
  <c r="C57" i="248"/>
  <c r="C74" i="350"/>
  <c r="C47" i="248"/>
  <c r="C6" i="350"/>
  <c r="C167" i="350" s="1"/>
  <c r="F167" i="349"/>
  <c r="F175" i="349" s="1"/>
  <c r="C118" i="349"/>
  <c r="C6" i="349"/>
  <c r="D179" i="248"/>
  <c r="C179" i="248"/>
  <c r="F6" i="358"/>
  <c r="D6" i="358"/>
  <c r="F74" i="358"/>
  <c r="C74" i="358"/>
  <c r="C167" i="358" s="1"/>
  <c r="D74" i="358"/>
  <c r="E74" i="358"/>
  <c r="F6" i="367"/>
  <c r="F70" i="248"/>
  <c r="D113" i="248"/>
  <c r="D114" i="248" s="1"/>
  <c r="D79" i="248"/>
  <c r="D69" i="248" s="1"/>
  <c r="D48" i="337"/>
  <c r="F92" i="363"/>
  <c r="F97" i="363" s="1"/>
  <c r="E83" i="363"/>
  <c r="C58" i="253"/>
  <c r="E92" i="363"/>
  <c r="E97" i="363" s="1"/>
  <c r="D31" i="253"/>
  <c r="D36" i="253" s="1"/>
  <c r="E106" i="363"/>
  <c r="E75" i="363"/>
  <c r="E100" i="363"/>
  <c r="F41" i="123"/>
  <c r="F83" i="363"/>
  <c r="H37" i="148"/>
  <c r="F99" i="123"/>
  <c r="E41" i="123"/>
  <c r="D15" i="255"/>
  <c r="D6" i="127" s="1"/>
  <c r="D40" i="253"/>
  <c r="D45" i="253" s="1"/>
  <c r="C65" i="86" s="1"/>
  <c r="D26" i="253"/>
  <c r="C63" i="86" s="1"/>
  <c r="F87" i="363"/>
  <c r="F134" i="363"/>
  <c r="D22" i="253"/>
  <c r="C22" i="253"/>
  <c r="F122" i="363"/>
  <c r="C10" i="253"/>
  <c r="C15" i="253" s="1"/>
  <c r="D10" i="253"/>
  <c r="D15" i="253" s="1"/>
  <c r="F71" i="363"/>
  <c r="E71" i="363"/>
  <c r="G23" i="88"/>
  <c r="F45" i="86"/>
  <c r="O11" i="140"/>
  <c r="N11" i="140" s="1"/>
  <c r="C11" i="294"/>
  <c r="Q17" i="140"/>
  <c r="E17" i="294"/>
  <c r="O17" i="140"/>
  <c r="N17" i="140" s="1"/>
  <c r="C17" i="294"/>
  <c r="E14" i="294"/>
  <c r="Q14" i="140"/>
  <c r="C7" i="294"/>
  <c r="O7" i="140"/>
  <c r="N7" i="140" s="1"/>
  <c r="A14" i="299"/>
  <c r="A32" i="299" s="1"/>
  <c r="L2" i="246"/>
  <c r="D9" i="294"/>
  <c r="P9" i="140"/>
  <c r="O17" i="298"/>
  <c r="N17" i="298" s="1"/>
  <c r="I15" i="133"/>
  <c r="O15" i="298" s="1"/>
  <c r="N15" i="298" s="1"/>
  <c r="O31" i="299"/>
  <c r="I38" i="233"/>
  <c r="I74" i="351"/>
  <c r="O39" i="298"/>
  <c r="N39" i="298" s="1"/>
  <c r="O36" i="298"/>
  <c r="N36" i="298" s="1"/>
  <c r="D61" i="248"/>
  <c r="G34" i="337"/>
  <c r="K50" i="248"/>
  <c r="A261" i="342"/>
  <c r="A31" i="233" s="1"/>
  <c r="A13" i="233"/>
  <c r="C23" i="233"/>
  <c r="C38" i="233" s="1"/>
  <c r="C338" i="342"/>
  <c r="C15" i="255"/>
  <c r="C6" i="127" s="1"/>
  <c r="C57" i="253"/>
  <c r="P3" i="233"/>
  <c r="Q3" i="127"/>
  <c r="F113" i="248"/>
  <c r="F114" i="248" s="1"/>
  <c r="F82" i="248"/>
  <c r="C8" i="126"/>
  <c r="C21" i="126" s="1"/>
  <c r="C40" i="126" s="1"/>
  <c r="C171" i="343"/>
  <c r="C341" i="343" s="1"/>
  <c r="Q19" i="137"/>
  <c r="K9" i="86"/>
  <c r="I47" i="337"/>
  <c r="G48" i="337"/>
  <c r="F48" i="337"/>
  <c r="J25" i="300"/>
  <c r="I18" i="88"/>
  <c r="H5" i="86"/>
  <c r="J45" i="123"/>
  <c r="D37" i="248"/>
  <c r="G25" i="248"/>
  <c r="J74" i="126"/>
  <c r="I60" i="316"/>
  <c r="D44" i="86"/>
  <c r="E38" i="131"/>
  <c r="K36" i="131"/>
  <c r="J44" i="86" s="1"/>
  <c r="K48" i="131"/>
  <c r="K49" i="88"/>
  <c r="J45" i="131"/>
  <c r="J47" i="131" s="1"/>
  <c r="A15" i="140"/>
  <c r="A12" i="299"/>
  <c r="A30" i="299" s="1"/>
  <c r="J89" i="343"/>
  <c r="J83" i="343" s="1"/>
  <c r="Q83" i="343"/>
  <c r="M3" i="342"/>
  <c r="M3" i="233"/>
  <c r="G3" i="294"/>
  <c r="Q9" i="140"/>
  <c r="D35" i="86"/>
  <c r="P3" i="342"/>
  <c r="H5" i="237"/>
  <c r="H6" i="237" s="1"/>
  <c r="H8" i="237" s="1"/>
  <c r="G48" i="86" s="1"/>
  <c r="G74" i="351"/>
  <c r="O14" i="298"/>
  <c r="N14" i="298" s="1"/>
  <c r="B8" i="355"/>
  <c r="C169" i="248"/>
  <c r="G39" i="126"/>
  <c r="G40" i="126" s="1"/>
  <c r="H167" i="349"/>
  <c r="C2132" i="364"/>
  <c r="C1452" i="364"/>
  <c r="C2663" i="364"/>
  <c r="C2363" i="364"/>
  <c r="C2088" i="364"/>
  <c r="C1228" i="364"/>
  <c r="C1382" i="364"/>
  <c r="C2115" i="364"/>
  <c r="C2519" i="364"/>
  <c r="C2120" i="364"/>
  <c r="C2504" i="364"/>
  <c r="C2410" i="364"/>
  <c r="C65" i="364"/>
  <c r="C1373" i="364"/>
  <c r="C1785" i="364"/>
  <c r="C1587" i="364"/>
  <c r="C207" i="364"/>
  <c r="C2003" i="364"/>
  <c r="C525" i="364"/>
  <c r="C843" i="364"/>
  <c r="C2689" i="364"/>
  <c r="C97" i="364"/>
  <c r="C1238" i="364"/>
  <c r="C1324" i="364"/>
  <c r="C432" i="364"/>
  <c r="C984" i="364"/>
  <c r="C1450" i="364"/>
  <c r="C745" i="364"/>
  <c r="C2206" i="364"/>
  <c r="C1967" i="364"/>
  <c r="C1827" i="364"/>
  <c r="C2170" i="364"/>
  <c r="C553" i="364"/>
  <c r="C1973" i="364"/>
  <c r="C2606" i="364"/>
  <c r="C599" i="364"/>
  <c r="C1318" i="364"/>
  <c r="C2350" i="364"/>
  <c r="C1486" i="364"/>
  <c r="C591" i="364"/>
  <c r="C1767" i="364"/>
  <c r="C137" i="364"/>
  <c r="C289" i="364"/>
  <c r="C2624" i="364"/>
  <c r="C1137" i="364"/>
  <c r="C309" i="364"/>
  <c r="C1544" i="364"/>
  <c r="C604" i="364"/>
  <c r="C1840" i="364"/>
  <c r="C145" i="364"/>
  <c r="C2522" i="364"/>
  <c r="C1355" i="364"/>
  <c r="C2676" i="364"/>
  <c r="C189" i="364"/>
  <c r="C165" i="364"/>
  <c r="C2770" i="364"/>
  <c r="C2520" i="364"/>
  <c r="C1590" i="364"/>
  <c r="C2030" i="364"/>
  <c r="C2339" i="364"/>
  <c r="C303" i="364"/>
  <c r="C1117" i="364"/>
  <c r="C2700" i="364"/>
  <c r="C1235" i="364"/>
  <c r="C375" i="364"/>
  <c r="C2005" i="364"/>
  <c r="C355" i="364"/>
  <c r="C673" i="364"/>
  <c r="C2466" i="364"/>
  <c r="C148" i="364"/>
  <c r="C861" i="364"/>
  <c r="C834" i="364"/>
  <c r="A1" i="143"/>
  <c r="C1195" i="364"/>
  <c r="C1164" i="364"/>
  <c r="C1505" i="364"/>
  <c r="C1733" i="364"/>
  <c r="C2413" i="364"/>
  <c r="C2010" i="364"/>
  <c r="C2462" i="364"/>
  <c r="C1801" i="364"/>
  <c r="C2172" i="364"/>
  <c r="C743" i="364"/>
  <c r="C2041" i="364"/>
  <c r="C2529" i="364"/>
  <c r="C5" i="364"/>
  <c r="C703" i="364"/>
  <c r="C1639" i="364"/>
  <c r="C2313" i="364"/>
  <c r="C501" i="364"/>
  <c r="C394" i="364"/>
  <c r="C759" i="364"/>
  <c r="C1002" i="364"/>
  <c r="C597" i="364"/>
  <c r="C1944" i="364"/>
  <c r="C584" i="364"/>
  <c r="C692" i="364"/>
  <c r="C2684" i="364"/>
  <c r="C457" i="364"/>
  <c r="C1138" i="364"/>
  <c r="C1219" i="364"/>
  <c r="C2784" i="364"/>
  <c r="C1903" i="364"/>
  <c r="C1417" i="364"/>
  <c r="C1555" i="364"/>
  <c r="C1268" i="364"/>
  <c r="C1258" i="364"/>
  <c r="C1625" i="364"/>
  <c r="C2767" i="364"/>
  <c r="C927" i="364"/>
  <c r="C1341" i="364"/>
  <c r="C1253" i="364"/>
  <c r="C961" i="364"/>
  <c r="C1535" i="364"/>
  <c r="C2636" i="364"/>
  <c r="C2025" i="364"/>
  <c r="C1007" i="364"/>
  <c r="C1678" i="364"/>
  <c r="C1818" i="364"/>
  <c r="C74" i="364"/>
  <c r="C229" i="364"/>
  <c r="C937" i="364"/>
  <c r="C963" i="364"/>
  <c r="C2246" i="364"/>
  <c r="C2314" i="364"/>
  <c r="C1142" i="364"/>
  <c r="C21" i="364"/>
  <c r="C1442" i="364"/>
  <c r="C1084" i="364"/>
  <c r="C2860" i="364"/>
  <c r="C2188" i="364"/>
  <c r="C2023" i="364"/>
  <c r="C957" i="364"/>
  <c r="C2165" i="364"/>
  <c r="C1942" i="364"/>
  <c r="C1083" i="364"/>
  <c r="C1890" i="364"/>
  <c r="C281" i="364"/>
  <c r="C1342" i="364"/>
  <c r="C818" i="364"/>
  <c r="C1432" i="364"/>
  <c r="C2031" i="364"/>
  <c r="C972" i="364"/>
  <c r="C1719" i="364"/>
  <c r="C2790" i="364"/>
  <c r="C115" i="364"/>
  <c r="C2445" i="364"/>
  <c r="C2573" i="364"/>
  <c r="C129" i="364"/>
  <c r="C2779" i="364"/>
  <c r="C2808" i="364"/>
  <c r="C685" i="364"/>
  <c r="C2527" i="364"/>
  <c r="C2229" i="364"/>
  <c r="C1538" i="364"/>
  <c r="C2297" i="364"/>
  <c r="C2436" i="364"/>
  <c r="C2048" i="364"/>
  <c r="C695" i="364"/>
  <c r="C2500" i="364"/>
  <c r="C2693" i="364"/>
  <c r="C616" i="364"/>
  <c r="C1131" i="364"/>
  <c r="C1377" i="364"/>
  <c r="C381" i="364"/>
  <c r="C392" i="364"/>
  <c r="C2687" i="364"/>
  <c r="C419" i="364"/>
  <c r="C1825" i="364"/>
  <c r="C308" i="364"/>
  <c r="C1305" i="364"/>
  <c r="C1579" i="364"/>
  <c r="C1755" i="364"/>
  <c r="C519" i="364"/>
  <c r="C2397" i="364"/>
  <c r="C2254" i="364"/>
  <c r="C301" i="364"/>
  <c r="C2435" i="364"/>
  <c r="C1525" i="364"/>
  <c r="C2830" i="364"/>
  <c r="C1298" i="364"/>
  <c r="C1882" i="364"/>
  <c r="C1729" i="364"/>
  <c r="C2060" i="364"/>
  <c r="C2554" i="364"/>
  <c r="C2099" i="364"/>
  <c r="C2379" i="364"/>
  <c r="C1192" i="364"/>
  <c r="C2456" i="364"/>
  <c r="C2498" i="364"/>
  <c r="C1772" i="364"/>
  <c r="C496" i="364"/>
  <c r="C2851" i="364"/>
  <c r="C580" i="364"/>
  <c r="C1163" i="364"/>
  <c r="C987" i="364"/>
  <c r="C2508" i="364"/>
  <c r="C1513" i="364"/>
  <c r="C2469" i="364"/>
  <c r="C2137" i="364"/>
  <c r="C2656" i="364"/>
  <c r="C1129" i="364"/>
  <c r="C2861" i="364"/>
  <c r="C1468" i="364"/>
  <c r="C2119" i="364"/>
  <c r="C2650" i="364"/>
  <c r="C2848" i="364"/>
  <c r="C1908" i="364"/>
  <c r="C2562" i="364"/>
  <c r="C60" i="364"/>
  <c r="C2720" i="364"/>
  <c r="C1499" i="364"/>
  <c r="C1361" i="364"/>
  <c r="C2427" i="364"/>
  <c r="C548" i="364"/>
  <c r="C657" i="364"/>
  <c r="C1323" i="364"/>
  <c r="C1307" i="364"/>
  <c r="C17" i="364"/>
  <c r="C1737" i="364"/>
  <c r="C2726" i="364"/>
  <c r="C123" i="364"/>
  <c r="C2865" i="364"/>
  <c r="C1301" i="364"/>
  <c r="C2571" i="364"/>
  <c r="C1975" i="364"/>
  <c r="C1202" i="364"/>
  <c r="C2365" i="364"/>
  <c r="C1877" i="364"/>
  <c r="C1905" i="364"/>
  <c r="C2605" i="364"/>
  <c r="C2476" i="364"/>
  <c r="C884" i="364"/>
  <c r="C1062" i="364"/>
  <c r="C2683" i="364"/>
  <c r="C1306" i="364"/>
  <c r="C2718" i="364"/>
  <c r="C2725" i="364"/>
  <c r="C2681" i="364"/>
  <c r="C1518" i="364"/>
  <c r="C141" i="364"/>
  <c r="C2873" i="364"/>
  <c r="C1055" i="364"/>
  <c r="C1757" i="364"/>
  <c r="C1189" i="364"/>
  <c r="C2107" i="364"/>
  <c r="C1606" i="364"/>
  <c r="C2212" i="364"/>
  <c r="C825" i="364"/>
  <c r="C1028" i="364"/>
  <c r="C2000" i="364"/>
  <c r="C2284" i="364"/>
  <c r="T3" i="127"/>
  <c r="S3" i="233"/>
  <c r="O3" i="342"/>
  <c r="K2" i="139"/>
  <c r="G180" i="248"/>
  <c r="G182" i="248" s="1"/>
  <c r="G74" i="349"/>
  <c r="H113" i="248"/>
  <c r="H50" i="248"/>
  <c r="G88" i="248"/>
  <c r="G118" i="367"/>
  <c r="G167" i="367" s="1"/>
  <c r="A34" i="126"/>
  <c r="A33" i="140" s="1"/>
  <c r="I217" i="248"/>
  <c r="I47" i="248"/>
  <c r="I37" i="248" s="1"/>
  <c r="G45" i="86"/>
  <c r="I38" i="88"/>
  <c r="J47" i="248"/>
  <c r="I13" i="253"/>
  <c r="I14" i="253" s="1"/>
  <c r="K75" i="363"/>
  <c r="K76" i="363" s="1"/>
  <c r="Q8" i="137"/>
  <c r="F53" i="95"/>
  <c r="F63" i="95" s="1"/>
  <c r="G19" i="233"/>
  <c r="G20" i="233" s="1"/>
  <c r="G170" i="342"/>
  <c r="G340" i="342" s="1"/>
  <c r="K5" i="233"/>
  <c r="Q5" i="299" s="1"/>
  <c r="Q20" i="299" s="1"/>
  <c r="K170" i="342"/>
  <c r="D8" i="294"/>
  <c r="F217" i="248"/>
  <c r="D40" i="126"/>
  <c r="F228" i="314" s="1"/>
  <c r="K38" i="233"/>
  <c r="I21" i="127"/>
  <c r="I37" i="88" s="1"/>
  <c r="J54" i="248"/>
  <c r="D6" i="350"/>
  <c r="D167" i="350" s="1"/>
  <c r="P17" i="299"/>
  <c r="J20" i="233"/>
  <c r="J29" i="126"/>
  <c r="C10" i="294" s="1"/>
  <c r="J340" i="343"/>
  <c r="L160" i="343"/>
  <c r="L20" i="126" s="1"/>
  <c r="F20" i="126"/>
  <c r="F21" i="126" s="1"/>
  <c r="F171" i="343"/>
  <c r="C5" i="294"/>
  <c r="D107" i="123"/>
  <c r="E6" i="294"/>
  <c r="E108" i="123"/>
  <c r="J28" i="133"/>
  <c r="P28" i="298" s="1"/>
  <c r="F2" i="358"/>
  <c r="H155" i="363"/>
  <c r="A20" i="126"/>
  <c r="A329" i="343"/>
  <c r="F26" i="233"/>
  <c r="F38" i="233" s="1"/>
  <c r="F338" i="342"/>
  <c r="E33" i="126"/>
  <c r="E39" i="126" s="1"/>
  <c r="E40" i="126" s="1"/>
  <c r="F12" i="123" s="1"/>
  <c r="E340" i="343"/>
  <c r="E341" i="343" s="1"/>
  <c r="U83" i="343"/>
  <c r="K93" i="343"/>
  <c r="K83" i="343" s="1"/>
  <c r="K13" i="126" s="1"/>
  <c r="D12" i="294" s="1"/>
  <c r="A29" i="126"/>
  <c r="A28" i="140" s="1"/>
  <c r="C217" i="248"/>
  <c r="A15" i="126"/>
  <c r="E338" i="342"/>
  <c r="L53" i="123"/>
  <c r="O22" i="298"/>
  <c r="N22" i="298" s="1"/>
  <c r="D25" i="248"/>
  <c r="D2" i="136"/>
  <c r="D2" i="343"/>
  <c r="D2" i="351"/>
  <c r="D2" i="253"/>
  <c r="D2" i="142"/>
  <c r="D2" i="337"/>
  <c r="F201" i="363"/>
  <c r="D2" i="350"/>
  <c r="D2" i="237"/>
  <c r="F2" i="141"/>
  <c r="E2" i="361"/>
  <c r="D2" i="367"/>
  <c r="C2" i="86"/>
  <c r="D2" i="248"/>
  <c r="K98" i="343"/>
  <c r="K94" i="343" s="1"/>
  <c r="K14" i="126" s="1"/>
  <c r="U94" i="343"/>
  <c r="I13" i="86"/>
  <c r="O27" i="137"/>
  <c r="N27" i="137" s="1"/>
  <c r="C9" i="294"/>
  <c r="L2" i="139"/>
  <c r="Q15" i="140"/>
  <c r="K45" i="131"/>
  <c r="D42" i="133"/>
  <c r="D110" i="248"/>
  <c r="I69" i="248"/>
  <c r="K109" i="363"/>
  <c r="I2" i="350"/>
  <c r="J2" i="88"/>
  <c r="J2" i="128"/>
  <c r="H114" i="248"/>
  <c r="E66" i="146"/>
  <c r="E100" i="146"/>
  <c r="E102" i="146" s="1"/>
  <c r="I40" i="299"/>
  <c r="I45" i="299" s="1"/>
  <c r="K2" i="314"/>
  <c r="I2" i="316"/>
  <c r="I182" i="147"/>
  <c r="I2" i="133"/>
  <c r="J105" i="343"/>
  <c r="J15" i="126" s="1"/>
  <c r="I21" i="126"/>
  <c r="G107" i="363"/>
  <c r="K110" i="248"/>
  <c r="G37" i="248"/>
  <c r="G167" i="350"/>
  <c r="J94" i="343"/>
  <c r="J14" i="126" s="1"/>
  <c r="I2" i="147"/>
  <c r="I2" i="253"/>
  <c r="J2" i="305"/>
  <c r="J2" i="237"/>
  <c r="E50" i="298"/>
  <c r="E53" i="298" s="1"/>
  <c r="A7" i="233"/>
  <c r="E2" i="246" s="1"/>
  <c r="B2757" i="364"/>
  <c r="B1103" i="364"/>
  <c r="B1406" i="364"/>
  <c r="B824" i="364"/>
  <c r="B800" i="364"/>
  <c r="B2595" i="364"/>
  <c r="P20" i="299"/>
  <c r="K160" i="343"/>
  <c r="K20" i="126" s="1"/>
  <c r="J114" i="248"/>
  <c r="H24" i="126"/>
  <c r="H39" i="126" s="1"/>
  <c r="H40" i="126" s="1"/>
  <c r="H340" i="343"/>
  <c r="H341" i="343" s="1"/>
  <c r="K45" i="253"/>
  <c r="K65" i="86" s="1"/>
  <c r="Q38" i="140"/>
  <c r="F167" i="134"/>
  <c r="J19" i="343"/>
  <c r="J17" i="343" s="1"/>
  <c r="J7" i="126" s="1"/>
  <c r="Q17" i="343"/>
  <c r="I2" i="142"/>
  <c r="I2" i="301"/>
  <c r="H2" i="362"/>
  <c r="I2" i="233"/>
  <c r="K46" i="136"/>
  <c r="K47" i="248"/>
  <c r="K37" i="248" s="1"/>
  <c r="M58" i="123" s="1"/>
  <c r="H116" i="248"/>
  <c r="H118" i="248" s="1"/>
  <c r="B712" i="364"/>
  <c r="I2" i="136"/>
  <c r="K201" i="363"/>
  <c r="I114" i="248"/>
  <c r="E124" i="248"/>
  <c r="B2070" i="364"/>
  <c r="K63" i="126"/>
  <c r="A24" i="255"/>
  <c r="K110" i="134"/>
  <c r="K167" i="134" s="1"/>
  <c r="J2" i="343"/>
  <c r="I2" i="134"/>
  <c r="I2" i="349"/>
  <c r="K247" i="363"/>
  <c r="H46" i="136"/>
  <c r="B1552" i="364"/>
  <c r="G38" i="233"/>
  <c r="N19" i="300"/>
  <c r="N15" i="300"/>
  <c r="K55" i="123"/>
  <c r="H84" i="123" s="1"/>
  <c r="D122" i="248"/>
  <c r="H27" i="255"/>
  <c r="H8" i="127" s="1"/>
  <c r="G6" i="86" s="1"/>
  <c r="H56" i="253"/>
  <c r="D28" i="133"/>
  <c r="M37" i="127"/>
  <c r="F12" i="129"/>
  <c r="D21" i="255"/>
  <c r="D7" i="127" s="1"/>
  <c r="D55" i="253"/>
  <c r="D21" i="248"/>
  <c r="K179" i="248"/>
  <c r="J167" i="349"/>
  <c r="D27" i="249"/>
  <c r="C5" i="133"/>
  <c r="Q38" i="299"/>
  <c r="X37" i="127"/>
  <c r="R340" i="342"/>
  <c r="F20" i="233"/>
  <c r="E63" i="126"/>
  <c r="D27" i="86" s="1"/>
  <c r="F112" i="123" s="1"/>
  <c r="I39" i="126"/>
  <c r="I40" i="126" s="1"/>
  <c r="E45" i="136"/>
  <c r="E46" i="136" s="1"/>
  <c r="I45" i="249"/>
  <c r="I47" i="249" s="1"/>
  <c r="F38" i="253"/>
  <c r="F39" i="253" s="1"/>
  <c r="H100" i="363"/>
  <c r="H107" i="363" s="1"/>
  <c r="E105" i="248"/>
  <c r="Q340" i="342"/>
  <c r="M48" i="298"/>
  <c r="M39" i="140"/>
  <c r="P37" i="127"/>
  <c r="L48" i="131"/>
  <c r="L42" i="123"/>
  <c r="J129" i="248"/>
  <c r="C105" i="248"/>
  <c r="H106" i="248"/>
  <c r="F47" i="131"/>
  <c r="F50" i="131" s="1"/>
  <c r="F51" i="131" s="1"/>
  <c r="K39" i="129"/>
  <c r="J38" i="86" s="1"/>
  <c r="K25" i="316"/>
  <c r="H25" i="298"/>
  <c r="F168" i="363"/>
  <c r="E45" i="249"/>
  <c r="I48" i="298"/>
  <c r="M122" i="363"/>
  <c r="I226" i="363"/>
  <c r="C126" i="248"/>
  <c r="G39" i="129"/>
  <c r="F38" i="86" s="1"/>
  <c r="F45" i="249"/>
  <c r="H39" i="140"/>
  <c r="J110" i="248"/>
  <c r="D58" i="253"/>
  <c r="H153" i="363"/>
  <c r="K180" i="363"/>
  <c r="G214" i="363"/>
  <c r="C113" i="248"/>
  <c r="C114" i="248" s="1"/>
  <c r="D131" i="248"/>
  <c r="E104" i="248"/>
  <c r="K79" i="248"/>
  <c r="K69" i="248" s="1"/>
  <c r="H79" i="248"/>
  <c r="H69" i="248" s="1"/>
  <c r="H39" i="129"/>
  <c r="H40" i="129" s="1"/>
  <c r="H40" i="299"/>
  <c r="H45" i="299" s="1"/>
  <c r="G48" i="298"/>
  <c r="G129" i="248"/>
  <c r="D103" i="248"/>
  <c r="C115" i="248"/>
  <c r="G117" i="248"/>
  <c r="G128" i="248"/>
  <c r="I118" i="358"/>
  <c r="D34" i="129"/>
  <c r="K15" i="123"/>
  <c r="J67" i="144"/>
  <c r="K12" i="237" s="1"/>
  <c r="G45" i="136"/>
  <c r="I30" i="146"/>
  <c r="F39" i="140"/>
  <c r="F25" i="300"/>
  <c r="C20" i="301"/>
  <c r="H199" i="363"/>
  <c r="F75" i="363"/>
  <c r="I113" i="248"/>
  <c r="G110" i="248"/>
  <c r="E129" i="248"/>
  <c r="E123" i="248"/>
  <c r="I12" i="129"/>
  <c r="I13" i="88" s="1"/>
  <c r="O12" i="143"/>
  <c r="O24" i="143" s="1"/>
  <c r="C53" i="316"/>
  <c r="C79" i="253"/>
  <c r="B60" i="86" s="1"/>
  <c r="K104" i="248"/>
  <c r="F110" i="350"/>
  <c r="H12" i="129"/>
  <c r="H25" i="129" s="1"/>
  <c r="C32" i="142"/>
  <c r="K24" i="143"/>
  <c r="G48" i="146"/>
  <c r="C48" i="298"/>
  <c r="J23" i="139"/>
  <c r="J45" i="249"/>
  <c r="J47" i="249" s="1"/>
  <c r="I37" i="148"/>
  <c r="L214" i="363"/>
  <c r="E245" i="363"/>
  <c r="D107" i="248"/>
  <c r="D67" i="144"/>
  <c r="D12" i="237" s="1"/>
  <c r="J40" i="299"/>
  <c r="J45" i="299" s="1"/>
  <c r="M40" i="299"/>
  <c r="M45" i="299" s="1"/>
  <c r="K153" i="363"/>
  <c r="J59" i="253"/>
  <c r="F128" i="248"/>
  <c r="J40" i="129"/>
  <c r="I38" i="86"/>
  <c r="C25" i="129"/>
  <c r="I15" i="88"/>
  <c r="C17" i="86"/>
  <c r="G17" i="86"/>
  <c r="J17" i="86"/>
  <c r="Q39" i="137"/>
  <c r="J3" i="367"/>
  <c r="K3" i="343"/>
  <c r="P3" i="368"/>
  <c r="J3" i="147"/>
  <c r="I3" i="361"/>
  <c r="K3" i="237"/>
  <c r="J3" i="253"/>
  <c r="K3" i="305"/>
  <c r="J3" i="136"/>
  <c r="J3" i="126"/>
  <c r="E2" i="237"/>
  <c r="E2" i="136"/>
  <c r="E2" i="88"/>
  <c r="E2" i="316"/>
  <c r="K248" i="363"/>
  <c r="L3" i="123"/>
  <c r="L248" i="363"/>
  <c r="J183" i="147"/>
  <c r="K3" i="255"/>
  <c r="P3" i="137"/>
  <c r="O3" i="140"/>
  <c r="E2" i="233"/>
  <c r="G155" i="363"/>
  <c r="F2" i="123"/>
  <c r="E2" i="133"/>
  <c r="L156" i="363"/>
  <c r="F3" i="294"/>
  <c r="K3" i="128"/>
  <c r="M3" i="127"/>
  <c r="P3" i="300"/>
  <c r="K3" i="129"/>
  <c r="K3" i="127"/>
  <c r="H3" i="361"/>
  <c r="K3" i="314"/>
  <c r="E2" i="147"/>
  <c r="E2" i="350"/>
  <c r="E2" i="255"/>
  <c r="E2" i="336"/>
  <c r="S3" i="342"/>
  <c r="K3" i="88"/>
  <c r="J3" i="86"/>
  <c r="O3" i="95"/>
  <c r="F3" i="139"/>
  <c r="T3" i="343"/>
  <c r="I3" i="136"/>
  <c r="E2" i="367"/>
  <c r="D2" i="86"/>
  <c r="I2" i="363"/>
  <c r="C2" i="148"/>
  <c r="J3" i="133"/>
  <c r="J3" i="342"/>
  <c r="P3" i="299"/>
  <c r="J3" i="248"/>
  <c r="O3" i="300"/>
  <c r="E2" i="358"/>
  <c r="F2" i="361"/>
  <c r="E2" i="144"/>
  <c r="G109" i="363"/>
  <c r="K3" i="131"/>
  <c r="J3" i="316"/>
  <c r="J3" i="134"/>
  <c r="J3" i="301"/>
  <c r="Q3" i="296"/>
  <c r="P3" i="296"/>
  <c r="E2" i="253"/>
  <c r="G63" i="363"/>
  <c r="E2" i="127"/>
  <c r="E2" i="301"/>
  <c r="L3" i="233"/>
  <c r="J3" i="350"/>
  <c r="P3" i="298"/>
  <c r="J3" i="146"/>
  <c r="J3" i="336"/>
  <c r="R3" i="343"/>
  <c r="G2" i="141"/>
  <c r="E2" i="142"/>
  <c r="E2" i="131"/>
  <c r="G2" i="314"/>
  <c r="J3" i="351"/>
  <c r="L3" i="141"/>
  <c r="L64" i="363"/>
  <c r="R2" i="343"/>
  <c r="E2" i="146"/>
  <c r="E2" i="349"/>
  <c r="G2" i="315"/>
  <c r="Q7" i="140"/>
  <c r="E7" i="294"/>
  <c r="A10" i="299"/>
  <c r="A28" i="299" s="1"/>
  <c r="H2" i="246"/>
  <c r="G32" i="86"/>
  <c r="I110" i="123" s="1"/>
  <c r="A217" i="342"/>
  <c r="A27" i="233" s="1"/>
  <c r="A9" i="233"/>
  <c r="J32" i="133"/>
  <c r="P33" i="298"/>
  <c r="C102" i="248"/>
  <c r="C15" i="248"/>
  <c r="E109" i="248"/>
  <c r="E40" i="129"/>
  <c r="E42" i="129" s="1"/>
  <c r="E55" i="129" s="1"/>
  <c r="Q14" i="298"/>
  <c r="D109" i="123"/>
  <c r="D110" i="123"/>
  <c r="E119" i="248"/>
  <c r="E121" i="248" s="1"/>
  <c r="D53" i="86"/>
  <c r="E217" i="248"/>
  <c r="E64" i="86"/>
  <c r="J9" i="126"/>
  <c r="L108" i="123"/>
  <c r="L109" i="123"/>
  <c r="L110" i="123"/>
  <c r="A10" i="140"/>
  <c r="P16" i="140"/>
  <c r="D16" i="294"/>
  <c r="G5" i="237"/>
  <c r="K53" i="86"/>
  <c r="K217" i="248"/>
  <c r="E58" i="123"/>
  <c r="C55" i="86"/>
  <c r="H74" i="351"/>
  <c r="H17" i="133"/>
  <c r="H15" i="133" s="1"/>
  <c r="I44" i="86"/>
  <c r="O10" i="140"/>
  <c r="N10" i="140" s="1"/>
  <c r="Q2" i="246"/>
  <c r="A19" i="299"/>
  <c r="A37" i="299" s="1"/>
  <c r="N2" i="246"/>
  <c r="A16" i="299"/>
  <c r="A34" i="299" s="1"/>
  <c r="I23" i="88"/>
  <c r="H45" i="86"/>
  <c r="I5" i="237"/>
  <c r="E15" i="88"/>
  <c r="E14" i="88"/>
  <c r="I120" i="248"/>
  <c r="I121" i="248" s="1"/>
  <c r="I25" i="248"/>
  <c r="K38" i="133"/>
  <c r="M48" i="123"/>
  <c r="C18" i="294"/>
  <c r="O18" i="140"/>
  <c r="N18" i="140" s="1"/>
  <c r="C74" i="351"/>
  <c r="C17" i="133"/>
  <c r="C15" i="133" s="1"/>
  <c r="J5" i="123"/>
  <c r="Q19" i="140"/>
  <c r="E19" i="294"/>
  <c r="Q5" i="140"/>
  <c r="E5" i="294"/>
  <c r="P33" i="299"/>
  <c r="P38" i="299" s="1"/>
  <c r="P40" i="299" s="1"/>
  <c r="P45" i="299" s="1"/>
  <c r="J38" i="233"/>
  <c r="P38" i="140"/>
  <c r="I3" i="233"/>
  <c r="V3" i="343"/>
  <c r="J3" i="305"/>
  <c r="I3" i="358"/>
  <c r="C2" i="299"/>
  <c r="J3" i="131"/>
  <c r="I3" i="142"/>
  <c r="I3" i="134"/>
  <c r="I3" i="133"/>
  <c r="C2" i="300"/>
  <c r="N3" i="95"/>
  <c r="O3" i="368"/>
  <c r="N3" i="343"/>
  <c r="J3" i="128"/>
  <c r="I3" i="351"/>
  <c r="I3" i="249"/>
  <c r="I3" i="86"/>
  <c r="K110" i="363"/>
  <c r="I3" i="147"/>
  <c r="K3" i="141"/>
  <c r="J3" i="337"/>
  <c r="I3" i="350"/>
  <c r="J3" i="127"/>
  <c r="I183" i="147"/>
  <c r="H3" i="362"/>
  <c r="E3" i="139"/>
  <c r="I3" i="316"/>
  <c r="I3" i="253"/>
  <c r="C2" i="298"/>
  <c r="I2" i="148"/>
  <c r="O3" i="256"/>
  <c r="O3" i="137"/>
  <c r="I3" i="337"/>
  <c r="K202" i="363"/>
  <c r="K3" i="123"/>
  <c r="B2" i="95"/>
  <c r="K64" i="363"/>
  <c r="I3" i="336"/>
  <c r="J3" i="255"/>
  <c r="I3" i="342"/>
  <c r="J3" i="237"/>
  <c r="I3" i="301"/>
  <c r="J3" i="88"/>
  <c r="J3" i="343"/>
  <c r="I3" i="248"/>
  <c r="K3" i="315"/>
  <c r="C2" i="140"/>
  <c r="O3" i="299"/>
  <c r="P3" i="343"/>
  <c r="C3" i="294"/>
  <c r="A3" i="360"/>
  <c r="C2" i="137"/>
  <c r="I3" i="367"/>
  <c r="J3" i="129"/>
  <c r="I64" i="86"/>
  <c r="I3" i="146"/>
  <c r="P7" i="140"/>
  <c r="D7" i="294"/>
  <c r="K125" i="248"/>
  <c r="K102" i="146"/>
  <c r="A8" i="294"/>
  <c r="A27" i="294" s="1"/>
  <c r="A27" i="126"/>
  <c r="A26" i="140" s="1"/>
  <c r="J9" i="133"/>
  <c r="P9" i="298" s="1"/>
  <c r="O3" i="298"/>
  <c r="F15" i="253"/>
  <c r="A12" i="140"/>
  <c r="Q3" i="342"/>
  <c r="D2" i="126"/>
  <c r="J48" i="337"/>
  <c r="C182" i="147"/>
  <c r="E2" i="141"/>
  <c r="C2" i="146"/>
  <c r="E2" i="315"/>
  <c r="L39" i="126"/>
  <c r="G118" i="248"/>
  <c r="D39" i="129"/>
  <c r="A11" i="299"/>
  <c r="A29" i="299" s="1"/>
  <c r="A14" i="126"/>
  <c r="C2" i="305"/>
  <c r="C2" i="133"/>
  <c r="E155" i="363"/>
  <c r="C2" i="342"/>
  <c r="K3" i="351"/>
  <c r="K183" i="147"/>
  <c r="K3" i="342"/>
  <c r="M202" i="363"/>
  <c r="Q3" i="368"/>
  <c r="J3" i="249"/>
  <c r="D2" i="128"/>
  <c r="D170" i="342"/>
  <c r="Q31" i="137"/>
  <c r="K17" i="86"/>
  <c r="P24" i="137"/>
  <c r="J11" i="86"/>
  <c r="D2" i="301"/>
  <c r="E79" i="248"/>
  <c r="E69" i="248" s="1"/>
  <c r="C47" i="249"/>
  <c r="G74" i="126"/>
  <c r="G85" i="126" s="1"/>
  <c r="F28" i="86"/>
  <c r="E6" i="367"/>
  <c r="E167" i="367" s="1"/>
  <c r="C2" i="128"/>
  <c r="C2" i="336"/>
  <c r="C2" i="316"/>
  <c r="D2" i="361"/>
  <c r="L3" i="129"/>
  <c r="K3" i="134"/>
  <c r="L3" i="343"/>
  <c r="K3" i="136"/>
  <c r="Q3" i="137"/>
  <c r="D2" i="88"/>
  <c r="K106" i="248"/>
  <c r="H109" i="248"/>
  <c r="I2" i="139"/>
  <c r="C2" i="129"/>
  <c r="E201" i="363"/>
  <c r="C2" i="249"/>
  <c r="C2" i="255"/>
  <c r="K3" i="86"/>
  <c r="L3" i="255"/>
  <c r="M3" i="315"/>
  <c r="P3" i="95"/>
  <c r="K3" i="233"/>
  <c r="S3" i="343"/>
  <c r="D182" i="147"/>
  <c r="J338" i="342"/>
  <c r="E18" i="248"/>
  <c r="H6" i="367"/>
  <c r="H167" i="367" s="1"/>
  <c r="C36" i="142"/>
  <c r="C5" i="86"/>
  <c r="E92" i="123"/>
  <c r="C2" i="142"/>
  <c r="C2" i="131"/>
  <c r="C2" i="136"/>
  <c r="C2" i="358"/>
  <c r="K3" i="367"/>
  <c r="Q3" i="140"/>
  <c r="J3" i="362"/>
  <c r="M3" i="314"/>
  <c r="K3" i="147"/>
  <c r="F2" i="314"/>
  <c r="G22" i="248"/>
  <c r="K6" i="367"/>
  <c r="K167" i="367" s="1"/>
  <c r="N3" i="127"/>
  <c r="C2" i="126"/>
  <c r="D2" i="123"/>
  <c r="C2" i="337"/>
  <c r="C2" i="147"/>
  <c r="M156" i="363"/>
  <c r="X3" i="343"/>
  <c r="K3" i="248"/>
  <c r="L3" i="127"/>
  <c r="K3" i="316"/>
  <c r="E6" i="349"/>
  <c r="C2" i="88"/>
  <c r="D2" i="362"/>
  <c r="C2" i="253"/>
  <c r="K3" i="146"/>
  <c r="L3" i="126"/>
  <c r="M64" i="363"/>
  <c r="K3" i="301"/>
  <c r="H20" i="233"/>
  <c r="B2470" i="364"/>
  <c r="B147" i="100"/>
  <c r="A1" i="350" s="1"/>
  <c r="M15" i="123"/>
  <c r="K12" i="129"/>
  <c r="C49" i="316"/>
  <c r="B1292" i="364"/>
  <c r="C34" i="129"/>
  <c r="I39" i="129"/>
  <c r="L94" i="343"/>
  <c r="L14" i="126" s="1"/>
  <c r="L34" i="129"/>
  <c r="F18" i="337"/>
  <c r="E17" i="86"/>
  <c r="E32" i="142"/>
  <c r="H110" i="248"/>
  <c r="F27" i="255"/>
  <c r="F8" i="127" s="1"/>
  <c r="F56" i="253"/>
  <c r="K40" i="299"/>
  <c r="K45" i="299" s="1"/>
  <c r="J127" i="248"/>
  <c r="C100" i="146"/>
  <c r="C102" i="146" s="1"/>
  <c r="K48" i="298"/>
  <c r="E118" i="248"/>
  <c r="J117" i="248"/>
  <c r="J118" i="248" s="1"/>
  <c r="E179" i="248"/>
  <c r="E169" i="248" s="1"/>
  <c r="G25" i="316"/>
  <c r="D98" i="146"/>
  <c r="I55" i="145"/>
  <c r="I53" i="316"/>
  <c r="I39" i="140"/>
  <c r="I35" i="145"/>
  <c r="M87" i="363"/>
  <c r="K24" i="253"/>
  <c r="K26" i="253" s="1"/>
  <c r="I15" i="248"/>
  <c r="D27" i="136"/>
  <c r="D46" i="136" s="1"/>
  <c r="G53" i="316"/>
  <c r="A18" i="316"/>
  <c r="A23" i="316"/>
  <c r="A19" i="316"/>
  <c r="A24" i="316"/>
  <c r="E87" i="363"/>
  <c r="C24" i="253"/>
  <c r="C26" i="253" s="1"/>
  <c r="E40" i="299"/>
  <c r="E45" i="299" s="1"/>
  <c r="D20" i="301"/>
  <c r="K83" i="363"/>
  <c r="K88" i="363" s="1"/>
  <c r="I20" i="253"/>
  <c r="I22" i="253" s="1"/>
  <c r="I27" i="253" s="1"/>
  <c r="F74" i="350"/>
  <c r="H118" i="350"/>
  <c r="H167" i="350" s="1"/>
  <c r="I128" i="248"/>
  <c r="J61" i="248"/>
  <c r="J37" i="248" s="1"/>
  <c r="E21" i="255"/>
  <c r="E7" i="127" s="1"/>
  <c r="I110" i="349"/>
  <c r="E74" i="134"/>
  <c r="E167" i="134" s="1"/>
  <c r="H75" i="363"/>
  <c r="H107" i="248"/>
  <c r="D181" i="248"/>
  <c r="D182" i="248" s="1"/>
  <c r="J74" i="358"/>
  <c r="J28" i="248"/>
  <c r="F131" i="248"/>
  <c r="H6" i="86"/>
  <c r="E167" i="358" l="1"/>
  <c r="E168" i="248" s="1"/>
  <c r="D54" i="86" s="1"/>
  <c r="D167" i="349"/>
  <c r="D169" i="349"/>
  <c r="D175" i="349"/>
  <c r="E167" i="349"/>
  <c r="E221" i="255" s="1"/>
  <c r="E125" i="248"/>
  <c r="G46" i="136"/>
  <c r="F167" i="367"/>
  <c r="F167" i="358"/>
  <c r="F173" i="358" s="1"/>
  <c r="G169" i="248"/>
  <c r="F40" i="129"/>
  <c r="K103" i="255"/>
  <c r="K32" i="127" s="1"/>
  <c r="J16" i="86" s="1"/>
  <c r="O6" i="137"/>
  <c r="N6" i="137" s="1"/>
  <c r="J21" i="127"/>
  <c r="J59" i="127" s="1"/>
  <c r="I346" i="342" s="1"/>
  <c r="K93" i="123"/>
  <c r="I6" i="86"/>
  <c r="J18" i="88"/>
  <c r="K17" i="88"/>
  <c r="K46" i="123"/>
  <c r="L38" i="123" s="1"/>
  <c r="K54" i="123"/>
  <c r="K10" i="123" s="1"/>
  <c r="K116" i="123" s="1"/>
  <c r="J38" i="88"/>
  <c r="H103" i="255"/>
  <c r="H32" i="127" s="1"/>
  <c r="G16" i="86" s="1"/>
  <c r="G18" i="86" s="1"/>
  <c r="H170" i="349" s="1"/>
  <c r="F85" i="126"/>
  <c r="G246" i="351"/>
  <c r="K169" i="248"/>
  <c r="I167" i="349"/>
  <c r="K119" i="248"/>
  <c r="K121" i="248" s="1"/>
  <c r="K25" i="248"/>
  <c r="G53" i="86"/>
  <c r="J25" i="129"/>
  <c r="E52" i="316"/>
  <c r="Q6" i="137"/>
  <c r="M46" i="123"/>
  <c r="H32" i="300"/>
  <c r="H36" i="300" s="1"/>
  <c r="N31" i="300"/>
  <c r="F341" i="343"/>
  <c r="K3" i="249"/>
  <c r="K3" i="142"/>
  <c r="M110" i="363"/>
  <c r="K3" i="350"/>
  <c r="L3" i="88"/>
  <c r="F40" i="126"/>
  <c r="G52" i="123" s="1"/>
  <c r="G13" i="123" s="1"/>
  <c r="G122" i="123" s="1"/>
  <c r="H27" i="253"/>
  <c r="H37" i="248"/>
  <c r="G173" i="134"/>
  <c r="M76" i="363"/>
  <c r="M2" i="139"/>
  <c r="Q3" i="233"/>
  <c r="R3" i="127"/>
  <c r="P18" i="140"/>
  <c r="D18" i="294"/>
  <c r="E49" i="146"/>
  <c r="F48" i="133"/>
  <c r="C85" i="126"/>
  <c r="U3" i="342"/>
  <c r="U3" i="233"/>
  <c r="V3" i="127"/>
  <c r="G35" i="86"/>
  <c r="A1" i="342"/>
  <c r="C101" i="255"/>
  <c r="C46" i="88" s="1"/>
  <c r="C39" i="88" s="1"/>
  <c r="D7" i="123" s="1"/>
  <c r="D117" i="123" s="1"/>
  <c r="D25" i="133"/>
  <c r="I51" i="131"/>
  <c r="E2" i="343"/>
  <c r="E2" i="337"/>
  <c r="M3" i="368"/>
  <c r="I14" i="88"/>
  <c r="E12" i="294"/>
  <c r="J37" i="86"/>
  <c r="I3" i="144"/>
  <c r="I3" i="349"/>
  <c r="K156" i="363"/>
  <c r="N32" i="300"/>
  <c r="N36" i="300" s="1"/>
  <c r="N25" i="300"/>
  <c r="I49" i="146"/>
  <c r="J49" i="146"/>
  <c r="J110" i="123"/>
  <c r="J109" i="123"/>
  <c r="H52" i="316"/>
  <c r="J52" i="316"/>
  <c r="F47" i="249"/>
  <c r="E47" i="249"/>
  <c r="K15" i="133"/>
  <c r="Q15" i="298" s="1"/>
  <c r="H14" i="88"/>
  <c r="G14" i="88"/>
  <c r="G25" i="129"/>
  <c r="F35" i="86"/>
  <c r="B45" i="86"/>
  <c r="C23" i="88"/>
  <c r="D17" i="294"/>
  <c r="P17" i="140"/>
  <c r="H55" i="86"/>
  <c r="J114" i="123" s="1"/>
  <c r="R3" i="233"/>
  <c r="A6" i="140"/>
  <c r="H35" i="86"/>
  <c r="G48" i="133"/>
  <c r="G49" i="133" s="1"/>
  <c r="K167" i="358"/>
  <c r="H15" i="248"/>
  <c r="H5" i="248" s="1"/>
  <c r="H101" i="248" s="1"/>
  <c r="T3" i="233"/>
  <c r="T3" i="342"/>
  <c r="U3" i="127"/>
  <c r="A25" i="126"/>
  <c r="A24" i="140" s="1"/>
  <c r="E111" i="248"/>
  <c r="S3" i="127"/>
  <c r="I25" i="129"/>
  <c r="J111" i="248"/>
  <c r="F52" i="316"/>
  <c r="K340" i="342"/>
  <c r="C167" i="349"/>
  <c r="C221" i="255" s="1"/>
  <c r="V3" i="233"/>
  <c r="V3" i="342"/>
  <c r="W3" i="127"/>
  <c r="A17" i="233"/>
  <c r="A305" i="342"/>
  <c r="A35" i="233" s="1"/>
  <c r="A18" i="233"/>
  <c r="A316" i="342"/>
  <c r="A36" i="233" s="1"/>
  <c r="J167" i="350"/>
  <c r="F105" i="248"/>
  <c r="F47" i="248"/>
  <c r="F37" i="248" s="1"/>
  <c r="G58" i="123" s="1"/>
  <c r="C5" i="248"/>
  <c r="D111" i="248"/>
  <c r="D103" i="255"/>
  <c r="D32" i="127" s="1"/>
  <c r="C16" i="86" s="1"/>
  <c r="C18" i="86" s="1"/>
  <c r="E87" i="123" s="1"/>
  <c r="E131" i="123" s="1"/>
  <c r="F103" i="255"/>
  <c r="F32" i="127" s="1"/>
  <c r="E16" i="86" s="1"/>
  <c r="E18" i="86" s="1"/>
  <c r="G87" i="123" s="1"/>
  <c r="G131" i="123" s="1"/>
  <c r="K124" i="351"/>
  <c r="A307" i="343"/>
  <c r="A18" i="126"/>
  <c r="A19" i="126"/>
  <c r="A318" i="343"/>
  <c r="E37" i="248"/>
  <c r="F58" i="123" s="1"/>
  <c r="A8" i="126"/>
  <c r="A197" i="343"/>
  <c r="G111" i="248"/>
  <c r="P12" i="140"/>
  <c r="C46" i="136"/>
  <c r="I35" i="86"/>
  <c r="J13" i="88"/>
  <c r="F167" i="350"/>
  <c r="G46" i="253"/>
  <c r="H48" i="133"/>
  <c r="O16" i="140"/>
  <c r="N16" i="140" s="1"/>
  <c r="C16" i="294"/>
  <c r="K109" i="248"/>
  <c r="K15" i="248"/>
  <c r="K5" i="248" s="1"/>
  <c r="K101" i="248" s="1"/>
  <c r="P5" i="140"/>
  <c r="D5" i="294"/>
  <c r="G38" i="86"/>
  <c r="E85" i="126"/>
  <c r="H65" i="86"/>
  <c r="C51" i="131"/>
  <c r="G76" i="363"/>
  <c r="A186" i="343"/>
  <c r="R3" i="342"/>
  <c r="Q171" i="343"/>
  <c r="F340" i="342"/>
  <c r="I46" i="253"/>
  <c r="D84" i="123"/>
  <c r="D55" i="123" s="1"/>
  <c r="F124" i="351"/>
  <c r="I32" i="133"/>
  <c r="O32" i="298" s="1"/>
  <c r="N32" i="298" s="1"/>
  <c r="E11" i="294"/>
  <c r="Q11" i="140"/>
  <c r="G37" i="86"/>
  <c r="H15" i="88"/>
  <c r="A296" i="343"/>
  <c r="A17" i="126"/>
  <c r="G55" i="86"/>
  <c r="I113" i="123" s="1"/>
  <c r="I167" i="358"/>
  <c r="I173" i="358" s="1"/>
  <c r="H167" i="358"/>
  <c r="J167" i="358"/>
  <c r="J168" i="248" s="1"/>
  <c r="J124" i="351"/>
  <c r="J101" i="255"/>
  <c r="J46" i="88" s="1"/>
  <c r="D39" i="233"/>
  <c r="D246" i="351"/>
  <c r="D124" i="351"/>
  <c r="C124" i="351"/>
  <c r="C247" i="351" s="1"/>
  <c r="C50" i="298"/>
  <c r="C53" i="298" s="1"/>
  <c r="K50" i="298"/>
  <c r="K53" i="298" s="1"/>
  <c r="I50" i="298"/>
  <c r="I53" i="298" s="1"/>
  <c r="D50" i="298"/>
  <c r="D53" i="298" s="1"/>
  <c r="L50" i="298"/>
  <c r="L53" i="298" s="1"/>
  <c r="F50" i="298"/>
  <c r="F53" i="298" s="1"/>
  <c r="G50" i="298"/>
  <c r="G53" i="298" s="1"/>
  <c r="M50" i="298"/>
  <c r="M53" i="298" s="1"/>
  <c r="L26" i="298"/>
  <c r="J50" i="298"/>
  <c r="J53" i="298" s="1"/>
  <c r="D26" i="298"/>
  <c r="E34" i="337"/>
  <c r="M62" i="95"/>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J38" i="131"/>
  <c r="J40" i="131" s="1"/>
  <c r="J50" i="131"/>
  <c r="O55" i="95"/>
  <c r="P54" i="95" s="1"/>
  <c r="P55" i="95" s="1"/>
  <c r="K47" i="131"/>
  <c r="K50" i="131" s="1"/>
  <c r="N63" i="95"/>
  <c r="M53" i="95"/>
  <c r="M63" i="95" s="1"/>
  <c r="L50" i="131"/>
  <c r="L38" i="131"/>
  <c r="K38" i="131"/>
  <c r="I111" i="248"/>
  <c r="O224" i="256"/>
  <c r="R37" i="246"/>
  <c r="R41" i="246" s="1"/>
  <c r="I28" i="133"/>
  <c r="O28" i="298" s="1"/>
  <c r="N28" i="298" s="1"/>
  <c r="N48" i="298" s="1"/>
  <c r="K246" i="351"/>
  <c r="P17" i="298"/>
  <c r="G56" i="86"/>
  <c r="H205" i="248"/>
  <c r="I101" i="123" s="1"/>
  <c r="I17" i="123"/>
  <c r="G102" i="146"/>
  <c r="G103" i="146" s="1"/>
  <c r="A1" i="351"/>
  <c r="K49" i="146"/>
  <c r="J102" i="146"/>
  <c r="J103" i="146" s="1"/>
  <c r="H102" i="146"/>
  <c r="I103" i="146" s="1"/>
  <c r="I65" i="305"/>
  <c r="H65" i="305"/>
  <c r="H46" i="88"/>
  <c r="H39" i="88" s="1"/>
  <c r="I7" i="123" s="1"/>
  <c r="I117" i="123" s="1"/>
  <c r="H48" i="88"/>
  <c r="H9" i="88" s="1"/>
  <c r="I52" i="123"/>
  <c r="I13" i="123" s="1"/>
  <c r="I122" i="123" s="1"/>
  <c r="I85" i="126"/>
  <c r="H85" i="126"/>
  <c r="H39" i="233"/>
  <c r="H340" i="342"/>
  <c r="H246" i="351"/>
  <c r="H25" i="133"/>
  <c r="H124" i="351"/>
  <c r="K15" i="253"/>
  <c r="H76" i="363"/>
  <c r="M88" i="363"/>
  <c r="J27" i="253"/>
  <c r="H63" i="86"/>
  <c r="I63" i="86"/>
  <c r="F63" i="86"/>
  <c r="E46" i="253"/>
  <c r="F46" i="253"/>
  <c r="J107" i="363"/>
  <c r="J46" i="253"/>
  <c r="I206" i="248"/>
  <c r="K102" i="123" s="1"/>
  <c r="I59" i="316"/>
  <c r="I52" i="316"/>
  <c r="J85" i="126"/>
  <c r="M108" i="123"/>
  <c r="M110" i="123"/>
  <c r="K109" i="123"/>
  <c r="K108" i="123"/>
  <c r="K110" i="123"/>
  <c r="L85" i="126"/>
  <c r="K27" i="86"/>
  <c r="M112" i="123" s="1"/>
  <c r="K46" i="88"/>
  <c r="J65" i="305"/>
  <c r="K65" i="305"/>
  <c r="I340" i="342"/>
  <c r="I39" i="233"/>
  <c r="J39" i="233"/>
  <c r="K20" i="233"/>
  <c r="K39" i="233" s="1"/>
  <c r="K45" i="233" s="1"/>
  <c r="Q40" i="299"/>
  <c r="Q45" i="299" s="1"/>
  <c r="J246" i="351"/>
  <c r="Q29" i="298"/>
  <c r="K28" i="133"/>
  <c r="Q28" i="298" s="1"/>
  <c r="O25" i="298"/>
  <c r="I124" i="351"/>
  <c r="Q25" i="298"/>
  <c r="K25" i="133"/>
  <c r="P25" i="298"/>
  <c r="J25" i="133"/>
  <c r="N5" i="298"/>
  <c r="N25" i="298" s="1"/>
  <c r="G168" i="248"/>
  <c r="F54" i="86" s="1"/>
  <c r="G167" i="349"/>
  <c r="G169" i="349" s="1"/>
  <c r="G29" i="248"/>
  <c r="G5" i="248" s="1"/>
  <c r="G124" i="248"/>
  <c r="G125" i="248" s="1"/>
  <c r="G15" i="253"/>
  <c r="E88" i="363"/>
  <c r="G15" i="88"/>
  <c r="G13" i="88"/>
  <c r="G65" i="305"/>
  <c r="G103" i="255"/>
  <c r="G32" i="127" s="1"/>
  <c r="F16" i="86" s="1"/>
  <c r="F18" i="86" s="1"/>
  <c r="G170" i="349" s="1"/>
  <c r="G124" i="351"/>
  <c r="I46" i="88"/>
  <c r="I39" i="88" s="1"/>
  <c r="J7" i="123" s="1"/>
  <c r="J117" i="123" s="1"/>
  <c r="L101" i="255"/>
  <c r="L65" i="305"/>
  <c r="F65" i="305"/>
  <c r="E101" i="255"/>
  <c r="E39" i="233"/>
  <c r="E340" i="342"/>
  <c r="E124" i="351"/>
  <c r="E246" i="351"/>
  <c r="F107" i="363"/>
  <c r="F88" i="363"/>
  <c r="C46" i="253"/>
  <c r="C169" i="350"/>
  <c r="E107" i="363"/>
  <c r="E5" i="248"/>
  <c r="E132" i="248" s="1"/>
  <c r="E169" i="367" s="1"/>
  <c r="F52" i="123"/>
  <c r="F13" i="123" s="1"/>
  <c r="F122" i="123" s="1"/>
  <c r="D32" i="86"/>
  <c r="F107" i="123"/>
  <c r="E48" i="133"/>
  <c r="E25" i="133"/>
  <c r="D48" i="88"/>
  <c r="D9" i="88" s="1"/>
  <c r="E52" i="123"/>
  <c r="E13" i="123" s="1"/>
  <c r="E122" i="123" s="1"/>
  <c r="G110" i="123"/>
  <c r="G109" i="123"/>
  <c r="E110" i="123"/>
  <c r="D85" i="126"/>
  <c r="C340" i="342"/>
  <c r="C39" i="233"/>
  <c r="F39" i="233"/>
  <c r="F45" i="233" s="1"/>
  <c r="C48" i="133"/>
  <c r="F246" i="351"/>
  <c r="F25" i="133"/>
  <c r="F49" i="133" s="1"/>
  <c r="C25" i="133"/>
  <c r="A9" i="294"/>
  <c r="A28" i="294" s="1"/>
  <c r="A28" i="126"/>
  <c r="A27" i="140" s="1"/>
  <c r="A9" i="140"/>
  <c r="A7" i="299"/>
  <c r="A25" i="299" s="1"/>
  <c r="A6" i="299"/>
  <c r="A24" i="299" s="1"/>
  <c r="D2" i="246"/>
  <c r="C2" i="246"/>
  <c r="A5" i="299"/>
  <c r="A23" i="299" s="1"/>
  <c r="A173" i="342"/>
  <c r="A23" i="233" s="1"/>
  <c r="A5" i="294"/>
  <c r="A24" i="294" s="1"/>
  <c r="A5" i="140"/>
  <c r="D51" i="131"/>
  <c r="C5" i="237"/>
  <c r="C6" i="237" s="1"/>
  <c r="C8" i="237" s="1"/>
  <c r="B48" i="86" s="1"/>
  <c r="D5" i="123"/>
  <c r="E60" i="253"/>
  <c r="D59" i="86" s="1"/>
  <c r="L21" i="127"/>
  <c r="L59" i="127" s="1"/>
  <c r="M26" i="141" s="1"/>
  <c r="M54" i="123"/>
  <c r="M10" i="123" s="1"/>
  <c r="L36" i="237" s="1"/>
  <c r="L29" i="237" s="1"/>
  <c r="L32" i="237" s="1"/>
  <c r="L14" i="237" s="1"/>
  <c r="L18" i="237" s="1"/>
  <c r="K49" i="86" s="1"/>
  <c r="G37" i="123"/>
  <c r="M93" i="123"/>
  <c r="L54" i="123"/>
  <c r="L10" i="123" s="1"/>
  <c r="L116" i="123" s="1"/>
  <c r="D6" i="86"/>
  <c r="D10" i="86" s="1"/>
  <c r="G93" i="123"/>
  <c r="K18" i="88"/>
  <c r="K21" i="127"/>
  <c r="K19" i="88" s="1"/>
  <c r="K38" i="88"/>
  <c r="P8" i="137"/>
  <c r="J6" i="86"/>
  <c r="L94" i="123" s="1"/>
  <c r="F35" i="127"/>
  <c r="F58" i="133" s="1"/>
  <c r="P6" i="137"/>
  <c r="L17" i="88"/>
  <c r="L93" i="123"/>
  <c r="I37" i="123"/>
  <c r="K35" i="127"/>
  <c r="K97" i="123"/>
  <c r="K6" i="86"/>
  <c r="L38" i="88"/>
  <c r="F37" i="123"/>
  <c r="I35" i="127"/>
  <c r="I7" i="88" s="1"/>
  <c r="J121" i="123" s="1"/>
  <c r="J60" i="253"/>
  <c r="L126" i="123" s="1"/>
  <c r="Q7" i="137"/>
  <c r="L37" i="123"/>
  <c r="K60" i="253"/>
  <c r="K59" i="86" s="1"/>
  <c r="E6" i="86"/>
  <c r="L18" i="88"/>
  <c r="G60" i="253"/>
  <c r="H126" i="123" s="1"/>
  <c r="H43" i="123"/>
  <c r="H11" i="123" s="1"/>
  <c r="H103" i="123" s="1"/>
  <c r="B6" i="86"/>
  <c r="B10" i="86" s="1"/>
  <c r="D127" i="123" s="1"/>
  <c r="I60" i="253"/>
  <c r="K126" i="123" s="1"/>
  <c r="K41" i="123"/>
  <c r="H41" i="123"/>
  <c r="I19" i="88"/>
  <c r="H54" i="123"/>
  <c r="H10" i="123" s="1"/>
  <c r="G36" i="237" s="1"/>
  <c r="G29" i="237" s="1"/>
  <c r="G32" i="237" s="1"/>
  <c r="G14" i="237" s="1"/>
  <c r="G18" i="237" s="1"/>
  <c r="F49" i="86" s="1"/>
  <c r="G38" i="88"/>
  <c r="M41" i="123"/>
  <c r="I8" i="88"/>
  <c r="J33" i="88"/>
  <c r="K39" i="123"/>
  <c r="H17" i="88"/>
  <c r="J32" i="88"/>
  <c r="F6" i="86"/>
  <c r="I39" i="123"/>
  <c r="P32" i="137"/>
  <c r="P35" i="137" s="1"/>
  <c r="G21" i="127"/>
  <c r="G19" i="88" s="1"/>
  <c r="H18" i="86"/>
  <c r="J87" i="123" s="1"/>
  <c r="J131" i="123" s="1"/>
  <c r="G18" i="88"/>
  <c r="H60" i="86"/>
  <c r="J34" i="88"/>
  <c r="J116" i="123"/>
  <c r="M37" i="123"/>
  <c r="C21" i="127"/>
  <c r="C32" i="88" s="1"/>
  <c r="J19" i="88"/>
  <c r="J35" i="88"/>
  <c r="K37" i="123"/>
  <c r="I59" i="127"/>
  <c r="H44" i="123"/>
  <c r="H38" i="123"/>
  <c r="L41" i="123"/>
  <c r="I38" i="123"/>
  <c r="J38" i="123"/>
  <c r="I32" i="88"/>
  <c r="L43" i="123"/>
  <c r="L11" i="123" s="1"/>
  <c r="L103" i="123" s="1"/>
  <c r="E37" i="123"/>
  <c r="F60" i="253"/>
  <c r="E59" i="86" s="1"/>
  <c r="M44" i="123"/>
  <c r="I35" i="88"/>
  <c r="H60" i="253"/>
  <c r="G59" i="86" s="1"/>
  <c r="H37" i="123"/>
  <c r="C60" i="253"/>
  <c r="D126" i="123" s="1"/>
  <c r="C6" i="86"/>
  <c r="N5" i="137"/>
  <c r="N21" i="137" s="1"/>
  <c r="O21" i="137"/>
  <c r="M39" i="123"/>
  <c r="L39" i="123"/>
  <c r="G38" i="123"/>
  <c r="F15" i="88"/>
  <c r="E37" i="86"/>
  <c r="D25" i="129"/>
  <c r="C35" i="86"/>
  <c r="K46" i="253"/>
  <c r="D47" i="249"/>
  <c r="D59" i="316"/>
  <c r="C103" i="255"/>
  <c r="C32" i="127" s="1"/>
  <c r="D102" i="146"/>
  <c r="E103" i="146" s="1"/>
  <c r="C61" i="248"/>
  <c r="C37" i="248" s="1"/>
  <c r="C124" i="248"/>
  <c r="C125" i="248" s="1"/>
  <c r="C111" i="248"/>
  <c r="F169" i="349"/>
  <c r="F221" i="255"/>
  <c r="E56" i="86"/>
  <c r="G17" i="123"/>
  <c r="F205" i="248"/>
  <c r="G101" i="123" s="1"/>
  <c r="D221" i="255"/>
  <c r="D169" i="248"/>
  <c r="D205" i="248" s="1"/>
  <c r="E101" i="123" s="1"/>
  <c r="D167" i="358"/>
  <c r="D168" i="248" s="1"/>
  <c r="E170" i="350"/>
  <c r="E167" i="248"/>
  <c r="C168" i="248"/>
  <c r="F79" i="248"/>
  <c r="F69" i="248" s="1"/>
  <c r="F206" i="248" s="1"/>
  <c r="G102" i="123" s="1"/>
  <c r="F102" i="248"/>
  <c r="F111" i="248" s="1"/>
  <c r="D27" i="253"/>
  <c r="E76" i="363"/>
  <c r="D60" i="253"/>
  <c r="E126" i="123" s="1"/>
  <c r="F93" i="123"/>
  <c r="E46" i="123"/>
  <c r="F38" i="123" s="1"/>
  <c r="F76" i="363"/>
  <c r="C175" i="367"/>
  <c r="C173" i="134"/>
  <c r="C48" i="88"/>
  <c r="C9" i="88" s="1"/>
  <c r="D57" i="123"/>
  <c r="C175" i="350"/>
  <c r="D52" i="123"/>
  <c r="D13" i="123" s="1"/>
  <c r="D122" i="123" s="1"/>
  <c r="E228" i="314"/>
  <c r="D12" i="123"/>
  <c r="K56" i="86"/>
  <c r="K205" i="248"/>
  <c r="M101" i="123" s="1"/>
  <c r="M17" i="123"/>
  <c r="G247" i="351"/>
  <c r="H42" i="129"/>
  <c r="H55" i="129" s="1"/>
  <c r="J13" i="126"/>
  <c r="J171" i="343"/>
  <c r="J341" i="343" s="1"/>
  <c r="D13" i="294"/>
  <c r="P13" i="140"/>
  <c r="K21" i="126"/>
  <c r="K40" i="126" s="1"/>
  <c r="J175" i="350" s="1"/>
  <c r="E204" i="248"/>
  <c r="K40" i="129"/>
  <c r="C6" i="294"/>
  <c r="O6" i="140"/>
  <c r="N6" i="140" s="1"/>
  <c r="H206" i="248"/>
  <c r="I102" i="123" s="1"/>
  <c r="I58" i="123"/>
  <c r="K171" i="343"/>
  <c r="K341" i="343" s="1"/>
  <c r="I57" i="123"/>
  <c r="E57" i="123"/>
  <c r="E18" i="123" s="1"/>
  <c r="D14" i="88"/>
  <c r="D13" i="88"/>
  <c r="C37" i="86"/>
  <c r="D15" i="88"/>
  <c r="D19" i="294"/>
  <c r="P19" i="140"/>
  <c r="H169" i="349"/>
  <c r="H175" i="349"/>
  <c r="H221" i="255"/>
  <c r="K111" i="248"/>
  <c r="F54" i="123"/>
  <c r="F10" i="123" s="1"/>
  <c r="F116" i="123" s="1"/>
  <c r="M38" i="123"/>
  <c r="I55" i="86"/>
  <c r="K113" i="123" s="1"/>
  <c r="F168" i="248"/>
  <c r="F170" i="350" s="1"/>
  <c r="J228" i="314"/>
  <c r="H49" i="146"/>
  <c r="G49" i="146"/>
  <c r="I205" i="248"/>
  <c r="K101" i="123" s="1"/>
  <c r="I56" i="86"/>
  <c r="K17" i="123"/>
  <c r="J17" i="123"/>
  <c r="G39" i="233"/>
  <c r="G45" i="233" s="1"/>
  <c r="K206" i="248"/>
  <c r="M102" i="123" s="1"/>
  <c r="U171" i="343"/>
  <c r="G48" i="88"/>
  <c r="G9" i="88" s="1"/>
  <c r="H52" i="123"/>
  <c r="H13" i="123" s="1"/>
  <c r="H122" i="123" s="1"/>
  <c r="H12" i="123"/>
  <c r="H57" i="123"/>
  <c r="I228" i="314"/>
  <c r="N31" i="299"/>
  <c r="N38" i="299" s="1"/>
  <c r="N40" i="299" s="1"/>
  <c r="N45" i="299" s="1"/>
  <c r="O38" i="299"/>
  <c r="O40" i="299" s="1"/>
  <c r="O45" i="299" s="1"/>
  <c r="K132" i="248"/>
  <c r="K169" i="350" s="1"/>
  <c r="K58" i="123"/>
  <c r="I12" i="123"/>
  <c r="K221" i="255"/>
  <c r="J169" i="349"/>
  <c r="J175" i="349"/>
  <c r="C14" i="294"/>
  <c r="O14" i="140"/>
  <c r="N14" i="140" s="1"/>
  <c r="B56" i="86"/>
  <c r="C205" i="248"/>
  <c r="D101" i="123" s="1"/>
  <c r="D17" i="123"/>
  <c r="C38" i="88"/>
  <c r="D54" i="123"/>
  <c r="D10" i="123" s="1"/>
  <c r="D17" i="88"/>
  <c r="E93" i="123"/>
  <c r="C18" i="88"/>
  <c r="D46" i="123"/>
  <c r="J27" i="86"/>
  <c r="L112" i="123" s="1"/>
  <c r="K85" i="126"/>
  <c r="G57" i="123"/>
  <c r="G18" i="123" s="1"/>
  <c r="H228" i="314"/>
  <c r="F57" i="123"/>
  <c r="F18" i="123" s="1"/>
  <c r="G228" i="314"/>
  <c r="E48" i="88"/>
  <c r="E9" i="88" s="1"/>
  <c r="F103" i="146"/>
  <c r="I15" i="253"/>
  <c r="H62" i="86"/>
  <c r="I62" i="86"/>
  <c r="G89" i="248"/>
  <c r="G69" i="248" s="1"/>
  <c r="F55" i="86" s="1"/>
  <c r="H113" i="123" s="1"/>
  <c r="G120" i="248"/>
  <c r="G121" i="248" s="1"/>
  <c r="K173" i="358"/>
  <c r="K168" i="248"/>
  <c r="K170" i="367" s="1"/>
  <c r="I25" i="133"/>
  <c r="I57" i="133" s="1"/>
  <c r="K55" i="86"/>
  <c r="M113" i="123" s="1"/>
  <c r="D22" i="248"/>
  <c r="D5" i="248" s="1"/>
  <c r="D117" i="248"/>
  <c r="D118" i="248" s="1"/>
  <c r="G205" i="248"/>
  <c r="H101" i="123" s="1"/>
  <c r="F56" i="86"/>
  <c r="H17" i="123"/>
  <c r="D48" i="133"/>
  <c r="D49" i="133" s="1"/>
  <c r="I48" i="123"/>
  <c r="H21" i="127"/>
  <c r="I17" i="88"/>
  <c r="H38" i="88"/>
  <c r="H18" i="88"/>
  <c r="I54" i="123"/>
  <c r="I10" i="123" s="1"/>
  <c r="H111" i="248"/>
  <c r="I57" i="145"/>
  <c r="E12" i="123"/>
  <c r="H13" i="88"/>
  <c r="G40" i="129"/>
  <c r="D46" i="253"/>
  <c r="O28" i="140"/>
  <c r="J39" i="126"/>
  <c r="K2" i="246"/>
  <c r="A13" i="299"/>
  <c r="A31" i="299" s="1"/>
  <c r="E47" i="123"/>
  <c r="E39" i="123" s="1"/>
  <c r="E17" i="88"/>
  <c r="D18" i="88"/>
  <c r="D21" i="127"/>
  <c r="E54" i="123"/>
  <c r="E10" i="123" s="1"/>
  <c r="D38" i="88"/>
  <c r="L44" i="123"/>
  <c r="H26" i="298"/>
  <c r="H50" i="298"/>
  <c r="H53" i="298" s="1"/>
  <c r="C13" i="294"/>
  <c r="O13" i="140"/>
  <c r="N13" i="140" s="1"/>
  <c r="K59" i="316"/>
  <c r="K52" i="316"/>
  <c r="E35" i="86"/>
  <c r="F25" i="129"/>
  <c r="F42" i="129" s="1"/>
  <c r="F13" i="88"/>
  <c r="F14" i="88"/>
  <c r="A14" i="294"/>
  <c r="A33" i="294" s="1"/>
  <c r="A33" i="126"/>
  <c r="A32" i="140" s="1"/>
  <c r="A14" i="140"/>
  <c r="A19" i="140"/>
  <c r="A19" i="294"/>
  <c r="A38" i="294" s="1"/>
  <c r="A38" i="126"/>
  <c r="A37" i="140" s="1"/>
  <c r="H58" i="123"/>
  <c r="L221" i="255"/>
  <c r="K175" i="349"/>
  <c r="K169" i="349"/>
  <c r="E40" i="131"/>
  <c r="E51" i="131"/>
  <c r="J37" i="123"/>
  <c r="J43" i="123"/>
  <c r="J11" i="123" s="1"/>
  <c r="J103" i="123" s="1"/>
  <c r="J44" i="123"/>
  <c r="J42" i="129"/>
  <c r="J55" i="129" s="1"/>
  <c r="E173" i="134"/>
  <c r="E175" i="350"/>
  <c r="M224" i="256"/>
  <c r="J206" i="248"/>
  <c r="L102" i="123" s="1"/>
  <c r="L58" i="123"/>
  <c r="J55" i="86"/>
  <c r="F175" i="350"/>
  <c r="H10" i="86"/>
  <c r="J94" i="123"/>
  <c r="N224" i="256"/>
  <c r="H173" i="134"/>
  <c r="H175" i="350"/>
  <c r="L40" i="129"/>
  <c r="L42" i="129" s="1"/>
  <c r="L55" i="129" s="1"/>
  <c r="K37" i="86"/>
  <c r="L14" i="88"/>
  <c r="L15" i="88"/>
  <c r="L13" i="88"/>
  <c r="E206" i="248"/>
  <c r="F102" i="123" s="1"/>
  <c r="C27" i="253"/>
  <c r="B63" i="86"/>
  <c r="J29" i="248"/>
  <c r="J5" i="248" s="1"/>
  <c r="J124" i="248"/>
  <c r="J125" i="248" s="1"/>
  <c r="I5" i="248"/>
  <c r="E13" i="294"/>
  <c r="Q13" i="140"/>
  <c r="Q20" i="140" s="1"/>
  <c r="I10" i="86"/>
  <c r="E175" i="367"/>
  <c r="E170" i="367"/>
  <c r="D340" i="342"/>
  <c r="K27" i="253"/>
  <c r="K63" i="86"/>
  <c r="A13" i="140"/>
  <c r="A32" i="126"/>
  <c r="A31" i="140" s="1"/>
  <c r="A13" i="294"/>
  <c r="A32" i="294" s="1"/>
  <c r="I6" i="237"/>
  <c r="I8" i="237" s="1"/>
  <c r="C13" i="88"/>
  <c r="B37" i="86"/>
  <c r="C15" i="88"/>
  <c r="C40" i="129"/>
  <c r="C42" i="129" s="1"/>
  <c r="C55" i="129" s="1"/>
  <c r="C14" i="88"/>
  <c r="G175" i="367"/>
  <c r="G175" i="350"/>
  <c r="E21" i="294"/>
  <c r="J48" i="133"/>
  <c r="P32" i="298"/>
  <c r="P48" i="298" s="1"/>
  <c r="G10" i="86"/>
  <c r="E114" i="123"/>
  <c r="E113" i="123"/>
  <c r="H38" i="86"/>
  <c r="I40" i="129"/>
  <c r="H107" i="123"/>
  <c r="F32" i="86"/>
  <c r="H110" i="123" s="1"/>
  <c r="C38" i="86"/>
  <c r="D40" i="129"/>
  <c r="Q38" i="298"/>
  <c r="G2" i="246"/>
  <c r="A9" i="299"/>
  <c r="A27" i="299" s="1"/>
  <c r="G6" i="237"/>
  <c r="G8" i="237" s="1"/>
  <c r="I108" i="123"/>
  <c r="I109" i="123"/>
  <c r="L21" i="126"/>
  <c r="L40" i="126" s="1"/>
  <c r="O8" i="140"/>
  <c r="J21" i="126"/>
  <c r="C8" i="294"/>
  <c r="G48" i="123"/>
  <c r="F21" i="127"/>
  <c r="G17" i="88"/>
  <c r="F18" i="88"/>
  <c r="F38" i="88"/>
  <c r="G54" i="123"/>
  <c r="G10" i="123" s="1"/>
  <c r="I175" i="349"/>
  <c r="I169" i="349"/>
  <c r="J221" i="255"/>
  <c r="I114" i="123"/>
  <c r="K13" i="88"/>
  <c r="J35" i="86"/>
  <c r="K25" i="129"/>
  <c r="K14" i="88"/>
  <c r="F47" i="123"/>
  <c r="E18" i="88"/>
  <c r="F17" i="88"/>
  <c r="E38" i="88"/>
  <c r="E21" i="127"/>
  <c r="E34" i="88" s="1"/>
  <c r="E201" i="248"/>
  <c r="J113" i="123"/>
  <c r="Q224" i="256"/>
  <c r="C52" i="316"/>
  <c r="J340" i="342"/>
  <c r="D5" i="237"/>
  <c r="D39" i="88"/>
  <c r="E7" i="123" s="1"/>
  <c r="E117" i="123" s="1"/>
  <c r="C45" i="86"/>
  <c r="E5" i="123"/>
  <c r="D23" i="88"/>
  <c r="J57" i="123"/>
  <c r="J18" i="123" s="1"/>
  <c r="I48" i="88"/>
  <c r="I9" i="88" s="1"/>
  <c r="J52" i="123"/>
  <c r="J13" i="123" s="1"/>
  <c r="J122" i="123" s="1"/>
  <c r="J12" i="123"/>
  <c r="M40" i="123"/>
  <c r="M43" i="123"/>
  <c r="M11" i="123" s="1"/>
  <c r="M103" i="123" s="1"/>
  <c r="P224" i="256"/>
  <c r="H175" i="367"/>
  <c r="G59" i="316"/>
  <c r="G52" i="316"/>
  <c r="M97" i="123"/>
  <c r="L97" i="123"/>
  <c r="J18" i="86"/>
  <c r="F23" i="88"/>
  <c r="F5" i="237"/>
  <c r="F39" i="88"/>
  <c r="G7" i="123" s="1"/>
  <c r="G117" i="123" s="1"/>
  <c r="G5" i="123"/>
  <c r="E45" i="86"/>
  <c r="F17" i="123"/>
  <c r="D56" i="86"/>
  <c r="E205" i="248"/>
  <c r="F101" i="123" s="1"/>
  <c r="J56" i="86"/>
  <c r="J205" i="248"/>
  <c r="L101" i="123" s="1"/>
  <c r="L17" i="123"/>
  <c r="L171" i="343"/>
  <c r="L341" i="343" s="1"/>
  <c r="E169" i="349" l="1"/>
  <c r="E175" i="349"/>
  <c r="G221" i="255"/>
  <c r="G175" i="349"/>
  <c r="H132" i="248"/>
  <c r="H203" i="248" s="1"/>
  <c r="K38" i="123"/>
  <c r="K26" i="141"/>
  <c r="J37" i="88"/>
  <c r="I255" i="351"/>
  <c r="K44" i="123"/>
  <c r="K43" i="123"/>
  <c r="K11" i="123" s="1"/>
  <c r="K103" i="123" s="1"/>
  <c r="H35" i="127"/>
  <c r="N1704" i="368" s="1"/>
  <c r="J8" i="88"/>
  <c r="J103" i="255"/>
  <c r="J32" i="127" s="1"/>
  <c r="I16" i="86" s="1"/>
  <c r="I18" i="86" s="1"/>
  <c r="K7" i="88"/>
  <c r="L121" i="123" s="1"/>
  <c r="P1704" i="368"/>
  <c r="Q21" i="137"/>
  <c r="F247" i="351"/>
  <c r="E101" i="248"/>
  <c r="F173" i="134"/>
  <c r="G12" i="123"/>
  <c r="F48" i="88"/>
  <c r="F9" i="88" s="1"/>
  <c r="F175" i="367"/>
  <c r="K103" i="146"/>
  <c r="M114" i="123"/>
  <c r="L57" i="123"/>
  <c r="K48" i="88"/>
  <c r="K9" i="88" s="1"/>
  <c r="P21" i="137"/>
  <c r="L228" i="314"/>
  <c r="J173" i="134"/>
  <c r="L12" i="123"/>
  <c r="K247" i="351"/>
  <c r="K42" i="129"/>
  <c r="K55" i="129" s="1"/>
  <c r="G42" i="129"/>
  <c r="G55" i="129" s="1"/>
  <c r="I42" i="129"/>
  <c r="I55" i="129" s="1"/>
  <c r="H49" i="133"/>
  <c r="K169" i="367"/>
  <c r="L52" i="123"/>
  <c r="L13" i="123" s="1"/>
  <c r="L122" i="123" s="1"/>
  <c r="F101" i="248"/>
  <c r="D55" i="86"/>
  <c r="A18" i="294"/>
  <c r="A37" i="294" s="1"/>
  <c r="A37" i="126"/>
  <c r="A36" i="140" s="1"/>
  <c r="A18" i="140"/>
  <c r="D21" i="294"/>
  <c r="A17" i="140"/>
  <c r="A17" i="294"/>
  <c r="A36" i="294" s="1"/>
  <c r="A36" i="126"/>
  <c r="A35" i="140" s="1"/>
  <c r="A16" i="294"/>
  <c r="A35" i="294" s="1"/>
  <c r="A16" i="140"/>
  <c r="A35" i="126"/>
  <c r="A34" i="140" s="1"/>
  <c r="C175" i="349"/>
  <c r="C169" i="349"/>
  <c r="P20" i="140"/>
  <c r="P39" i="140" s="1"/>
  <c r="D35" i="127"/>
  <c r="F30" i="315" s="1"/>
  <c r="P2" i="246"/>
  <c r="A18" i="299"/>
  <c r="A36" i="299" s="1"/>
  <c r="A26" i="126"/>
  <c r="A25" i="140" s="1"/>
  <c r="A7" i="294"/>
  <c r="A26" i="294" s="1"/>
  <c r="A7" i="140"/>
  <c r="O2" i="246"/>
  <c r="A17" i="299"/>
  <c r="A35" i="299" s="1"/>
  <c r="J175" i="367"/>
  <c r="I18" i="123"/>
  <c r="G204" i="248"/>
  <c r="G170" i="350"/>
  <c r="G167" i="248"/>
  <c r="I168" i="248"/>
  <c r="I204" i="248" s="1"/>
  <c r="J173" i="358"/>
  <c r="H173" i="358"/>
  <c r="H168" i="248"/>
  <c r="I170" i="350"/>
  <c r="O48" i="298"/>
  <c r="O50" i="298" s="1"/>
  <c r="O53" i="298" s="1"/>
  <c r="I48" i="133"/>
  <c r="J247" i="351"/>
  <c r="D45" i="233"/>
  <c r="D247" i="351"/>
  <c r="J36" i="237"/>
  <c r="J29" i="237" s="1"/>
  <c r="J32" i="237" s="1"/>
  <c r="J14" i="237" s="1"/>
  <c r="J18" i="237" s="1"/>
  <c r="I49" i="86" s="1"/>
  <c r="J51" i="131"/>
  <c r="M55" i="95"/>
  <c r="K51" i="131"/>
  <c r="L51" i="131"/>
  <c r="K114" i="123"/>
  <c r="K203" i="248"/>
  <c r="E45" i="233"/>
  <c r="H103" i="146"/>
  <c r="H45" i="233"/>
  <c r="H247" i="351"/>
  <c r="O32" i="137"/>
  <c r="O35" i="137" s="1"/>
  <c r="O37" i="137" s="1"/>
  <c r="O41" i="137" s="1"/>
  <c r="O45" i="137" s="1"/>
  <c r="J35" i="127"/>
  <c r="I45" i="233"/>
  <c r="J45" i="233"/>
  <c r="Q48" i="298"/>
  <c r="Q50" i="298" s="1"/>
  <c r="Q53" i="298" s="1"/>
  <c r="K48" i="133"/>
  <c r="K49" i="133" s="1"/>
  <c r="N50" i="298"/>
  <c r="N53" i="298" s="1"/>
  <c r="I247" i="351"/>
  <c r="P50" i="298"/>
  <c r="P53" i="298" s="1"/>
  <c r="I49" i="133"/>
  <c r="G101" i="248"/>
  <c r="G201" i="248"/>
  <c r="G170" i="367"/>
  <c r="H114" i="123"/>
  <c r="G35" i="127"/>
  <c r="G256" i="351" s="1"/>
  <c r="L103" i="255"/>
  <c r="L32" i="127" s="1"/>
  <c r="L46" i="88"/>
  <c r="E46" i="88"/>
  <c r="E39" i="88" s="1"/>
  <c r="F7" i="123" s="1"/>
  <c r="F117" i="123" s="1"/>
  <c r="E103" i="255"/>
  <c r="E32" i="127" s="1"/>
  <c r="E247" i="351"/>
  <c r="E55" i="86"/>
  <c r="G114" i="123" s="1"/>
  <c r="F108" i="123"/>
  <c r="F110" i="123"/>
  <c r="F109" i="123"/>
  <c r="E49" i="133"/>
  <c r="C45" i="233"/>
  <c r="C49" i="133"/>
  <c r="D42" i="129"/>
  <c r="D55" i="129" s="1"/>
  <c r="K346" i="342"/>
  <c r="K57" i="133"/>
  <c r="M116" i="123"/>
  <c r="F126" i="123"/>
  <c r="K8" i="88"/>
  <c r="L35" i="88"/>
  <c r="L37" i="88"/>
  <c r="K255" i="351"/>
  <c r="L32" i="88"/>
  <c r="L8" i="88"/>
  <c r="L19" i="88"/>
  <c r="M94" i="123"/>
  <c r="L33" i="88"/>
  <c r="L34" i="88"/>
  <c r="K32" i="88"/>
  <c r="H94" i="123"/>
  <c r="K37" i="88"/>
  <c r="K59" i="127"/>
  <c r="J57" i="133" s="1"/>
  <c r="K34" i="88"/>
  <c r="K33" i="88"/>
  <c r="K36" i="237"/>
  <c r="K29" i="237" s="1"/>
  <c r="K32" i="237" s="1"/>
  <c r="K14" i="237" s="1"/>
  <c r="K18" i="237" s="1"/>
  <c r="J49" i="86" s="1"/>
  <c r="K37" i="127"/>
  <c r="K41" i="127" s="1"/>
  <c r="L8" i="123" s="1"/>
  <c r="K35" i="88"/>
  <c r="G94" i="123"/>
  <c r="F170" i="349"/>
  <c r="F256" i="351"/>
  <c r="H347" i="342"/>
  <c r="H96" i="123"/>
  <c r="J256" i="351"/>
  <c r="L30" i="315"/>
  <c r="J347" i="342"/>
  <c r="D170" i="349"/>
  <c r="J59" i="86"/>
  <c r="J58" i="133"/>
  <c r="H87" i="123"/>
  <c r="H131" i="123" s="1"/>
  <c r="J10" i="86"/>
  <c r="J19" i="86" s="1"/>
  <c r="J22" i="86" s="1"/>
  <c r="J24" i="86" s="1"/>
  <c r="F347" i="342"/>
  <c r="I170" i="349"/>
  <c r="K10" i="86"/>
  <c r="M127" i="123" s="1"/>
  <c r="F7" i="88"/>
  <c r="G121" i="123" s="1"/>
  <c r="H30" i="315"/>
  <c r="M126" i="123"/>
  <c r="P37" i="137"/>
  <c r="P41" i="137" s="1"/>
  <c r="P45" i="137" s="1"/>
  <c r="I37" i="127"/>
  <c r="I41" i="127" s="1"/>
  <c r="I43" i="127" s="1"/>
  <c r="I45" i="127" s="1"/>
  <c r="I47" i="127" s="1"/>
  <c r="H59" i="86"/>
  <c r="H116" i="123"/>
  <c r="G33" i="88"/>
  <c r="C35" i="88"/>
  <c r="E10" i="86"/>
  <c r="G127" i="123" s="1"/>
  <c r="G126" i="123"/>
  <c r="I126" i="123"/>
  <c r="E94" i="123"/>
  <c r="F10" i="86"/>
  <c r="H86" i="123" s="1"/>
  <c r="K94" i="123"/>
  <c r="E36" i="237"/>
  <c r="E29" i="237" s="1"/>
  <c r="E32" i="237" s="1"/>
  <c r="E14" i="237" s="1"/>
  <c r="E18" i="237" s="1"/>
  <c r="D49" i="86" s="1"/>
  <c r="C37" i="88"/>
  <c r="C19" i="88"/>
  <c r="G59" i="127"/>
  <c r="G255" i="351" s="1"/>
  <c r="I59" i="86"/>
  <c r="F59" i="86"/>
  <c r="I94" i="123"/>
  <c r="C34" i="88"/>
  <c r="H37" i="127"/>
  <c r="H41" i="127" s="1"/>
  <c r="I8" i="123" s="1"/>
  <c r="G32" i="88"/>
  <c r="G8" i="88"/>
  <c r="B59" i="86"/>
  <c r="C10" i="86"/>
  <c r="C19" i="86" s="1"/>
  <c r="C22" i="86" s="1"/>
  <c r="C24" i="86" s="1"/>
  <c r="J96" i="123"/>
  <c r="G35" i="88"/>
  <c r="G34" i="88"/>
  <c r="M36" i="123"/>
  <c r="M9" i="123" s="1"/>
  <c r="F94" i="123"/>
  <c r="I87" i="123"/>
  <c r="I131" i="123" s="1"/>
  <c r="D86" i="123"/>
  <c r="D130" i="123" s="1"/>
  <c r="C59" i="127"/>
  <c r="C255" i="351" s="1"/>
  <c r="C8" i="88"/>
  <c r="C33" i="88"/>
  <c r="H7" i="88"/>
  <c r="I121" i="123" s="1"/>
  <c r="C59" i="86"/>
  <c r="E38" i="123"/>
  <c r="H256" i="351"/>
  <c r="I96" i="123"/>
  <c r="C35" i="127"/>
  <c r="B16" i="86"/>
  <c r="B18" i="86" s="1"/>
  <c r="D103" i="146"/>
  <c r="B55" i="86"/>
  <c r="C101" i="248"/>
  <c r="C132" i="248"/>
  <c r="C203" i="248" s="1"/>
  <c r="C206" i="248"/>
  <c r="D102" i="123" s="1"/>
  <c r="D58" i="123"/>
  <c r="D18" i="123" s="1"/>
  <c r="C204" i="248"/>
  <c r="C56" i="86"/>
  <c r="D34" i="88"/>
  <c r="D206" i="248"/>
  <c r="E102" i="123" s="1"/>
  <c r="E17" i="123"/>
  <c r="C54" i="86"/>
  <c r="D170" i="350"/>
  <c r="D167" i="248"/>
  <c r="D201" i="248"/>
  <c r="D204" i="248"/>
  <c r="D170" i="367"/>
  <c r="C167" i="248"/>
  <c r="B54" i="86"/>
  <c r="C170" i="367"/>
  <c r="C170" i="350"/>
  <c r="C201" i="248"/>
  <c r="E54" i="86"/>
  <c r="F170" i="367"/>
  <c r="F204" i="248"/>
  <c r="F201" i="248"/>
  <c r="F167" i="248"/>
  <c r="G113" i="123"/>
  <c r="F132" i="248"/>
  <c r="F169" i="367" s="1"/>
  <c r="D53" i="294"/>
  <c r="D59" i="294"/>
  <c r="P45" i="140"/>
  <c r="N28" i="140"/>
  <c r="N38" i="140" s="1"/>
  <c r="O38" i="140"/>
  <c r="J40" i="123"/>
  <c r="I40" i="123"/>
  <c r="I44" i="123"/>
  <c r="I36" i="123" s="1"/>
  <c r="I9" i="123" s="1"/>
  <c r="I43" i="123"/>
  <c r="I11" i="123" s="1"/>
  <c r="I103" i="123" s="1"/>
  <c r="H18" i="123"/>
  <c r="O12" i="140"/>
  <c r="N12" i="140" s="1"/>
  <c r="C12" i="294"/>
  <c r="C21" i="294" s="1"/>
  <c r="C53" i="294" s="1"/>
  <c r="D32" i="88"/>
  <c r="D19" i="88"/>
  <c r="D8" i="88"/>
  <c r="D35" i="88"/>
  <c r="D37" i="88"/>
  <c r="D59" i="127"/>
  <c r="D33" i="88"/>
  <c r="D36" i="237"/>
  <c r="D29" i="237" s="1"/>
  <c r="D32" i="237" s="1"/>
  <c r="D14" i="237" s="1"/>
  <c r="D18" i="237" s="1"/>
  <c r="C49" i="86" s="1"/>
  <c r="E116" i="123"/>
  <c r="J40" i="126"/>
  <c r="K228" i="314" s="1"/>
  <c r="D43" i="123"/>
  <c r="D11" i="123" s="1"/>
  <c r="D103" i="123" s="1"/>
  <c r="D44" i="123"/>
  <c r="E23" i="88"/>
  <c r="E5" i="237"/>
  <c r="E6" i="237" s="1"/>
  <c r="E8" i="237" s="1"/>
  <c r="D48" i="86" s="1"/>
  <c r="D45" i="86"/>
  <c r="F5" i="123"/>
  <c r="K170" i="350"/>
  <c r="K54" i="86"/>
  <c r="K167" i="248"/>
  <c r="K201" i="248"/>
  <c r="C36" i="237"/>
  <c r="C29" i="237" s="1"/>
  <c r="C32" i="237" s="1"/>
  <c r="C14" i="237" s="1"/>
  <c r="C18" i="237" s="1"/>
  <c r="D116" i="123"/>
  <c r="G132" i="248"/>
  <c r="G169" i="367" s="1"/>
  <c r="E43" i="123"/>
  <c r="E11" i="123" s="1"/>
  <c r="E103" i="123" s="1"/>
  <c r="E44" i="123"/>
  <c r="I116" i="123"/>
  <c r="H36" i="237"/>
  <c r="H29" i="237" s="1"/>
  <c r="H32" i="237" s="1"/>
  <c r="H14" i="237" s="1"/>
  <c r="H18" i="237" s="1"/>
  <c r="D101" i="248"/>
  <c r="D132" i="248"/>
  <c r="G206" i="248"/>
  <c r="H102" i="123" s="1"/>
  <c r="K204" i="248"/>
  <c r="H8" i="88"/>
  <c r="H19" i="88"/>
  <c r="H59" i="127"/>
  <c r="H35" i="88"/>
  <c r="H34" i="88"/>
  <c r="H32" i="88"/>
  <c r="H33" i="88"/>
  <c r="I19" i="237"/>
  <c r="J6" i="123"/>
  <c r="H48" i="86"/>
  <c r="H50" i="86" s="1"/>
  <c r="Q39" i="140"/>
  <c r="Q45" i="140"/>
  <c r="D6" i="237"/>
  <c r="D8" i="237" s="1"/>
  <c r="L96" i="123"/>
  <c r="K170" i="349"/>
  <c r="L87" i="123"/>
  <c r="M52" i="123"/>
  <c r="M13" i="123" s="1"/>
  <c r="M122" i="123" s="1"/>
  <c r="M228" i="314"/>
  <c r="M12" i="123"/>
  <c r="L48" i="88"/>
  <c r="L9" i="88" s="1"/>
  <c r="M57" i="123"/>
  <c r="M18" i="123" s="1"/>
  <c r="K175" i="367"/>
  <c r="G19" i="237"/>
  <c r="F48" i="86"/>
  <c r="F50" i="86" s="1"/>
  <c r="H6" i="123"/>
  <c r="K86" i="123"/>
  <c r="I19" i="86"/>
  <c r="I22" i="86" s="1"/>
  <c r="I24" i="86" s="1"/>
  <c r="K127" i="123"/>
  <c r="E32" i="88"/>
  <c r="E19" i="88"/>
  <c r="E35" i="88"/>
  <c r="E8" i="88"/>
  <c r="E33" i="88"/>
  <c r="E59" i="127"/>
  <c r="E37" i="88"/>
  <c r="K175" i="350"/>
  <c r="F37" i="88"/>
  <c r="G37" i="88" s="1"/>
  <c r="H37" i="88" s="1"/>
  <c r="F8" i="88"/>
  <c r="F37" i="127"/>
  <c r="F41" i="127" s="1"/>
  <c r="F19" i="88"/>
  <c r="F33" i="88"/>
  <c r="F35" i="88"/>
  <c r="F32" i="88"/>
  <c r="F59" i="127"/>
  <c r="F34" i="88"/>
  <c r="N8" i="140"/>
  <c r="O20" i="140"/>
  <c r="J49" i="133"/>
  <c r="G40" i="123"/>
  <c r="H40" i="123"/>
  <c r="G43" i="123"/>
  <c r="G11" i="123" s="1"/>
  <c r="G103" i="123" s="1"/>
  <c r="G44" i="123"/>
  <c r="J170" i="349"/>
  <c r="K96" i="123"/>
  <c r="K87" i="123"/>
  <c r="K131" i="123" s="1"/>
  <c r="E169" i="350"/>
  <c r="E203" i="248"/>
  <c r="J201" i="248"/>
  <c r="J167" i="248"/>
  <c r="J54" i="86"/>
  <c r="J170" i="350"/>
  <c r="J170" i="367"/>
  <c r="E59" i="294"/>
  <c r="E53" i="294"/>
  <c r="F86" i="123"/>
  <c r="F127" i="123"/>
  <c r="I101" i="248"/>
  <c r="I132" i="248"/>
  <c r="K173" i="134"/>
  <c r="F43" i="123"/>
  <c r="F11" i="123" s="1"/>
  <c r="F103" i="123" s="1"/>
  <c r="F44" i="123"/>
  <c r="F39" i="123"/>
  <c r="G39" i="123"/>
  <c r="K36" i="123"/>
  <c r="K9" i="123" s="1"/>
  <c r="L36" i="123"/>
  <c r="L9" i="123" s="1"/>
  <c r="I127" i="123"/>
  <c r="G19" i="86"/>
  <c r="G22" i="86" s="1"/>
  <c r="G24" i="86" s="1"/>
  <c r="I86" i="123"/>
  <c r="K89" i="123"/>
  <c r="I45" i="86"/>
  <c r="K5" i="123"/>
  <c r="J23" i="88"/>
  <c r="J39" i="88"/>
  <c r="K7" i="123" s="1"/>
  <c r="K117" i="123" s="1"/>
  <c r="J5" i="237"/>
  <c r="K39" i="131"/>
  <c r="K40" i="131" s="1"/>
  <c r="J132" i="248"/>
  <c r="J101" i="248"/>
  <c r="L113" i="123"/>
  <c r="L114" i="123"/>
  <c r="H109" i="123"/>
  <c r="H108" i="123"/>
  <c r="J204" i="248"/>
  <c r="L18" i="123"/>
  <c r="F6" i="237"/>
  <c r="F8" i="237" s="1"/>
  <c r="G116" i="123"/>
  <c r="F36" i="237"/>
  <c r="F29" i="237" s="1"/>
  <c r="F32" i="237" s="1"/>
  <c r="F14" i="237" s="1"/>
  <c r="F18" i="237" s="1"/>
  <c r="E49" i="86" s="1"/>
  <c r="J86" i="123"/>
  <c r="J91" i="123"/>
  <c r="H19" i="86"/>
  <c r="H22" i="86" s="1"/>
  <c r="H24" i="86" s="1"/>
  <c r="H169" i="367" l="1"/>
  <c r="H169" i="350"/>
  <c r="H58" i="133"/>
  <c r="J30" i="315"/>
  <c r="D37" i="127"/>
  <c r="D41" i="127" s="1"/>
  <c r="D43" i="127" s="1"/>
  <c r="D45" i="127" s="1"/>
  <c r="N32" i="137"/>
  <c r="N35" i="137" s="1"/>
  <c r="N37" i="137" s="1"/>
  <c r="N41" i="137" s="1"/>
  <c r="N45" i="137" s="1"/>
  <c r="I58" i="133"/>
  <c r="O1704" i="368"/>
  <c r="F203" i="248"/>
  <c r="G347" i="342"/>
  <c r="D7" i="88"/>
  <c r="E121" i="123" s="1"/>
  <c r="D256" i="351"/>
  <c r="J255" i="351"/>
  <c r="D347" i="342"/>
  <c r="K30" i="315"/>
  <c r="F114" i="123"/>
  <c r="F113" i="123"/>
  <c r="C59" i="294"/>
  <c r="I201" i="248"/>
  <c r="I170" i="367"/>
  <c r="I54" i="86"/>
  <c r="I167" i="248"/>
  <c r="G54" i="86"/>
  <c r="H167" i="248"/>
  <c r="H54" i="86"/>
  <c r="H170" i="350"/>
  <c r="H170" i="367"/>
  <c r="H204" i="248"/>
  <c r="H201" i="248"/>
  <c r="I256" i="351"/>
  <c r="I347" i="342"/>
  <c r="G37" i="127"/>
  <c r="G41" i="127" s="1"/>
  <c r="G43" i="127" s="1"/>
  <c r="G45" i="127" s="1"/>
  <c r="G7" i="88"/>
  <c r="H121" i="123" s="1"/>
  <c r="I30" i="315"/>
  <c r="G58" i="133"/>
  <c r="J37" i="127"/>
  <c r="J41" i="127" s="1"/>
  <c r="R44" i="246" s="1"/>
  <c r="J7" i="88"/>
  <c r="K121" i="123" s="1"/>
  <c r="G203" i="248"/>
  <c r="K16" i="86"/>
  <c r="K18" i="86" s="1"/>
  <c r="K19" i="86" s="1"/>
  <c r="K22" i="86" s="1"/>
  <c r="K24" i="86" s="1"/>
  <c r="Q32" i="137"/>
  <c r="Q35" i="137" s="1"/>
  <c r="Q37" i="137" s="1"/>
  <c r="Q41" i="137" s="1"/>
  <c r="Q45" i="137" s="1"/>
  <c r="L35" i="127"/>
  <c r="Q1704" i="368" s="1"/>
  <c r="E35" i="127"/>
  <c r="M1704" i="368" s="1"/>
  <c r="D16" i="86"/>
  <c r="D18" i="86" s="1"/>
  <c r="J346" i="342"/>
  <c r="K43" i="127"/>
  <c r="K45" i="127" s="1"/>
  <c r="K57" i="127" s="1"/>
  <c r="L26" i="141"/>
  <c r="E19" i="86"/>
  <c r="E22" i="86" s="1"/>
  <c r="E24" i="86" s="1"/>
  <c r="M86" i="123"/>
  <c r="M130" i="123" s="1"/>
  <c r="M91" i="123"/>
  <c r="K91" i="123"/>
  <c r="G91" i="123"/>
  <c r="L86" i="123"/>
  <c r="L130" i="123" s="1"/>
  <c r="L127" i="123"/>
  <c r="G86" i="123"/>
  <c r="G88" i="123" s="1"/>
  <c r="G132" i="123" s="1"/>
  <c r="L91" i="123"/>
  <c r="H43" i="127"/>
  <c r="H45" i="127" s="1"/>
  <c r="H57" i="127" s="1"/>
  <c r="I91" i="123"/>
  <c r="E8" i="123"/>
  <c r="I58" i="128"/>
  <c r="I63" i="128" s="1"/>
  <c r="I71" i="128" s="1"/>
  <c r="I83" i="128" s="1"/>
  <c r="J8" i="123"/>
  <c r="H91" i="123"/>
  <c r="F19" i="86"/>
  <c r="F22" i="86" s="1"/>
  <c r="F24" i="86" s="1"/>
  <c r="H127" i="123"/>
  <c r="F6" i="123"/>
  <c r="I26" i="141"/>
  <c r="E19" i="237"/>
  <c r="F124" i="123" s="1"/>
  <c r="D50" i="86"/>
  <c r="E91" i="123"/>
  <c r="E127" i="123"/>
  <c r="E86" i="123"/>
  <c r="E130" i="123" s="1"/>
  <c r="F91" i="123"/>
  <c r="E26" i="141"/>
  <c r="G346" i="342"/>
  <c r="G57" i="133"/>
  <c r="C346" i="342"/>
  <c r="C57" i="133"/>
  <c r="D87" i="123"/>
  <c r="C170" i="349"/>
  <c r="B19" i="86"/>
  <c r="B22" i="86" s="1"/>
  <c r="B24" i="86" s="1"/>
  <c r="E96" i="123"/>
  <c r="C7" i="88"/>
  <c r="D121" i="123" s="1"/>
  <c r="E30" i="315"/>
  <c r="C256" i="351"/>
  <c r="C58" i="133"/>
  <c r="C347" i="342"/>
  <c r="C37" i="127"/>
  <c r="C41" i="127" s="1"/>
  <c r="F169" i="350"/>
  <c r="D114" i="123"/>
  <c r="D113" i="123"/>
  <c r="E36" i="123"/>
  <c r="E9" i="123" s="1"/>
  <c r="F36" i="123"/>
  <c r="F9" i="123" s="1"/>
  <c r="I173" i="134"/>
  <c r="I175" i="367"/>
  <c r="G169" i="350"/>
  <c r="D203" i="248"/>
  <c r="D169" i="367"/>
  <c r="D169" i="350"/>
  <c r="D6" i="123"/>
  <c r="C19" i="237"/>
  <c r="B49" i="86"/>
  <c r="B50" i="86" s="1"/>
  <c r="K12" i="123"/>
  <c r="H19" i="237"/>
  <c r="G49" i="86"/>
  <c r="G50" i="86" s="1"/>
  <c r="I6" i="123"/>
  <c r="F26" i="141"/>
  <c r="D346" i="342"/>
  <c r="D255" i="351"/>
  <c r="K57" i="123"/>
  <c r="K18" i="123" s="1"/>
  <c r="K52" i="123"/>
  <c r="K13" i="123" s="1"/>
  <c r="K122" i="123" s="1"/>
  <c r="J48" i="88"/>
  <c r="J9" i="88" s="1"/>
  <c r="I175" i="350"/>
  <c r="J26" i="141"/>
  <c r="H255" i="351"/>
  <c r="H346" i="342"/>
  <c r="H57" i="133"/>
  <c r="J36" i="123"/>
  <c r="J9" i="123" s="1"/>
  <c r="N20" i="140"/>
  <c r="N39" i="140" s="1"/>
  <c r="D19" i="237"/>
  <c r="E6" i="123"/>
  <c r="C48" i="86"/>
  <c r="C50" i="86" s="1"/>
  <c r="H88" i="123"/>
  <c r="H132" i="123" s="1"/>
  <c r="H130" i="123"/>
  <c r="I169" i="367"/>
  <c r="I169" i="350"/>
  <c r="I203" i="248"/>
  <c r="O45" i="140"/>
  <c r="O39" i="140"/>
  <c r="H124" i="123"/>
  <c r="H133" i="123"/>
  <c r="H134" i="123" s="1"/>
  <c r="H135" i="123" s="1"/>
  <c r="J88" i="123"/>
  <c r="J132" i="123" s="1"/>
  <c r="J130" i="123"/>
  <c r="D58" i="128"/>
  <c r="D63" i="128" s="1"/>
  <c r="D71" i="128" s="1"/>
  <c r="D83" i="128" s="1"/>
  <c r="D47" i="127"/>
  <c r="D57" i="127"/>
  <c r="G26" i="141"/>
  <c r="E255" i="351"/>
  <c r="E57" i="133"/>
  <c r="E346" i="342"/>
  <c r="H26" i="141"/>
  <c r="F346" i="342"/>
  <c r="F255" i="351"/>
  <c r="F57" i="133"/>
  <c r="G36" i="123"/>
  <c r="G9" i="123" s="1"/>
  <c r="H36" i="123"/>
  <c r="H9" i="123" s="1"/>
  <c r="E48" i="86"/>
  <c r="E50" i="86" s="1"/>
  <c r="G6" i="123"/>
  <c r="F19" i="237"/>
  <c r="I130" i="123"/>
  <c r="I88" i="123"/>
  <c r="I132" i="123" s="1"/>
  <c r="J169" i="367"/>
  <c r="J169" i="350"/>
  <c r="J203" i="248"/>
  <c r="F43" i="127"/>
  <c r="F45" i="127" s="1"/>
  <c r="G8" i="123"/>
  <c r="F130" i="123"/>
  <c r="J6" i="237"/>
  <c r="J8" i="237" s="1"/>
  <c r="J45" i="86"/>
  <c r="K23" i="88"/>
  <c r="K39" i="88"/>
  <c r="L7" i="123" s="1"/>
  <c r="L117" i="123" s="1"/>
  <c r="K5" i="237"/>
  <c r="L39" i="131"/>
  <c r="L40" i="131" s="1"/>
  <c r="L5" i="123"/>
  <c r="K88" i="123"/>
  <c r="K132" i="123" s="1"/>
  <c r="K130" i="123"/>
  <c r="L131" i="123"/>
  <c r="J133" i="123"/>
  <c r="J134" i="123" s="1"/>
  <c r="J135" i="123" s="1"/>
  <c r="J124" i="123"/>
  <c r="G47" i="127" l="1"/>
  <c r="G57" i="127"/>
  <c r="K8" i="123"/>
  <c r="J43" i="127"/>
  <c r="J45" i="127" s="1"/>
  <c r="J58" i="128" s="1"/>
  <c r="J55" i="128" s="1"/>
  <c r="G58" i="128"/>
  <c r="G63" i="128" s="1"/>
  <c r="G71" i="128" s="1"/>
  <c r="G83" i="128" s="1"/>
  <c r="H8" i="123"/>
  <c r="K256" i="351"/>
  <c r="K58" i="133"/>
  <c r="L7" i="88"/>
  <c r="M121" i="123" s="1"/>
  <c r="K347" i="342"/>
  <c r="L37" i="127"/>
  <c r="L41" i="127" s="1"/>
  <c r="M30" i="315"/>
  <c r="M87" i="123"/>
  <c r="M131" i="123" s="1"/>
  <c r="M96" i="123"/>
  <c r="E170" i="349"/>
  <c r="F96" i="123"/>
  <c r="G96" i="123"/>
  <c r="D19" i="86"/>
  <c r="D22" i="86" s="1"/>
  <c r="D24" i="86" s="1"/>
  <c r="F87" i="123"/>
  <c r="E37" i="127"/>
  <c r="E41" i="127" s="1"/>
  <c r="E256" i="351"/>
  <c r="G30" i="315"/>
  <c r="E7" i="88"/>
  <c r="F121" i="123" s="1"/>
  <c r="E58" i="133"/>
  <c r="E347" i="342"/>
  <c r="K58" i="128"/>
  <c r="K55" i="128" s="1"/>
  <c r="K47" i="127"/>
  <c r="P56" i="298" s="1"/>
  <c r="G130" i="123"/>
  <c r="H47" i="127"/>
  <c r="L88" i="123"/>
  <c r="L132" i="123" s="1"/>
  <c r="H58" i="128"/>
  <c r="H63" i="128" s="1"/>
  <c r="H71" i="128" s="1"/>
  <c r="H83" i="128" s="1"/>
  <c r="E88" i="123"/>
  <c r="E132" i="123" s="1"/>
  <c r="F133" i="123"/>
  <c r="F134" i="123" s="1"/>
  <c r="F135" i="123" s="1"/>
  <c r="D8" i="123"/>
  <c r="C43" i="127"/>
  <c r="C45" i="127" s="1"/>
  <c r="D131" i="123"/>
  <c r="D88" i="123"/>
  <c r="D132" i="123" s="1"/>
  <c r="D133" i="123"/>
  <c r="D134" i="123" s="1"/>
  <c r="D135" i="123" s="1"/>
  <c r="D124" i="123"/>
  <c r="I133" i="123"/>
  <c r="I134" i="123" s="1"/>
  <c r="I135" i="123" s="1"/>
  <c r="I124" i="123"/>
  <c r="K6" i="123"/>
  <c r="I48" i="86"/>
  <c r="I50" i="86" s="1"/>
  <c r="J19" i="237"/>
  <c r="E124" i="123"/>
  <c r="E133" i="123"/>
  <c r="E134" i="123" s="1"/>
  <c r="E135" i="123" s="1"/>
  <c r="G133" i="123"/>
  <c r="G134" i="123" s="1"/>
  <c r="G135" i="123" s="1"/>
  <c r="G124" i="123"/>
  <c r="M5" i="123"/>
  <c r="L23" i="88"/>
  <c r="K45" i="86"/>
  <c r="L5" i="237"/>
  <c r="L39" i="88"/>
  <c r="M7" i="123" s="1"/>
  <c r="M117" i="123" s="1"/>
  <c r="K6" i="237"/>
  <c r="K8" i="237" s="1"/>
  <c r="F47" i="127"/>
  <c r="F58" i="128"/>
  <c r="F63" i="128" s="1"/>
  <c r="F71" i="128" s="1"/>
  <c r="F83" i="128" s="1"/>
  <c r="F57" i="127"/>
  <c r="K57" i="128" l="1"/>
  <c r="K63" i="128" s="1"/>
  <c r="K71" i="128" s="1"/>
  <c r="K83" i="128" s="1"/>
  <c r="J57" i="128"/>
  <c r="J63" i="128" s="1"/>
  <c r="J71" i="128" s="1"/>
  <c r="J83" i="128" s="1"/>
  <c r="J57" i="127"/>
  <c r="J47" i="127"/>
  <c r="O56" i="298" s="1"/>
  <c r="P48" i="299"/>
  <c r="M88" i="123"/>
  <c r="M132" i="123" s="1"/>
  <c r="M8" i="123"/>
  <c r="L43" i="127"/>
  <c r="L45" i="127" s="1"/>
  <c r="P48" i="137"/>
  <c r="E43" i="127"/>
  <c r="E45" i="127" s="1"/>
  <c r="F8" i="123"/>
  <c r="F131" i="123"/>
  <c r="F88" i="123"/>
  <c r="F132" i="123" s="1"/>
  <c r="C57" i="127"/>
  <c r="C58" i="128"/>
  <c r="C63" i="128" s="1"/>
  <c r="C71" i="128" s="1"/>
  <c r="C83" i="128" s="1"/>
  <c r="C47" i="127"/>
  <c r="L6" i="123"/>
  <c r="K19" i="237"/>
  <c r="J48" i="86"/>
  <c r="J50" i="86" s="1"/>
  <c r="L6" i="237"/>
  <c r="L8" i="237" s="1"/>
  <c r="K124" i="123"/>
  <c r="K133" i="123"/>
  <c r="K134" i="123" s="1"/>
  <c r="K135" i="123" s="1"/>
  <c r="O48" i="299" l="1"/>
  <c r="O48" i="137"/>
  <c r="L47" i="127"/>
  <c r="L58" i="128"/>
  <c r="L57" i="127"/>
  <c r="E47" i="127"/>
  <c r="E57" i="127"/>
  <c r="E58" i="128"/>
  <c r="E63" i="128" s="1"/>
  <c r="E71" i="128" s="1"/>
  <c r="E83" i="128" s="1"/>
  <c r="L133" i="123"/>
  <c r="L134" i="123" s="1"/>
  <c r="L135" i="123" s="1"/>
  <c r="L124" i="123"/>
  <c r="K48" i="86"/>
  <c r="K50" i="86" s="1"/>
  <c r="M6" i="123"/>
  <c r="L19" i="237"/>
  <c r="L55" i="128" l="1"/>
  <c r="L57" i="128" s="1"/>
  <c r="L63" i="128" s="1"/>
  <c r="L71" i="128" s="1"/>
  <c r="L83" i="128" s="1"/>
  <c r="Q56" i="298"/>
  <c r="Q48" i="299"/>
  <c r="Q48" i="137"/>
  <c r="M124" i="123"/>
  <c r="M133" i="123"/>
  <c r="M134" i="123" s="1"/>
  <c r="M135" i="123" s="1"/>
</calcChain>
</file>

<file path=xl/sharedStrings.xml><?xml version="1.0" encoding="utf-8"?>
<sst xmlns="http://schemas.openxmlformats.org/spreadsheetml/2006/main" count="24019" uniqueCount="4061">
  <si>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</si>
  <si>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</si>
  <si>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</si>
  <si>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</si>
  <si>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</si>
  <si>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</si>
  <si>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</si>
  <si>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</si>
  <si>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</si>
  <si>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</si>
  <si>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</si>
  <si>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</si>
  <si>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</si>
  <si>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</si>
  <si>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</si>
  <si>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</si>
  <si>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</si>
  <si>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</si>
  <si>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</si>
  <si>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</si>
  <si>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</si>
  <si>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</si>
  <si>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</si>
  <si>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</si>
  <si>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</si>
  <si>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</si>
  <si>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</si>
  <si>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</si>
  <si>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</si>
  <si>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</si>
  <si>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</si>
  <si>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</si>
  <si>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</si>
  <si>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</si>
  <si>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</si>
  <si>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</si>
  <si>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</si>
  <si>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</si>
  <si>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</si>
  <si>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</si>
  <si>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</si>
  <si>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</si>
  <si>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</si>
  <si>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</si>
  <si>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</si>
  <si>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</si>
  <si>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</si>
  <si>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</si>
  <si>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</si>
  <si>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</si>
  <si>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</si>
  <si>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</si>
  <si>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</si>
  <si>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</si>
  <si>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</si>
  <si>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</si>
  <si>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</si>
  <si>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</si>
  <si>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</si>
  <si>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</si>
  <si>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</si>
  <si>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</si>
  <si>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</si>
  <si>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</si>
  <si>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</si>
  <si>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</si>
  <si>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</si>
  <si>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</si>
  <si>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</si>
  <si>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</si>
  <si>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</si>
  <si>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</si>
  <si>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</si>
  <si>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</si>
  <si>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</si>
  <si>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</si>
  <si>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</si>
  <si>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</si>
  <si>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</si>
  <si>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</si>
  <si>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</si>
  <si>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</si>
  <si>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</si>
  <si>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</si>
  <si>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</si>
  <si>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</si>
  <si>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</si>
  <si>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</si>
  <si>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</si>
  <si>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</si>
  <si>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</si>
  <si>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</si>
  <si>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</si>
  <si>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</si>
  <si>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</si>
  <si>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</si>
  <si>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</si>
  <si>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</si>
  <si>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</si>
  <si>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</si>
  <si>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</si>
  <si>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</si>
  <si>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</si>
  <si>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</si>
  <si>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</si>
  <si>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</si>
  <si>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</si>
  <si>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</si>
  <si>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</si>
  <si>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</si>
  <si>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</si>
  <si>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</si>
  <si>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</si>
  <si>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</si>
  <si>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</si>
  <si>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</si>
  <si>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</si>
  <si>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</si>
  <si>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</si>
  <si>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</si>
  <si>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</si>
  <si>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</si>
  <si>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</si>
  <si>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</si>
  <si>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</si>
  <si>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</si>
  <si>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</si>
  <si>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</si>
  <si>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</si>
  <si>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</si>
  <si>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</si>
  <si>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</si>
  <si>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</si>
  <si>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</si>
  <si>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</si>
  <si>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</si>
  <si>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</si>
  <si>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</si>
  <si>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</si>
  <si>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</si>
  <si>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</si>
  <si>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</si>
  <si>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</si>
  <si>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</si>
  <si>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</si>
  <si>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</si>
  <si>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</si>
  <si>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</si>
  <si>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</si>
  <si>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</si>
  <si>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</si>
  <si>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</si>
  <si>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</si>
  <si>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</si>
  <si>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</si>
  <si>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</si>
  <si>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</si>
  <si>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</si>
  <si>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</si>
  <si>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</si>
  <si>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</si>
  <si>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</si>
  <si>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</si>
  <si>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</si>
  <si>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</si>
  <si>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</si>
  <si>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</si>
  <si>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</si>
  <si>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</si>
  <si>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</si>
  <si>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</si>
  <si>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</si>
  <si>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</si>
  <si>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</si>
  <si>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</si>
  <si>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</si>
  <si>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</si>
  <si>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</si>
  <si>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</si>
  <si>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</si>
  <si>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</si>
  <si>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</si>
  <si>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</si>
  <si>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</si>
  <si>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</si>
  <si>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</si>
  <si>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</si>
  <si>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</si>
  <si>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</si>
  <si>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</si>
  <si>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</si>
  <si>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</si>
  <si>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</si>
  <si>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</si>
  <si>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</si>
  <si>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</si>
  <si>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</si>
  <si>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</si>
  <si>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</si>
  <si>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</si>
  <si>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</si>
  <si>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</si>
  <si>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</si>
  <si>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</si>
  <si>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</si>
  <si>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</si>
  <si>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</si>
  <si>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</si>
  <si>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</si>
  <si>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</si>
  <si>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</si>
  <si>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</si>
  <si>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</si>
  <si>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</si>
  <si>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</si>
  <si>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</si>
  <si>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</si>
  <si>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</si>
  <si>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</si>
  <si>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</si>
  <si>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</si>
  <si>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</si>
  <si>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</si>
  <si>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</si>
  <si>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</si>
  <si>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</si>
  <si>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</si>
  <si>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</si>
  <si>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</si>
  <si>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</si>
  <si>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</si>
  <si>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</si>
  <si>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</si>
  <si>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</si>
  <si>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</si>
  <si>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</si>
  <si>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</si>
  <si>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</si>
  <si>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</si>
  <si>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</si>
  <si>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</si>
  <si>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</si>
  <si>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</si>
  <si>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</si>
  <si>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</si>
  <si>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</si>
  <si>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</si>
  <si>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</si>
  <si>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</si>
  <si>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</si>
  <si>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</si>
  <si>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</si>
  <si>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</si>
  <si>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</si>
  <si>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</si>
  <si>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</si>
  <si>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</si>
  <si>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</si>
  <si>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</si>
  <si>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</si>
  <si>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</si>
  <si>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</si>
  <si>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</si>
  <si>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</si>
  <si>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</si>
  <si>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</si>
  <si>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</si>
  <si>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</si>
  <si>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</si>
  <si>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</si>
  <si>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</si>
  <si>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</si>
  <si>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</si>
  <si>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</si>
  <si>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</si>
  <si>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</si>
  <si>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</si>
  <si>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</si>
  <si>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</si>
  <si>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</si>
  <si>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</si>
  <si>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</si>
  <si>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</si>
  <si>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</si>
  <si>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</si>
  <si>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</si>
  <si>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</si>
  <si>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</si>
  <si>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</si>
  <si>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</si>
  <si>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</si>
  <si>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</si>
  <si>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</si>
  <si>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</si>
  <si>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</si>
  <si>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</si>
  <si>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</si>
  <si>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</si>
  <si>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</si>
  <si>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</si>
  <si>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</si>
  <si>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</si>
  <si>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</si>
  <si>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</si>
  <si>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</si>
  <si>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</si>
  <si>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</si>
  <si>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</si>
  <si>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</si>
  <si>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</si>
  <si>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</si>
  <si>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</si>
  <si>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</si>
  <si>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</si>
  <si>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</si>
  <si>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</si>
  <si>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</si>
  <si>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</si>
  <si>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</si>
  <si>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</si>
  <si>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</si>
  <si>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</si>
  <si>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</si>
  <si>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</si>
  <si>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</si>
  <si>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</si>
  <si>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</si>
  <si>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</si>
  <si>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</si>
  <si>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</si>
  <si>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</si>
  <si>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</si>
  <si>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</si>
  <si>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</si>
  <si>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</si>
  <si>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</si>
  <si>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</si>
  <si>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</si>
  <si>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</si>
  <si>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</si>
  <si>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</si>
  <si>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</si>
  <si>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</si>
  <si>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</si>
  <si>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</si>
  <si>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</si>
  <si>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</si>
  <si>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</si>
  <si>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</si>
  <si>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</si>
  <si>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</si>
  <si>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</si>
  <si>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</si>
  <si>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</si>
  <si>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</si>
  <si>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</si>
  <si>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</si>
  <si>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</si>
  <si>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</si>
  <si>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</si>
  <si>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</si>
  <si>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</si>
  <si>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</si>
  <si>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</si>
  <si>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</si>
  <si>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</si>
  <si>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</si>
  <si>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</si>
  <si>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</si>
  <si>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</si>
  <si>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</si>
  <si>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</si>
  <si>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</si>
  <si>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</si>
  <si>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</si>
  <si>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</si>
  <si>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</si>
  <si>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</si>
  <si>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</si>
  <si>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</si>
  <si>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</si>
  <si>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</si>
  <si>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</si>
  <si>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</si>
  <si>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</si>
  <si>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</si>
  <si>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</si>
  <si>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</si>
  <si>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</si>
  <si>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</si>
  <si>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</si>
  <si>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</si>
  <si>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</si>
  <si>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</si>
  <si>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</si>
  <si>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</si>
  <si>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</si>
  <si>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</si>
  <si>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</si>
  <si>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</si>
  <si>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</si>
  <si>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</si>
  <si>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</si>
  <si>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</si>
  <si>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</si>
  <si>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</si>
  <si>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</si>
  <si>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</si>
  <si>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</si>
  <si>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</si>
  <si>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</si>
  <si>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</si>
  <si>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</si>
  <si>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</si>
  <si>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</si>
  <si>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</si>
  <si>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</si>
  <si>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</si>
  <si>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</si>
  <si>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</si>
  <si>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</si>
  <si>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</si>
  <si>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</si>
  <si>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</si>
  <si>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</si>
  <si>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</si>
  <si>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</si>
  <si>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</si>
  <si>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</si>
  <si>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</si>
  <si>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</si>
  <si>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</si>
  <si>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</si>
  <si>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</si>
  <si>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</si>
  <si>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</si>
  <si>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</si>
  <si>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</si>
  <si>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</si>
  <si>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</si>
  <si>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</si>
  <si>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</si>
  <si>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</si>
  <si>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</si>
  <si>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</si>
  <si>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</si>
  <si>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</si>
  <si>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</si>
  <si>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</si>
  <si>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</si>
  <si>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</si>
  <si>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</si>
  <si>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</si>
  <si>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</si>
  <si>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</si>
  <si>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</si>
  <si>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</si>
  <si>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</si>
  <si>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</si>
  <si>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</si>
  <si>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</si>
  <si>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</si>
  <si>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</si>
  <si>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</si>
  <si>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</si>
  <si>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</si>
  <si>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</si>
  <si>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</si>
  <si>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</si>
  <si>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</si>
  <si>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</si>
  <si>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</si>
  <si>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</si>
  <si>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</si>
  <si>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</si>
  <si>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</si>
  <si>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</si>
  <si>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</si>
  <si>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</si>
  <si>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</si>
  <si>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</si>
  <si>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</si>
  <si>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</si>
  <si>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</si>
  <si>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</si>
  <si>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</si>
  <si>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</si>
  <si>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</si>
  <si>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</si>
  <si>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</si>
  <si>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</si>
  <si>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</si>
  <si>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</si>
  <si>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</si>
  <si>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</si>
  <si>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</si>
  <si>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</si>
  <si>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</si>
  <si>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</si>
  <si>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</si>
  <si>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</si>
  <si>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</si>
  <si>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</si>
  <si>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</si>
  <si>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</si>
  <si>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</si>
  <si>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</si>
  <si>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</si>
  <si>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</si>
  <si>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</si>
  <si>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</si>
  <si>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</si>
  <si>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</si>
  <si>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</si>
  <si>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</si>
  <si>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</si>
  <si>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</si>
  <si>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</si>
  <si>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</si>
  <si>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</si>
  <si>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</si>
  <si>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</si>
  <si>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</si>
  <si>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</si>
  <si>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</si>
  <si>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</si>
  <si>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</si>
  <si>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</si>
  <si>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</si>
  <si>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</si>
  <si>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</si>
  <si>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</si>
  <si>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</si>
  <si>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</si>
  <si>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</si>
  <si>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</si>
  <si>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</si>
  <si>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</si>
  <si>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</si>
  <si>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</si>
  <si>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</si>
  <si>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</si>
  <si>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</si>
  <si>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</si>
  <si>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</si>
  <si>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</si>
  <si>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</si>
  <si>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</si>
  <si>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</si>
  <si>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</si>
  <si>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</si>
  <si>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</si>
  <si>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</si>
  <si>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</si>
  <si>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</si>
  <si>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</si>
  <si>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</si>
  <si>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</si>
  <si>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</si>
  <si>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</si>
  <si>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</si>
  <si>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</si>
  <si>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</si>
  <si>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</si>
  <si>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</si>
  <si>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</si>
  <si>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</si>
  <si>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</si>
  <si>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</si>
  <si>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</si>
  <si>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</si>
  <si>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</si>
  <si>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</si>
  <si>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</si>
  <si>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</si>
  <si>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</si>
  <si>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</si>
  <si>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</si>
  <si>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</si>
  <si>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</si>
  <si>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</si>
  <si>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</si>
  <si>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</si>
  <si>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</si>
  <si>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</si>
  <si>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</si>
  <si>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</si>
  <si>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</si>
  <si>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</si>
  <si>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</si>
  <si>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</si>
  <si>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</si>
  <si>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</si>
  <si>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</si>
  <si>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</si>
  <si>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</si>
  <si>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in non-current investments</t>
  </si>
  <si>
    <t>NET CASH FROM/(USED) OPERATING ACTIVITIES</t>
  </si>
  <si>
    <t>NET CASH FROM/(USED) INVESTING ACTIVITIES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</si>
  <si>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</si>
  <si>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</si>
  <si>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</si>
  <si>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</si>
  <si>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</si>
  <si>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</si>
  <si>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</si>
  <si>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</si>
  <si>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</si>
  <si>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</si>
  <si>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</si>
  <si>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</si>
  <si>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</si>
  <si>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</si>
  <si>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</si>
  <si>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</si>
  <si>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</si>
  <si>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</si>
  <si>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</si>
  <si>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</si>
  <si>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</si>
  <si>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</si>
  <si>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</si>
  <si>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</si>
  <si>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</si>
  <si>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</si>
  <si>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</si>
  <si>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</si>
  <si>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</si>
  <si>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</si>
  <si>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</si>
  <si>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</si>
  <si>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</si>
  <si>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</si>
  <si>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</si>
  <si>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</si>
  <si>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</si>
  <si>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</si>
  <si>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</si>
  <si>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</si>
  <si>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</si>
  <si>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</si>
  <si>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</si>
  <si>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</si>
  <si>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</si>
  <si>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</si>
  <si>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</si>
  <si>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</si>
  <si>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</si>
  <si>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</si>
  <si>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</si>
  <si>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</si>
  <si>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</si>
  <si>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</si>
  <si>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</si>
  <si>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</si>
  <si>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</si>
  <si>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</si>
  <si>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</si>
  <si>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</si>
  <si>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</si>
  <si>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</si>
  <si>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</si>
  <si>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</si>
  <si>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</si>
  <si>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</si>
  <si>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</si>
  <si>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</si>
  <si>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</si>
  <si>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</si>
  <si>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</si>
  <si>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</si>
  <si>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</si>
  <si>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</si>
  <si>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</si>
  <si>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</si>
  <si>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</si>
  <si>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</si>
  <si>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</si>
  <si>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</si>
  <si>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</si>
  <si>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</si>
  <si>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</si>
  <si>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</si>
  <si>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</si>
  <si>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</si>
  <si>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</si>
  <si>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</si>
  <si>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</si>
  <si>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</si>
  <si>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</si>
  <si>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</si>
  <si>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</si>
  <si>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</si>
  <si>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</si>
  <si>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</si>
  <si>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</si>
  <si>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</si>
  <si>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</si>
  <si>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</si>
  <si>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</si>
  <si>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</si>
  <si>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</si>
  <si>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</si>
  <si>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</si>
  <si>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</si>
  <si>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</si>
  <si>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</si>
  <si>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</si>
  <si>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</si>
  <si>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</si>
  <si>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</si>
  <si>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</si>
  <si>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</si>
  <si>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</si>
  <si>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</si>
  <si>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</si>
  <si>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</si>
  <si>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</si>
  <si>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</si>
  <si>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</si>
  <si>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</si>
  <si>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</si>
  <si>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</si>
  <si>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</si>
  <si>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</si>
  <si>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</si>
  <si>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</si>
  <si>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</si>
  <si>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</si>
  <si>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</si>
  <si>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</si>
  <si>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</si>
  <si>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</si>
  <si>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</si>
  <si>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</si>
  <si>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</si>
  <si>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</si>
  <si>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</si>
  <si>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</si>
  <si>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</si>
  <si>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</si>
  <si>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</si>
  <si>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</si>
  <si>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</si>
  <si>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</si>
  <si>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</si>
  <si>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</si>
  <si>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</si>
  <si>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</si>
  <si>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</si>
  <si>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</si>
  <si>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</si>
  <si>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</si>
  <si>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</si>
  <si>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</si>
  <si>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</si>
  <si>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</si>
  <si>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</si>
  <si>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</si>
  <si>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</si>
  <si>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</si>
  <si>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</si>
  <si>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</si>
  <si>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</si>
  <si>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</si>
  <si>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</si>
  <si>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</si>
  <si>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</si>
  <si>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</si>
  <si>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</si>
  <si>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</si>
  <si>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</si>
  <si>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</si>
  <si>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</si>
  <si>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</si>
  <si>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</si>
  <si>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</si>
  <si>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</si>
  <si>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</si>
  <si>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</si>
  <si>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</si>
  <si>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</si>
  <si>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</si>
  <si>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</si>
  <si>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</si>
  <si>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</si>
  <si>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</si>
  <si>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</si>
  <si>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</si>
  <si>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</si>
  <si>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</si>
  <si>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</si>
  <si>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</si>
  <si>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</si>
  <si>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</si>
  <si>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</si>
  <si>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</si>
  <si>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</si>
  <si>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</si>
  <si>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</si>
  <si>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</si>
  <si>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</si>
  <si>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</si>
  <si>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</si>
  <si>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</si>
  <si>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</si>
  <si>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</si>
  <si>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</si>
  <si>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</si>
  <si>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</si>
  <si>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</si>
  <si>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</si>
  <si>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</si>
  <si>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</si>
  <si>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</si>
  <si>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</si>
  <si>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</si>
  <si>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</si>
  <si>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</si>
  <si>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</si>
  <si>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</si>
  <si>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</si>
  <si>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</si>
  <si>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</si>
  <si>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</si>
  <si>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</si>
  <si>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</si>
  <si>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</si>
  <si>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</si>
  <si>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</si>
  <si>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</si>
  <si>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</si>
  <si>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</si>
  <si>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</si>
  <si>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</si>
  <si>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</si>
  <si>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</si>
  <si>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</si>
  <si>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</si>
  <si>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</si>
  <si>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</si>
  <si>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</si>
  <si>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</si>
  <si>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</si>
  <si>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</si>
  <si>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</si>
  <si>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</si>
  <si>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</si>
  <si>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</si>
  <si>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</si>
  <si>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</si>
  <si>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</si>
  <si>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</si>
  <si>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</si>
  <si>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</si>
  <si>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</si>
  <si>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</si>
  <si>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</si>
  <si>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</si>
  <si>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</si>
  <si>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</si>
  <si>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</si>
  <si>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</si>
  <si>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</si>
  <si>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</si>
  <si>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</si>
  <si>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</si>
  <si>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</si>
  <si>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</si>
  <si>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</si>
  <si>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</si>
  <si>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</si>
  <si>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</si>
  <si>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</si>
  <si>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</si>
  <si>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</si>
  <si>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</si>
  <si>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</si>
  <si>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</si>
  <si>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</si>
  <si>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</si>
  <si>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</si>
  <si>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</si>
  <si>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</si>
  <si>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</si>
  <si>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</si>
  <si>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</si>
  <si>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</si>
  <si>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</si>
  <si>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</si>
  <si>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</si>
  <si>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</si>
  <si>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</si>
  <si>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</si>
  <si>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</si>
  <si>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</si>
  <si>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</si>
  <si>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</si>
  <si>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</si>
  <si>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</si>
  <si>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</si>
  <si>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</si>
  <si>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</si>
  <si>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</si>
  <si>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</si>
  <si>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</si>
  <si>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</si>
  <si>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</si>
  <si>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</si>
  <si>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</si>
  <si>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</si>
  <si>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</si>
  <si>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</si>
  <si>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</si>
  <si>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</si>
  <si>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</si>
  <si>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</si>
  <si>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</si>
  <si>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</si>
  <si>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</si>
  <si>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</si>
  <si>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</si>
  <si>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</si>
  <si>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</si>
  <si>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</si>
  <si>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</si>
  <si>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</si>
  <si>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</si>
  <si>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</si>
  <si>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</si>
  <si>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</si>
  <si>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</si>
  <si>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</si>
  <si>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</si>
  <si>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</si>
  <si>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</si>
  <si>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</si>
  <si>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</si>
  <si>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</si>
  <si>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</si>
  <si>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</si>
  <si>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</si>
  <si>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</si>
  <si>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</si>
  <si>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</si>
  <si>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</si>
  <si>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</si>
  <si>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</si>
  <si>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</si>
  <si>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</si>
  <si>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</si>
  <si>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</si>
  <si>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</si>
  <si>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</si>
  <si>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</si>
  <si>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</si>
  <si>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</si>
  <si>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</si>
  <si>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</si>
  <si>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</si>
  <si>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</si>
  <si>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</si>
  <si>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</si>
  <si>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</si>
  <si>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</si>
  <si>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</si>
  <si>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</si>
  <si>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</si>
  <si>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</si>
  <si>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</si>
  <si>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</si>
  <si>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</si>
  <si>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</si>
  <si>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</si>
  <si>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</si>
  <si>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</si>
  <si>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</si>
  <si>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</si>
  <si>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</si>
  <si>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</si>
  <si>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</si>
  <si>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</si>
  <si>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</si>
  <si>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</si>
  <si>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</si>
  <si>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</si>
  <si>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</si>
  <si>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</si>
  <si>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</si>
  <si>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</si>
  <si>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</si>
  <si>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</si>
  <si>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</si>
  <si>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</si>
  <si>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</si>
  <si>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</si>
  <si>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</si>
  <si>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</si>
  <si>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</si>
  <si>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</si>
  <si>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</si>
  <si>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</si>
  <si>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</si>
  <si>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</si>
  <si>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</si>
  <si>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</si>
  <si>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</si>
  <si>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</si>
  <si>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</si>
  <si>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</si>
  <si>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</si>
  <si>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</si>
  <si>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</si>
  <si>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</si>
  <si>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</si>
  <si>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</si>
  <si>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</si>
  <si>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</si>
  <si>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</si>
  <si>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</si>
  <si>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</si>
  <si>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</si>
  <si>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</si>
  <si>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</si>
  <si>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</si>
  <si>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</si>
  <si>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</si>
  <si>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</si>
  <si>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</si>
  <si>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</si>
  <si>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</si>
  <si>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</si>
  <si>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</si>
  <si>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</si>
  <si>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</si>
  <si>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</si>
  <si>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</si>
  <si>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</si>
  <si>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</si>
  <si>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</si>
  <si>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</si>
  <si>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</si>
  <si>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</si>
  <si>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</si>
  <si>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</si>
  <si>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</si>
  <si>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</si>
  <si>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</si>
  <si>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</si>
  <si>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</si>
  <si>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</si>
  <si>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</si>
  <si>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</si>
  <si>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</si>
  <si>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</si>
  <si>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</si>
  <si>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</si>
  <si>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</si>
  <si>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</si>
  <si>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</si>
  <si>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</si>
  <si>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</si>
  <si>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</si>
  <si>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</si>
  <si>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</si>
  <si>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</si>
  <si>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</si>
  <si>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</si>
  <si>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</si>
  <si>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</si>
  <si>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</si>
  <si>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</si>
  <si>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</si>
  <si>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</si>
  <si>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</si>
  <si>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</si>
  <si>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</si>
  <si>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</si>
  <si>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</si>
  <si>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</si>
  <si>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</si>
  <si>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</si>
  <si>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</si>
  <si>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</si>
  <si>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</si>
  <si>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</si>
  <si>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</si>
  <si>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</si>
  <si>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</si>
  <si>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</si>
  <si>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</si>
  <si>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</si>
  <si>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</si>
  <si>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</si>
  <si>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</si>
  <si>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</si>
  <si>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</si>
  <si>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</si>
  <si>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</si>
  <si>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</si>
  <si>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</si>
  <si>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</si>
  <si>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</si>
  <si>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</si>
  <si>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</si>
  <si>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</si>
  <si>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</si>
  <si>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</si>
  <si>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</si>
  <si>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</si>
  <si>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</si>
  <si>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</si>
  <si>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</si>
  <si>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</si>
  <si>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</si>
  <si>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</si>
  <si>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</si>
  <si>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</si>
  <si>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</si>
  <si>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</si>
  <si>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</si>
  <si>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</si>
  <si>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</si>
  <si>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</si>
  <si>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</si>
  <si>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</si>
  <si>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</si>
  <si>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</si>
  <si>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</si>
  <si>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</si>
  <si>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</si>
  <si>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</si>
  <si>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</si>
  <si>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</si>
  <si>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</si>
  <si>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</si>
  <si>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</si>
  <si>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</si>
  <si>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</si>
  <si>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</si>
  <si>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</si>
  <si>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</si>
  <si>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</si>
  <si>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</si>
  <si>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</si>
  <si>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</si>
  <si>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</si>
  <si>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</si>
  <si>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</si>
  <si>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</si>
  <si>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</si>
  <si>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</si>
  <si>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</si>
  <si>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</si>
  <si>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</si>
  <si>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</si>
  <si>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</si>
  <si>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</si>
  <si>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</si>
  <si>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</si>
  <si>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</si>
  <si>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</si>
  <si>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</si>
  <si>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</si>
  <si>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</si>
  <si>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</si>
  <si>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</si>
  <si>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</si>
  <si>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</si>
  <si>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</si>
  <si>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</si>
  <si>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</si>
  <si>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</si>
  <si>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</si>
  <si>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</si>
  <si>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</si>
  <si>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</si>
  <si>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</si>
  <si>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</si>
  <si>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</si>
  <si>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</si>
  <si>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</si>
  <si>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</si>
  <si>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</si>
  <si>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</si>
  <si>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</si>
  <si>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</si>
  <si>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</si>
  <si>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</si>
  <si>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</si>
  <si>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</si>
  <si>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</si>
  <si>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</si>
  <si>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</si>
  <si>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</si>
  <si>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</si>
  <si>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</si>
  <si>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</si>
  <si>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</si>
  <si>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</si>
  <si>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</si>
  <si>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</si>
  <si>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</si>
  <si>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</si>
  <si>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</si>
  <si>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</si>
  <si>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</si>
  <si>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</si>
  <si>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</si>
  <si>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</si>
  <si>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</si>
  <si>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</si>
  <si>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</si>
  <si>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</si>
  <si>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</si>
  <si>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</si>
  <si>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</si>
  <si>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</si>
  <si>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</si>
  <si>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</si>
  <si>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</si>
  <si>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</si>
  <si>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</si>
  <si>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</si>
  <si>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</si>
  <si>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</si>
  <si>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</si>
  <si>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</si>
  <si>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</si>
  <si>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</si>
  <si>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</si>
  <si>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</si>
  <si>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</si>
  <si>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</si>
  <si>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</si>
  <si>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</si>
  <si>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</si>
  <si>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</si>
  <si>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</si>
  <si>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</si>
  <si>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</si>
  <si>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</si>
  <si>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</si>
  <si>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</si>
  <si>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</si>
  <si>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</si>
  <si>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</si>
  <si>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</si>
  <si>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</si>
  <si>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</si>
  <si>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</si>
  <si>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</si>
  <si>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</si>
  <si>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</si>
  <si>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</si>
  <si>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</si>
  <si>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</si>
  <si>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</si>
  <si>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</si>
  <si>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</si>
  <si>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</si>
  <si>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</si>
  <si>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</si>
  <si>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</si>
  <si>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</si>
  <si>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</si>
  <si>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</si>
  <si>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</si>
  <si>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</si>
  <si>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</si>
  <si>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</si>
  <si>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</si>
  <si>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</si>
  <si>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</si>
  <si>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</si>
  <si>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</si>
  <si>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</si>
  <si>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</si>
  <si>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</si>
  <si>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</si>
  <si>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</si>
  <si>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</si>
  <si>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</si>
  <si>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</si>
  <si>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</si>
  <si>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</si>
  <si>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</si>
  <si>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</si>
  <si>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</si>
  <si>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</si>
  <si>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</si>
  <si>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</si>
  <si>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</si>
  <si>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</si>
  <si>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</si>
  <si>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</si>
  <si>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</si>
  <si>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</si>
  <si>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</si>
  <si>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</si>
  <si>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</si>
  <si>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</si>
  <si>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</si>
  <si>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</si>
  <si>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</si>
  <si>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</si>
  <si>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</si>
  <si>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</si>
  <si>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</si>
  <si>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</si>
  <si>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</si>
  <si>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</si>
  <si>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</si>
  <si>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</si>
  <si>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</si>
  <si>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</si>
  <si>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</si>
  <si>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</si>
  <si>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</si>
  <si>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</si>
  <si>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</si>
  <si>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</si>
  <si>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</si>
  <si>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</si>
  <si>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</si>
  <si>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</si>
  <si>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</si>
  <si>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</si>
  <si>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</si>
  <si>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</si>
  <si>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</si>
  <si>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</si>
  <si>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</si>
  <si>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</si>
  <si>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</si>
  <si>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</si>
  <si>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</si>
  <si>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</si>
  <si>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</si>
  <si>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</si>
  <si>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</si>
  <si>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</si>
  <si>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</si>
  <si>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</si>
  <si>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</si>
  <si>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</si>
  <si>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</si>
  <si>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</si>
  <si>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</si>
  <si>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</si>
  <si>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</si>
  <si>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</si>
  <si>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</si>
  <si>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</si>
  <si>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</si>
  <si>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</si>
  <si>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</si>
  <si>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</si>
  <si>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</si>
  <si>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</si>
  <si>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</si>
  <si>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</si>
  <si>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</si>
  <si>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</si>
  <si>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</si>
  <si>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</si>
  <si>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</si>
  <si>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</si>
  <si>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</si>
  <si>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</si>
  <si>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</si>
  <si>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</si>
  <si>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</si>
  <si>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</si>
  <si>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</si>
  <si>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</si>
  <si>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</si>
  <si>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</si>
  <si>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</si>
  <si>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</si>
  <si>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</si>
  <si>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</si>
  <si>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</si>
  <si>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</si>
  <si>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</si>
  <si>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</si>
  <si>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</si>
  <si>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</si>
  <si>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</si>
  <si>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</si>
  <si>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</si>
  <si>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</si>
  <si>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</si>
  <si>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</si>
  <si>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</si>
  <si>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</si>
  <si>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</si>
  <si>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</si>
  <si>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</si>
  <si>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</si>
  <si>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</si>
  <si>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</si>
  <si>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</si>
  <si>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</si>
  <si>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</si>
  <si>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</si>
  <si>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</si>
  <si>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</si>
  <si>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</si>
  <si>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</si>
  <si>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</si>
  <si>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</si>
  <si>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</si>
  <si>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</si>
  <si>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</si>
  <si>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</si>
  <si>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</si>
  <si>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</si>
  <si>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</si>
  <si>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</si>
  <si>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</si>
  <si>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</si>
  <si>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</si>
  <si>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</si>
  <si>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</si>
  <si>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</si>
  <si>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</si>
  <si>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</si>
  <si>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</si>
  <si>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</si>
  <si>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</si>
  <si>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</si>
  <si>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</si>
  <si>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</si>
  <si>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</si>
  <si>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</si>
  <si>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</si>
  <si>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</si>
  <si>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</si>
  <si>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</si>
  <si>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</si>
  <si>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</si>
  <si>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</si>
  <si>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</si>
  <si>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</si>
  <si>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</si>
  <si>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</si>
  <si>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</si>
  <si>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</si>
  <si>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</si>
  <si>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</si>
  <si>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</si>
  <si>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</si>
  <si>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</si>
  <si>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</si>
  <si>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</si>
  <si>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</si>
  <si>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</si>
  <si>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</si>
  <si>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</si>
  <si>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</si>
  <si>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</si>
  <si>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</si>
  <si>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</si>
  <si>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</si>
  <si>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</si>
  <si>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</si>
  <si>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</si>
  <si>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</si>
  <si>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</si>
  <si>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</si>
  <si>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</si>
  <si>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</si>
  <si>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</si>
  <si>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</si>
  <si>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</si>
  <si>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</si>
  <si>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</si>
  <si>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</si>
  <si>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</si>
  <si>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</si>
  <si>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</si>
  <si>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</si>
  <si>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</si>
  <si>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</si>
  <si>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</si>
  <si>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</si>
  <si>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</si>
  <si>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</si>
  <si>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</si>
  <si>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</si>
  <si>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</si>
  <si>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</si>
  <si>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</si>
  <si>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</si>
  <si>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</si>
  <si>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</si>
  <si>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</si>
  <si>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</si>
  <si>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</si>
  <si>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</si>
  <si>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</si>
  <si>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</si>
  <si>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</si>
  <si>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</si>
  <si>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</si>
  <si>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</si>
  <si>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</si>
  <si>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</si>
  <si>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</si>
  <si>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</si>
  <si>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</si>
  <si>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</si>
  <si>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</si>
  <si>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</si>
  <si>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</si>
  <si>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</si>
  <si>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</si>
  <si>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</si>
  <si>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</si>
  <si>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</si>
  <si>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</si>
  <si>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</si>
  <si>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</si>
  <si>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</si>
  <si>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</si>
  <si>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</si>
  <si>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</si>
  <si>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</si>
  <si>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</si>
  <si>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</si>
  <si>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</si>
  <si>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</si>
  <si>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</si>
  <si>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</si>
  <si>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</si>
  <si>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</si>
  <si>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</si>
  <si>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</si>
  <si>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</si>
  <si>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</si>
  <si>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</si>
  <si>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</si>
  <si>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</si>
  <si>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</si>
  <si>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</si>
  <si>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</si>
  <si>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</si>
  <si>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</si>
  <si>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</si>
  <si>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</si>
  <si>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</si>
  <si>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</si>
  <si>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</si>
  <si>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</si>
  <si>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</si>
  <si>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</si>
  <si>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</si>
  <si>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</si>
  <si>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</si>
  <si>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</si>
  <si>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</si>
  <si>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</si>
  <si>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</si>
  <si>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</si>
  <si>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</si>
  <si>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</si>
  <si>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</si>
  <si>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</si>
  <si>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</si>
  <si>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</si>
  <si>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</si>
  <si>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</si>
  <si>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</si>
  <si>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</si>
  <si>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</si>
  <si>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</si>
  <si>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</si>
  <si>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</si>
  <si>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</si>
  <si>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</si>
  <si>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</si>
  <si>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</si>
  <si>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</si>
  <si>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</si>
  <si>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</si>
  <si>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</si>
  <si>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</si>
  <si>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</si>
  <si>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</si>
  <si>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</si>
  <si>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</si>
  <si>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</si>
  <si>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</si>
  <si>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</si>
  <si>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</si>
  <si>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</si>
  <si>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</si>
  <si>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</si>
  <si>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</si>
  <si>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</si>
  <si>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</si>
  <si>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</si>
  <si>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</si>
  <si>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</si>
  <si>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</si>
  <si>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</si>
  <si>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</si>
  <si>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</si>
  <si>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</si>
  <si>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</si>
  <si>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</si>
  <si>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</si>
  <si>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</si>
  <si>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</si>
  <si>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</si>
  <si>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</si>
  <si>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</si>
  <si>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</si>
  <si>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</si>
  <si>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</si>
  <si>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</si>
  <si>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</si>
  <si>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</si>
  <si>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</si>
  <si>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</si>
  <si>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</si>
  <si>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</si>
  <si>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</si>
  <si>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</si>
  <si>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</si>
  <si>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</si>
  <si>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</si>
  <si>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</si>
  <si>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</si>
  <si>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</si>
  <si>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</si>
  <si>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</si>
  <si>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</si>
  <si>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</si>
  <si>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</si>
  <si>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</si>
  <si>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</si>
  <si>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</si>
  <si>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</si>
  <si>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</si>
  <si>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</si>
  <si>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</si>
  <si>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</si>
  <si>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</si>
  <si>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</si>
  <si>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</si>
  <si>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</si>
  <si>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</si>
  <si>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</si>
  <si>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</si>
  <si>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</si>
  <si>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</si>
  <si>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</si>
  <si>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</si>
  <si>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</si>
  <si>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</si>
  <si>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</si>
  <si>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</si>
  <si>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</si>
  <si>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</si>
  <si>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</si>
  <si>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</si>
  <si>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</si>
  <si>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</si>
  <si>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</si>
  <si>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</si>
  <si>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</si>
  <si>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</si>
  <si>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</si>
  <si>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</si>
  <si>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</si>
  <si>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</si>
  <si>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</si>
  <si>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</si>
  <si>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</si>
  <si>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</si>
  <si>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</si>
  <si>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</si>
  <si>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</si>
  <si>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</si>
  <si>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</si>
  <si>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</si>
  <si>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</si>
  <si>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</si>
  <si>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</si>
  <si>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</si>
  <si>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</si>
  <si>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</si>
  <si>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</si>
  <si>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</si>
  <si>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</si>
  <si>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</si>
  <si>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</si>
  <si>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</si>
  <si>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</si>
  <si>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</si>
  <si>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</si>
  <si>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</si>
  <si>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</si>
  <si>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</si>
  <si>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</si>
  <si>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</si>
  <si>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</si>
  <si>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</si>
  <si>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</si>
  <si>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</si>
  <si>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</si>
  <si>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</si>
  <si>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</si>
  <si>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</si>
  <si>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</si>
  <si>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</si>
  <si>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</si>
  <si>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</si>
  <si>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</si>
  <si>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</si>
  <si>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</si>
  <si>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</si>
  <si>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</si>
  <si>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</si>
  <si>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</si>
  <si>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</si>
  <si>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</si>
  <si>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</si>
  <si>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</si>
  <si>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</si>
  <si>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</si>
  <si>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</si>
  <si>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</si>
  <si>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</si>
  <si>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</si>
  <si>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</si>
  <si>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</si>
  <si>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</si>
  <si>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</si>
  <si>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</si>
  <si>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</si>
  <si>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</si>
  <si>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</si>
  <si>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</si>
  <si>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</si>
  <si>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</si>
  <si>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</si>
  <si>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</si>
  <si>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</si>
  <si>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</si>
  <si>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</si>
  <si>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</si>
  <si>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</si>
  <si>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</si>
  <si>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</si>
  <si>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</si>
  <si>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</si>
  <si>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</si>
  <si>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</si>
  <si>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</si>
  <si>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</si>
  <si>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</si>
  <si>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</si>
  <si>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9]</t>
  </si>
  <si>
    <t>[NAME OF VOTE 10]</t>
  </si>
  <si>
    <t>[NAME OF VOTE 11]</t>
  </si>
  <si>
    <t>[NAME OF VOTE 12]</t>
  </si>
  <si>
    <t>[NAME OF VOTE 13]</t>
  </si>
  <si>
    <t>[NAME OF VOTE 14]</t>
  </si>
  <si>
    <t>[NAME OF VOTE 15]</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</si>
  <si>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</si>
  <si>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</si>
  <si>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</si>
  <si>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</si>
  <si>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</si>
  <si>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</si>
  <si>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</si>
  <si>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</si>
  <si>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</si>
  <si>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</si>
  <si>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</si>
  <si>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</si>
  <si>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</si>
  <si>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</si>
  <si>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</si>
  <si>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</si>
  <si>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</si>
  <si>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</si>
  <si>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</si>
  <si>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</si>
  <si>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</si>
  <si>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</si>
  <si>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</si>
  <si>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</si>
  <si>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</si>
  <si>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</si>
  <si>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</si>
  <si>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</si>
  <si>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</si>
  <si>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</si>
  <si>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</si>
  <si>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</si>
  <si>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</si>
  <si>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</si>
  <si>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</si>
  <si>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</si>
  <si>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</si>
  <si>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</si>
  <si>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</si>
  <si>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</si>
  <si>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</si>
  <si>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</si>
  <si>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</si>
  <si>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</si>
  <si>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</si>
  <si>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</si>
  <si>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</si>
  <si>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</si>
  <si>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</si>
  <si>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</si>
  <si>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</si>
  <si>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</si>
  <si>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</si>
  <si>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</si>
  <si>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</si>
  <si>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</si>
  <si>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</si>
  <si>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</si>
  <si>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</si>
  <si>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</si>
  <si>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</si>
  <si>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</si>
  <si>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</si>
  <si>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</si>
  <si>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</si>
  <si>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</si>
  <si>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</si>
  <si>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</si>
  <si>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</si>
  <si>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</si>
  <si>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</si>
  <si>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</si>
  <si>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</si>
  <si>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</si>
  <si>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</si>
  <si>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</si>
  <si>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</si>
  <si>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</si>
  <si>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</si>
  <si>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</si>
  <si>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</si>
  <si>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</si>
  <si>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</si>
  <si>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</si>
  <si>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</si>
  <si>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</si>
  <si>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</si>
  <si>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</si>
  <si>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</si>
  <si>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</si>
  <si>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</si>
  <si>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</si>
  <si>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</si>
  <si>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</si>
  <si>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</si>
  <si>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</si>
  <si>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</si>
  <si>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</si>
  <si>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</si>
  <si>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</si>
  <si>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</si>
  <si>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</si>
  <si>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</si>
  <si>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</si>
  <si>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</si>
  <si>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</si>
  <si>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</si>
  <si>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</si>
  <si>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</si>
  <si>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</si>
  <si>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</si>
  <si>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</si>
  <si>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</si>
  <si>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</si>
  <si>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</si>
  <si>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</si>
  <si>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</si>
  <si>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</si>
  <si>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</si>
  <si>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</si>
  <si>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</si>
  <si>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</si>
  <si>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</si>
  <si>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</si>
  <si>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</si>
  <si>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</si>
  <si>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</si>
  <si>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</si>
  <si>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</si>
  <si>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</si>
  <si>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</si>
  <si>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</si>
  <si>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</si>
  <si>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</si>
  <si>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</si>
  <si>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</si>
  <si>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</si>
  <si>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</si>
  <si>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</si>
  <si>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</si>
  <si>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</si>
  <si>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</si>
  <si>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</si>
  <si>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</si>
  <si>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</si>
  <si>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</si>
  <si>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</si>
  <si>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</si>
  <si>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</si>
  <si>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</si>
  <si>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</si>
  <si>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</si>
  <si>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</si>
  <si>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</si>
  <si>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</si>
  <si>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</si>
  <si>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</si>
  <si>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</si>
  <si>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</si>
  <si>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</si>
  <si>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</si>
  <si>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</si>
  <si>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</si>
  <si>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</si>
  <si>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</si>
  <si>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</si>
  <si>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</si>
  <si>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</si>
  <si>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</si>
  <si>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</si>
  <si>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</si>
  <si>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</si>
  <si>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</si>
  <si>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</si>
  <si>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</si>
  <si>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</si>
  <si>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</si>
  <si>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</si>
  <si>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</si>
  <si>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</si>
  <si>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</si>
  <si>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</si>
  <si>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</si>
  <si>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</si>
  <si>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</si>
  <si>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</si>
  <si>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</si>
  <si>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</si>
  <si>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</si>
  <si>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</si>
  <si>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</si>
  <si>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</si>
  <si>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</si>
  <si>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</si>
  <si>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</si>
  <si>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</si>
  <si>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</si>
  <si>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</si>
  <si>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</si>
  <si>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</si>
  <si>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</si>
  <si>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</si>
  <si>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</si>
  <si>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</si>
  <si>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</si>
  <si>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</si>
  <si>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</si>
  <si>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</si>
  <si>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</si>
  <si>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</si>
  <si>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</si>
  <si>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</si>
  <si>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</si>
  <si>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</si>
  <si>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</si>
  <si>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</si>
  <si>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</si>
  <si>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</si>
  <si>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</si>
  <si>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</si>
  <si>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</si>
  <si>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</si>
  <si>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</si>
  <si>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</si>
  <si>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</si>
  <si>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</si>
  <si>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</si>
  <si>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</si>
  <si>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</si>
  <si>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</si>
  <si>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</si>
  <si>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</si>
  <si>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</si>
  <si>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</si>
  <si>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</si>
  <si>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</si>
  <si>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</si>
  <si>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</si>
  <si>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</si>
  <si>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</si>
  <si>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</si>
  <si>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</si>
  <si>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</si>
  <si>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</si>
  <si>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</si>
  <si>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</si>
  <si>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</si>
  <si>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</si>
  <si>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</si>
  <si>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</si>
  <si>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</si>
  <si>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</si>
  <si>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</si>
  <si>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</si>
  <si>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</si>
  <si>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</si>
  <si>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</si>
  <si>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</si>
  <si>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</si>
  <si>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</si>
  <si>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</si>
  <si>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</si>
  <si>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</si>
  <si>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</si>
  <si>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</si>
  <si>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</si>
  <si>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</si>
  <si>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</si>
  <si>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</si>
  <si>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</si>
  <si>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</si>
  <si>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</si>
  <si>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</si>
  <si>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</si>
  <si>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</si>
  <si>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</si>
  <si>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</si>
  <si>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</si>
  <si>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</si>
  <si>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</si>
  <si>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</si>
  <si>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</si>
  <si>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</si>
  <si>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</si>
  <si>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</si>
  <si>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</si>
  <si>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</si>
  <si>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</si>
  <si>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</si>
  <si>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</si>
  <si>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</si>
  <si>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</si>
  <si>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</si>
  <si>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</si>
  <si>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</si>
  <si>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</si>
  <si>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</si>
  <si>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</si>
  <si>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</si>
  <si>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</si>
  <si>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</si>
  <si>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</si>
  <si>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</si>
  <si>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</si>
  <si>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</si>
  <si>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</si>
  <si>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</si>
  <si>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</si>
  <si>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</si>
  <si>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</si>
  <si>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</si>
  <si>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</si>
  <si>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</si>
  <si>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</si>
  <si>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</si>
  <si>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</si>
  <si>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</si>
  <si>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</si>
  <si>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</si>
  <si>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</si>
  <si>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</si>
  <si>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</si>
  <si>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</si>
  <si>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</si>
  <si>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</si>
  <si>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</si>
  <si>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</si>
  <si>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</si>
  <si>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</si>
  <si>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</si>
  <si>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</si>
  <si>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</si>
  <si>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</si>
  <si>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</si>
  <si>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</si>
  <si>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</si>
  <si>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</si>
  <si>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</si>
  <si>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</si>
  <si>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</si>
  <si>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</si>
  <si>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</si>
  <si>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</si>
  <si>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</si>
  <si>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</si>
  <si>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</si>
  <si>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</si>
  <si>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</si>
  <si>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</si>
  <si>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</si>
  <si>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</si>
  <si>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</si>
  <si>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</si>
  <si>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</si>
  <si>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</si>
  <si>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</si>
  <si>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</si>
  <si>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</si>
  <si>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</si>
  <si>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</si>
  <si>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</si>
  <si>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</si>
  <si>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</si>
  <si>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</si>
  <si>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</si>
  <si>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</si>
  <si>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</si>
  <si>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</si>
  <si>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</si>
  <si>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</si>
  <si>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</si>
  <si>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</si>
  <si>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</si>
  <si>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</si>
  <si>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</si>
  <si>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</si>
  <si>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</si>
  <si>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</si>
  <si>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</si>
  <si>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</si>
  <si>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</si>
  <si>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</si>
  <si>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</si>
  <si>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</si>
  <si>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</si>
  <si>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</si>
  <si>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</si>
  <si>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</si>
  <si>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</si>
  <si>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</si>
  <si>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</si>
  <si>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</si>
  <si>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</si>
  <si>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</si>
  <si>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</si>
  <si>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</si>
  <si>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</si>
  <si>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</si>
  <si>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</si>
  <si>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</si>
  <si>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</si>
  <si>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</si>
  <si>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</si>
  <si>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</si>
  <si>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</si>
  <si>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</si>
  <si>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</si>
  <si>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</si>
  <si>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</si>
  <si>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</si>
  <si>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</si>
  <si>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</si>
  <si>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</si>
  <si>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</si>
  <si>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</si>
  <si>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</si>
  <si>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</si>
  <si>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</si>
  <si>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</si>
  <si>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</si>
  <si>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</si>
  <si>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</si>
  <si>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</si>
  <si>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</si>
  <si>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</si>
  <si>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</si>
  <si>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</si>
  <si>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</si>
  <si>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</si>
  <si>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</si>
  <si>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</si>
  <si>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</si>
  <si>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</si>
  <si>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</si>
  <si>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</si>
  <si>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</si>
  <si>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</si>
  <si>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</si>
  <si>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</si>
  <si>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</si>
  <si>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</si>
  <si>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</si>
  <si>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</si>
  <si>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</si>
  <si>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</si>
  <si>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</si>
  <si>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</si>
  <si>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</si>
  <si>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</si>
  <si>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</si>
  <si>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</si>
  <si>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</si>
  <si>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</si>
  <si>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</si>
  <si>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</si>
  <si>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</si>
  <si>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</si>
  <si>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</si>
  <si>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</si>
  <si>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</si>
  <si>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</si>
  <si>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</si>
  <si>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</si>
  <si>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</si>
  <si>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</si>
  <si>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</si>
  <si>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</si>
  <si>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</si>
  <si>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</si>
  <si>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</si>
  <si>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</si>
  <si>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</si>
  <si>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</si>
  <si>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</si>
  <si>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</si>
  <si>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</si>
  <si>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</si>
  <si>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</si>
  <si>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</si>
  <si>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</si>
  <si>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</si>
  <si>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</si>
  <si>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</si>
  <si>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</si>
  <si>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</si>
  <si>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</si>
  <si>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</si>
  <si>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</si>
  <si>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</si>
  <si>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</si>
  <si>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</si>
  <si>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</si>
  <si>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</si>
  <si>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</si>
  <si>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</si>
  <si>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</si>
  <si>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</si>
  <si>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</si>
  <si>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</si>
  <si>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</si>
  <si>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</si>
  <si>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</si>
  <si>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</si>
  <si>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</si>
  <si>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</si>
  <si>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</si>
  <si>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</si>
  <si>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</si>
  <si>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</si>
  <si>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</si>
  <si>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</si>
  <si>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</si>
  <si>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</si>
  <si>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</si>
  <si>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</si>
  <si>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</si>
  <si>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</si>
  <si>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</si>
  <si>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</si>
  <si>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</si>
  <si>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</si>
  <si>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</si>
  <si>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</si>
  <si>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</si>
  <si>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</si>
  <si>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</si>
  <si>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</si>
  <si>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</si>
  <si>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</si>
  <si>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</si>
  <si>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</si>
  <si>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</si>
  <si>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</si>
  <si>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</si>
  <si>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</si>
  <si>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</si>
  <si>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</si>
  <si>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</si>
  <si>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</si>
  <si>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</si>
  <si>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</si>
  <si>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</si>
  <si>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</si>
  <si>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</si>
  <si>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</si>
  <si>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</si>
  <si>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</si>
  <si>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</si>
  <si>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</si>
  <si>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</si>
  <si>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</si>
  <si>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</si>
  <si>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</si>
  <si>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</si>
  <si>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</si>
  <si>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</si>
  <si>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</si>
  <si>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</si>
  <si>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</si>
  <si>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</si>
  <si>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</si>
  <si>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</si>
  <si>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</si>
  <si>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</si>
  <si>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</si>
  <si>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</si>
  <si>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</si>
  <si>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</si>
  <si>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</si>
  <si>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</si>
  <si>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</si>
  <si>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</si>
  <si>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</si>
  <si>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</si>
  <si>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</si>
  <si>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</si>
  <si>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</si>
  <si>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</si>
  <si>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</si>
  <si>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</si>
  <si>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</si>
  <si>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</si>
  <si>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</si>
  <si>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</si>
  <si>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</si>
  <si>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</si>
  <si>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</si>
  <si>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</si>
  <si>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</si>
  <si>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</si>
  <si>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</si>
  <si>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</si>
  <si>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</si>
  <si>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</si>
  <si>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</si>
  <si>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</si>
  <si>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</si>
  <si>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</si>
  <si>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</si>
  <si>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</si>
  <si>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</si>
  <si>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</si>
  <si>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</si>
  <si>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</si>
  <si>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</si>
  <si>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</si>
  <si>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</si>
  <si>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</si>
  <si>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</si>
  <si>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</si>
  <si>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</si>
  <si>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</si>
  <si>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</si>
  <si>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</si>
  <si>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</si>
  <si>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</si>
  <si>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</si>
  <si>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</si>
  <si>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</si>
  <si>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</si>
  <si>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</si>
  <si>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</si>
  <si>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</si>
  <si>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</si>
  <si>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</si>
  <si>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</si>
  <si>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</si>
  <si>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</si>
  <si>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</si>
  <si>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</si>
  <si>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</si>
  <si>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</si>
  <si>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</si>
  <si>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</si>
  <si>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</si>
  <si>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</si>
  <si>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</si>
  <si>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</si>
  <si>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</si>
  <si>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</si>
  <si>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</si>
  <si>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</si>
  <si>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</si>
  <si>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</si>
  <si>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</si>
  <si>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</si>
  <si>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</si>
  <si>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</si>
  <si>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</si>
  <si>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</si>
  <si>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</si>
  <si>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</si>
  <si>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</si>
  <si>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</si>
  <si>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</si>
  <si>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</si>
  <si>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</si>
  <si>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</si>
  <si>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</si>
  <si>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</si>
  <si>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</si>
  <si>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</si>
  <si>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</si>
  <si>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</si>
  <si>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</si>
  <si>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</si>
  <si>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</si>
  <si>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</si>
  <si>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</si>
  <si>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</si>
  <si>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</si>
  <si>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</si>
  <si>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</si>
  <si>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</si>
  <si>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</si>
  <si>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</si>
  <si>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</si>
  <si>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</si>
  <si>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</si>
  <si>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</si>
  <si>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</si>
  <si>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</si>
  <si>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</si>
  <si>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</si>
  <si>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</si>
  <si>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</si>
  <si>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</si>
  <si>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</si>
  <si>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</si>
  <si>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</si>
  <si>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</si>
  <si>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</si>
  <si>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</si>
  <si>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</si>
  <si>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</si>
  <si>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</si>
  <si>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</si>
  <si>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</si>
  <si>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</si>
  <si>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</si>
  <si>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</si>
  <si>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</si>
  <si>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</si>
  <si>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</si>
  <si>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</si>
  <si>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</si>
  <si>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</si>
  <si>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</si>
  <si>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</si>
  <si>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</si>
  <si>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</si>
  <si>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</si>
  <si>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</si>
  <si>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</si>
  <si>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</si>
  <si>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</si>
  <si>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</si>
  <si>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</si>
  <si>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</si>
  <si>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</si>
  <si>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</si>
  <si>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</si>
  <si>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</si>
  <si>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</si>
  <si>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</si>
  <si>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</si>
  <si>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</si>
  <si>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</si>
  <si>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</si>
  <si>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</si>
  <si>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</si>
  <si>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</si>
  <si>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</si>
  <si>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</si>
  <si>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</si>
  <si>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</si>
  <si>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</si>
  <si>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</si>
  <si>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</si>
  <si>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</si>
  <si>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</si>
  <si>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</si>
  <si>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</si>
  <si>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</si>
  <si>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</si>
  <si>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</si>
  <si>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</si>
  <si>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</si>
  <si>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</si>
  <si>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</si>
  <si>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</si>
  <si>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</si>
  <si>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</si>
  <si>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</si>
  <si>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</si>
  <si>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</si>
  <si>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</si>
  <si>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</si>
  <si>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</si>
  <si>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</si>
  <si>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</si>
  <si>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</si>
  <si>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</si>
  <si>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</si>
  <si>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</si>
  <si>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</si>
  <si>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</si>
  <si>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</si>
  <si>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</si>
  <si>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Gains</t>
  </si>
  <si>
    <t>Losses</t>
  </si>
  <si>
    <t>Decrease (increase) in non-current receivables</t>
  </si>
  <si>
    <t>Transfers and Subsidies - Operational</t>
  </si>
  <si>
    <t>Transfers and Subsidies - Capital</t>
  </si>
  <si>
    <t>Transfers to/from Reserves</t>
  </si>
  <si>
    <t>Proceeds on Disposal of Fixed and Intangible Assets</t>
  </si>
  <si>
    <t>MSIG,INEP AND OTHER</t>
  </si>
  <si>
    <t>ESKOM FBS</t>
  </si>
  <si>
    <t>MUSEUM</t>
  </si>
  <si>
    <t>SPORT COUNCIL, SPCA,  ARTS &amp; CULTURAL</t>
  </si>
  <si>
    <t>BURSARY</t>
  </si>
  <si>
    <t>SPECIAL ACCOUNTS</t>
  </si>
  <si>
    <t>SETA</t>
  </si>
  <si>
    <t>Cleanest town competition</t>
  </si>
  <si>
    <t>greenest town competition grant</t>
  </si>
  <si>
    <t>Standard bank</t>
  </si>
  <si>
    <t>Deposits - Bank (03)</t>
  </si>
  <si>
    <t>Variable (02)</t>
  </si>
  <si>
    <t>none</t>
  </si>
  <si>
    <t>Objective 1: Increased investment in the GTM economy</t>
  </si>
  <si>
    <t># of jobs created through municipal  LED initiatives and capital projects</t>
  </si>
  <si>
    <t># of SMME's of supported</t>
  </si>
  <si>
    <t># of active jobs created through the municipal EPWP projects (FTE)</t>
  </si>
  <si>
    <t>Objective 2 - Create a stable and enabling environment by attracting suitable investors</t>
  </si>
  <si>
    <t># Of Agricultural EXPO</t>
  </si>
  <si>
    <t>% of capital budget spent on projects as prioritised in IDP for specific year</t>
  </si>
  <si>
    <t>i</t>
  </si>
  <si>
    <t>Objective 3: Enhanced Integrated Developmental planning</t>
  </si>
  <si>
    <t># of IDP Rep Forum held</t>
  </si>
  <si>
    <t>Final IDP approved by Council by 31 May Annually</t>
  </si>
  <si>
    <t>Percentage</t>
  </si>
  <si>
    <t>1291 (445)</t>
  </si>
  <si>
    <t>Objective 4: Develop high performance culture for a changed, diverse, efficient and effective local government</t>
  </si>
  <si>
    <t># of perfomance assessment for sect 56/57 Managers</t>
  </si>
  <si>
    <t># of Level 3 employees with signed performance Plans</t>
  </si>
  <si>
    <t># Senior managers (MM &amp; Directors) with signed performance agreement by 30 June</t>
  </si>
  <si>
    <t>Objective 5: Improve access to sustainable and affordable basic services</t>
  </si>
  <si>
    <t># of household with access to weekly kerbside solid waste collection (5 formal towns)</t>
  </si>
  <si>
    <t>Kilometers of tar roads completed</t>
  </si>
  <si>
    <t>Km</t>
  </si>
  <si>
    <t>Traffic fine collection rate</t>
  </si>
  <si>
    <t># of contravention notices issued to decrease non-compliance to building regulations</t>
  </si>
  <si>
    <t># of monthly compliance assessments conducted on the Traffic Licencing services (as set out in the Service Level agreement with Department of Transport)</t>
  </si>
  <si>
    <t># of direct traffic summonses issued (section 56 of Criminal Procedure Act)</t>
  </si>
  <si>
    <t># of road blocks</t>
  </si>
  <si>
    <t>Objective 6: Optimise and sustain infrastructure investment and services</t>
  </si>
  <si>
    <t>m2 of tarred roads patched</t>
  </si>
  <si>
    <t>square metres</t>
  </si>
  <si>
    <t>Kilometers of roads graded</t>
  </si>
  <si>
    <t>km</t>
  </si>
  <si>
    <t>% of availability of Fleet. [no of functional fleet / total fleet]</t>
  </si>
  <si>
    <t>kilometre of electrical underground High Tension (11kv) cable repalced</t>
  </si>
  <si>
    <t>new</t>
  </si>
  <si>
    <t>R-value spent on maintenance of electricity infrastructure</t>
  </si>
  <si>
    <t>R-value</t>
  </si>
  <si>
    <t>R19661733</t>
  </si>
  <si>
    <t># of cemetries maintained</t>
  </si>
  <si>
    <t># of Parks maintained</t>
  </si>
  <si>
    <t>Objective 7: Enhanced sustainable environmental management and social development</t>
  </si>
  <si>
    <t># of disaster awareness campaign conducted</t>
  </si>
  <si>
    <t># of SPLUMA Tribunals sittings</t>
  </si>
  <si>
    <t># of Housing consumer education initiatives</t>
  </si>
  <si>
    <t>Environmental Awareness stratetgy Approved by Council</t>
  </si>
  <si>
    <t>R-Value spent on waste management services</t>
  </si>
  <si>
    <t>R93 103 238</t>
  </si>
  <si>
    <t># of Rural Waste Service Areas serviced Level 2 (Waste management services)</t>
  </si>
  <si>
    <t>% disaster incidences responded to within 72-hours</t>
  </si>
  <si>
    <t># of Library users</t>
  </si>
  <si>
    <t>Green economy strategy and action plan submitted to Council by 31 March.</t>
  </si>
  <si>
    <t>Climate Change and Adaptation Strategy submitted to Council by 30 April.</t>
  </si>
  <si>
    <t># of environmental contravention and compliance notices issued</t>
  </si>
  <si>
    <t>% of water samples that comply with SANS 0241</t>
  </si>
  <si>
    <t># of jobs created by Municipal projects for people with disabilities</t>
  </si>
  <si>
    <t># of jobs created by Municipal projects for women</t>
  </si>
  <si>
    <t># of jobs created by Municipal capital projects for youth</t>
  </si>
  <si>
    <t># of cases of theft of Council Assets</t>
  </si>
  <si>
    <t>Objective 8: Develop and build a skilled and knowledgable workforce</t>
  </si>
  <si>
    <t>% of employees included in annual Work skills plan trained as planned</t>
  </si>
  <si>
    <t>Objective 9: Improve stakeholders satisfaction</t>
  </si>
  <si>
    <t># of Mayoral Imbizo's organized</t>
  </si>
  <si>
    <t># of summarized quarterly ward reports submitted to Council</t>
  </si>
  <si>
    <t>% of statutory provisions for website contents complied with (as contained in Section 75(2) (a-l) of the MFMA) publicised within 5 working days of tabling in Council</t>
  </si>
  <si>
    <t xml:space="preserve"># of statutory provisions for website contents complied with (as contained in Section 75(1) (a-l) of the MFMA  </t>
  </si>
  <si>
    <t>Objective 10: Increase financial viaibility</t>
  </si>
  <si>
    <t># of properties on valuation roll billed for assessment rate</t>
  </si>
  <si>
    <t>% of operational Budget Spent</t>
  </si>
  <si>
    <t>Annual budget submitted to Council by the 31 May</t>
  </si>
  <si>
    <t>Debt coverage</t>
  </si>
  <si>
    <t>Ratio</t>
  </si>
  <si>
    <t xml:space="preserve">Cost coverage </t>
  </si>
  <si>
    <t>% Outstanding service debtors to revenue</t>
  </si>
  <si>
    <t>% of Finance Management Grant spent</t>
  </si>
  <si>
    <t>% of Capital budget spent</t>
  </si>
  <si>
    <t>% of electricity loss</t>
  </si>
  <si>
    <t>% compliance with MSCOA projects plan</t>
  </si>
  <si>
    <t>% creditors paid within 30 days</t>
  </si>
  <si>
    <t>Annual financial statements to AG,PT and NT by 31 August annually</t>
  </si>
  <si>
    <t>% of Bids awarded within 2 weeks after adjudication committee resolution</t>
  </si>
  <si>
    <t># of theft from Council buildings</t>
  </si>
  <si>
    <t>Annual Assets verification report concluded by 30 August</t>
  </si>
  <si>
    <t># of indigent households registered</t>
  </si>
  <si>
    <t>% MIG funding spent (MIG Expenditure/Allocation)</t>
  </si>
  <si>
    <t>Objective 11: Efficient and effective administration</t>
  </si>
  <si>
    <t># of performance reports audited</t>
  </si>
  <si>
    <t>Draft Annual performance report submitted to the AG, Audit Committee and the Mayor by 31 August</t>
  </si>
  <si>
    <t>Date</t>
  </si>
  <si>
    <t># of Council meetings held</t>
  </si>
  <si>
    <t># of Local Labour Forum (LLF) meetings</t>
  </si>
  <si>
    <t># of file verifications conducted</t>
  </si>
  <si>
    <t># of management meetings held</t>
  </si>
  <si>
    <t># of monthly compliance assessments conducted on the Security Management (in terms of Service Level Agreement)</t>
  </si>
  <si>
    <t># of street Committee established</t>
  </si>
  <si>
    <t>% of GTM Council Resolutions implimented</t>
  </si>
  <si>
    <t>% of SLA signed within 15 days after Acceptance of the appointment</t>
  </si>
  <si>
    <t># of audit findings from AG</t>
  </si>
  <si>
    <t>Unqualified Audit opinion obtained from AG</t>
  </si>
  <si>
    <t>Opinion</t>
  </si>
  <si>
    <t>Qualified</t>
  </si>
  <si>
    <t>Clean</t>
  </si>
  <si>
    <t># audit committee meetings held</t>
  </si>
  <si>
    <t>Objective 12: Attract and retain best human capital to become employer or choice</t>
  </si>
  <si>
    <t xml:space="preserve">% staff turnover </t>
  </si>
  <si>
    <t># of workstations inspected for OHS contraventions</t>
  </si>
  <si>
    <t># of municipal personnel with technical skills/capacity (engineer and technicians)(ESD and EED)</t>
  </si>
  <si>
    <t>IT downtime</t>
  </si>
  <si>
    <t># of people from employment equity target groups employed in the highest levels of management in compliance with a munipality's approved employment equity plan</t>
  </si>
  <si>
    <t># of municipal personnel with capacity on spatial planning</t>
  </si>
  <si>
    <t># of senior managers complying with the minimum competency levels (Municipal Finance Management Programme)</t>
  </si>
  <si>
    <t>Improved access to affordable and sustainable basic services</t>
  </si>
  <si>
    <t>Land acquisition at</t>
  </si>
  <si>
    <t>Rikhotso low level bridge</t>
  </si>
  <si>
    <t>Mokonyane low level of bridging</t>
  </si>
  <si>
    <t>khubu to Lwandlamuni low level bridge</t>
  </si>
  <si>
    <t>Marumofase Pedestrian bridge Bridge</t>
  </si>
  <si>
    <t>Enhanced sustainable environmental management and social development</t>
  </si>
  <si>
    <t>Refurbishment of Tzaneen airfield runway</t>
  </si>
  <si>
    <t>instal high mast lights in Traditional Authorities Office</t>
  </si>
  <si>
    <t>Parks ablution facilities at Parks</t>
  </si>
  <si>
    <t>New electricity connections</t>
  </si>
  <si>
    <t xml:space="preserve">Rebuilding of 33kv lines Lalapanzi </t>
  </si>
  <si>
    <t xml:space="preserve">Rebuilding of Mashutti 11kv </t>
  </si>
  <si>
    <t>Rebuilding of Deeeside 11kv line</t>
  </si>
  <si>
    <t>Rebuilding of Yarmona shivulani 11kv</t>
  </si>
  <si>
    <t>Rebuilding of Ledzee 11kv</t>
  </si>
  <si>
    <t>Upgrading of Runnymede cluster sports facility phase 2 of 2</t>
  </si>
  <si>
    <t>effective and effecient administration</t>
  </si>
  <si>
    <t>Disaster recovery equipment(intangible)</t>
  </si>
  <si>
    <t>Computers for employees</t>
  </si>
  <si>
    <t>Purchase Office furniture</t>
  </si>
  <si>
    <t>Mraumofase Pedestrian bridge</t>
  </si>
  <si>
    <t>Mayor Vehicle</t>
  </si>
  <si>
    <t xml:space="preserve">New Protection Relays </t>
  </si>
  <si>
    <t>Speed Humps</t>
  </si>
  <si>
    <t>Land acquisition (Regional Cemetry)</t>
  </si>
  <si>
    <t>Lenyenye stadium upgrade phase 2</t>
  </si>
  <si>
    <t>6. Relela Community Hall: Phase 2 of 2</t>
  </si>
  <si>
    <t>NDPG PROJECTS(taxi rank)</t>
  </si>
  <si>
    <t>lenyenye drop off centre</t>
  </si>
  <si>
    <t>relela stormwater management</t>
  </si>
  <si>
    <t>leased asset</t>
  </si>
  <si>
    <t>airconditioinars</t>
  </si>
  <si>
    <t>OFFICE EQUIPMENT</t>
  </si>
  <si>
    <t>New Electricity Connections (Consumer Contribution)</t>
  </si>
  <si>
    <t>Replace 2 x 20 MVA 66/11 kV at Tzaneen main sub</t>
  </si>
  <si>
    <t>Installation of Auto Recloser</t>
  </si>
  <si>
    <t>New 11KV Feeder from Western sub to Industrial area</t>
  </si>
  <si>
    <t xml:space="preserve">Rebuilding of Waterbok 11kv lines </t>
  </si>
  <si>
    <t>Skirving and Peace retrofitting old panels with new safe technologies</t>
  </si>
  <si>
    <t>Install 33kV voltage regulator on the 33kV Haenertsburg ring</t>
  </si>
  <si>
    <t>Rebuild 66 kV wooden line from Tzaneen to Tarentaalrand</t>
  </si>
  <si>
    <t>Mulati Access Road Regravelling and Storm Water Management</t>
  </si>
  <si>
    <t>Upgrading of Burgersdorp Sports Ground: Phase 2 of 2</t>
  </si>
  <si>
    <t>Upgrading of Juliesburg Sportsground: Phase 1 of 2</t>
  </si>
  <si>
    <t>Construction of Pedestrian Crossing Bridges</t>
  </si>
  <si>
    <t>1. Rita to Mariveni: Upgrading of Road from Gravel to Tar</t>
  </si>
  <si>
    <t>Khwekhwe Low Level Bridge</t>
  </si>
  <si>
    <t>Mopye High School Access Road: Phase 1 of 2 and 2 of 2</t>
  </si>
  <si>
    <t>Paving Nelson Ramodike High School Access road to school  Phase 1 of 2 and phase 2 of 3 and 3 of 3</t>
  </si>
  <si>
    <t>Tarring of Nkowankowa B Streets</t>
  </si>
  <si>
    <t>Maruji to Matshwil Kheshokolwe road from gravel to tar Phase 5 of 5</t>
  </si>
  <si>
    <t>Tarring Nkowankowa A Codesa and Hani Street Phase</t>
  </si>
  <si>
    <t>Mulati Access Road paving phase 1 of 2 and 2 of 2</t>
  </si>
  <si>
    <t>Paving of Thapane Cross, Mandlakazi to Nwamitwa Phase 1 of 3 (D3248) and 2 of 3 and 3 of 3</t>
  </si>
  <si>
    <t>Uprgading of Access Road Mbambamencisi Phase 1 of 3 and 2 of 3</t>
  </si>
  <si>
    <t>Upgrading of Khujwana to Lenyenye Access Road Phase 1 of 3 and 2 of 3 and 3 of 3</t>
  </si>
  <si>
    <t>Risaba to Musiphani Road upgrade from gravel to tar phase 1of 4</t>
  </si>
  <si>
    <t>Relela Access Road: Phase 1 of 4 Upgrading from gravel to paving</t>
  </si>
  <si>
    <t>Matapa to Leseka to access road to school: phase 1 of 4</t>
  </si>
  <si>
    <t>Mawa B12 Low level bridge</t>
  </si>
  <si>
    <t>New Lenyenye Taxi Rank Phase 1 of 2 and 2 of 2</t>
  </si>
  <si>
    <t>enhanced sustainable environmental management and social development</t>
  </si>
  <si>
    <t>Installation of new Entrance Streetlights R71</t>
  </si>
  <si>
    <t>R71 Deerpark Traffic Circle lights SANRAL</t>
  </si>
  <si>
    <t>Area Lighting at R36 Kujwana turn off</t>
  </si>
  <si>
    <t>Renewal Repairs and Maintenance on prepaid meters and infrastructure at Tzaneen, Letsitele and Politsi</t>
  </si>
  <si>
    <t>Miniature substation Urban distribution networks as directed by (NERSA + (ITEM B53 6/14)</t>
  </si>
  <si>
    <t>Replacing 11 kV cables due to required increase in capacity (0.5 km)(0.5km)</t>
  </si>
  <si>
    <t>Substation Tripping Batteries (ITEM B53 6/14)</t>
  </si>
  <si>
    <t>Provision of Electrical Tools (Customer Retail)</t>
  </si>
  <si>
    <t>Provision of Electrical Tools (Operation and Maintenance)</t>
  </si>
  <si>
    <t>Replacement of Existing Airconditioners in Municipal Buildings in phases</t>
  </si>
  <si>
    <t>Rebuilding of lines – Green Frog Haenertsburg (6km)</t>
  </si>
  <si>
    <t>Rebuilding of lines Gravelotte – De Neck (2,5km)</t>
  </si>
  <si>
    <t>Rebuilding of 33 kV lines – Lalapanzi – Waterbok in phases 1,5 km</t>
  </si>
  <si>
    <t>Rebuilding of Mashutti 11 kV line (2km)</t>
  </si>
  <si>
    <t>Rebuilding of Deeside 11 kV line (2,5km)</t>
  </si>
  <si>
    <t>Rebuilding of Yamorna and Shivurali 11 kV line (4km)</t>
  </si>
  <si>
    <t>Rebuilding of Ledzee 11kV line from LZ44 to Van der Grey Farm (2.5 km)</t>
  </si>
  <si>
    <t>Rebuilding of lines – Letsitele Valley Substation – Bosbou and all T offs (2,5km)</t>
  </si>
  <si>
    <t>Rebuilding of Lushof South 11 kV lines (2,5km)</t>
  </si>
  <si>
    <t>Rebuilding of Rooikoppies 11kV lines (5km)</t>
  </si>
  <si>
    <t>Rebuilding of Mabiet 11 kV lines (5km)</t>
  </si>
  <si>
    <t>Rebuilding of Haenertsburg 11 kV lines (5 km)</t>
  </si>
  <si>
    <t>Rebuilding of Campsies Glen 11 kV lines (5 km)</t>
  </si>
  <si>
    <t>Rebuilding of Politsi Valley 11 kV lines (5km)</t>
  </si>
  <si>
    <t>Rebuilding of Mieliekloof and Deerpark 11 kV lines (2,5km)</t>
  </si>
  <si>
    <t>Rebuilding of Letaba Feeder 33 kV line (2,5km)</t>
  </si>
  <si>
    <t>Substation Fencing</t>
  </si>
  <si>
    <t>Replace 2 x 15 MVA 66/11 kV (linked to Revenue on new electricity connections)</t>
  </si>
  <si>
    <t>Replace 11 kV and 33 kV Auto reclosers per annum (x5) (ITEM B53 6/14)</t>
  </si>
  <si>
    <t>Building of new 4 MVA, 33/11 kV Substation at Agatha</t>
  </si>
  <si>
    <t>Refurbishment of the Ebenezer 33 kV Feeder (2,5km)</t>
  </si>
  <si>
    <t>Rebuilding of Valencia 11 kV lines</t>
  </si>
  <si>
    <t xml:space="preserve">Area Lighting at Tarentaalrand Crossing </t>
  </si>
  <si>
    <t xml:space="preserve">Replace 2 x 20 MVA 66/11 kV Transformer at Tzaneen Main sub </t>
  </si>
  <si>
    <t>Renewal repairs and maintenance on Prepaid Meters (Tzabeen, Letsitele,Talana</t>
  </si>
  <si>
    <t>Replacing 11 kV cables for increased capacity</t>
  </si>
  <si>
    <t>Substation Tripping Batteries</t>
  </si>
  <si>
    <t>Miniature substation for Urban distribution network</t>
  </si>
  <si>
    <t>Provision Capital Tools (Customer and Retail Services</t>
  </si>
  <si>
    <t>Provision of Capital Tools (Operations and Maintenance)</t>
  </si>
  <si>
    <t>Replacement of Existing Airconditioners in Municipal buildings</t>
  </si>
  <si>
    <t xml:space="preserve"> Rebuilding of Valencia 11kV lines 6 km</t>
  </si>
  <si>
    <t>Rebuilding of Lushof South 11kV lines 3 km</t>
  </si>
  <si>
    <t>Rebuilding of Rooikoppies 11kV lines 6 km</t>
  </si>
  <si>
    <t>Rebuilding of Mabete 11 kV lines 6 km</t>
  </si>
  <si>
    <t>Rebuilding of Haenertsburg 11 kV lines 6 km</t>
  </si>
  <si>
    <t>Rebuilding of Campsies Glen 11 kV lines  6 km</t>
  </si>
  <si>
    <t>Rebuilding of Politsi Valley 11 kV lines 6 km</t>
  </si>
  <si>
    <t>Rebuilding of CP Minnaar 11 kV lines 2 km</t>
  </si>
  <si>
    <t>Rebuilding of Mieliekloof/Deerpark 11 kV lines 3 km</t>
  </si>
  <si>
    <t>Upgrading of Waterbok 33/11 kV Substation</t>
  </si>
  <si>
    <t>Upgrading of Blacknoll 33/11 kV Substation</t>
  </si>
  <si>
    <t>Houtbosdorp 11 kV Ring 10 km</t>
  </si>
  <si>
    <t>Substation fencing Tarentaalrand main</t>
  </si>
  <si>
    <t>Replacing of old SS1 electrical substation circuit breakers with compact switchgear</t>
  </si>
  <si>
    <t>Replacement of Autoreclosers (11kV and 33 kV)</t>
  </si>
  <si>
    <t>Refurbishment of the Ebenezer 33 kV Feeder</t>
  </si>
  <si>
    <t>Construction of bud wall and installation of oil and grease trap</t>
  </si>
  <si>
    <t>Purchase of drip trays and oil spilt kit</t>
  </si>
  <si>
    <t>Purchase of crane for Electrical Engineering</t>
  </si>
  <si>
    <t>Purchase of motor vehicles</t>
  </si>
  <si>
    <t>Upgrading of old Fire station building and Civic Centre</t>
  </si>
  <si>
    <t>Upgrading of Tzaneen Ext 13 internal street from gravel to paving</t>
  </si>
  <si>
    <t>Grass Cutting machines at Nkowankowa, Lenyenye and Tzaneen</t>
  </si>
  <si>
    <t>Purchase of mSCOA printers and programmes</t>
  </si>
  <si>
    <t>Purchase Office furniture and equipment for the Electrical Engineering Department</t>
  </si>
  <si>
    <t>Purchase Office furniture and equipment for the Engineering Services Department</t>
  </si>
  <si>
    <t>Purchase Office furniture and equipment for Office of the Municipal Manager</t>
  </si>
  <si>
    <t>Purchase office furniture and equipment for the Corporate Services Department</t>
  </si>
  <si>
    <t>Purchase office furniture and equipment for the Budget &amp; Treasury Department</t>
  </si>
  <si>
    <t>Purchase office furniture and equipment for the Planning &amp; Economic Department</t>
  </si>
  <si>
    <t>Purchase Office furniture and equipment for the Community Services Department</t>
  </si>
  <si>
    <t>Tickline to Makhwibidung Storm Water Management</t>
  </si>
  <si>
    <t>Low level bridge at Agatha Cemetery</t>
  </si>
  <si>
    <t>Upgrading of Old Fire Station building and Civic Centre</t>
  </si>
  <si>
    <t>Additions to existing Tzaneen Stores including Fencing</t>
  </si>
  <si>
    <t>Maintenance of Danie Joubert Street (Police Station to CTM) in Tzaneen</t>
  </si>
  <si>
    <t>Maintenance of Pusela to Van Velden to Billy Maritz street in Tzaneen</t>
  </si>
  <si>
    <t>Maintenance of 1st Avenue street in Tzaneen</t>
  </si>
  <si>
    <t>Maintenance of 3rd Avenue to Hospitaal to 2nd Avenue street in Tzaneen</t>
  </si>
  <si>
    <t>Maintenance of Boundary Street</t>
  </si>
  <si>
    <t>Maintenance of Nkowankowa internal streets (Bankuna road to Thambo to Maxakeni)</t>
  </si>
  <si>
    <t>Maintenance of Lenyenye internal Streets (Main street to Industrial to Stadium to Ithuseng to main street via Police Station)</t>
  </si>
  <si>
    <t>Maintenance of Vorster Street in Letsitele</t>
  </si>
  <si>
    <t>Maintenance of Eerste Street in Letsitele</t>
  </si>
  <si>
    <t>Maintenance of Main CBD street and Parking in Letsitele</t>
  </si>
  <si>
    <t>Rehabilitation of Haenertsburg Cementry road.</t>
  </si>
  <si>
    <t>Upgrading of Blacknoll 33/11kV Substation</t>
  </si>
  <si>
    <t>Replace 2 x 15 MVA 66/11 kV (Linked to Revenue on New Electricity Connections</t>
  </si>
  <si>
    <t>Replacing of Old SS1 electrical substation circuit breakers with compact switchgear</t>
  </si>
  <si>
    <t>Lenyenye street paving</t>
  </si>
  <si>
    <t>Construction of Speed humps</t>
  </si>
  <si>
    <t>Purchasing of tar cutting machines</t>
  </si>
  <si>
    <t>New generator for georges valley</t>
  </si>
  <si>
    <t>New generator for Head office</t>
  </si>
  <si>
    <t>Purchase of Grass cutting Machines</t>
  </si>
  <si>
    <t>High Mast Lights at Dan Village</t>
  </si>
  <si>
    <t>High Mast Lights at Nkowankowa</t>
  </si>
  <si>
    <t>High Mast Lights at Petanenge</t>
  </si>
  <si>
    <t xml:space="preserve">High Mast Lights at Zanghoma/Mariveni </t>
  </si>
  <si>
    <t>High Mast Lights at Moime and Shikwambana</t>
  </si>
  <si>
    <t>High Mast Lights at Lusaka</t>
  </si>
  <si>
    <t>High Mast Lights at Sethong</t>
  </si>
  <si>
    <t>High Mast Lights at Moleketla</t>
  </si>
  <si>
    <t>High Mast Lights at Xihoko</t>
  </si>
  <si>
    <t>High Mast Lights at Mandlakazi</t>
  </si>
  <si>
    <t>High Mast Lights at Burgersdorp</t>
  </si>
  <si>
    <t>Purchase of Geographical Information Systems Equipments</t>
  </si>
  <si>
    <t>Purchase of 2x floor scrubber and polisher</t>
  </si>
  <si>
    <t>Purchase of mobile Air Qaulity monitoring station and calibrate annually</t>
  </si>
  <si>
    <t>Purchase 1x Sound Level meter and calibrate yearly</t>
  </si>
  <si>
    <t>Develop an Air Quality management plan in 2 phases</t>
  </si>
  <si>
    <t>Construction of sorm water drainage systems</t>
  </si>
  <si>
    <t>Paving of topanama access road to serurubrlr school</t>
  </si>
  <si>
    <t>Paving of marirone to motupa street phase 1 of 2 and 2 of 2</t>
  </si>
  <si>
    <t>Upgrading of zangoma to mariveni</t>
  </si>
  <si>
    <t>Nkowankowa section D street paving</t>
  </si>
  <si>
    <t>IMPROVED ACCESS TO AFFORDABLE AND SUSTAINABLE BASIC SERVICES</t>
  </si>
  <si>
    <t>Paving of Moseanoka to Cell C Pharare Internal Streets in Ward 28</t>
  </si>
  <si>
    <t xml:space="preserve">Paving of Risaba, Mnisi, Shando, to Driving school Internal Street in Ward 5 </t>
  </si>
  <si>
    <t xml:space="preserve">Paving of Main road from Ndhuna Mandlakazi, Efrika, Zangoma, Mpenyisi to Jamba Cross Internal Street (in Ward 13, Mandlakazi) </t>
  </si>
  <si>
    <t>Purchase of the Mayoral Car</t>
  </si>
  <si>
    <t>Purchase of the Speaker'sCar</t>
  </si>
  <si>
    <t>ENHANCED SUSTAINABLE ENVIRONMENTAL MANAGEMENT AND SOCIAL DEVELOPMENT</t>
  </si>
  <si>
    <t>Fencing of cemetery Lesedi Regional Cemetry ( Lenyenye)</t>
  </si>
  <si>
    <t>Ablution block with change room at Lesedi Regional Cemetery ( Lenyenye)</t>
  </si>
  <si>
    <t>Fence Nkowankowa cemetery extension</t>
  </si>
  <si>
    <t>Construct ablution with change room at Nkowankowa cemetery</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</si>
  <si>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</si>
  <si>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</si>
  <si>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</si>
  <si>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</si>
  <si>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</si>
  <si>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</si>
  <si>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</si>
  <si>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</si>
  <si>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Create a stable and an enabling econmic environment by attracting suitable investors</t>
  </si>
  <si>
    <t>Development of programmes for outreach and marketing initiatives and implentation support of SMME's and local service providers.</t>
  </si>
  <si>
    <t>Develop effective and sustainable stakeholder relations</t>
  </si>
  <si>
    <t>Effective ward committes and ward based plans. Keep the community informed and development of good corporate image and identity of Council</t>
  </si>
  <si>
    <t>Effective and efficient administration</t>
  </si>
  <si>
    <t>Minimise risk and enhance sound/corporate governance.  Maintain a fully effective and functional Council sound governance. Improved staff efficeiency and maintan the municipal  website</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</si>
  <si>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</si>
  <si>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</si>
  <si>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</si>
  <si>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</si>
  <si>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Develop a high performance culture for a changed, diverse, efficient and effective local government</t>
  </si>
  <si>
    <t>Maintain overal improvement in employees's wellness</t>
  </si>
  <si>
    <t>Photocopies</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</si>
  <si>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</si>
  <si>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</si>
  <si>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</si>
  <si>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</si>
  <si>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</si>
  <si>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</si>
  <si>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</si>
  <si>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</si>
  <si>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</si>
  <si>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Meter reading</t>
  </si>
  <si>
    <t>Cleaning Services</t>
  </si>
  <si>
    <t>Valuation Roll</t>
  </si>
  <si>
    <t>Town planning</t>
  </si>
  <si>
    <t>Aerodrum</t>
  </si>
  <si>
    <t>Internal Audit</t>
  </si>
  <si>
    <t>Credit Control</t>
  </si>
  <si>
    <t>Council owned land</t>
  </si>
  <si>
    <t>EPWP</t>
  </si>
  <si>
    <t>Traffic Services</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</si>
  <si>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</si>
  <si>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</si>
  <si>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</si>
  <si>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</si>
  <si>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</si>
  <si>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</si>
  <si>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</si>
  <si>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</si>
  <si>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</si>
  <si>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</si>
  <si>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</si>
  <si>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Consultant fees</t>
  </si>
  <si>
    <t>General expenses</t>
  </si>
  <si>
    <t>Liberty</t>
  </si>
  <si>
    <t>Standard Bank</t>
  </si>
  <si>
    <t>Administration Municipal Manager</t>
  </si>
  <si>
    <t>Strategic Support</t>
  </si>
  <si>
    <t>Municipal Manager</t>
  </si>
  <si>
    <t>Council Expenditure</t>
  </si>
  <si>
    <t>1.1 - Administration Municipal Manager</t>
  </si>
  <si>
    <t>1.2 - Internal Audit</t>
  </si>
  <si>
    <t>1.3 - Strategic Support</t>
  </si>
  <si>
    <t>1.4 - Risk Management</t>
  </si>
  <si>
    <t>1.5 - Council Expenditure</t>
  </si>
  <si>
    <t>1.6 - Legal Services</t>
  </si>
  <si>
    <t>1.7 - Disaster Management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</si>
  <si>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</si>
  <si>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</si>
  <si>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</si>
  <si>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</si>
  <si>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</si>
  <si>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</si>
  <si>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</si>
  <si>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</si>
  <si>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</si>
  <si>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</si>
  <si>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</si>
  <si>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</si>
  <si>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</si>
  <si>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</si>
  <si>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</si>
  <si>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Financial Services</t>
  </si>
  <si>
    <t>Administration Finance</t>
  </si>
  <si>
    <t>Budget office</t>
  </si>
  <si>
    <t>Supply Chain Management</t>
  </si>
  <si>
    <t>3.1 - Administration Finance</t>
  </si>
  <si>
    <t>3.2 - Budget office</t>
  </si>
  <si>
    <t>3.3 - Revenue</t>
  </si>
  <si>
    <t>3.4 - Expenditure</t>
  </si>
  <si>
    <t>3.5 - Inventory</t>
  </si>
  <si>
    <t>3.6 - Supply Chain Management</t>
  </si>
  <si>
    <t>Corporate Services</t>
  </si>
  <si>
    <t>Communications</t>
  </si>
  <si>
    <t>Public Participation &amp; Project Support</t>
  </si>
  <si>
    <t>Information Technolgy</t>
  </si>
  <si>
    <t>Administration HR &amp; Corporate</t>
  </si>
  <si>
    <t>Occupational Health &amp; safety</t>
  </si>
  <si>
    <t>4.2 - Public Participation &amp; Project Support</t>
  </si>
  <si>
    <t>4.1 - Communications</t>
  </si>
  <si>
    <t>4.3 - Information Technolgy</t>
  </si>
  <si>
    <t>4.4 - Administration HR &amp; Corporate</t>
  </si>
  <si>
    <t>4.6 - Human Resources</t>
  </si>
  <si>
    <t>4.7 - Occupational Health &amp; safety</t>
  </si>
  <si>
    <t>4.8 - Corporate Services</t>
  </si>
  <si>
    <t>Community Services</t>
  </si>
  <si>
    <t>Parks &amp; Recreation</t>
  </si>
  <si>
    <t>Administration Community Services</t>
  </si>
  <si>
    <t>Community Health Services</t>
  </si>
  <si>
    <t>Enviromental Health Services</t>
  </si>
  <si>
    <t>Library Services</t>
  </si>
  <si>
    <t>Solid Waste</t>
  </si>
  <si>
    <t>Street Cleansing</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</si>
  <si>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</si>
  <si>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</si>
  <si>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</si>
  <si>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</si>
  <si>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</si>
  <si>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</si>
  <si>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</si>
  <si>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</si>
  <si>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</si>
  <si>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</si>
  <si>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</si>
  <si>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6.1 - 6.2 - Administration Transport,safety,Security</t>
  </si>
  <si>
    <t>6.2 - 6.3 - Vehicle licencing</t>
  </si>
  <si>
    <t>6.3 - 6.1 - Traffic services</t>
  </si>
  <si>
    <t>Electrical Engineering Services</t>
  </si>
  <si>
    <t>Administration Electrical Engineering</t>
  </si>
  <si>
    <t>Operations &amp; Maintenance: Rural</t>
  </si>
  <si>
    <t>Operations &amp; Maintenance: Town</t>
  </si>
  <si>
    <t>7.1 - Administration Electrical Engineering</t>
  </si>
  <si>
    <t>7.2 - Operations &amp; Maintenance: Rural</t>
  </si>
  <si>
    <t>7.3 - Operations &amp; Maintenance: Town</t>
  </si>
  <si>
    <t>Engineering Services</t>
  </si>
  <si>
    <t>8.1 - Fleet Management</t>
  </si>
  <si>
    <t>8.2 - Administration Civil Engineering</t>
  </si>
  <si>
    <t>8.3 - Roads &amp; stormwater Management</t>
  </si>
  <si>
    <t>8.4 - Water Networks</t>
  </si>
  <si>
    <t>8.5 - Water Purification</t>
  </si>
  <si>
    <t>8.8 - Sewerage Purification</t>
  </si>
  <si>
    <t>8.6 - Building &amp; Housing</t>
  </si>
  <si>
    <t>8.7 - Project Management</t>
  </si>
  <si>
    <t>8.1 - 8.1 - Fleet Management</t>
  </si>
  <si>
    <t>8.2 - 8.2 - Administration Civil Engineering</t>
  </si>
  <si>
    <t>8.3 - 8.3 - Roads &amp; stormwater Management</t>
  </si>
  <si>
    <t>8.4 - 8.4 - Water Networks</t>
  </si>
  <si>
    <t>8.5 - 8.5 - Water Purification</t>
  </si>
  <si>
    <t>8.6 - 8.8 - Sewerage Purification</t>
  </si>
  <si>
    <t>8.7 - 8.6 - Building &amp; Housing</t>
  </si>
  <si>
    <t>8.8 - 8.7 - Project Management</t>
  </si>
  <si>
    <t>5</t>
  </si>
  <si>
    <t>www.tzaneen.gov.za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</si>
  <si>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</si>
  <si>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</si>
  <si>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</si>
  <si>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</si>
  <si>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</si>
  <si>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</si>
  <si>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</si>
  <si>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</si>
  <si>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</si>
  <si>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</si>
  <si>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</si>
  <si>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</si>
  <si>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</si>
  <si>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810906 0823 086</t>
  </si>
  <si>
    <t>Roseÿ Letsoalo</t>
  </si>
  <si>
    <t>083 331 1541</t>
  </si>
  <si>
    <t>086 759 6489</t>
  </si>
  <si>
    <t>rose.letsoalo@tzaneen.gov.za</t>
  </si>
  <si>
    <t>690404 5633 085</t>
  </si>
  <si>
    <t>Mr</t>
  </si>
  <si>
    <t>Maripe Mangena</t>
  </si>
  <si>
    <t>015 307 8014</t>
  </si>
  <si>
    <t>083 694 3231</t>
  </si>
  <si>
    <t>maripe.mangena@tzaneen.gov.za</t>
  </si>
  <si>
    <t>830619 5622 082</t>
  </si>
  <si>
    <t>Tsietsi Manyama</t>
  </si>
  <si>
    <t>015 307 8007</t>
  </si>
  <si>
    <t>076 363 2917</t>
  </si>
  <si>
    <t>tsietsi@tzaneen.gov.za</t>
  </si>
  <si>
    <t>730624 5527 084</t>
  </si>
  <si>
    <t>Bartholomew Serapelo Matlala</t>
  </si>
  <si>
    <t>015 307 8002</t>
  </si>
  <si>
    <t>071 592 5089</t>
  </si>
  <si>
    <t>tmatlala@tzaneen.gov.za</t>
  </si>
  <si>
    <t>820405 0045 087</t>
  </si>
  <si>
    <t>Mrs</t>
  </si>
  <si>
    <t>Mandy Arjoon</t>
  </si>
  <si>
    <t>015 307 8246</t>
  </si>
  <si>
    <t>083 538 5266</t>
  </si>
  <si>
    <t>Mandy.Arjoon@tzaneen.gov.za</t>
  </si>
  <si>
    <t>810909 0782 088</t>
  </si>
  <si>
    <t>Palesa Mikateko Makhubela</t>
  </si>
  <si>
    <t>015 307 8062</t>
  </si>
  <si>
    <t>078 239 9010</t>
  </si>
  <si>
    <t>0153078049</t>
  </si>
  <si>
    <t>palesam@tzaneen.gov.za</t>
  </si>
  <si>
    <t>850715 0887 087</t>
  </si>
  <si>
    <t>Mimmy Maunatlala</t>
  </si>
  <si>
    <t>072 331 0804</t>
  </si>
  <si>
    <t>mimmy.maunatlala@tzaneen.gov.za</t>
  </si>
  <si>
    <t>820506 5810 084</t>
  </si>
  <si>
    <t>Arnold Mathebula</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</si>
  <si>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</si>
  <si>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</si>
  <si>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</si>
  <si>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</si>
  <si>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</si>
  <si>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</si>
  <si>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</si>
  <si>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</si>
  <si>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</si>
  <si>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</si>
  <si>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</si>
  <si>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</si>
  <si>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072 084 3154</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</si>
  <si>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</si>
  <si>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</si>
  <si>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</si>
  <si>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</si>
  <si>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</si>
  <si>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</si>
  <si>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</si>
  <si>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</si>
  <si>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</si>
  <si>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</si>
  <si>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</si>
  <si>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</si>
  <si>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</si>
  <si>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</si>
  <si>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</si>
  <si>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</si>
  <si>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</si>
  <si>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</si>
  <si>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</si>
  <si>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082 322 5388</t>
  </si>
  <si>
    <t>andre.legrange@tzaneen.gov.za</t>
  </si>
  <si>
    <t>IIPSA</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</si>
  <si>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</si>
  <si>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</si>
  <si>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</si>
  <si>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</si>
  <si>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</si>
  <si>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</si>
  <si>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</si>
  <si>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</si>
  <si>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</si>
  <si>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</si>
  <si>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</si>
  <si>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371 387</t>
  </si>
  <si>
    <t>349 083</t>
  </si>
  <si>
    <t>390 095</t>
  </si>
  <si>
    <t>97 377</t>
  </si>
  <si>
    <t>89 830</t>
  </si>
  <si>
    <t>108 926</t>
  </si>
  <si>
    <t>49 123</t>
  </si>
  <si>
    <t>43 977</t>
  </si>
  <si>
    <t>37 592</t>
  </si>
  <si>
    <t>48 421</t>
  </si>
  <si>
    <t>41 597</t>
  </si>
  <si>
    <t>38 591</t>
  </si>
  <si>
    <t>73 685</t>
  </si>
  <si>
    <t>67 762</t>
  </si>
  <si>
    <t>73 822</t>
  </si>
  <si>
    <t>62 941</t>
  </si>
  <si>
    <t>59 981</t>
  </si>
  <si>
    <t>70 196</t>
  </si>
  <si>
    <t>33. 39</t>
  </si>
  <si>
    <t>20. 44</t>
  </si>
  <si>
    <t>36. 7</t>
  </si>
  <si>
    <t>Theuwedi Trading</t>
  </si>
  <si>
    <t>36 month</t>
  </si>
  <si>
    <t>Treatment and disposal management</t>
  </si>
  <si>
    <t>31/12/2020</t>
  </si>
  <si>
    <t>557 240.00</t>
  </si>
  <si>
    <t>Rivisi Electrical Contractors</t>
  </si>
  <si>
    <t xml:space="preserve"> 36 months
</t>
  </si>
  <si>
    <t xml:space="preserve">Maintenance and refurbishment  of overhead power lines and other related equipment </t>
  </si>
  <si>
    <t xml:space="preserve">Rates only </t>
  </si>
  <si>
    <t>Molebogeng Trading Enterprise</t>
  </si>
  <si>
    <t xml:space="preserve">36 months </t>
  </si>
  <si>
    <t>Integrated waste management in southern waste service region of greater Tzaneen municipality</t>
  </si>
  <si>
    <t>31/03/2021</t>
  </si>
  <si>
    <t>442 053.24.00</t>
  </si>
  <si>
    <t>Baatshuma (PTY) LTD</t>
  </si>
  <si>
    <t xml:space="preserve">36 Months
</t>
  </si>
  <si>
    <t>36 Months</t>
  </si>
  <si>
    <t>Provision of electrical water meter reading services disconnection of services due to non - payment for Greater Tzaneen Municipality</t>
  </si>
  <si>
    <t>31/10/2021</t>
  </si>
  <si>
    <t>Rates</t>
  </si>
  <si>
    <t>Kunene Mokopo</t>
  </si>
  <si>
    <t>Short term insurance broker of Greater Tzaneen Municipality for a period of three years</t>
  </si>
  <si>
    <t>31/10/2022</t>
  </si>
  <si>
    <t>1 942 469.00 yearly</t>
  </si>
  <si>
    <t>36 months</t>
  </si>
  <si>
    <t>Collection (Litter picking), transportation and disposal of solid waste in the Northern waste service region (36 month)</t>
  </si>
  <si>
    <t>30/09/2021</t>
  </si>
  <si>
    <t>CHM Vuwani Computer Solutions</t>
  </si>
  <si>
    <t>Installation And Leasing Of ICT Lan Equipment</t>
  </si>
  <si>
    <t>30/11/2021</t>
  </si>
  <si>
    <t>First Technology (PTY) LTD</t>
  </si>
  <si>
    <t>server infrastructure equipment through a finance lease</t>
  </si>
  <si>
    <t>Jaques du tout &amp; Associates</t>
  </si>
  <si>
    <t>Request for proposal on land audit</t>
  </si>
  <si>
    <t>31/01/2021</t>
  </si>
  <si>
    <t>340 000.00</t>
  </si>
  <si>
    <t>Theuwedi trading Enterprise</t>
  </si>
  <si>
    <t>Collection; Transportation And Disposal Of Solid-Waste In The Southern Waste Service Region From Designated Scheduled Routes In Nkowankowa</t>
  </si>
  <si>
    <t>31/12/2021</t>
  </si>
  <si>
    <t>Collection, Transportation And Disposal Of Solid-Waste In Lenyenye</t>
  </si>
  <si>
    <t xml:space="preserve">DTM consulting </t>
  </si>
  <si>
    <t>once off</t>
  </si>
  <si>
    <t>Review of organisation structure ,conduct a work study investigation and skills audit of greater Tzaneen municipality</t>
  </si>
  <si>
    <t>Zacks Business Enterprise</t>
  </si>
  <si>
    <t xml:space="preserve">12 months </t>
  </si>
  <si>
    <t>Upgrading of Matapa to Leseka</t>
  </si>
  <si>
    <t>07/08/2020</t>
  </si>
  <si>
    <t>35 572 166.85</t>
  </si>
  <si>
    <t>LEBP Construction</t>
  </si>
  <si>
    <t>12 months</t>
  </si>
  <si>
    <t xml:space="preserve">Relela Access road </t>
  </si>
  <si>
    <t>30/09/2020</t>
  </si>
  <si>
    <t>16 252 448.41</t>
  </si>
  <si>
    <t>Transaction Capital</t>
  </si>
  <si>
    <t>purchase of debt book collection for a period of 36 months</t>
  </si>
  <si>
    <t>30/09/2022</t>
  </si>
  <si>
    <t xml:space="preserve">Rates </t>
  </si>
  <si>
    <t>Mabule rail &amp; Infrastructure Solution</t>
  </si>
  <si>
    <t>12 Months</t>
  </si>
  <si>
    <t xml:space="preserve">Lenyenye Taxi rank </t>
  </si>
  <si>
    <t>11/06/2020</t>
  </si>
  <si>
    <t>First Technology</t>
  </si>
  <si>
    <t>Leasing Of ICT Equipment</t>
  </si>
  <si>
    <t>31/12/2022</t>
  </si>
  <si>
    <t>Eternity Star</t>
  </si>
  <si>
    <t>18 months</t>
  </si>
  <si>
    <t>18 Months</t>
  </si>
  <si>
    <t>mopye high school access road</t>
  </si>
  <si>
    <t>18/10/2020</t>
  </si>
  <si>
    <t>selby construction</t>
  </si>
  <si>
    <t>upgrading of lenyenye to Kujwana access</t>
  </si>
  <si>
    <t>15/05/2020</t>
  </si>
  <si>
    <t>24 months</t>
  </si>
  <si>
    <t xml:space="preserve">upgrading of Nelson Ramodike high school access road </t>
  </si>
  <si>
    <t>08/08/2020</t>
  </si>
  <si>
    <t>R87 341 960</t>
  </si>
  <si>
    <t>R92 549 487</t>
  </si>
  <si>
    <t>R97 955 384</t>
  </si>
  <si>
    <t>Dislaimer</t>
  </si>
  <si>
    <t>unQualified</t>
  </si>
  <si>
    <t>1/7/2017</t>
  </si>
  <si>
    <t>1 816.52</t>
  </si>
  <si>
    <t>3 Phase Domestic/Agri Tariff 25 kVa (Basic)</t>
  </si>
  <si>
    <t>3 Phase Domestic/Agri Tariff 50 kVa (Basic)</t>
  </si>
  <si>
    <t>3 Phase Domestic/Agri Tariff 75 kVa (Basic)</t>
  </si>
  <si>
    <t>3 Phase Commercial Tariff 25 kVa (Basic)</t>
  </si>
  <si>
    <t>3 Phase Commercial Tariff 50 kVa (Basic)</t>
  </si>
  <si>
    <t>3 Phase Commercial Tariff 75 kVa (Basic)</t>
  </si>
  <si>
    <t>1 Phase Commercial Basic</t>
  </si>
  <si>
    <t>3 Phase Domestic/Agri Tariff  (c/kwh)</t>
  </si>
  <si>
    <t>3 Phase Commercial Tariff  (c/kwh)</t>
  </si>
  <si>
    <t>TOU &gt;200Kva (basic)</t>
  </si>
  <si>
    <t>Demand Charge (R/Kva)</t>
  </si>
  <si>
    <t>High Season Peak (c/kwh)</t>
  </si>
  <si>
    <t>High Season Std (c/kwh)</t>
  </si>
  <si>
    <t>High Season Off Peak (c/kwh)</t>
  </si>
  <si>
    <t>Low Season Peak (c/kwh)</t>
  </si>
  <si>
    <t>Low Season Std (c/kwh)</t>
  </si>
  <si>
    <t>Low Season Off Peak (c/kwh)</t>
  </si>
  <si>
    <t>LPU Domestic/Agri (basic)</t>
  </si>
  <si>
    <t xml:space="preserve">Demand Charge High Season (R/Kva) </t>
  </si>
  <si>
    <t xml:space="preserve">Demand Charge Low Season (R/Kva) </t>
  </si>
  <si>
    <t xml:space="preserve">Demand Charge High Season (c/kwh) </t>
  </si>
  <si>
    <t xml:space="preserve">Demand Charge Low Season (c/kwh) </t>
  </si>
  <si>
    <t>LPU Business</t>
  </si>
  <si>
    <t xml:space="preserve">UNIEQUO </t>
  </si>
  <si>
    <t>FOCUS OUTSORUCING</t>
  </si>
  <si>
    <t>CONTOUR TECHNOLOGY</t>
  </si>
  <si>
    <t>Community services</t>
  </si>
  <si>
    <t>Electrical Engineering services</t>
  </si>
  <si>
    <t>Engineering services</t>
  </si>
  <si>
    <t xml:space="preserve">Engineering serices </t>
  </si>
  <si>
    <t xml:space="preserve"> Mawa Block 12 low level bridges</t>
  </si>
  <si>
    <t>Upgrading</t>
  </si>
  <si>
    <t>Ward 2</t>
  </si>
  <si>
    <t>Electrical engineering</t>
  </si>
  <si>
    <t>Electricity raticulation</t>
  </si>
  <si>
    <t>Miniature Substation Town</t>
  </si>
  <si>
    <t>Juliesburg Sports Ground</t>
  </si>
  <si>
    <t>Burgersdorp Sports Ground</t>
  </si>
  <si>
    <t>Agatha Cemetery Bridge</t>
  </si>
  <si>
    <t>Rehabilitation of Tzaneen Airfield</t>
  </si>
  <si>
    <t>Rebuilding Lines - Letsitele Valley Sub &amp; T-Offs</t>
  </si>
  <si>
    <t>Rebuilding Lines - Valencia 11KV Lines</t>
  </si>
  <si>
    <t>Rebuilding Lines - Lushof 11KV Lines</t>
  </si>
  <si>
    <t>Rebuilding Lines - Rooikoppies 11KV Lines</t>
  </si>
  <si>
    <t>Rebuilding Lines - Mabiet 11KV Lines</t>
  </si>
  <si>
    <t>Rebuilding Lines - Haenertsburg 11KV Lines</t>
  </si>
  <si>
    <t>Rebuilding Lines - Campsies Glen 11KV Lines</t>
  </si>
  <si>
    <t>Rebuilding Lines - Politsi Valley 11KV Lines</t>
  </si>
  <si>
    <t>Rebuilding Lines - CP Minaar 11KV Lines</t>
  </si>
  <si>
    <t>Rebuilding Lines - Mielikloof/Deerpark 11KV Lines</t>
  </si>
  <si>
    <t>Rebuilding Lines - Ebenezer 33KV Lines</t>
  </si>
  <si>
    <t>Rebuilding Lines - New Area LightingTarentaalrand Crossing</t>
  </si>
  <si>
    <t>Rebuilding Lines - Houtbosdorp 11KV Ring</t>
  </si>
  <si>
    <t>Installation of new Streetlight R36</t>
  </si>
  <si>
    <t>Rehab of Tzaneen Main Sub - x2 20MVA Transformers</t>
  </si>
  <si>
    <t>Upgrading of SS1 substation</t>
  </si>
  <si>
    <t>Substation Fencing - Tarentaal</t>
  </si>
  <si>
    <t>Waterbok 33/11kv Line upgrade</t>
  </si>
  <si>
    <t>Blacknol 33/11kv Line upgrade</t>
  </si>
  <si>
    <t>11kv Cable Replacement</t>
  </si>
  <si>
    <t>Lenyenye to Khujwana Access Road</t>
  </si>
  <si>
    <t>Imrove access to affordable and sustainable basis services</t>
  </si>
  <si>
    <t>Ward 31</t>
  </si>
  <si>
    <t>Upgrading CODESA to Hani Street</t>
  </si>
  <si>
    <t>Upgrading Lenyenye Taxi Rank</t>
  </si>
  <si>
    <t>Upgrading Mulati Access Road</t>
  </si>
  <si>
    <t>Upgrading Mbambamencisi Access Road</t>
  </si>
  <si>
    <t>Ward 21</t>
  </si>
  <si>
    <t>Mopye Access Road</t>
  </si>
  <si>
    <t>Ward 9</t>
  </si>
  <si>
    <t>Upgrading Nelson Ramodike Access Road</t>
  </si>
  <si>
    <t>Upgrading of Relela Access Road</t>
  </si>
  <si>
    <t>Ward 8</t>
  </si>
  <si>
    <t>Upgrading of Civic Centre And Old Fire</t>
  </si>
  <si>
    <t>Civic centre</t>
  </si>
  <si>
    <t xml:space="preserve">Upgrading of Matapa to Leseka </t>
  </si>
  <si>
    <t>Construction of Ext 13 Street - Turnkey Projects</t>
  </si>
  <si>
    <t>Construction of Grease &amp; Oil Trap (Workshop &amp; Choice Supermarket)</t>
  </si>
  <si>
    <t>Ward 15</t>
  </si>
  <si>
    <t>Rebuild of Lines - Nondweni 11Kv</t>
  </si>
  <si>
    <t>Less: 2MVA Transformers</t>
  </si>
  <si>
    <t>Less: Moleketla Drift</t>
  </si>
  <si>
    <t>office equipment</t>
  </si>
  <si>
    <t>finance</t>
  </si>
  <si>
    <t>New</t>
  </si>
  <si>
    <t>effective and efficient administration</t>
  </si>
  <si>
    <t>Paving of Nelson Ramodike High School Access road to school phase 1 of 2 and phase 2 of 3 and 3 of 3</t>
  </si>
  <si>
    <t>Tarring Nkowankowa A Codesa and Hani Street</t>
  </si>
  <si>
    <t>Mulati Access road Paving Phase 1 of 3 and 2 of 3 and 3 of 3</t>
  </si>
  <si>
    <t>Upgrading of Access Road Mbambamencisi:Phase 1 of 3 and 2 of 3</t>
  </si>
  <si>
    <t>Matapa to Leseka Access Road to School: Phase 1 of 2 and 2 of 2</t>
  </si>
  <si>
    <t>Paving of moseanoka to Cell C Pharare internal streets in ward 28</t>
  </si>
  <si>
    <t>Paving of Risaba, Mnisi, shando, to Driving school internal streets in ward 5</t>
  </si>
  <si>
    <t>Paving of main road from Ndhuna mandlakazi, Efrika, Zangoma, Mpenyisi to Jamba Cross internal streets( in ward 13, Mandlakazi) and Nwamitwa bridge via Nhlengeleti school to taxi rank, clinic via Lwandlamoni school to Nwamitwa/Mandlakazi road(in ward12)</t>
  </si>
  <si>
    <t>Mawa B12 low level bridge</t>
  </si>
  <si>
    <t>Purchasing of tar cutting machines and small compactors</t>
  </si>
  <si>
    <t>community serv</t>
  </si>
  <si>
    <t xml:space="preserve">Installation of new Entrance  streetlights R71 (Adshade bridge to the Voortrekker street robot) </t>
  </si>
  <si>
    <t xml:space="preserve">Upgrading of old fire station building and civic centre </t>
  </si>
  <si>
    <t>Rehabilitation of Haenertsburg Cementry road</t>
  </si>
  <si>
    <t>Renewal Repairs and maintenance on prepaid meters and infrastructure in phases (Mieliekloof &amp; Tarentaalrand)</t>
  </si>
  <si>
    <t xml:space="preserve">Miniature substation Urban distribution networks in phases </t>
  </si>
  <si>
    <t>Substation Tripping Batteries in phases (Letsitele Valley)</t>
  </si>
  <si>
    <t>Provision of Electrical tools (Operation and Maintenance)</t>
  </si>
  <si>
    <t>Replacement of  Existing Air Conditioners in Municipal Buildings in phases</t>
  </si>
  <si>
    <t>Rebuilding of Lines- Green frog-Haenertsburg in phases</t>
  </si>
  <si>
    <t>Rebuilding of lines Gravelotte – De Neck in phases</t>
  </si>
  <si>
    <t>Rebuilding of 33 KV lines – Lalapanzi – Waterbok in phases</t>
  </si>
  <si>
    <t>Rebuilding of Mashutti 11kv line in phases</t>
  </si>
  <si>
    <t>Rebuilding of Deeside 11kv line in phases</t>
  </si>
  <si>
    <t>Rebuilding of Yarmona and Shivurali 11kv line in phases</t>
  </si>
  <si>
    <t>Rebuilding of Ledzee 11kv line from LZ44 to Vandergryp Farm in phases</t>
  </si>
  <si>
    <t>Rebuilding of lines – Letsitele Valley substation – Bosbou and all T offs in phases</t>
  </si>
  <si>
    <t>Rebuilding of Rooikoppies 11kv lines in phases</t>
  </si>
  <si>
    <t>Rebuilding of Mieliekloof and Deerpark 11kv lines in phases</t>
  </si>
  <si>
    <t>Rebuilding of Letaba Feeder 33KV line in phases</t>
  </si>
  <si>
    <t>Substation Fencing at major substations in phases (Letsitele Main Substation)</t>
  </si>
  <si>
    <t>Replace 2 x 15 MVA 66/11 Kv Transformers with 2 x 20 MVA at Tzaneen Mainsub Phase 1 and 2</t>
  </si>
  <si>
    <t xml:space="preserve">Replace 11kv and 33kv Auto reclosers per annum (x4) </t>
  </si>
  <si>
    <t>Refurbishment of the Ebenhezer 33kV Feeder (2,5 km)</t>
  </si>
  <si>
    <t>Rebuilding of Valencia 11Kv lines in phases</t>
  </si>
  <si>
    <t>Purchase of critical office furniture</t>
  </si>
  <si>
    <t>Replace 2 x 20 MVA 66/11 kV at Tzaneen main sub (+R4 Million from STD)</t>
  </si>
  <si>
    <t>Substation Tripping Batteries (Item B53 6/14)</t>
  </si>
  <si>
    <t>Provision of Capital Tools (Customer and Retail Services)</t>
  </si>
  <si>
    <t>Provision of Capital tools (Operations and Maintenance)</t>
  </si>
  <si>
    <t>Replacement of Existing Air Conditioners</t>
  </si>
  <si>
    <t xml:space="preserve">Rebuilding of Rooikoppies 11kv lines </t>
  </si>
  <si>
    <t xml:space="preserve">Rebuilding of Mabiet 11kv lines </t>
  </si>
  <si>
    <t xml:space="preserve">Rebuilding of Haenertsburg 11kv lines </t>
  </si>
  <si>
    <t xml:space="preserve">Rebuilding of Campsies Glen 11kv lines </t>
  </si>
  <si>
    <t xml:space="preserve">Rebuilding of Politsi Valley 11kv lines </t>
  </si>
  <si>
    <t xml:space="preserve">Rebuilding of Mieliekloof / Deerpark 11kv lines </t>
  </si>
  <si>
    <t>Upgrading of Waterbok 33/11KV Substation</t>
  </si>
  <si>
    <t>Upgrading of Blacknoll 33/11KV Substation</t>
  </si>
  <si>
    <t>Houtbosdorp 11KV Ring</t>
  </si>
  <si>
    <t>Replace 11 kV and 33 kV Auto reclosers per annum (Item B53 6/14)</t>
  </si>
  <si>
    <t>Tickeyline to Mahwibidung Stormwater</t>
  </si>
  <si>
    <t>New generators for Engineering Services</t>
  </si>
  <si>
    <t>Upgrading of Morutji to Matswi/Kheshokolwe Road</t>
  </si>
  <si>
    <t>expansion of Waterbok 33/11KV Substation</t>
  </si>
  <si>
    <t>Expansion of Blacknoll 33/11KV Substation</t>
  </si>
  <si>
    <t>Replace 2 x 15 MVA 66/11 kv(linked to revenue on new electricity connections) with bigger capacity</t>
  </si>
  <si>
    <t>Addition SS1 electrical substation circuit breakers with compact switchgear</t>
  </si>
  <si>
    <t>Streetlights R36</t>
  </si>
  <si>
    <t>Mopye High School Access Road</t>
  </si>
  <si>
    <t>ESD-11</t>
  </si>
  <si>
    <t xml:space="preserve">Paving of Nelson Ramodike High School Access road </t>
  </si>
  <si>
    <t>ESD-12</t>
  </si>
  <si>
    <t>Ward 30</t>
  </si>
  <si>
    <t>ESD-13</t>
  </si>
  <si>
    <t>Ward 16</t>
  </si>
  <si>
    <t>Construction of storm water drainage systems</t>
  </si>
  <si>
    <t>ESD-14</t>
  </si>
  <si>
    <t>ESD-15</t>
  </si>
  <si>
    <t>Ward 19</t>
  </si>
  <si>
    <t>Paving of Topanama Access Road to Serurubele School</t>
  </si>
  <si>
    <t>ESD-16</t>
  </si>
  <si>
    <t xml:space="preserve">Paving of Marirone to Motupa Street </t>
  </si>
  <si>
    <t>ESD-17</t>
  </si>
  <si>
    <t>Ward 10</t>
  </si>
  <si>
    <t xml:space="preserve">Paving of Thapane Street </t>
  </si>
  <si>
    <t>ESD-18</t>
  </si>
  <si>
    <t>Ward 11</t>
  </si>
  <si>
    <t xml:space="preserve">Mulati Access road Paving </t>
  </si>
  <si>
    <t>ESD-19</t>
  </si>
  <si>
    <t>Tickyline to Makhwibuding Construction of storm water drainage systems.</t>
  </si>
  <si>
    <t>ESD-21</t>
  </si>
  <si>
    <t>Lenyenye Street paving</t>
  </si>
  <si>
    <t>ESD-24</t>
  </si>
  <si>
    <t>Upgrading of Access Road Mbambamencisi</t>
  </si>
  <si>
    <t>ESD-25</t>
  </si>
  <si>
    <t xml:space="preserve">Upgrading of Khujwana to Lenyenye Access Road </t>
  </si>
  <si>
    <t>ESD-26</t>
  </si>
  <si>
    <t>Upgrading of Zangoma to Mariveni</t>
  </si>
  <si>
    <t>ESD-27</t>
  </si>
  <si>
    <t>ESD-28</t>
  </si>
  <si>
    <t>Nkowakowa Section D street paving</t>
  </si>
  <si>
    <t>ESD-29</t>
  </si>
  <si>
    <t>ESD-31</t>
  </si>
  <si>
    <t>Matapa to Leseka Access Road to School</t>
  </si>
  <si>
    <t>ESD-32</t>
  </si>
  <si>
    <t>Ward 34</t>
  </si>
  <si>
    <t>ESD-110</t>
  </si>
  <si>
    <t>Paving of Main road from Ndhuna Mandlakazi, Efrika, Zangoma, Mpenyisi to Jamba Cross Internal Street (in Ward 13, Mandlakazi) and Nwamitwa Bridge via Nhlengeleti School to Taxi Rank, Clinic via Lwandlamoni School to Nwamitwa/Mandlakazi Road (in Ward 12)</t>
  </si>
  <si>
    <t>ESD-297</t>
  </si>
  <si>
    <t>Engineering serices &amp; Community services</t>
  </si>
  <si>
    <t>Purchase of Fleet: 1x waste truck 1 x grader</t>
  </si>
  <si>
    <t>CSD-22</t>
  </si>
  <si>
    <t>ESD-86</t>
  </si>
  <si>
    <t xml:space="preserve">Fence Lenyenye cemetery </t>
  </si>
  <si>
    <t>Planning&amp;economic development</t>
  </si>
  <si>
    <t>PED-30</t>
  </si>
  <si>
    <t xml:space="preserve">Purchase of critical office furniture </t>
  </si>
  <si>
    <t xml:space="preserve">Streetlights </t>
  </si>
  <si>
    <t>Streetlights</t>
  </si>
  <si>
    <t>R71 Deerpark Traffic circle lights SANRAL</t>
  </si>
  <si>
    <t>Area Lighting at Tarentaal rand Crossing + R100,000</t>
  </si>
  <si>
    <t>Replace 2 x 20 MVA 66/11 kV at Tzaneen main sub (+R4 Million from IIPSA)</t>
  </si>
  <si>
    <t xml:space="preserve">Prepaid Meters </t>
  </si>
  <si>
    <t>Replacing 11kv cables (Replace overhead line from Pompagalana T3 to Industrial)</t>
  </si>
  <si>
    <t>Substation Tripping Batteries (Item B53 6/14) (Letsitele Main)</t>
  </si>
  <si>
    <t>Renewal</t>
  </si>
  <si>
    <t>Replace Minisubs</t>
  </si>
  <si>
    <t>Rebuilding of Lines- Green frog-Haenertsburg (12km)</t>
  </si>
  <si>
    <t>Rebuilding of lines Gravelotte – De Neck      (15 km)</t>
  </si>
  <si>
    <t>Rebuilding of 33 KV lines – Lalapanzi – Waterbok 2km</t>
  </si>
  <si>
    <t>Rebuilding of Mashutti 11kv line (4km)</t>
  </si>
  <si>
    <t xml:space="preserve">Rebuilding of Deeside 11kv line </t>
  </si>
  <si>
    <t>Rebuilding of Yarmona /Shivulari 11kv line (4km)</t>
  </si>
  <si>
    <t xml:space="preserve">Rebuilding of Ledzee 11kv lines </t>
  </si>
  <si>
    <t xml:space="preserve">Rebuilding of lines – Letsitele Valley substation – Bosbou and all T offs </t>
  </si>
  <si>
    <t xml:space="preserve">Rebuilding of Valencia 11kv lines </t>
  </si>
  <si>
    <t xml:space="preserve">Rebuilding of Lushof South 11kv lines </t>
  </si>
  <si>
    <t xml:space="preserve">Rebuilding of CP Minnaar 11kv lines </t>
  </si>
  <si>
    <t xml:space="preserve">Rebuilding of Letaba Feeder 33KV line </t>
  </si>
  <si>
    <t>Upgrading of Waterbok 33/11KV Substation (+ R1million IIPSA)</t>
  </si>
  <si>
    <t>Upgrading of Blacknoll 33/11KV Substation (+ R1 million IIPSA)</t>
  </si>
  <si>
    <t>Replacing of old SS1 electrical substation circuit breakers with compact switchgear (+ R4million IIPSA)</t>
  </si>
  <si>
    <t>Refurbishment of the Ebenhezer 33kV Feeder</t>
  </si>
  <si>
    <t>EED-115</t>
  </si>
  <si>
    <t>Attract and retain best human capital to become employer of choice</t>
  </si>
  <si>
    <t>variable</t>
  </si>
  <si>
    <t>INEP,NDPG &amp; EEDSMG&amp;  donation</t>
  </si>
  <si>
    <t>EPWP Incentive &amp; MIG operation</t>
  </si>
  <si>
    <t>Moleketla Drift</t>
  </si>
  <si>
    <t>Purchase of Fleet: 1x grader &amp; 1x Waste trucks</t>
  </si>
  <si>
    <t>GTEDA OFFICE EQUIPMENT</t>
  </si>
  <si>
    <t>GTEDA</t>
  </si>
  <si>
    <t>Purchase of office Equipment</t>
  </si>
  <si>
    <t>Purchase of MSCOA printers Equipments</t>
  </si>
  <si>
    <t>GTEDA-298</t>
  </si>
  <si>
    <t>MZ Mawasha- Chairperson</t>
  </si>
  <si>
    <t>MF Mushwana- Member</t>
  </si>
  <si>
    <t>BL Mathebula- Member</t>
  </si>
  <si>
    <t>MI Moakamela- Member</t>
  </si>
  <si>
    <t>N/A</t>
  </si>
  <si>
    <t>Function:Planning and Development:Core Function:Economic Development/Planning</t>
  </si>
  <si>
    <t>_012_10002_LIM333_Employee Related Cost Municipal Staff &amp; Senior Management_EMPLOYEE RELATED COSTS _ WAGES _ SALARIES_2018</t>
  </si>
  <si>
    <t>PO002000000000000000000000000000000000</t>
  </si>
  <si>
    <t>Function:Planning and Development:Core Function:Corporate Wide Strategic Planning (IDPs, LEDs)</t>
  </si>
  <si>
    <t>_005_10002_LIM333_Employee Related Cost Municipal Staff &amp; Senior Management_EMPLOYEE RELATED COSTS _ WAGES _ SALARIES_2018</t>
  </si>
  <si>
    <t>09. Responsive, accountable, effective and efficient local government</t>
  </si>
  <si>
    <t>04. Governance</t>
  </si>
  <si>
    <t>Increase Financial viability</t>
  </si>
  <si>
    <t>Function:Finance and Administration:Core Function:Finance</t>
  </si>
  <si>
    <t>_032_10001_LIM333_Employee Related Cost Senior Management &amp; Municipal staff_EMPLOYEE RELATED COSTS _ WAGES _ SALARIES_2018</t>
  </si>
  <si>
    <t>Effective and Efficient Administration</t>
  </si>
  <si>
    <t>_033_LIM333_MACHINERY &amp; EQUIPMENT</t>
  </si>
  <si>
    <t>PO001002002001009000000000000000000000</t>
  </si>
  <si>
    <t>Function:Road Transport:Core Function:Roads</t>
  </si>
  <si>
    <t>_063_LIM333_RAILWAY SIDINGS</t>
  </si>
  <si>
    <t>PO001001002001005002001000000000000000</t>
  </si>
  <si>
    <t>06. An efficient, competitive and responsive economic infrastructure network</t>
  </si>
  <si>
    <t>02. Inclusion and access</t>
  </si>
  <si>
    <t>Improve access to sustainable and affordable basic services</t>
  </si>
  <si>
    <t>Function:Finance and Administration:Core Function:Asset Management</t>
  </si>
  <si>
    <t>_036_LIM333_COUNCIL-OWNED LAND</t>
  </si>
  <si>
    <t>PO001002002001003001001001000000000000</t>
  </si>
  <si>
    <t>Function:Community and Social Services:Non-core Function:Disaster Management</t>
  </si>
  <si>
    <t>_153_30000_LIM333_Municipal Running Costs_GENERAL EXPENSES _ OTHER_2018</t>
  </si>
  <si>
    <t>Optimize and sustain infrastructure investment and services</t>
  </si>
  <si>
    <t>_195_30000_LIM333_Municipal Running Costs_GENERAL EXPENSES _ OTHER_2018</t>
  </si>
  <si>
    <t>Function:Finance and Administration:Core Function:Legal Services</t>
  </si>
  <si>
    <t>_058_30000_LIM333_Municipal Running Costs_GENERAL EXPENSES _ OTHER_2018</t>
  </si>
  <si>
    <t>Function:Finance and Administration:Core Function:Administrative and Corporate Support</t>
  </si>
  <si>
    <t>Employee related cost_Public participation &amp; project support</t>
  </si>
  <si>
    <t>Enhanced Integrated Developmental Planning</t>
  </si>
  <si>
    <t>063_063_10001_LIM333_Employee Related Cost Senior Management &amp; Municipal staff_EMPLOYEE RELATED COSTS _ WAGES _ SALARIES_2018</t>
  </si>
  <si>
    <t>Function:Finance and Administration:Core Function:Human Resources</t>
  </si>
  <si>
    <t>_053_10002_LIM333_Employee Related Cost Municipal Staff</t>
  </si>
  <si>
    <t>Function:Public Safety:Core Function:Control of Public Nuisances</t>
  </si>
  <si>
    <t>_144_10001_LIM333_Employee Related Cost Senior Management &amp; Municipal Staff_EMPLOYEE RELATED COSTS _ SOCIAL CONTRIBUTIONS_2018</t>
  </si>
  <si>
    <t>Function:Water Management:Non-core Function:Water Distribution</t>
  </si>
  <si>
    <t>V1District_WaterProject___073_30000_LIM333_Municipal Running Costs_GENERAL EXPENSES _ OTHER_2018</t>
  </si>
  <si>
    <t>_062_10001_LIM333_Employee Related Cost Senior Management &amp; Municipal staff_EMPLOYEE RELATED COSTS _ WAGES _ SALARIES_2018</t>
  </si>
  <si>
    <t>Function:Energy Sources:Core Function:Electricity</t>
  </si>
  <si>
    <t>183_LIM333_COUNCIL-OWNED VEHICLES - COUNCIL-OWNED VEHICLE USAGE</t>
  </si>
  <si>
    <t>PO001002002001010000000000000000000000</t>
  </si>
  <si>
    <t>_173_10001_LIM333_Employee Related Cost Senior Management &amp; municipal staff_EMPLOYEE RELATED COSTS _ SOCIAL CONTRIBUTIONS_2018</t>
  </si>
  <si>
    <t>_183_10001_LIM333_Employee Related Cost Senior Management &amp; municipal staff_EMPLOYEE RELATED COSTS _ SOCIAL CONTRIBUTIONS_2018</t>
  </si>
  <si>
    <t>_063_30000_LIM333_Municipal Running Costs_DEPRECIATION_2018</t>
  </si>
  <si>
    <t>V1District_WaterProject___073_30000_LIM333_Maintenance water_Furniture and office equipment</t>
  </si>
  <si>
    <t>PO001002002001005000000000000000000000</t>
  </si>
  <si>
    <t>_034_10002_LIM333_Employee Related Cost Municipal Staff</t>
  </si>
  <si>
    <t>Function:Health:Core Function:Health Services</t>
  </si>
  <si>
    <t>_115_30000_LIM333_Municipal Running Costs_GENERAL EXPENSES _ OTHER_2018</t>
  </si>
  <si>
    <t>Function:Waste Management:Core Function:Street Cleaning</t>
  </si>
  <si>
    <t>_134_10002_LIM333_Employee Related Cost Municipal Staff &amp; Senior Management_EMPLOYEE RELATED COSTS _ SOCIAL CONTRIBUTIONS_2018</t>
  </si>
  <si>
    <t>_063_30000_LIM333_Maintenance Tarred Roads</t>
  </si>
  <si>
    <t>PO001001002001002001002000000000000000</t>
  </si>
  <si>
    <t>_144_30000_LIM333_Municipal Running Costs_GENERAL EXPENSES _ OTHER_2018</t>
  </si>
  <si>
    <t>Function:Sport and Recreation:Core Function:Recreational Facilities</t>
  </si>
  <si>
    <t>_105_30000_LIM333_Municipal Running Costs_GENERAL EXPENSES _ OTHER_2018</t>
  </si>
  <si>
    <t>Function:Community and Social Services:Core Function:Libraries and Archives</t>
  </si>
  <si>
    <t>_123_30000_LIM333_Municipal Running Costs_GENERAL EXPENSES _ OTHER_2018_Subscription</t>
  </si>
  <si>
    <t>Function:Water Management:Non-core Function:Water Treatment</t>
  </si>
  <si>
    <t>V1District_WaterProject___083_30000_LIM333_Municipal Running Costs_GENERAL EXPENSES _ OTHER_2018</t>
  </si>
  <si>
    <t>GTEDA_Contracted services</t>
  </si>
  <si>
    <t>09. Responsive, accountable effective and efficient local government</t>
  </si>
  <si>
    <t>03. Growth</t>
  </si>
  <si>
    <t>Increased Investment in the GTM Economy</t>
  </si>
  <si>
    <t>_056_30000_LIM333_Municipal Running Costs_GENERAL EXPENSES _ OTHER_2018</t>
  </si>
  <si>
    <t>V1District_WaterProject___083_30000_LIM333_Maintenance water_Distribution network</t>
  </si>
  <si>
    <t>PO001001001001007004001000000000000000</t>
  </si>
  <si>
    <t>GTEDA_Repair and maintenance</t>
  </si>
  <si>
    <t>Function:Executive and Council:Core Function:Municipal Manager, Town Secretary and Chief Executive</t>
  </si>
  <si>
    <t>002_Printing, publications and books</t>
  </si>
  <si>
    <t>_062_30000_LIM333_Municipal Running Costs_GENERAL EXPENSES _ OTHER_2018</t>
  </si>
  <si>
    <t>Function:Waste Management:Core Function:Solid Waste Removal</t>
  </si>
  <si>
    <t>112_Printing, publications and books</t>
  </si>
  <si>
    <t>12. An efficient, effective and development-oriented public service</t>
  </si>
  <si>
    <t>Improved Stakeholders satisfaction</t>
  </si>
  <si>
    <t>_143_LIM333_CONSUMABLE DOMESTIC ITEMS</t>
  </si>
  <si>
    <t>GTEDA_Depreciation &amp; asset impairment</t>
  </si>
  <si>
    <t>_054_LIM333_CONSUMABLE DOMESTIC ITEMS</t>
  </si>
  <si>
    <t>_183_30000_LIM333_Municipal Running Costs_GENERAL EXPENSES _ OTHER_2018</t>
  </si>
  <si>
    <t>Function:Executive and Council:Core Function:Mayor and Council</t>
  </si>
  <si>
    <t>GTEDA_Remuneration of Councillors</t>
  </si>
  <si>
    <t>Function:Finance and Administration:Core Function:Fleet Management</t>
  </si>
  <si>
    <t>_037_30000_LIM333_Municipal Running Costs_GENERAL EXPENSES _ OTHER_2018</t>
  </si>
  <si>
    <t>_133_30000_LIM333_Municipal Running Costs_GENERAL EXPENSES _ OTHER_2018</t>
  </si>
  <si>
    <t>Function:Finance and Administration:Core Function:Supply Chain Management</t>
  </si>
  <si>
    <t>_039_10002_LIM333_Employee Related Cost Municipal Staff</t>
  </si>
  <si>
    <t>Function:Waste Water Management:Core Function:Waste Water Treatment</t>
  </si>
  <si>
    <t>V1District_WaterProject___093_30000_LIM333_Employee cost</t>
  </si>
  <si>
    <t>_005_30000_LIM333_Municipal Running Costs_DEPRECIATION_2018</t>
  </si>
  <si>
    <t>Function:Planning and Development:Core Function:Town Planning, Building Regulations and Enforcement, and City Engineer</t>
  </si>
  <si>
    <t>_015_30000_LIM333_Municipal Running Costs_GENERAL EXPENSES _ OTHER_2018</t>
  </si>
  <si>
    <t>Function:Finance and Administration:Core Function:Property Services</t>
  </si>
  <si>
    <t>_023_LIM333_FURNITURE &amp; OFFICE EQUIPMENT</t>
  </si>
  <si>
    <t>GTEDA_Employee related costs</t>
  </si>
  <si>
    <t>Investments New_1</t>
  </si>
  <si>
    <t>_033_LIM333_COUNCIL-OWNED BUILDINGS</t>
  </si>
  <si>
    <t>_039_30000_LIM333_Municipal Running Costs_GENERAL EXPENSES _ OTHER_2018</t>
  </si>
  <si>
    <t>_133_LIM333_COUNCIL-OWNED LAND</t>
  </si>
  <si>
    <t>_056_10001_LIM333_Employee Related Cost Senior Management &amp; Municipal staff_EMPLOYEE RELATED COSTS _ WAGES _ SALARIES_2018</t>
  </si>
  <si>
    <t>_062_LIM333_MACHINERY &amp; EQUIPMENT</t>
  </si>
  <si>
    <t>_153_10002_LIM333_Employee Related Cost Municipal Staff_EMPLOYEE RELATED COSTS _ SOCIAL CONTRIBUTIONS_2018</t>
  </si>
  <si>
    <t>_134_30000_LIM333_Municipal Running Costs_GENERAL EXPENSES _ OTHER_2018</t>
  </si>
  <si>
    <t>_036_10002_LIM333_Employee Related Cost Municipal Staff</t>
  </si>
  <si>
    <t>_123_30000_LIM333_Municipal Running Costs_GENERAL EXPENSES _ OTHER_2018</t>
  </si>
  <si>
    <t>_143_10001_LIM333_Employee Related Cost Senior Management &amp; Municipal staff_EMPLOYEE RELATED COSTS _ WAGES _ SALARIES_2018</t>
  </si>
  <si>
    <t>_032_30000_LIM333_Municipal Running Costs_BAD DEBTS_2018</t>
  </si>
  <si>
    <t>Function:Housing:Core Function:Housing</t>
  </si>
  <si>
    <t>_103_30000_LIM333_Municipal Running Costs_GENERAL EXPENSES _ OTHER_2018</t>
  </si>
  <si>
    <t>023_Printing, publications and books</t>
  </si>
  <si>
    <t>_173_LIM333_COUNCIL-OWNED BUILDINGS</t>
  </si>
  <si>
    <t>PO001002002001003001001002000000000000</t>
  </si>
  <si>
    <t>Function:Finance and Administration:Core Function:Risk Management</t>
  </si>
  <si>
    <t>_007_10002_LIM333_Employee Related Cost Municipal Staff</t>
  </si>
  <si>
    <t>Function:Waste Water Management:Core Function:Public Toilets</t>
  </si>
  <si>
    <t>_135_30000_LIM333_Municipal Running Costs_GENERAL EXPENSES _ OTHER_2018</t>
  </si>
  <si>
    <t>135_LIM333_CONSUMABLE DOMESTIC ITEMS</t>
  </si>
  <si>
    <t>_063_LIM333_STORMWATER DRAINAGE &amp; BRIDGES</t>
  </si>
  <si>
    <t>PO001001002001002002001000000000000000</t>
  </si>
  <si>
    <t>053_Printing, publications and books</t>
  </si>
  <si>
    <t>_052_30000_LIM333_Municipal Running Costs_DEPRECIATION_2018</t>
  </si>
  <si>
    <t>Function:Finance and Administration:Core Function:Marketing, Customer Relations, Publicity and Media Co-ordination</t>
  </si>
  <si>
    <t>_003_10002_LIM333_Employee Related Cost Municipal Staff</t>
  </si>
  <si>
    <t>GTEDA_Other expenditure</t>
  </si>
  <si>
    <t>_058_10002_LIM333_Employee Related Cost Municipal Staff</t>
  </si>
  <si>
    <t>Function:Finance and Administration:Core Function:Information Technology</t>
  </si>
  <si>
    <t>_038_30000_LIM333_Municipal Running Costs_GENERAL EXPENSES _ OTHER_2018</t>
  </si>
  <si>
    <t>_012_10002_LIM333_Employee Related Cost Municipal Staff &amp; Senior Management_EMPLOYEE RELATED COSTS _ SOCIAL CONTRIBUTIONS_2018</t>
  </si>
  <si>
    <t>_052_10002_LIM333_Employee Related Cost Municipal Staff &amp; Senior Management_EMPLOYEE RELATED COSTS _ SOCIAL CONTRIBUTIONS_2018</t>
  </si>
  <si>
    <t>_133_30000_LIM333_Municipal Running Costs_CONTRACTED SERVICES_2018</t>
  </si>
  <si>
    <t>_115_70000_LIM333_Operational  Typical Work Streams Health and Welfare Food Sample Testing_GENERAL EXPENSES _ OTHER_2018</t>
  </si>
  <si>
    <t>PO003019005000000000000000000000000000</t>
  </si>
  <si>
    <t>_053_30000_LIM333_Municipal Running Costs_GENERAL EXPENSES _ OTHER_2018</t>
  </si>
  <si>
    <t>Function:Internal Audit:Core Function:Governance Function</t>
  </si>
  <si>
    <t>_004_10002_LIM333_Employee Related Cost Municipal Staff_EMPLOYEE RELATED COSTS _ WAGES _ SALARIES_2018</t>
  </si>
  <si>
    <t>_162_10001_LIM333_Employee Related Cost Senior Management &amp; municipal staff_EMPLOYEE RELATED COSTS _ SOCIAL CONTRIBUTIONS_2018</t>
  </si>
  <si>
    <t>_023_30000_LIM333_Municipal Running Costs_GENERAL EXPENSES _ OTHER_2018</t>
  </si>
  <si>
    <t>134_LIM333_CONSUMABLE DOMESTIC ITEMS</t>
  </si>
  <si>
    <t>_115_10002_LIM333_Employee Related Cost Municipal Staff_EMPLOYEE RELATED COSTS _ SOCIAL CONTRIBUTIONS_2018_1</t>
  </si>
  <si>
    <t>employee related cost</t>
  </si>
  <si>
    <t>_035_30000_LIM333_Municipal Running Costs_DEPRECIATION_2018</t>
  </si>
  <si>
    <t>_113_30000_LIM333_Municipal Running Costs_GENERAL EXPENSES _ OTHER_2018</t>
  </si>
  <si>
    <t>_057_10002_LIM333_Employee Related Cost Municipal Staff</t>
  </si>
  <si>
    <t>103_LIM333_COUNCIL-OWNED BUILDINGS</t>
  </si>
  <si>
    <t>PO001002001001003001001002000000000000</t>
  </si>
  <si>
    <t>_038_10002_LIM333_Employee Related Cost Municipal Staff</t>
  </si>
  <si>
    <t>V1District_WaterProject___093_30000_LIM333_Maintenance water_Furniture and office equipment</t>
  </si>
  <si>
    <t>_140_30000_LIM333_Municipal Running Costs_CONTRACTED SERVICES_2018</t>
  </si>
  <si>
    <t>_032_30000_LIM333_Municipal Running Costs_DEPRECIATION_2018</t>
  </si>
  <si>
    <t>_036_30000_LIM333_Municipal Running Costs_GENERAL EXPENSES _ OTHER_2018</t>
  </si>
  <si>
    <t>_006_70000_LIM333_Operational  Typical Work Streams Tourism Tourism Service Awareness Campaign_GENERAL EXPENSES _ OTHER_2018</t>
  </si>
  <si>
    <t>PO003046005000000000000000000000000000</t>
  </si>
  <si>
    <t>_002_10002_LIM333_Employee Related Cost Municipal Staff</t>
  </si>
  <si>
    <t>_032_LIM333_NON-CAPITAL TOOLS &amp; EQUIPMENT</t>
  </si>
  <si>
    <t>_143_30000_LIM333_Municipal Running Costs_GENERAL EXPENSES _ OTHER_2018</t>
  </si>
  <si>
    <t>_015_10002_LIM333_Employee Related Cost Municipal Staff &amp; Senior Management_EMPLOYEE RELATED COSTS _ WAGES _ SALARIES_2018</t>
  </si>
  <si>
    <t>_162_30000_LIM333_Municipal Running Costs_GENERAL EXPENSES _ OTHER_2018</t>
  </si>
  <si>
    <t>_004_30000_LIM333_Municipal Running Costs_GENERAL EXPENSES _ OTHER_2018</t>
  </si>
  <si>
    <t>_033_30000_LIM333_Municipal Running Costs_GRANTS _ SUBSIDIES PAID_2018</t>
  </si>
  <si>
    <t>105_105_10002_LIM333_Employee Related Cost Municipal Staff_EMPLOYEE RELATED COSTS _ WAGES _ SALARIES_2018</t>
  </si>
  <si>
    <t>_063_LIM333_COUNCIL-OWNED VEHICLES - COUNCIL-OWNED VEHICLE USAGE</t>
  </si>
  <si>
    <t>GTEDA_General expenditure</t>
  </si>
  <si>
    <t>CONFERENCE &amp; CONVENTION COST - DOMESTIC - Supply Chain Management</t>
  </si>
  <si>
    <t>New Electricity Connections_INEP Operational_Ntsako</t>
  </si>
  <si>
    <t>PO003054000000000000000000000000000000</t>
  </si>
  <si>
    <t>_035_10002_LIM333_Employee Related Cost Municipal Staff</t>
  </si>
  <si>
    <t>_115_70000_LIM333_Operational  Typical Work Streams Environmental Air Quality Management_GENERAL EXPENSES _ OTHER_2018</t>
  </si>
  <si>
    <t>PO003015001000000000000000000000000000</t>
  </si>
  <si>
    <t>Inventory Module</t>
  </si>
  <si>
    <t>_006_LIM333_NON-CAPITAL TOOLS &amp; EQUIPMENT</t>
  </si>
  <si>
    <t>_057_70000_LIM333_Operational  Typical Work Streams Capacity Building Training and Development Capacity Building Councillors_GENERAL EXPENSES _ OTHER_2018</t>
  </si>
  <si>
    <t>PO003004002000000000000000000000000000</t>
  </si>
  <si>
    <t>_016_30000_LIM333_Municipal Running Costs_GENERAL EXPENSES _ OTHER_2018</t>
  </si>
  <si>
    <t>134_Printing, publications and books</t>
  </si>
  <si>
    <t>_134_30000_LIM333_Municipal Running Costs_CONTRACTED SERVICES_2018</t>
  </si>
  <si>
    <t>_133_10002_LIM333_Employee Related Cost Municipal Staff &amp; Senior Management_EMPLOYEE RELATED COSTS _ SOCIAL CONTRIBUTIONS_2018</t>
  </si>
  <si>
    <t>_173_LIM333_MACHINERY &amp; EQUIPMENT</t>
  </si>
  <si>
    <t>_135_10002_LIM333_Employee Related Cost Municipal Staff_EMPLOYEE RELATED COSTS _ SOCIAL CONTRIBUTIONS_2018</t>
  </si>
  <si>
    <t>_183_30000_LIM333_Municipal Running Costs_INTEREST EXPENSE _ EXTERNAL BORROWINGS_2018</t>
  </si>
  <si>
    <t>_140_10001_LIM333_Employee Related Cost Senior Management &amp; Municipal staff_EMPLOYEE RELATED COSTS _ WAGES _ SALARIES_2018</t>
  </si>
  <si>
    <t>_036_30000_LIM333_Municipal Running Costs_CONTRACTED SERVICES_2018</t>
  </si>
  <si>
    <t>_195_10001_LIM333_Employee Related Cost Senior Management &amp; Municipal staff_EMPLOYEE RELATED COSTS _ WAGES _ SALARIES_2018</t>
  </si>
  <si>
    <t>_053_70000_LIM333_Operational  Typical Work Streams Capacity Building Training and Development ABET and Life Long Learning Programme_GENERAL EXPENSES _ OTHER_2018</t>
  </si>
  <si>
    <t>PO003004001000000000000000000000000000</t>
  </si>
  <si>
    <t>_037_10002_LIM333_Employee Related Cost Municipal Staff</t>
  </si>
  <si>
    <t>_162_LIM333_DISTRIBUTION NETWORKS</t>
  </si>
  <si>
    <t>PO001001002001001008004000000000000000</t>
  </si>
  <si>
    <t>_144_LIM333_CONSUMABLE DOMESTIC ITEMS</t>
  </si>
  <si>
    <t>_140_10001_LIM333_Employee Related Cost Senior Management &amp; Municipal Staff_EMPLOYEE RELATED COSTS _ SOCIAL CONTRIBUTIONS_2018</t>
  </si>
  <si>
    <t>_056_30000_LIM333_Municipal Running Costs_DEPRECIATION_2018</t>
  </si>
  <si>
    <t>_057_LIM333_CONSUMABLE DOMESTIC ITEMS</t>
  </si>
  <si>
    <t>V1District_WaterProject___083_LIM333_Employee Related Cost_2018</t>
  </si>
  <si>
    <t>_140_LIM333_NON-CAPITAL TOOLS &amp; EQUIPMENT_1</t>
  </si>
  <si>
    <t>_173_30000_LIM333_Municipal Running Costs_CONTRACTED SERVICES_2018</t>
  </si>
  <si>
    <t>_034_30000_LIM333_Municipal Running Costs_GENERAL EXPENSES _ OTHER_2018</t>
  </si>
  <si>
    <t>035_Printing, publications and books</t>
  </si>
  <si>
    <t>V1District_WaterProject___073_30000_LIM333_Employee cost</t>
  </si>
  <si>
    <t>V1District_WaterProject___093_30000_LIM333_Maintenance water_Machinery contractors</t>
  </si>
  <si>
    <t>GTEDA_Employee related cost</t>
  </si>
  <si>
    <t>_033_30000_LIM333_Municipal Running Costs_DEPRECIATION_2018</t>
  </si>
  <si>
    <t>_133_70000_LIM333_Operational  Typical Work Streams Expanded Public Works Programme_GRANTS _ SUBSIDIES PAID_2018</t>
  </si>
  <si>
    <t>PO003016001000000000000000000000000000</t>
  </si>
  <si>
    <t>153_Printing, publications and books</t>
  </si>
  <si>
    <t>_034_30000_LIM333_Municipal Running Costs_CONTRACTED SERVICES_2018</t>
  </si>
  <si>
    <t>New and lost books</t>
  </si>
  <si>
    <t>_056_10002_LIM333_Employee Related Cost Municipal Staff</t>
  </si>
  <si>
    <t>115_LIM333_CONSUMABLE DOMESTIC ITEMS</t>
  </si>
  <si>
    <t>_016_10002_LIM333_Employee Related Cost Municipal Staff</t>
  </si>
  <si>
    <t>_007_30000_LIM333_Municipal Running Costs_GENERAL EXPENSES _ OTHER_2018</t>
  </si>
  <si>
    <t>_003_70000_LIM333_Operational  Typical Work Streams Communication and Public Participation Newsletters_GENERAL EXPENSES _ OTHER_2018</t>
  </si>
  <si>
    <t>PO003006005000000000000000000000000000</t>
  </si>
  <si>
    <t>_014_30000_LIM333_Municipal Running Costs_GENERAL EXPENSES _ OTHER_2018</t>
  </si>
  <si>
    <t>New Electricity Connections_INEP Operational_Lenyenye</t>
  </si>
  <si>
    <t>_052_30000_LIM333_Municipal Running Costs_GENERAL EXPENSES _ OTHER_2018</t>
  </si>
  <si>
    <t>_063_30000_LIM333_Municipal Running Costs_GENERAL EXPENSES _ OTHER_2018</t>
  </si>
  <si>
    <t>_016_30000_LIM333_Municipal Running Costs_INTEREST EXPENSE _ EXTERNAL BORROWINGS_2018</t>
  </si>
  <si>
    <t>103_LIM333_FURNITURE &amp; OFFICE EQUIPMENT</t>
  </si>
  <si>
    <t>_057_30000_LIM333_Municipal Running Costs_GENERAL EXPENSES _ OTHER_2018</t>
  </si>
  <si>
    <t>_033_10002_LIM333_Employee Related Cost Municipal Staff</t>
  </si>
  <si>
    <t>103_Printing, publications and books</t>
  </si>
  <si>
    <t>_012_30000_LIM333_Municipal Running Costs_GENERAL EXPENSES _ OTHER_2018</t>
  </si>
  <si>
    <t>_057_70000_LIM333_Operational  Typical Work Streams Communication and Public Participation Mayoral/Executive Mayor Campaigns_GENERAL EXPENSES _ OTHER_2018</t>
  </si>
  <si>
    <t>PO003006004000000000000000000000000000</t>
  </si>
  <si>
    <t>_173_LIM333_COUNCIL-OWNED VEHICLES - COUNCIL-OWNED VEHICLE USAGE</t>
  </si>
  <si>
    <t>_005_30000_LIM333_Municipal Running Costs_GENERAL EXPENSES _ OTHER_2018</t>
  </si>
  <si>
    <t>_052_10001_LIM333_Employee Related Cost Senior Management &amp; Municipal staff_EMPLOYEE RELATED COSTS _ WAGES _ SALARIES_2018</t>
  </si>
  <si>
    <t>012_Printing, publications and books</t>
  </si>
  <si>
    <t>V1District_WaterProject___093_30000_LIM333_Municipal Running Costs_GENERAL EXPENSES _ OTHER_2018</t>
  </si>
  <si>
    <t>_004_30000_LIM333_Municipal Running Costs_CONTRACTED SERVICES_2018</t>
  </si>
  <si>
    <t>_035_30000_LIM333_Municipal Running Costs_GENERAL EXPENSES _ OTHER_2018</t>
  </si>
  <si>
    <t>_123_10002_LIM333_Employee Related Cost Municipal Staff_EMPLOYEE RELATED COSTS _ SOCIAL CONTRIBUTIONS_2018</t>
  </si>
  <si>
    <t>115_Printing, publications and books</t>
  </si>
  <si>
    <t>_024_30000_LIM333_Municipal Running Costs_GENERAL EXPENSES _ OTHER_2018</t>
  </si>
  <si>
    <t>_057_10002_LIM333_Chief Whip</t>
  </si>
  <si>
    <t>_103_30000_LIM333_Municipal Running Costs_DEPRECIATION_2018</t>
  </si>
  <si>
    <t>_183_Distribution Network Repair</t>
  </si>
  <si>
    <t>PO001001002001001003003000000000000000</t>
  </si>
  <si>
    <t>_003_30000_LIM333_Municipal Running Costs_GENERAL EXPENSES _ OTHER_2018</t>
  </si>
  <si>
    <t>195_Printing, publications and books</t>
  </si>
  <si>
    <t>_140_30000_LIM333_Municipal Running Costs_GENERAL EXPENSES _ OTHER_2018</t>
  </si>
  <si>
    <t>_144_LIM333_MACHINERY &amp; EQUIPMENT</t>
  </si>
  <si>
    <t>New Electricity Connections_INEP Operational_Motsetseng</t>
  </si>
  <si>
    <t>173_Printing, publications and books</t>
  </si>
  <si>
    <t>_123_30000_LIM333_Municipal Running Costs_GENERAL EXPENSES _ OTHER_2018_Membership fees other</t>
  </si>
  <si>
    <t>_014_10002_LIM333_Employee Related Cost Municipal Staff &amp; Senior Management_EMPLOYEE RELATED COSTS _ WAGES _ SALARIES_2018</t>
  </si>
  <si>
    <t>103_103_10002_LIM333_Employee Related Cost Municipal Staff_EMPLOYEE RELATED COSTS _ SOCIAL CONTRIBUTIONS_2018</t>
  </si>
  <si>
    <t>_057_10002_LIM333_Speaker</t>
  </si>
  <si>
    <t>_105_30000_LIM333_Municipal Running Costs_GRANTS _ SUBSIDIES PAID_UNCONDITIONAL_2018</t>
  </si>
  <si>
    <t>V1District_WaterProject___073_30000_LIM333_EPWP</t>
  </si>
  <si>
    <t>_035_LIM333_FURNITURE &amp; OFFICE EQUIPMENT</t>
  </si>
  <si>
    <t>_173_30000_LIM333_Municipal Running Costs_GENERAL EXPENSES _ OTHER_2018</t>
  </si>
  <si>
    <t>_173_Distribution Network Repair</t>
  </si>
  <si>
    <t>115_LIM333_COUNCIL-OWNED LAND</t>
  </si>
  <si>
    <t>_036_LIM333_CONSUMABLE DOMESTIC ITEMS</t>
  </si>
  <si>
    <t>058_Printing, publications and books</t>
  </si>
  <si>
    <t>_037_LIM333_CONSUMABLE DOMESTIC ITEMS</t>
  </si>
  <si>
    <t>103_LIM333_COUNCIL-OWNED VEHICLES - COUNCIL-OWNED VEHICLE USAGE</t>
  </si>
  <si>
    <t>076GRANTS &amp; SUBSIDIES PAID</t>
  </si>
  <si>
    <t>_033_30000_LIM333_Municipal Running Costs_GENERAL EXPENSES _ OTHER_2018</t>
  </si>
  <si>
    <t>014_Printing, publications and books</t>
  </si>
  <si>
    <t>_063_LIM333_NON-CAPITAL TOOLS &amp; EQUIPMENT</t>
  </si>
  <si>
    <t>_183_30000_LIM333_Municipal Running Costs_BULK PURCHASES_2018</t>
  </si>
  <si>
    <t>_153_LIM333_CONFERENCE &amp; CONVENTION COST - DOMESTIC</t>
  </si>
  <si>
    <t>_039_LIM333_MACHINERY &amp; EQUIPMENT</t>
  </si>
  <si>
    <t>_039_LIM333_NON-CAPITAL TOOLS &amp; EQUIPMENT</t>
  </si>
  <si>
    <t>_054_30000_LIM333_Municipal Running Costs_GENERAL EXPENSES _ OTHER_2018</t>
  </si>
  <si>
    <t>_034_LIM333_FURNITURE &amp; OFFICE EQUIPMENT</t>
  </si>
  <si>
    <t>V1District_WaterProject___083_30000_LIM333_Testing of Samples</t>
  </si>
  <si>
    <t>_005_LIM333_FURNITURE &amp; OFFICE EQUIPMENT</t>
  </si>
  <si>
    <t>_112_30000_LIM333_Municipal Running Costs_GENERAL EXPENSES _ OTHER_2018</t>
  </si>
  <si>
    <t>_038_LIM333_NON-COUNCIL-OWNED ASSETS - CONTRACTORS</t>
  </si>
  <si>
    <t>_012_30000_LIM333_Municipal Running Costs_DEPRECIATION_2018</t>
  </si>
  <si>
    <t>V1District_WaterProject___083_30000_LIM333_Council Owned land</t>
  </si>
  <si>
    <t>_112_LIM333_FURNITURE &amp; OFFICE EQUIPMENT</t>
  </si>
  <si>
    <t>_105_LIM333_NON-CAPITAL TOOLS &amp; EQUIPMENT</t>
  </si>
  <si>
    <t>_105_LIM333_NON-COUNCIL-OWNED ASSETS - CONTRACTORS</t>
  </si>
  <si>
    <t>_105_LIM333_COUNCIL-OWNED VEHICLES - COUNCIL-OWNED VEHICLE USAGE</t>
  </si>
  <si>
    <t>_153_LIM333_Non-Capital Tools and Equipment</t>
  </si>
  <si>
    <t>115_LIM333_NON-CAPITAL TOOLS &amp; EQUIPMENT</t>
  </si>
  <si>
    <t>V1District_WaterProject___073_30000_LIM333_Sidewalk &amp; pavement</t>
  </si>
  <si>
    <t>PO001002002001002001014009000000000000</t>
  </si>
  <si>
    <t>Interest_Borrowings_New_2019_V1</t>
  </si>
  <si>
    <t>183_Printing, publications and books</t>
  </si>
  <si>
    <t>V1District_WaterProject___093_30000_LIM333_Repair_Buildings</t>
  </si>
  <si>
    <t>PO001001002001007009003000000000000000</t>
  </si>
  <si>
    <t>_123_LIM333_NON-CAPITAL TOOLS &amp; EQUIPMENT</t>
  </si>
  <si>
    <t>_036_LIM333_MACHINERY &amp; EQUIPMENT</t>
  </si>
  <si>
    <t>134_LIM333_REFUSE BINS</t>
  </si>
  <si>
    <t>PO001001002001004004003000000000000000</t>
  </si>
  <si>
    <t>024_Printing, publications and books</t>
  </si>
  <si>
    <t>_153_LIM333_FURNITURE &amp; OFFICE EQUIPMENT</t>
  </si>
  <si>
    <t>_032_30000_LIM333_Municipal Running Costs_GENERAL EXPENSES _ OTHER_2018</t>
  </si>
  <si>
    <t>_173_NON-CAPITAL TOOLS &amp; EQUIPMENT</t>
  </si>
  <si>
    <t>_144_30000_LIM333_Municipal Running Costs_CONTRACTED SERVICES_2018</t>
  </si>
  <si>
    <t>_033_LIM333_NON-CAPITAL TOOLS &amp; EQUIPMENT</t>
  </si>
  <si>
    <t>GTEDA_Depreciation</t>
  </si>
  <si>
    <t>183_LIM333_TRAFFIC LIGHTS</t>
  </si>
  <si>
    <t>PO001001002001001008002000000000000000</t>
  </si>
  <si>
    <t>_006_30000_LIM333_Municipal Running Costs_GENERAL EXPENSES _ OTHER_2018</t>
  </si>
  <si>
    <t>_038_LIM333_NON-CAPITAL TOOLS &amp; EQUIPMENT</t>
  </si>
  <si>
    <t>_036_30000_LIM333_Municipal Running Costs_DEPRECIATION_2018</t>
  </si>
  <si>
    <t>_173_30000_LIM333_Municipal Running Costs_DEPRECIATION_2018</t>
  </si>
  <si>
    <t>_034_LIM333_GRANT - ESKOM EBSST</t>
  </si>
  <si>
    <t>V1District_WaterProject___073_30000_LIM333_Council Owned land</t>
  </si>
  <si>
    <t>PO001001002001007002001000000000000000</t>
  </si>
  <si>
    <t>_054_LIM333_NON-CAPITAL TOOLS &amp; EQUIPMENT</t>
  </si>
  <si>
    <t>007_Printing, publications and books</t>
  </si>
  <si>
    <t>_133_30000_LIM333_Municipal Running Costs_INTEREST EXPENSE _ EXTERNAL BORROWINGS_2018</t>
  </si>
  <si>
    <t>V1District_WaterProject___093_30000_LIM333_Maintenance water_Machinery</t>
  </si>
  <si>
    <t>_012_30000_LIM333_Municipal Running Costs_GENERAL EXPENSES _ OTHER_2018_V1</t>
  </si>
  <si>
    <t>_183_Meters</t>
  </si>
  <si>
    <t>PO001001002001001002004000000000000000</t>
  </si>
  <si>
    <t>162_Printing, publications and books</t>
  </si>
  <si>
    <t>183_LIM333_NON-CAPITAL TOOLS &amp; EQUIPMENT</t>
  </si>
  <si>
    <t>_105_LIM333_MACHINERY &amp; EQUIPMENT</t>
  </si>
  <si>
    <t>183_LIM333_CONSUMABLE DOMESTIC ITEMS</t>
  </si>
  <si>
    <t>_057_30000_LIM333_Municipal Running Costs_DEPRECIATION_2018</t>
  </si>
  <si>
    <t>037_Printing, publications and books</t>
  </si>
  <si>
    <t>103_LIM333_CONSUMABLE DOMESTIC ITEMS</t>
  </si>
  <si>
    <t>_135_30000_LIM333_Municipal Running Costs_DEPRECIATION_2018</t>
  </si>
  <si>
    <t>_058_LIM333_NON-CAPITAL TOOLS &amp; EQUIPMENT</t>
  </si>
  <si>
    <t>V1District_WaterProject___093_30000_LIM333_Testing of Samples</t>
  </si>
  <si>
    <t>_105_30000_LIM333_Municipal Running Costs_DEPRECIATION_2018</t>
  </si>
  <si>
    <t>_052_LIM333_NON-CAPITAL TOOLS &amp; EQUIPMENT</t>
  </si>
  <si>
    <t>143_Printing, publications and books</t>
  </si>
  <si>
    <t>V1District_WaterProject___073_30000_LIM333_Maintenance water_Machinery</t>
  </si>
  <si>
    <t>103_LIM333_NON-CAPITAL TOOLS &amp; EQUIPMENT</t>
  </si>
  <si>
    <t>_058_30000_LIM333_Municipal Running Costs_GENERAL EXPENSES _ OTHER_2_2018</t>
  </si>
  <si>
    <t>_053_LIM333_MACHINERY &amp; EQUIPMENT</t>
  </si>
  <si>
    <t>_002_30000_LIM333_Municipal Running Costs_GENERAL EXPENSES _ OTHER_2018</t>
  </si>
  <si>
    <t>_133_30000_LIM333_Municipal Running Costs_DEPRECIATION_2018</t>
  </si>
  <si>
    <t>_062_30000_LIM333_Municipal Running Costs_DEPRECIATION_2018</t>
  </si>
  <si>
    <t>_036_LIM333_COUNCIL-OWNED BUILDINGS</t>
  </si>
  <si>
    <t>_173_30000_LIM333_Municipal Running Costs_INTEREST EXPENSE _ EXTERNAL BORROWINGS_2018</t>
  </si>
  <si>
    <t>_007_LIM333_CONSUMABLE DOMESTIC ITEMS</t>
  </si>
  <si>
    <t>_123_LIM333_FURNITURE &amp; OFFICE EQUIPMENT</t>
  </si>
  <si>
    <t>GTEDA_Contracted Services</t>
  </si>
  <si>
    <t>_057_70000_LIM333_Operational  Typical Work Streams Community Development Burials_GRANTS _ SUBSIDIES PAID_UNCONDITIONAL_2018</t>
  </si>
  <si>
    <t>PO003007013000000000000000000000000000</t>
  </si>
  <si>
    <t>133_Printing, publications and books</t>
  </si>
  <si>
    <t>_115_30000_LIM333_Municipal Running Costs_GENERAL EXPENSES _ OTHER_2_2018</t>
  </si>
  <si>
    <t>_173_30000_LIM333_Municipal Running Costs_BULK PURCHASES_2018</t>
  </si>
  <si>
    <t>_034_30000_LIM333_Municipal Running Costs_BAD DEBTS_2018</t>
  </si>
  <si>
    <t>_105_70000_LIM333_Operational  Typical Work Streams Functions and Events Recreational Functions_GENERAL EXPENSES _ OTHER_2018</t>
  </si>
  <si>
    <t>PO003017004000000000000000000000000000</t>
  </si>
  <si>
    <t>005_Printing, publications and books</t>
  </si>
  <si>
    <t>033_Printing, publications and books</t>
  </si>
  <si>
    <t>New Electricity Connections_INEP Operational_New phephene</t>
  </si>
  <si>
    <t>004_Printing, publications and books</t>
  </si>
  <si>
    <t>_063_LIM333_CONSUMABLE DOMESTIC ITEMS</t>
  </si>
  <si>
    <t>_034_LIM333_CONSUMABLE DOMESTIC ITEMS</t>
  </si>
  <si>
    <t>_133_LIM333_NON-COUNCIL-OWNED ASSETS - CONTRACTORS</t>
  </si>
  <si>
    <t>_133_LIM333_NON-CAPITAL TOOLS &amp; EQUIPMENT</t>
  </si>
  <si>
    <t>New Electricity Connections_INEP Operational_Muhlava Cross shikwambane</t>
  </si>
  <si>
    <t>_113_30000_LIM333_Municipal Running Costs_DEPRECIATION_2018</t>
  </si>
  <si>
    <t>_105_30000_LIM333_Municipal Running Costs_CONTRACTED SERVICES_2018</t>
  </si>
  <si>
    <t>_183_30000_LIM333_Municipal Running Costs_DEPRECIATION_2018</t>
  </si>
  <si>
    <t>_140_LIM333_CONSUMABLE DOMESTIC ITEMS</t>
  </si>
  <si>
    <t>025_Printing, publications and books</t>
  </si>
  <si>
    <t>_035_LIM333_NON-CAPITAL TOOLS &amp; EQUIPMENT</t>
  </si>
  <si>
    <t>_038_30000_LIM333_Municipal Running Costs_DEPRECIATION_2018</t>
  </si>
  <si>
    <t>_123_30000_LIM333_Municipal Running Costs_DEPRECIATION_2018</t>
  </si>
  <si>
    <t>_006_30000_LIM333_Municipal Running Costs_DEPRECIATION_2018</t>
  </si>
  <si>
    <t>Subsistence and Travel Expenses_Revenue</t>
  </si>
  <si>
    <t>_039_LIM333_CONSUMABLE DOMESTIC ITEMS</t>
  </si>
  <si>
    <t>Module Function_1</t>
  </si>
  <si>
    <t>_003_LIM333_FURNITURE &amp; OFFICE EQUIPMENT</t>
  </si>
  <si>
    <t>_032_LIM333_FURNITURE &amp; OFFICE EQUIPMENT</t>
  </si>
  <si>
    <t>052_Printing, publications and books</t>
  </si>
  <si>
    <t>_135_30000_LIM333_Municipal Running Costs_CONTRACTED SERVICES_2018</t>
  </si>
  <si>
    <t>_052_10002_LIM333_Employee Related Cost Municipal Staff</t>
  </si>
  <si>
    <t>_063_LIM333_FURNITURE &amp; OFFICE EQUIPMENT</t>
  </si>
  <si>
    <t>113_Printing, publications and books</t>
  </si>
  <si>
    <t>_053_30000_LIM333_Municipal Running Costs_DEPRECIATION_2018</t>
  </si>
  <si>
    <t>_039_LIM333_FURNITURE &amp; OFFICE EQUIPMENT</t>
  </si>
  <si>
    <t>_173_30000_LIM333_Municipal Running Costs_BAD DEBTS_2018</t>
  </si>
  <si>
    <t>_034_LIM333_NON-COUNCIL-OWNED ASSETS - CONTRACTORS</t>
  </si>
  <si>
    <t>_003_30000_LIM333_Municipal Running Costs_DEPRECIATION_2018</t>
  </si>
  <si>
    <t>195_LIM333_NON-CAPITAL TOOLS &amp; EQUIPMENT</t>
  </si>
  <si>
    <t>_140_LIM333_FURNITURE &amp; OFFICE EQUIPMENT</t>
  </si>
  <si>
    <t>EPWP_133_70000_LIM333_Operational  Typical Work Streams Expanded Public Works Programme_GRANTS _ SUBSIDIES PAID_2018</t>
  </si>
  <si>
    <t>_035_LIM333_CONSUMABLE DOMESTIC ITEMS</t>
  </si>
  <si>
    <t>134_LIM333_NON-CAPITAL TOOLS &amp; EQUIPMENT</t>
  </si>
  <si>
    <t>_024_LIM333_FURNITURE &amp; OFFICE EQUIPMENT</t>
  </si>
  <si>
    <t>_039_LIM333_COUNCIL-OWNED BUILDINGS</t>
  </si>
  <si>
    <t>_038_30000_LIM333_Municipal Running Costs_CONTRACTED SERVICES_2018</t>
  </si>
  <si>
    <t>_144_LIM333_TRAFFIC &amp; ROAD SIGNS</t>
  </si>
  <si>
    <t>PO001001002001002003002000000000000000</t>
  </si>
  <si>
    <t>_133_LIM333_MACHINERY &amp; EQUIPMENT</t>
  </si>
  <si>
    <t>_053_LIM333_NON-CAPITAL TOOLS &amp; EQUIPMENT</t>
  </si>
  <si>
    <t>V1District_WaterProject___083_Bulk Water</t>
  </si>
  <si>
    <t>063_Printing, publications and books</t>
  </si>
  <si>
    <t>_034_LIM333_MACHINERY &amp; EQUIPMENT</t>
  </si>
  <si>
    <t>_056_LIM333_NON-CAPITAL TOOLS &amp; EQUIPMENT</t>
  </si>
  <si>
    <t>_038_LIM333_CONSUMABLE DOMESTIC ITEMS</t>
  </si>
  <si>
    <t>V1District_WaterProject___083_30000_LIM333_Maintenance water_Machinery</t>
  </si>
  <si>
    <t>_025_LIM333_NON-CAPITAL TOOLS &amp; EQUIPMENT</t>
  </si>
  <si>
    <t>_143_30000_LIM333_Municipal Running Costs_DEPRECIATION_2018</t>
  </si>
  <si>
    <t>_113_30000_LIM333_Municipal Running Costs_GENERAL EXPENSES _ OTHER_2_2018</t>
  </si>
  <si>
    <t>_039_30000_LIM333_Municipal Running Costs_DEPRECIATION_2018</t>
  </si>
  <si>
    <t>_057_30000_LIM333_Municipal Running Costs_GRANTS _ SUBSIDIES PAID_UNCONDITIONAL_2018</t>
  </si>
  <si>
    <t>115_LIM333_FURNITURE &amp; OFFICE EQUIPMENT</t>
  </si>
  <si>
    <t>_003_LIM333_NON-CAPITAL TOOLS &amp; EQUIPMENT</t>
  </si>
  <si>
    <t>015_Printing, publications and books</t>
  </si>
  <si>
    <t>016_Printing, publications and books</t>
  </si>
  <si>
    <t>_140_LIM333_MACHINERY &amp; EQUIPMENT</t>
  </si>
  <si>
    <t>038_Printing, publications and books</t>
  </si>
  <si>
    <t>_037_10001_LIM333_Employee Related Cost Senior Management &amp; Municipal staff_EMPLOYEE RELATED COSTS _ WAGES _ SALARIES_2018</t>
  </si>
  <si>
    <t>_143_LIM333_MACHINERY &amp; EQUIPMENT</t>
  </si>
  <si>
    <t>_025_30000_LIM333_Municipal Running Costs_GENERAL EXPENSES _ OTHER_2018</t>
  </si>
  <si>
    <t>123_Printing, publications and books</t>
  </si>
  <si>
    <t>V1District_WaterProject___073_30000_LIM333_Testing of Samples</t>
  </si>
  <si>
    <t>New Electricity Connections_INEP Operational_Ntwanano</t>
  </si>
  <si>
    <t>054_Printing, publications and books</t>
  </si>
  <si>
    <t>_016_LIM333_NON-CAPITAL TOOLS &amp; EQUIPMENT</t>
  </si>
  <si>
    <t>_025_LIM333_MACHINERY &amp; EQUIPMENT</t>
  </si>
  <si>
    <t>_034_LIM333_NON-CAPITAL TOOLS &amp; EQUIPMENT</t>
  </si>
  <si>
    <t>_063_LIM333_COUNCIL-OWNED BUILDINGS</t>
  </si>
  <si>
    <t>_143_LIM333_FURNITURE &amp; OFFICE EQUIPMENT</t>
  </si>
  <si>
    <t>_037_30000_LIM333_Municipal Running Costs_DEPRECIATION_2018</t>
  </si>
  <si>
    <t>_014_70000_LIM333_Operational  Typical Work Streams Agricultural  Marketing_GENERAL EXPENSES _ OTHER_2018</t>
  </si>
  <si>
    <t>PO003001002000000000000000000000000000</t>
  </si>
  <si>
    <t>_105_30000_LIM333_Capitalised Employee Costs</t>
  </si>
  <si>
    <t>Expenditure Cashbook_Setup</t>
  </si>
  <si>
    <t>032_Printing, publications and books</t>
  </si>
  <si>
    <t>_053_10002_LIM333_Employee Related Cost Municipal Staff_STANDBY ALLOWANCE</t>
  </si>
  <si>
    <t>1280GRANT - SPEAKER SPECIAL ACCOUNT</t>
  </si>
  <si>
    <t>_053_70000_LIM333_Operational  Typical Work Streams Capacity Building Training and Development Workshops</t>
  </si>
  <si>
    <t>PO003004010000000000000000000000000000</t>
  </si>
  <si>
    <t>_133_30000_LIM333_Municipal Running Costs_BAD DEBTS_2018</t>
  </si>
  <si>
    <t>_016_30000_LIM333_Municipal Running Costs_GENERAL EXPENSES _ OTHER_2_2018</t>
  </si>
  <si>
    <t>032_PERFORMANCE INCENTIVE SCHEMES</t>
  </si>
  <si>
    <t>113_LIM333_CONSUMABLE DOMESTIC ITEMS</t>
  </si>
  <si>
    <t>Rent-Office Building_Council Expenditure</t>
  </si>
  <si>
    <t>_025_LIM333_FURNITURE &amp; OFFICE EQUIPMENT</t>
  </si>
  <si>
    <t>_183_30000_LIM333_Municipal Running Costs_CONTRACTED SERVICES_2018</t>
  </si>
  <si>
    <t>V1District_WaterProject___073_30000_LIM333_Maintenance water_Distribution network</t>
  </si>
  <si>
    <t>Expenditure_Billing</t>
  </si>
  <si>
    <t>062_Printing, publications and books</t>
  </si>
  <si>
    <t>_144_LIM333_FURNITURE &amp; OFFICE EQUIPMENT</t>
  </si>
  <si>
    <t>_012_LIM333_FURNITURE &amp; OFFICE EQUIPMENT</t>
  </si>
  <si>
    <t>_143_LIM333_NON-CAPITAL TOOLS &amp; EQUIPMENT</t>
  </si>
  <si>
    <t>_063_LIM333_MACHINERY &amp; EQUIPMENT</t>
  </si>
  <si>
    <t>115_LIM333_MACHINERY &amp; EQUIPMENT</t>
  </si>
  <si>
    <t>_036_LIM333_FURNITURE &amp; OFFICE EQUIPMENT</t>
  </si>
  <si>
    <t>_123_LIM333_CONSUMABLE DOMESTIC ITEMS</t>
  </si>
  <si>
    <t>135_LIM333_FURNITURE &amp; OFFICE EQUIPMENT</t>
  </si>
  <si>
    <t>V1District_WaterProject___083_30000_LIM333_Maintenance water_Furniture and office equipment</t>
  </si>
  <si>
    <t>_123_70000_LIM333_Operational  Typical Work Streams Community Development Library Programmes_GENERAL EXPENSES _ OTHER_2018</t>
  </si>
  <si>
    <t>PO003007014000000000000000000000000000</t>
  </si>
  <si>
    <t>_037_LIM333_NON-CAPITAL TOOLS &amp; EQUIPMENT</t>
  </si>
  <si>
    <t>_103_22605_LIM333_Operational  Maintenance Non-infrastructure Corrective Maintenance Planned Furniture and Office Equipment_REPAIRS AND MAINTENANCE_2018</t>
  </si>
  <si>
    <t>_053_LIM333_FURNITURE &amp; OFFICE EQUIPMENT</t>
  </si>
  <si>
    <t>034_Printing, publications and books</t>
  </si>
  <si>
    <t>_062_LIM333_NON-CAPITAL TOOLS &amp; EQUIPMENT</t>
  </si>
  <si>
    <t>_035_LIM333_MACHINERY &amp; EQUIPMENT</t>
  </si>
  <si>
    <t>057_Printing, publications and books</t>
  </si>
  <si>
    <t>_015_30000_LIM333_Municipal Running Costs_DEPRECIATION_2018</t>
  </si>
  <si>
    <t>V1District_WaterProject___093_30000_LIM333_Maintenance water_Distribution network</t>
  </si>
  <si>
    <t>_032_LIM333_COUNCIL-OWNED BUILDINGS</t>
  </si>
  <si>
    <t>056_Printing, publications and books</t>
  </si>
  <si>
    <t>CONTRACTED SERVICES - EPWP</t>
  </si>
  <si>
    <t>_162_LIM333_MACHINERY &amp; EQUIPMENT</t>
  </si>
  <si>
    <t>036_Printing, publications and books</t>
  </si>
  <si>
    <t>V1District_WaterProject___073_30000_LIM333_Water Rights Pusela</t>
  </si>
  <si>
    <t>_144_LIM333_TRAFFIC LIGHTS</t>
  </si>
  <si>
    <t>_002_LIM333_NON-CAPITAL TOOLS &amp; EQUIPMENT</t>
  </si>
  <si>
    <t>_016_LIM333_COUNCIL-OWNED LAND</t>
  </si>
  <si>
    <t>FMG_033_30000_LIM333_Municipal Running Costs_GRANTS _ SUBSIDIES PAID_2018</t>
  </si>
  <si>
    <t>_162_30000_LIM333_Municipal Running Costs_DEPRECIATION_2018</t>
  </si>
  <si>
    <t>_004_30000_LIM333_Municipal Running Costs_DEPRECIATION_2018</t>
  </si>
  <si>
    <t>_133_LIM333_CONSUMABLE DOMESTIC ITEMS</t>
  </si>
  <si>
    <t>_052_LIM333_FURNITURE &amp; OFFICE EQUIPMENT</t>
  </si>
  <si>
    <t>_054_LIM333_MACHINERY &amp; EQUIPMENT</t>
  </si>
  <si>
    <t>GTEDA_Salary</t>
  </si>
  <si>
    <t>_015_30000_LIM333_Municipal Running Costs_CONTRACTED SERVICES_2018</t>
  </si>
  <si>
    <t>_153_LIM333_MACHINERY &amp; EQUIPMENT</t>
  </si>
  <si>
    <t>_140_30000_LIM333_Municipal Running Costs_GENERAL EXPENSES _ OTHER_2018_1</t>
  </si>
  <si>
    <t>_105_LIM333_COUNCIL-OWNED BUILDINGS</t>
  </si>
  <si>
    <t>PO001002002001002001002002000000000000</t>
  </si>
  <si>
    <t>V1District_WaterProject___083_30000_LIM333_Repair_Buildings</t>
  </si>
  <si>
    <t>_173_LIM333_CONSUMABLE DOMESTIC ITEMS</t>
  </si>
  <si>
    <t>_113_30000_LIM333_Municipal Running Costs_GENERAL EXPENSES _ OTHER_1_2018</t>
  </si>
  <si>
    <t>_015_LIM333_NON-CAPITAL TOOLS &amp; EQUIPMENT</t>
  </si>
  <si>
    <t>_058_30000_LIM333_Municipal Running Costs_GENERAL EXPENSES _ OTHER_2018_LEGAL FEES</t>
  </si>
  <si>
    <t>135_LIM333_MACHINERY &amp; EQUIPMENT</t>
  </si>
  <si>
    <t>_032_LIM333_CONSUMABLE DOMESTIC ITEMS</t>
  </si>
  <si>
    <t>_115_70000_LIM333_Operational  Typical Work Streams Environmental Pollution Control_GENERAL EXPENSES _ OTHER_2018</t>
  </si>
  <si>
    <t>PO003015005000000000000000000000000000</t>
  </si>
  <si>
    <t>_133_70000_LIM333_Operational  Typical Work Streams Expanded Public Works Programme_CONTRACTED SERVICES_2018</t>
  </si>
  <si>
    <t>_036_LIM333_NON-COUNCIL-OWNED ASSETS - CONTRACTORS</t>
  </si>
  <si>
    <t>_037_70000_LIM333_Operational  Typical Work Streams Asset Protection Vehicle Management System_GENERAL EXPENSES _ OTHER_2018</t>
  </si>
  <si>
    <t>PO003003001000000000000000000000000000</t>
  </si>
  <si>
    <t>105_Printing, publications and books</t>
  </si>
  <si>
    <t>_016_30000_LIM333_Municipal Running Costs_DEPRECIATION_2018</t>
  </si>
  <si>
    <t>113_LIM333_FURNITURE &amp; OFFICE EQUIPMENT</t>
  </si>
  <si>
    <t>183_LIM333_COUNCIL-OWNED BUILDINGS</t>
  </si>
  <si>
    <t>_005_LIM333_NON-CAPITAL TOOLS &amp; EQUIPMENT</t>
  </si>
  <si>
    <t>_057_70000_LIM333_Operational  Typical Work Streams Community Development Disability _GENERAL EXPENSES _ OTHER_2018</t>
  </si>
  <si>
    <t>PO003007004000000000000000000000000000</t>
  </si>
  <si>
    <t>_144_30000_LIM333_Municipal Running Costs_DEPRECIATION_2018</t>
  </si>
  <si>
    <t>_058_30000_LIM333_Municipal Running Costs_GENERAL EXPENSES _ OTHER__1_2018</t>
  </si>
  <si>
    <t>103_LIM333_MACHINERY &amp; EQUIPMENT</t>
  </si>
  <si>
    <t>_007_10002_LIM333_Employee Related Cost Municipal Staff_V1</t>
  </si>
  <si>
    <t>039_Printing, publications and books</t>
  </si>
  <si>
    <t>_014_30000_LIM333_Municipal Running Costs_DEPRECIATION_2018</t>
  </si>
  <si>
    <t>_105_LIM333_DISTRIBUTION NETWORKS</t>
  </si>
  <si>
    <t>_016_30000_LIM333_Municipal Running Costs_GENERAL EXPENSES _ OTHER_1_2018</t>
  </si>
  <si>
    <t>_024_LIM333_NON-CAPITAL TOOLS &amp; EQUIPMENT</t>
  </si>
  <si>
    <t>_162_10001_LIM333_Employee Related Cost Senior Management &amp; municipal staff_EMPLOYEE RELATED COSTS _ SOCIAL CONTRIBUTIONS_2018_Standby allowance</t>
  </si>
  <si>
    <t>_033_LIM333_FURNITURE &amp; OFFICE EQUIPMENT</t>
  </si>
  <si>
    <t>_023_LIM333_CONSUMABLE DOMESTIC ITEMS</t>
  </si>
  <si>
    <t>_052_LIM333_CONSUMABLE DOMESTIC ITEMS</t>
  </si>
  <si>
    <t>V1District_WaterProject___073_30000_LIM333_Contracted Service water supply</t>
  </si>
  <si>
    <t>_032_LIM333_MACHINERY &amp; EQUIPMENT</t>
  </si>
  <si>
    <t>V1District_WaterProject___093_30000_LIM333_Council Owned land</t>
  </si>
  <si>
    <t>_034_30000_LIM333_Municipal Running Costs_DEPRECIATION_2018</t>
  </si>
  <si>
    <t>_034_30000_LIM333_Municipal Running Costs_COLLECTION COSTS_2018</t>
  </si>
  <si>
    <t>EPWP_133_70000_LIM333_Operational  Typical Work Streams Expanded Public Works Programme_CONTRACTED SERVICES_2018</t>
  </si>
  <si>
    <t>183_LIM333_STREETLIGHTS</t>
  </si>
  <si>
    <t>_002_30000_LIM333_Municipal Running Costs_DEPRECIATION_2018</t>
  </si>
  <si>
    <t>135_LIM333_NON-CAPITAL TOOLS &amp; EQUIPMENT</t>
  </si>
  <si>
    <t>_144_LIM333_NON-CAPITAL TOOLS &amp; EQUIPMENT</t>
  </si>
  <si>
    <t>_173_30000_LIM333_Municipal Running Costs_GRANTS _ SUBSIDIES PAID_UNCONDITIONAL_2018</t>
  </si>
  <si>
    <t>New Electricity Connections_INEP Operational_Dan</t>
  </si>
  <si>
    <t>New Electricity Connections_INEP Operational_Mulati</t>
  </si>
  <si>
    <t>V1District_WaterProject___073_30000_LIM333_Maintenance water_Machinery contractors</t>
  </si>
  <si>
    <t>003_Printing, publications and books</t>
  </si>
  <si>
    <t>_004_LIM333_CONSUMABLE DOMESTIC ITEMS</t>
  </si>
  <si>
    <t>_105_LIM333_CONSUMABLE DOMESTIC ITEMS</t>
  </si>
  <si>
    <t>_105_30000_LIM333_Municipal Running Costs_INTEREST EXPENSE _ EXTERNAL BORROWINGS_2018</t>
  </si>
  <si>
    <t>_112_30000_LIM333_Municipal Running Costs_DEPRECIATION_2018</t>
  </si>
  <si>
    <t>_153_30000_LIM333_Municipal Running Costs_DEPRECIATION_2018</t>
  </si>
  <si>
    <t>_036_LIM333_NON-CAPITAL TOOLS &amp; EQUIPMENT</t>
  </si>
  <si>
    <t>144_Printing, publications and books</t>
  </si>
  <si>
    <t>135_Printing, publications and books</t>
  </si>
  <si>
    <t>_034_30000_LIM333_Municipal Running Costs_GENERAL EXPENSES _ OTHER_1_2018</t>
  </si>
  <si>
    <t>_016_LIM333_CONSUMABLE DOMESTIC ITEMS</t>
  </si>
  <si>
    <t>183_SALARIES &amp; WAGES - STANDBY ALLOWANCE</t>
  </si>
  <si>
    <t>_143_LIM333_COUNCIL-OWNED LAND</t>
  </si>
  <si>
    <t>183_LIM333_MACHINERY &amp; EQUIPMENT</t>
  </si>
  <si>
    <t>_153_LIM333_DISASTER RELIEF</t>
  </si>
  <si>
    <t>PO003014003000000000000000000000000000</t>
  </si>
  <si>
    <t>_024_LIM333_CONSUMABLE DOMESTIC ITEMS</t>
  </si>
  <si>
    <t>_062_LIM333_FURNITURE &amp; OFFICE EQUIPMENT</t>
  </si>
  <si>
    <t>_057_LIM333_NON-CAPITAL TOOLS &amp; EQUIPMENT</t>
  </si>
  <si>
    <t>_037_30000_LIM333_Municipal Running Costs_INTEREST EXPENSE _ EXTERNAL BORROWINGS_2018</t>
  </si>
  <si>
    <t>_054_70000_LIM333_Operational  Typical Work Streams AIDS/HIV</t>
  </si>
  <si>
    <t>PO003002001000000000000000000000000000</t>
  </si>
  <si>
    <t>_033_LIM333_CONSUMABLE DOMESTIC ITEMS</t>
  </si>
  <si>
    <t>_115_30000_LIM333_Municipal Running Costs_DEPRECIATION_2018</t>
  </si>
  <si>
    <t>V1District_WaterProject___073_30000_LIM333_Repair_Buildings</t>
  </si>
  <si>
    <t>_032_10002_LIM333_Employee Related Cost Municipal Staff</t>
  </si>
  <si>
    <t>Cashbook - Overdraft</t>
  </si>
  <si>
    <t>_004_LIM333_NON-CAPITAL TOOLS &amp; EQUIPMENT</t>
  </si>
  <si>
    <t>_062_10001_LIM333_Employee Related Cost Senior Management &amp; Municipal staff_EMPLOYEE RELATED COSTS _ WAGES _ SALARIES_2018_V1</t>
  </si>
  <si>
    <t>_038_LIM333_COMPUTER EQUIPMENT &amp; SOFTWARE - CONTRACTORS</t>
  </si>
  <si>
    <t>PO001002002001004000000000000000000000</t>
  </si>
  <si>
    <t>135_LIM333_COUNCIL-OWNED BUILDINGS</t>
  </si>
  <si>
    <t>1_Entity_LIM333_Municipal Running Cost</t>
  </si>
  <si>
    <t>_173_LIM333_DISTRIBUTION NETWORK - CONTRACTORS</t>
  </si>
  <si>
    <t>006_Printing, publications and books</t>
  </si>
  <si>
    <t>_063_30000_LIM333_Maintenance Gravel Roads</t>
  </si>
  <si>
    <t>Mawa Low Level bridge</t>
  </si>
  <si>
    <t>Lenyenye Taxi Rank</t>
  </si>
  <si>
    <t>Supply and Installation of High Mast lights in Dan Village</t>
  </si>
  <si>
    <t>Construction of Bulamahlo Community Hall</t>
  </si>
  <si>
    <t xml:space="preserve">Upgrading of Access Street from  khopo, Molapisane School via Tickyline and  myakayaka  Serutung to Malengenge </t>
  </si>
  <si>
    <t>Construction of Runnymede Sport Facility Phase II</t>
  </si>
  <si>
    <t>Clear View Fencing of Civic Centre and Stores</t>
  </si>
  <si>
    <t>Construction of R71 Roundabout</t>
  </si>
  <si>
    <t>ESD-34</t>
  </si>
  <si>
    <t>EED-48</t>
  </si>
  <si>
    <t>ESD-213</t>
  </si>
  <si>
    <t>ESD-214</t>
  </si>
  <si>
    <t>ESD-210</t>
  </si>
  <si>
    <t>ESD-211</t>
  </si>
  <si>
    <t>ESD-212</t>
  </si>
  <si>
    <t>ADVERTISING - GENERAL</t>
  </si>
  <si>
    <t>ADVERTISING - RECRUITMENT</t>
  </si>
  <si>
    <t>BANK ADMINISTRATION FEES &amp; INTEREST ON OVERDRAFT</t>
  </si>
  <si>
    <t>CONFERENCE &amp; CONVENTION COST - DOMESTIC</t>
  </si>
  <si>
    <t>CONFERENCE &amp; CONVENTION COST - INTERNATIONAL</t>
  </si>
  <si>
    <t>CONTRIBUTION - WORKERS COMPENSATION</t>
  </si>
  <si>
    <t>COVID-19</t>
  </si>
  <si>
    <t>CULTURAL DAY</t>
  </si>
  <si>
    <t>DISASTER RELIEF</t>
  </si>
  <si>
    <t>ELECTION COSTS</t>
  </si>
  <si>
    <t>ELECTRICITY - ESKOM</t>
  </si>
  <si>
    <t>EMPLOYEE ASSISTANCE PROGRAMME</t>
  </si>
  <si>
    <t>ENTERTAINMENT - PUBLIC ENTERTAINMENT</t>
  </si>
  <si>
    <t>LEVIES - SETA</t>
  </si>
  <si>
    <t>LICENCE &amp; REGISTRATION FEES - VEHICLES</t>
  </si>
  <si>
    <t>LICENCES &amp; PERMITS - NON VEHICLE</t>
  </si>
  <si>
    <t>POSTAGE &amp; COURIER FEES</t>
  </si>
  <si>
    <t>PROTECTIVE CLOTHING</t>
  </si>
  <si>
    <t>PUBLIC RELATIONS , TOURISM &amp; MARKETING</t>
  </si>
  <si>
    <t>RENT - TELEPHONE EXCHANGE</t>
  </si>
  <si>
    <t>RENTAL COMPUTER</t>
  </si>
  <si>
    <t>RENT-OFFICE BUILDINGS</t>
  </si>
  <si>
    <t>TASK JOB EVALUATION(REGION 2)</t>
  </si>
  <si>
    <t>TRAINING COSTS</t>
  </si>
  <si>
    <t>VEHICLE TRACKING</t>
  </si>
  <si>
    <t>YOUTH GENDER &amp; DISABILITY</t>
  </si>
  <si>
    <t>1 cent in the rand</t>
  </si>
  <si>
    <t>Flat rate</t>
  </si>
  <si>
    <t>MIG Operation/NDPG/Disaster relief</t>
  </si>
  <si>
    <t>PROPERTY RATES</t>
  </si>
  <si>
    <t>EXEMPTIONS ON RESIDENTIAL PROPERTIES</t>
  </si>
  <si>
    <t>REBATES ON RESIDENTIAL PROPERTIES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</si>
</sst>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_ * #,##0.0000_ ;_ * \-#,##0.0000_ ;_ * &quot;-&quot;??_ ;_ @_ "/>
    <numFmt numFmtId="181" formatCode="yyyymmdd"/>
    <numFmt numFmtId="182" formatCode="0.000000"/>
    <numFmt numFmtId="183" formatCode="0.0000"/>
    <numFmt numFmtId="184" formatCode="#,##0_ ;\-#,##0\ "/>
    <numFmt numFmtId="185" formatCode="#,##0.0"/>
    <numFmt numFmtId="186" formatCode="#,##0.0000_ ;\-#,##0.0000\ "/>
    <numFmt numFmtId="187" formatCode="#,##0.00_ ;\-#,##0.00\ "/>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8"/>
      <color theme="1"/>
      <name val="Arial"/>
      <family val="2"/>
    </font>
    <font>
      <sz val="8"/>
      <color theme="1"/>
      <name val="Arial arrow"/>
    </font>
    <font>
      <sz val="8"/>
      <color theme="1"/>
      <name val="Arial Narrow"/>
      <family val="2"/>
    </font>
    <font>
      <b/>
      <sz val="8"/>
      <color rgb="FFFF0000"/>
      <name val="Arial Narrow"/>
      <family val="2"/>
    </font>
  </fonts>
  <fills count="25">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tint="0.79998168889431442"/>
        <bgColor indexed="64"/>
      </patternFill>
    </fill>
  </fills>
  <borders count="106">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rgb="FF000000"/>
      </left>
      <right style="medium">
        <color rgb="FF000000"/>
      </right>
      <top style="medium">
        <color rgb="FF000000"/>
      </top>
      <bottom style="medium">
        <color rgb="FF000000"/>
      </bottom>
      <diagonal/>
    </border>
  </borders>
  <cellStyleXfs count="25">
    <xf numFmtId="0" fontId="0" fillId="0" borderId="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0" fontId="6" fillId="0" borderId="0" applyNumberFormat="0" applyFont="0" applyFill="0" applyBorder="0" applyAlignment="0" applyProtection="0">
      <alignment vertical="top"/>
      <protection locked="0"/>
    </xf>
    <xf numFmtId="0" fontId="6" fillId="0" borderId="0" applyNumberFormat="0" applyFont="0" applyFill="0" applyBorder="0" applyAlignment="0" applyProtection="0">
      <alignment vertical="top"/>
      <protection locked="0"/>
    </xf>
    <xf numFmtId="0" fontId="25" fillId="0" borderId="0"/>
    <xf numFmtId="0" fontId="26" fillId="0" borderId="0"/>
    <xf numFmtId="9" fontId="4" fillId="0" borderId="0" applyFont="0" applyFill="0" applyBorder="0" applyAlignment="0" applyProtection="0"/>
    <xf numFmtId="9" fontId="30" fillId="0" borderId="0" applyFont="0" applyFill="0" applyBorder="0" applyAlignment="0" applyProtection="0"/>
    <xf numFmtId="0" fontId="4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 fillId="0" borderId="0"/>
  </cellStyleXfs>
  <cellXfs count="2933">
    <xf numFmtId="0" fontId="0" fillId="0" borderId="0" xfId="0"/>
    <xf numFmtId="0" fontId="7" fillId="0" borderId="0" xfId="0" applyFont="1"/>
    <xf numFmtId="0" fontId="5" fillId="0" borderId="0" xfId="0" applyFont="1"/>
    <xf numFmtId="0" fontId="8" fillId="0" borderId="0" xfId="0" applyFont="1"/>
    <xf numFmtId="0" fontId="5" fillId="0" borderId="1" xfId="0" applyFont="1" applyBorder="1" applyAlignment="1">
      <alignment horizontal="center"/>
    </xf>
    <xf numFmtId="0" fontId="5" fillId="0" borderId="0" xfId="0" applyFont="1" applyBorder="1"/>
    <xf numFmtId="0" fontId="5" fillId="0" borderId="2" xfId="0" applyFont="1" applyBorder="1"/>
    <xf numFmtId="0" fontId="5" fillId="0" borderId="3" xfId="0" applyFont="1" applyBorder="1"/>
    <xf numFmtId="0" fontId="5" fillId="0" borderId="1" xfId="0" applyFont="1" applyBorder="1"/>
    <xf numFmtId="0" fontId="5" fillId="0" borderId="4" xfId="0" applyFont="1" applyBorder="1"/>
    <xf numFmtId="0" fontId="5" fillId="0" borderId="5" xfId="0" applyFont="1" applyBorder="1"/>
    <xf numFmtId="0" fontId="5" fillId="0" borderId="6"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7" fillId="0" borderId="8"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20" fillId="0" borderId="0" xfId="0" applyFont="1" applyBorder="1" applyAlignment="1">
      <alignment horizontal="left" vertical="top"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2" fillId="0" borderId="5" xfId="0" applyFont="1" applyFill="1" applyBorder="1" applyAlignment="1">
      <alignment horizontal="left"/>
    </xf>
    <xf numFmtId="0" fontId="17" fillId="0" borderId="5" xfId="0" applyFont="1" applyFill="1" applyBorder="1" applyAlignment="1">
      <alignment horizontal="centerContinuous"/>
    </xf>
    <xf numFmtId="0" fontId="15" fillId="0" borderId="0" xfId="0" applyFont="1"/>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15" xfId="0" applyFont="1" applyFill="1" applyBorder="1" applyAlignment="1">
      <alignment horizontal="center" vertical="top" wrapText="1"/>
    </xf>
    <xf numFmtId="0" fontId="17" fillId="0" borderId="5" xfId="0" applyFont="1" applyFill="1" applyBorder="1" applyAlignment="1">
      <alignment horizontal="center" vertical="top" wrapText="1"/>
    </xf>
    <xf numFmtId="172" fontId="15" fillId="0" borderId="2" xfId="0" applyNumberFormat="1" applyFont="1" applyBorder="1"/>
    <xf numFmtId="172" fontId="15" fillId="0" borderId="13" xfId="0" applyNumberFormat="1" applyFont="1" applyBorder="1"/>
    <xf numFmtId="172" fontId="15" fillId="0" borderId="14" xfId="0" applyNumberFormat="1" applyFont="1" applyBorder="1"/>
    <xf numFmtId="172" fontId="15" fillId="0" borderId="0" xfId="0" applyNumberFormat="1" applyFont="1" applyBorder="1"/>
    <xf numFmtId="172" fontId="15" fillId="0" borderId="2" xfId="0" applyNumberFormat="1" applyFont="1" applyFill="1" applyBorder="1"/>
    <xf numFmtId="172" fontId="15" fillId="0" borderId="13" xfId="0" applyNumberFormat="1" applyFont="1" applyFill="1" applyBorder="1"/>
    <xf numFmtId="172" fontId="15" fillId="0" borderId="14" xfId="0" applyNumberFormat="1" applyFont="1" applyFill="1" applyBorder="1"/>
    <xf numFmtId="172" fontId="15" fillId="0" borderId="7" xfId="0" applyNumberFormat="1" applyFont="1" applyBorder="1"/>
    <xf numFmtId="172" fontId="15" fillId="0" borderId="16" xfId="0" applyNumberFormat="1" applyFont="1" applyBorder="1"/>
    <xf numFmtId="172" fontId="15" fillId="0" borderId="17" xfId="0" applyNumberFormat="1" applyFont="1" applyBorder="1"/>
    <xf numFmtId="172" fontId="15" fillId="0" borderId="18" xfId="0" applyNumberFormat="1" applyFont="1" applyBorder="1"/>
    <xf numFmtId="172" fontId="17" fillId="0" borderId="2" xfId="0" applyNumberFormat="1" applyFont="1" applyBorder="1"/>
    <xf numFmtId="172" fontId="17" fillId="0" borderId="13" xfId="0" applyNumberFormat="1" applyFont="1" applyBorder="1"/>
    <xf numFmtId="172" fontId="17" fillId="0" borderId="14" xfId="0" applyNumberFormat="1" applyFont="1" applyBorder="1"/>
    <xf numFmtId="172" fontId="17" fillId="0" borderId="0" xfId="0" applyNumberFormat="1" applyFont="1" applyBorder="1"/>
    <xf numFmtId="0" fontId="17" fillId="0" borderId="19" xfId="0" applyNumberFormat="1" applyFont="1" applyBorder="1"/>
    <xf numFmtId="172" fontId="15" fillId="0" borderId="3" xfId="0" applyNumberFormat="1" applyFont="1" applyBorder="1"/>
    <xf numFmtId="172" fontId="15" fillId="0" borderId="8" xfId="0" applyNumberFormat="1" applyFont="1" applyBorder="1"/>
    <xf numFmtId="172" fontId="15" fillId="0" borderId="15" xfId="0" applyNumberFormat="1" applyFont="1" applyBorder="1"/>
    <xf numFmtId="172" fontId="15" fillId="0" borderId="5" xfId="0" applyNumberFormat="1" applyFont="1" applyBorder="1"/>
    <xf numFmtId="0" fontId="15" fillId="0" borderId="0" xfId="0" applyFont="1" applyAlignment="1">
      <alignment horizontal="left" wrapText="1"/>
    </xf>
    <xf numFmtId="0" fontId="10" fillId="0" borderId="0" xfId="0" applyFont="1"/>
    <xf numFmtId="0" fontId="17" fillId="0" borderId="3" xfId="0" applyFont="1" applyFill="1" applyBorder="1" applyAlignment="1">
      <alignment horizontal="left" vertical="center"/>
    </xf>
    <xf numFmtId="0" fontId="19" fillId="0" borderId="2" xfId="0" applyFont="1" applyBorder="1"/>
    <xf numFmtId="0" fontId="15" fillId="0" borderId="13" xfId="0" applyNumberFormat="1" applyFont="1" applyBorder="1" applyAlignment="1">
      <alignment horizontal="center"/>
    </xf>
    <xf numFmtId="0" fontId="17" fillId="0" borderId="18"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7" fillId="0" borderId="7" xfId="0" applyFont="1" applyBorder="1" applyAlignment="1">
      <alignment horizontal="center"/>
    </xf>
    <xf numFmtId="0" fontId="17" fillId="0" borderId="20" xfId="0" applyFont="1" applyBorder="1" applyAlignment="1">
      <alignment horizontal="center"/>
    </xf>
    <xf numFmtId="0" fontId="17" fillId="0" borderId="14" xfId="0" applyFont="1" applyBorder="1" applyAlignment="1">
      <alignment horizontal="center"/>
    </xf>
    <xf numFmtId="0" fontId="17" fillId="0" borderId="1" xfId="0" applyFont="1" applyBorder="1" applyAlignment="1">
      <alignment horizontal="center"/>
    </xf>
    <xf numFmtId="0" fontId="15" fillId="0" borderId="2" xfId="0" applyFont="1" applyBorder="1" applyAlignment="1">
      <alignment horizontal="left" indent="1"/>
    </xf>
    <xf numFmtId="173" fontId="15" fillId="0" borderId="0" xfId="0" applyNumberFormat="1" applyFont="1" applyBorder="1" applyAlignment="1">
      <alignment horizontal="right"/>
    </xf>
    <xf numFmtId="173" fontId="15" fillId="0" borderId="13" xfId="0" applyNumberFormat="1" applyFont="1" applyBorder="1" applyAlignment="1">
      <alignment horizontal="right"/>
    </xf>
    <xf numFmtId="173" fontId="15" fillId="0" borderId="14" xfId="0" applyNumberFormat="1" applyFont="1" applyBorder="1" applyAlignment="1">
      <alignment horizontal="right"/>
    </xf>
    <xf numFmtId="173" fontId="15" fillId="0" borderId="2" xfId="0" applyNumberFormat="1" applyFont="1" applyBorder="1" applyAlignment="1">
      <alignment horizontal="right"/>
    </xf>
    <xf numFmtId="168" fontId="15" fillId="0" borderId="14" xfId="0" applyNumberFormat="1" applyFont="1" applyBorder="1"/>
    <xf numFmtId="168" fontId="15" fillId="0" borderId="1" xfId="0" applyNumberFormat="1" applyFont="1" applyBorder="1"/>
    <xf numFmtId="0" fontId="17" fillId="0" borderId="2" xfId="0" applyFont="1" applyBorder="1" applyAlignment="1">
      <alignment horizontal="left"/>
    </xf>
    <xf numFmtId="173" fontId="17" fillId="0" borderId="21" xfId="0" applyNumberFormat="1" applyFont="1" applyBorder="1" applyAlignment="1">
      <alignment horizontal="right"/>
    </xf>
    <xf numFmtId="168" fontId="17" fillId="0" borderId="22" xfId="0" applyNumberFormat="1" applyFont="1" applyBorder="1"/>
    <xf numFmtId="168" fontId="17" fillId="0" borderId="23" xfId="0" applyNumberFormat="1" applyFont="1" applyBorder="1"/>
    <xf numFmtId="0" fontId="15" fillId="0" borderId="2" xfId="0" applyFont="1" applyBorder="1"/>
    <xf numFmtId="173" fontId="15" fillId="0" borderId="0" xfId="0" applyNumberFormat="1" applyFont="1" applyBorder="1"/>
    <xf numFmtId="173" fontId="15" fillId="0" borderId="13" xfId="0" applyNumberFormat="1" applyFont="1" applyBorder="1"/>
    <xf numFmtId="173" fontId="15" fillId="0" borderId="14" xfId="0" applyNumberFormat="1" applyFont="1" applyBorder="1"/>
    <xf numFmtId="173" fontId="15" fillId="0" borderId="2" xfId="0" applyNumberFormat="1" applyFont="1" applyBorder="1"/>
    <xf numFmtId="173" fontId="15" fillId="0" borderId="24" xfId="0" applyNumberFormat="1" applyFont="1" applyBorder="1"/>
    <xf numFmtId="173" fontId="15" fillId="0" borderId="13" xfId="0" applyNumberFormat="1" applyFont="1" applyFill="1" applyBorder="1"/>
    <xf numFmtId="168" fontId="15" fillId="0" borderId="14" xfId="0" applyNumberFormat="1" applyFont="1" applyFill="1" applyBorder="1"/>
    <xf numFmtId="168" fontId="15" fillId="0" borderId="1" xfId="0" applyNumberFormat="1" applyFont="1" applyFill="1" applyBorder="1"/>
    <xf numFmtId="173" fontId="15" fillId="0" borderId="0" xfId="0" applyNumberFormat="1" applyFont="1" applyFill="1" applyBorder="1"/>
    <xf numFmtId="173" fontId="15" fillId="0" borderId="24" xfId="0" applyNumberFormat="1" applyFont="1" applyFill="1" applyBorder="1"/>
    <xf numFmtId="173" fontId="17" fillId="0" borderId="25" xfId="0" applyNumberFormat="1" applyFont="1" applyBorder="1"/>
    <xf numFmtId="173" fontId="17" fillId="0" borderId="21" xfId="0" applyNumberFormat="1" applyFont="1" applyBorder="1"/>
    <xf numFmtId="173" fontId="17" fillId="0" borderId="26" xfId="0" applyNumberFormat="1" applyFont="1" applyBorder="1"/>
    <xf numFmtId="173" fontId="17" fillId="0" borderId="27" xfId="0" applyNumberFormat="1" applyFont="1" applyBorder="1"/>
    <xf numFmtId="173" fontId="17" fillId="0" borderId="28" xfId="0" applyNumberFormat="1" applyFont="1" applyBorder="1"/>
    <xf numFmtId="173" fontId="17" fillId="0" borderId="0" xfId="0" applyNumberFormat="1" applyFont="1" applyBorder="1"/>
    <xf numFmtId="173" fontId="17" fillId="0" borderId="13" xfId="0" applyNumberFormat="1" applyFont="1" applyBorder="1"/>
    <xf numFmtId="173" fontId="17" fillId="0" borderId="14" xfId="0" applyNumberFormat="1" applyFont="1" applyBorder="1"/>
    <xf numFmtId="173" fontId="17" fillId="0" borderId="2" xfId="0" applyNumberFormat="1" applyFont="1" applyBorder="1"/>
    <xf numFmtId="173" fontId="17" fillId="0" borderId="24" xfId="0" applyNumberFormat="1" applyFont="1" applyBorder="1"/>
    <xf numFmtId="168" fontId="17" fillId="0" borderId="14" xfId="0" applyNumberFormat="1" applyFont="1" applyBorder="1"/>
    <xf numFmtId="168" fontId="17" fillId="0" borderId="1" xfId="0" applyNumberFormat="1" applyFont="1" applyBorder="1"/>
    <xf numFmtId="0" fontId="17" fillId="0" borderId="29" xfId="0" applyFont="1" applyBorder="1"/>
    <xf numFmtId="0" fontId="15" fillId="0" borderId="30" xfId="0" applyNumberFormat="1" applyFont="1" applyBorder="1" applyAlignment="1">
      <alignment horizontal="center"/>
    </xf>
    <xf numFmtId="173" fontId="17" fillId="0" borderId="31" xfId="0" applyNumberFormat="1" applyFont="1" applyFill="1" applyBorder="1"/>
    <xf numFmtId="173" fontId="17" fillId="0" borderId="30" xfId="0" applyNumberFormat="1" applyFont="1" applyFill="1" applyBorder="1"/>
    <xf numFmtId="173" fontId="17" fillId="0" borderId="32" xfId="0" applyNumberFormat="1" applyFont="1" applyBorder="1"/>
    <xf numFmtId="173" fontId="17" fillId="0" borderId="29" xfId="0" applyNumberFormat="1" applyFont="1" applyBorder="1"/>
    <xf numFmtId="173" fontId="17" fillId="0" borderId="30" xfId="0" applyNumberFormat="1" applyFont="1" applyBorder="1"/>
    <xf numFmtId="173" fontId="17" fillId="0" borderId="31" xfId="0" applyNumberFormat="1" applyFont="1" applyBorder="1"/>
    <xf numFmtId="173" fontId="17" fillId="0" borderId="33" xfId="0" applyNumberFormat="1" applyFont="1" applyBorder="1"/>
    <xf numFmtId="168" fontId="17" fillId="0" borderId="34" xfId="0" applyNumberFormat="1" applyFont="1" applyBorder="1"/>
    <xf numFmtId="168" fontId="17" fillId="0" borderId="35" xfId="0" applyNumberFormat="1" applyFont="1" applyBorder="1"/>
    <xf numFmtId="0" fontId="21" fillId="0" borderId="0" xfId="0" applyFont="1" applyBorder="1"/>
    <xf numFmtId="0" fontId="15" fillId="0" borderId="0" xfId="0" applyFont="1" applyBorder="1" applyAlignment="1">
      <alignment horizontal="center"/>
    </xf>
    <xf numFmtId="0" fontId="17" fillId="0" borderId="0" xfId="0" applyFont="1" applyFill="1" applyBorder="1"/>
    <xf numFmtId="168" fontId="17" fillId="0" borderId="0" xfId="0" applyNumberFormat="1" applyFont="1" applyFill="1" applyBorder="1"/>
    <xf numFmtId="0" fontId="20" fillId="0" borderId="0" xfId="0" quotePrefix="1" applyFont="1" applyBorder="1"/>
    <xf numFmtId="0" fontId="17" fillId="0" borderId="0" xfId="0" applyFont="1" applyBorder="1"/>
    <xf numFmtId="168" fontId="17" fillId="0" borderId="0" xfId="0" applyNumberFormat="1" applyFont="1" applyBorder="1"/>
    <xf numFmtId="0" fontId="20" fillId="0" borderId="0" xfId="0" applyFont="1" applyBorder="1" applyAlignment="1">
      <alignment horizontal="left"/>
    </xf>
    <xf numFmtId="0" fontId="20" fillId="0" borderId="0" xfId="0" applyFont="1" applyBorder="1" applyAlignment="1">
      <alignment horizontal="center"/>
    </xf>
    <xf numFmtId="0" fontId="20" fillId="0" borderId="0" xfId="0" applyFont="1" applyBorder="1" applyAlignment="1">
      <alignment horizontal="right"/>
    </xf>
    <xf numFmtId="164" fontId="15" fillId="0" borderId="0" xfId="1" applyNumberFormat="1" applyFont="1"/>
    <xf numFmtId="0" fontId="15" fillId="0" borderId="0" xfId="0" applyFont="1" applyBorder="1"/>
    <xf numFmtId="0" fontId="15" fillId="0" borderId="0" xfId="0" applyFont="1" applyAlignment="1">
      <alignment horizontal="center"/>
    </xf>
    <xf numFmtId="0" fontId="17" fillId="0" borderId="5" xfId="0" applyFont="1" applyFill="1" applyBorder="1" applyAlignment="1">
      <alignment horizontal="left"/>
    </xf>
    <xf numFmtId="0" fontId="19" fillId="0" borderId="2" xfId="0" applyNumberFormat="1" applyFont="1" applyBorder="1"/>
    <xf numFmtId="0" fontId="15" fillId="0" borderId="2" xfId="0" applyNumberFormat="1" applyFont="1" applyBorder="1" applyAlignment="1">
      <alignment horizontal="left" indent="1"/>
    </xf>
    <xf numFmtId="173" fontId="15" fillId="0" borderId="2" xfId="0" applyNumberFormat="1" applyFont="1" applyFill="1" applyBorder="1"/>
    <xf numFmtId="164" fontId="15" fillId="0" borderId="0" xfId="1" applyNumberFormat="1" applyFont="1" applyAlignment="1">
      <alignment horizontal="center"/>
    </xf>
    <xf numFmtId="167" fontId="15" fillId="0" borderId="0" xfId="7" applyNumberFormat="1" applyFont="1" applyAlignment="1">
      <alignment horizontal="center"/>
    </xf>
    <xf numFmtId="0" fontId="15" fillId="0" borderId="2" xfId="0" applyNumberFormat="1" applyFont="1" applyFill="1" applyBorder="1" applyAlignment="1">
      <alignment horizontal="left" indent="1"/>
    </xf>
    <xf numFmtId="173" fontId="15" fillId="0" borderId="0" xfId="1" applyNumberFormat="1" applyFont="1" applyBorder="1"/>
    <xf numFmtId="173" fontId="15" fillId="0" borderId="13" xfId="1" applyNumberFormat="1" applyFont="1" applyFill="1" applyBorder="1"/>
    <xf numFmtId="173" fontId="15" fillId="0" borderId="2" xfId="1" applyNumberFormat="1" applyFont="1" applyFill="1" applyBorder="1"/>
    <xf numFmtId="173" fontId="15" fillId="0" borderId="13" xfId="1" applyNumberFormat="1" applyFont="1" applyBorder="1"/>
    <xf numFmtId="173" fontId="15" fillId="0" borderId="0" xfId="1" applyNumberFormat="1" applyFont="1" applyFill="1" applyBorder="1"/>
    <xf numFmtId="173" fontId="15" fillId="0" borderId="14" xfId="1" applyNumberFormat="1" applyFont="1" applyFill="1" applyBorder="1"/>
    <xf numFmtId="173" fontId="15" fillId="0" borderId="24" xfId="1" applyNumberFormat="1" applyFont="1" applyFill="1" applyBorder="1"/>
    <xf numFmtId="173" fontId="15" fillId="0" borderId="14" xfId="0" applyNumberFormat="1" applyFont="1" applyFill="1" applyBorder="1"/>
    <xf numFmtId="0" fontId="17" fillId="0" borderId="2" xfId="0" applyNumberFormat="1" applyFont="1" applyBorder="1"/>
    <xf numFmtId="173" fontId="17" fillId="0" borderId="25" xfId="0" applyNumberFormat="1" applyFont="1" applyFill="1" applyBorder="1"/>
    <xf numFmtId="173" fontId="17" fillId="0" borderId="21" xfId="0" applyNumberFormat="1" applyFont="1" applyFill="1" applyBorder="1"/>
    <xf numFmtId="173" fontId="17" fillId="0" borderId="26" xfId="0" applyNumberFormat="1" applyFont="1" applyFill="1" applyBorder="1"/>
    <xf numFmtId="173" fontId="17" fillId="0" borderId="27" xfId="0" applyNumberFormat="1" applyFont="1" applyFill="1" applyBorder="1"/>
    <xf numFmtId="173" fontId="17" fillId="0" borderId="28" xfId="0" applyNumberFormat="1" applyFont="1" applyFill="1" applyBorder="1"/>
    <xf numFmtId="164" fontId="15" fillId="0" borderId="0" xfId="0" applyNumberFormat="1" applyFont="1"/>
    <xf numFmtId="167" fontId="15" fillId="0" borderId="0" xfId="0" applyNumberFormat="1" applyFont="1"/>
    <xf numFmtId="0" fontId="15" fillId="0" borderId="2" xfId="0" applyNumberFormat="1" applyFont="1" applyBorder="1"/>
    <xf numFmtId="173" fontId="17" fillId="0" borderId="36" xfId="0" applyNumberFormat="1" applyFont="1" applyBorder="1"/>
    <xf numFmtId="173" fontId="17" fillId="0" borderId="37" xfId="0" applyNumberFormat="1" applyFont="1" applyBorder="1"/>
    <xf numFmtId="173" fontId="17" fillId="0" borderId="38" xfId="0" applyNumberFormat="1" applyFont="1" applyBorder="1"/>
    <xf numFmtId="173" fontId="17" fillId="0" borderId="39" xfId="0" applyNumberFormat="1" applyFont="1" applyBorder="1"/>
    <xf numFmtId="173" fontId="17" fillId="0" borderId="40" xfId="0" applyNumberFormat="1" applyFont="1" applyBorder="1"/>
    <xf numFmtId="167" fontId="15" fillId="0" borderId="0" xfId="0" applyNumberFormat="1" applyFont="1" applyAlignment="1">
      <alignment horizontal="center"/>
    </xf>
    <xf numFmtId="0" fontId="17" fillId="0" borderId="29" xfId="0" applyNumberFormat="1" applyFont="1" applyBorder="1"/>
    <xf numFmtId="173" fontId="17" fillId="0" borderId="5" xfId="0" applyNumberFormat="1" applyFont="1" applyBorder="1"/>
    <xf numFmtId="173" fontId="17" fillId="0" borderId="8" xfId="0" applyNumberFormat="1" applyFont="1" applyBorder="1"/>
    <xf numFmtId="173" fontId="17" fillId="0" borderId="15" xfId="0" applyNumberFormat="1" applyFont="1" applyBorder="1"/>
    <xf numFmtId="173" fontId="17" fillId="0" borderId="3" xfId="0" applyNumberFormat="1" applyFont="1" applyBorder="1"/>
    <xf numFmtId="173" fontId="17" fillId="0" borderId="41" xfId="0" applyNumberFormat="1" applyFont="1" applyBorder="1"/>
    <xf numFmtId="0" fontId="20" fillId="0" borderId="0" xfId="0" applyFont="1" applyBorder="1"/>
    <xf numFmtId="0" fontId="20" fillId="0" borderId="2" xfId="0" applyFont="1" applyBorder="1" applyAlignment="1">
      <alignment horizontal="right"/>
    </xf>
    <xf numFmtId="164" fontId="20" fillId="0" borderId="0" xfId="1" applyNumberFormat="1" applyFont="1" applyBorder="1" applyAlignment="1">
      <alignment horizontal="right"/>
    </xf>
    <xf numFmtId="0" fontId="15" fillId="0" borderId="8" xfId="0" applyFont="1" applyFill="1" applyBorder="1" applyAlignment="1">
      <alignment horizontal="center" vertical="center"/>
    </xf>
    <xf numFmtId="0" fontId="15" fillId="0" borderId="16" xfId="0" applyFont="1" applyBorder="1" applyAlignment="1">
      <alignment horizontal="center"/>
    </xf>
    <xf numFmtId="168" fontId="17" fillId="0" borderId="17" xfId="0" applyNumberFormat="1" applyFont="1" applyBorder="1" applyAlignment="1">
      <alignment horizontal="center"/>
    </xf>
    <xf numFmtId="0" fontId="15" fillId="0" borderId="13" xfId="0" applyFont="1" applyBorder="1" applyAlignment="1">
      <alignment horizontal="center"/>
    </xf>
    <xf numFmtId="0" fontId="15" fillId="0" borderId="13" xfId="0" applyFont="1" applyFill="1" applyBorder="1" applyAlignment="1">
      <alignment horizontal="center"/>
    </xf>
    <xf numFmtId="0" fontId="22" fillId="0" borderId="13" xfId="0" applyFont="1" applyBorder="1" applyAlignment="1">
      <alignment horizontal="center"/>
    </xf>
    <xf numFmtId="0" fontId="17" fillId="0" borderId="2" xfId="0" applyNumberFormat="1" applyFont="1" applyBorder="1" applyAlignment="1">
      <alignment horizontal="left" wrapText="1"/>
    </xf>
    <xf numFmtId="173" fontId="17" fillId="0" borderId="21" xfId="0" applyNumberFormat="1" applyFont="1" applyBorder="1" applyAlignment="1">
      <alignment vertical="top"/>
    </xf>
    <xf numFmtId="0" fontId="17" fillId="0" borderId="3" xfId="0" applyFont="1" applyFill="1" applyBorder="1" applyAlignment="1">
      <alignment horizontal="center" vertical="center" wrapText="1"/>
    </xf>
    <xf numFmtId="173" fontId="17" fillId="0" borderId="26" xfId="0" applyNumberFormat="1" applyFont="1" applyBorder="1" applyAlignment="1">
      <alignment vertical="top"/>
    </xf>
    <xf numFmtId="173" fontId="17" fillId="0" borderId="27" xfId="0" applyNumberFormat="1" applyFont="1" applyBorder="1" applyAlignment="1">
      <alignment vertical="top"/>
    </xf>
    <xf numFmtId="173" fontId="17" fillId="0" borderId="28" xfId="0" applyNumberFormat="1" applyFont="1" applyBorder="1" applyAlignment="1">
      <alignment vertical="top"/>
    </xf>
    <xf numFmtId="0" fontId="17" fillId="0" borderId="2" xfId="0" applyNumberFormat="1" applyFont="1" applyBorder="1" applyAlignment="1">
      <alignment wrapText="1"/>
    </xf>
    <xf numFmtId="0" fontId="15" fillId="0" borderId="2" xfId="0" applyNumberFormat="1" applyFont="1" applyBorder="1" applyAlignment="1">
      <alignment horizontal="left" wrapText="1" indent="1"/>
    </xf>
    <xf numFmtId="0" fontId="17" fillId="0" borderId="33" xfId="0" applyNumberFormat="1" applyFont="1" applyBorder="1"/>
    <xf numFmtId="0" fontId="15" fillId="0" borderId="30" xfId="0" applyFont="1" applyBorder="1" applyAlignment="1">
      <alignment horizontal="center"/>
    </xf>
    <xf numFmtId="0" fontId="21" fillId="0" borderId="0" xfId="0" applyNumberFormat="1" applyFont="1" applyBorder="1"/>
    <xf numFmtId="0" fontId="20" fillId="0" borderId="0" xfId="0" applyNumberFormat="1" applyFont="1" applyBorder="1"/>
    <xf numFmtId="168" fontId="15" fillId="0" borderId="0" xfId="0" applyNumberFormat="1" applyFont="1" applyBorder="1"/>
    <xf numFmtId="168" fontId="15" fillId="0" borderId="0" xfId="0" applyNumberFormat="1" applyFont="1"/>
    <xf numFmtId="173" fontId="17" fillId="0" borderId="16" xfId="0" applyNumberFormat="1" applyFont="1" applyBorder="1" applyAlignment="1">
      <alignment horizontal="center"/>
    </xf>
    <xf numFmtId="173" fontId="17" fillId="0" borderId="18" xfId="0" applyNumberFormat="1" applyFont="1" applyBorder="1" applyAlignment="1">
      <alignment horizontal="center"/>
    </xf>
    <xf numFmtId="173" fontId="17" fillId="0" borderId="7" xfId="0" applyNumberFormat="1" applyFont="1" applyBorder="1" applyAlignment="1">
      <alignment horizontal="center"/>
    </xf>
    <xf numFmtId="173" fontId="17" fillId="0" borderId="17" xfId="0" applyNumberFormat="1" applyFont="1" applyBorder="1" applyAlignment="1">
      <alignment horizontal="center"/>
    </xf>
    <xf numFmtId="173" fontId="17" fillId="0" borderId="13" xfId="0" applyNumberFormat="1" applyFont="1" applyBorder="1" applyAlignment="1">
      <alignment horizontal="center"/>
    </xf>
    <xf numFmtId="173" fontId="17" fillId="0" borderId="0" xfId="0" applyNumberFormat="1" applyFont="1" applyBorder="1" applyAlignment="1">
      <alignment horizontal="center"/>
    </xf>
    <xf numFmtId="173" fontId="17" fillId="0" borderId="2" xfId="0" applyNumberFormat="1" applyFont="1" applyBorder="1" applyAlignment="1">
      <alignment horizontal="center"/>
    </xf>
    <xf numFmtId="173" fontId="17" fillId="0" borderId="14" xfId="0" applyNumberFormat="1" applyFont="1" applyBorder="1" applyAlignment="1">
      <alignment horizontal="center"/>
    </xf>
    <xf numFmtId="43" fontId="15" fillId="0" borderId="0" xfId="1" applyFont="1" applyFill="1" applyBorder="1" applyAlignment="1">
      <alignment horizontal="right"/>
    </xf>
    <xf numFmtId="0" fontId="15" fillId="0" borderId="0" xfId="0" applyFont="1" applyAlignment="1">
      <alignment horizontal="right"/>
    </xf>
    <xf numFmtId="43" fontId="15" fillId="0" borderId="0" xfId="0" applyNumberFormat="1" applyFont="1" applyAlignment="1">
      <alignment horizontal="right"/>
    </xf>
    <xf numFmtId="173" fontId="15" fillId="0" borderId="2" xfId="1" applyNumberFormat="1" applyFont="1" applyBorder="1" applyAlignment="1">
      <alignment horizontal="right"/>
    </xf>
    <xf numFmtId="173" fontId="15" fillId="0" borderId="14" xfId="1" applyNumberFormat="1" applyFont="1" applyBorder="1" applyAlignment="1">
      <alignment horizontal="right"/>
    </xf>
    <xf numFmtId="173" fontId="15" fillId="0" borderId="13" xfId="0" applyNumberFormat="1" applyFont="1" applyBorder="1" applyAlignment="1">
      <alignment horizontal="center"/>
    </xf>
    <xf numFmtId="0" fontId="15" fillId="0" borderId="2" xfId="0" applyFont="1" applyFill="1" applyBorder="1" applyAlignment="1">
      <alignment horizontal="left" indent="1"/>
    </xf>
    <xf numFmtId="0" fontId="17" fillId="0" borderId="2" xfId="0" applyFont="1" applyBorder="1"/>
    <xf numFmtId="173" fontId="17" fillId="0" borderId="30" xfId="0" applyNumberFormat="1" applyFont="1" applyBorder="1" applyAlignment="1">
      <alignment horizontal="center"/>
    </xf>
    <xf numFmtId="173" fontId="17" fillId="0" borderId="32" xfId="0" applyNumberFormat="1" applyFont="1" applyBorder="1" applyAlignment="1">
      <alignment horizontal="right"/>
    </xf>
    <xf numFmtId="173" fontId="17" fillId="0" borderId="29" xfId="0" applyNumberFormat="1" applyFont="1" applyBorder="1" applyAlignment="1">
      <alignment horizontal="right"/>
    </xf>
    <xf numFmtId="173" fontId="17" fillId="0" borderId="30" xfId="0" applyNumberFormat="1" applyFont="1" applyBorder="1" applyAlignment="1">
      <alignment horizontal="right"/>
    </xf>
    <xf numFmtId="173" fontId="17" fillId="0" borderId="31" xfId="0" applyNumberFormat="1" applyFont="1" applyBorder="1" applyAlignment="1">
      <alignment horizontal="right"/>
    </xf>
    <xf numFmtId="0" fontId="17" fillId="0" borderId="29" xfId="0" applyFont="1" applyBorder="1" applyAlignment="1">
      <alignment horizontal="left"/>
    </xf>
    <xf numFmtId="0" fontId="17" fillId="0" borderId="2" xfId="0" applyFont="1" applyFill="1" applyBorder="1"/>
    <xf numFmtId="166" fontId="15" fillId="0" borderId="0" xfId="0" applyNumberFormat="1" applyFont="1"/>
    <xf numFmtId="0" fontId="15" fillId="0" borderId="0" xfId="0" applyFont="1" applyBorder="1" applyAlignment="1"/>
    <xf numFmtId="0" fontId="15" fillId="0" borderId="3" xfId="0" applyFont="1" applyBorder="1"/>
    <xf numFmtId="0" fontId="15" fillId="0" borderId="5" xfId="0" applyFont="1" applyBorder="1" applyAlignment="1">
      <alignment horizontal="center"/>
    </xf>
    <xf numFmtId="165" fontId="20" fillId="0" borderId="0" xfId="1" applyNumberFormat="1" applyFont="1" applyBorder="1" applyAlignment="1">
      <alignment horizontal="right"/>
    </xf>
    <xf numFmtId="165" fontId="15" fillId="0" borderId="0" xfId="1" applyNumberFormat="1" applyFont="1"/>
    <xf numFmtId="165" fontId="15" fillId="0" borderId="0" xfId="1" applyNumberFormat="1" applyFont="1" applyFill="1"/>
    <xf numFmtId="173" fontId="17" fillId="0" borderId="20" xfId="0" applyNumberFormat="1" applyFont="1" applyBorder="1" applyAlignment="1">
      <alignment horizontal="center"/>
    </xf>
    <xf numFmtId="0" fontId="17" fillId="0" borderId="39" xfId="0" applyFont="1" applyBorder="1"/>
    <xf numFmtId="0" fontId="15" fillId="0" borderId="37" xfId="0" applyFont="1" applyBorder="1" applyAlignment="1">
      <alignment horizontal="center"/>
    </xf>
    <xf numFmtId="43" fontId="15" fillId="0" borderId="0" xfId="1" applyFont="1" applyBorder="1"/>
    <xf numFmtId="173" fontId="17" fillId="0" borderId="14" xfId="0" applyNumberFormat="1" applyFont="1" applyFill="1" applyBorder="1"/>
    <xf numFmtId="0" fontId="17" fillId="0" borderId="3" xfId="0" applyFont="1" applyBorder="1"/>
    <xf numFmtId="0" fontId="15" fillId="0" borderId="8" xfId="0" applyFont="1" applyBorder="1" applyAlignment="1">
      <alignment horizontal="center"/>
    </xf>
    <xf numFmtId="173" fontId="17" fillId="0" borderId="8" xfId="0" applyNumberFormat="1" applyFont="1" applyFill="1" applyBorder="1"/>
    <xf numFmtId="173" fontId="17" fillId="0" borderId="41" xfId="0" applyNumberFormat="1" applyFont="1" applyFill="1" applyBorder="1"/>
    <xf numFmtId="0" fontId="15" fillId="0" borderId="13" xfId="0" applyNumberFormat="1" applyFont="1" applyFill="1" applyBorder="1" applyAlignment="1">
      <alignment horizontal="center"/>
    </xf>
    <xf numFmtId="173" fontId="15" fillId="0" borderId="20" xfId="0" applyNumberFormat="1" applyFont="1" applyFill="1" applyBorder="1"/>
    <xf numFmtId="173" fontId="17" fillId="0" borderId="32" xfId="0" applyNumberFormat="1" applyFont="1" applyFill="1" applyBorder="1"/>
    <xf numFmtId="173" fontId="17" fillId="0" borderId="29" xfId="0" applyNumberFormat="1" applyFont="1" applyFill="1" applyBorder="1"/>
    <xf numFmtId="173" fontId="17" fillId="0" borderId="33" xfId="0" applyNumberFormat="1" applyFont="1" applyFill="1" applyBorder="1"/>
    <xf numFmtId="0" fontId="15" fillId="0" borderId="0" xfId="0" applyFont="1" applyAlignment="1">
      <alignment horizontal="center" vertical="center" wrapText="1"/>
    </xf>
    <xf numFmtId="0" fontId="21" fillId="0" borderId="0" xfId="0" applyFont="1"/>
    <xf numFmtId="0" fontId="20" fillId="0" borderId="0" xfId="0" quotePrefix="1" applyFont="1" applyFill="1" applyBorder="1"/>
    <xf numFmtId="0" fontId="23" fillId="0" borderId="0" xfId="0" applyFont="1"/>
    <xf numFmtId="0" fontId="22" fillId="0" borderId="0" xfId="0" applyFont="1" applyFill="1" applyBorder="1"/>
    <xf numFmtId="0" fontId="15" fillId="0" borderId="0" xfId="0" applyFont="1" applyFill="1" applyBorder="1"/>
    <xf numFmtId="173" fontId="15" fillId="0" borderId="42" xfId="0" applyNumberFormat="1" applyFont="1" applyFill="1" applyBorder="1"/>
    <xf numFmtId="173" fontId="15" fillId="0" borderId="0" xfId="0" applyNumberFormat="1" applyFont="1"/>
    <xf numFmtId="168" fontId="15" fillId="0" borderId="0" xfId="0" applyNumberFormat="1" applyFont="1" applyFill="1" applyBorder="1"/>
    <xf numFmtId="173" fontId="15" fillId="0" borderId="21" xfId="0" applyNumberFormat="1" applyFont="1" applyFill="1" applyBorder="1"/>
    <xf numFmtId="173" fontId="15" fillId="0" borderId="26" xfId="0" applyNumberFormat="1" applyFont="1" applyFill="1" applyBorder="1"/>
    <xf numFmtId="0" fontId="15" fillId="0" borderId="2" xfId="0" applyNumberFormat="1" applyFont="1" applyBorder="1" applyAlignment="1">
      <alignment horizontal="left" indent="2"/>
    </xf>
    <xf numFmtId="0" fontId="15" fillId="0" borderId="0" xfId="0" applyFont="1" applyFill="1"/>
    <xf numFmtId="0" fontId="20" fillId="0" borderId="2" xfId="0" applyNumberFormat="1" applyFont="1" applyFill="1" applyBorder="1" applyAlignment="1">
      <alignment horizontal="left" indent="1"/>
    </xf>
    <xf numFmtId="0" fontId="17" fillId="0" borderId="2" xfId="0" applyNumberFormat="1" applyFont="1" applyFill="1" applyBorder="1" applyAlignment="1">
      <alignment horizontal="left"/>
    </xf>
    <xf numFmtId="0" fontId="17" fillId="0" borderId="2" xfId="0" applyNumberFormat="1" applyFont="1" applyBorder="1" applyAlignment="1">
      <alignment horizontal="left" indent="1"/>
    </xf>
    <xf numFmtId="0" fontId="18" fillId="0" borderId="2" xfId="0" applyNumberFormat="1" applyFont="1" applyBorder="1"/>
    <xf numFmtId="0" fontId="20" fillId="0" borderId="13" xfId="0" applyNumberFormat="1" applyFont="1" applyBorder="1" applyAlignment="1">
      <alignment horizontal="center"/>
    </xf>
    <xf numFmtId="167" fontId="20" fillId="0" borderId="13" xfId="7" applyNumberFormat="1" applyFont="1" applyFill="1" applyBorder="1" applyAlignment="1">
      <alignment horizontal="center"/>
    </xf>
    <xf numFmtId="167" fontId="20" fillId="0" borderId="14" xfId="7" applyNumberFormat="1" applyFont="1" applyFill="1" applyBorder="1" applyAlignment="1">
      <alignment horizontal="center"/>
    </xf>
    <xf numFmtId="167" fontId="20" fillId="0" borderId="2" xfId="7" applyNumberFormat="1" applyFont="1" applyFill="1" applyBorder="1" applyAlignment="1">
      <alignment horizontal="center"/>
    </xf>
    <xf numFmtId="167" fontId="20" fillId="0" borderId="0" xfId="7" applyNumberFormat="1" applyFont="1" applyFill="1" applyBorder="1" applyAlignment="1">
      <alignment horizontal="center"/>
    </xf>
    <xf numFmtId="167" fontId="20" fillId="0" borderId="24" xfId="7" applyNumberFormat="1" applyFont="1" applyFill="1" applyBorder="1" applyAlignment="1">
      <alignment horizontal="center"/>
    </xf>
    <xf numFmtId="0" fontId="15" fillId="0" borderId="3" xfId="0" applyNumberFormat="1" applyFont="1" applyBorder="1"/>
    <xf numFmtId="0" fontId="15" fillId="0" borderId="8" xfId="0" applyNumberFormat="1" applyFont="1" applyBorder="1" applyAlignment="1">
      <alignment horizontal="center"/>
    </xf>
    <xf numFmtId="168" fontId="17" fillId="0" borderId="8" xfId="0" applyNumberFormat="1" applyFont="1" applyBorder="1"/>
    <xf numFmtId="168" fontId="17" fillId="0" borderId="15" xfId="0" applyNumberFormat="1" applyFont="1" applyBorder="1"/>
    <xf numFmtId="168" fontId="17" fillId="0" borderId="3" xfId="0" applyNumberFormat="1" applyFont="1" applyBorder="1"/>
    <xf numFmtId="168" fontId="17" fillId="0" borderId="5" xfId="0" applyNumberFormat="1" applyFont="1" applyBorder="1"/>
    <xf numFmtId="168" fontId="17" fillId="0" borderId="41" xfId="0" applyNumberFormat="1" applyFont="1" applyBorder="1"/>
    <xf numFmtId="0" fontId="20" fillId="0" borderId="0" xfId="0" applyFont="1" applyFill="1" applyBorder="1" applyAlignment="1">
      <alignment horizontal="right"/>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5" xfId="0" applyFont="1" applyFill="1" applyBorder="1" applyAlignment="1">
      <alignment horizontal="center" vertical="center" wrapText="1"/>
    </xf>
    <xf numFmtId="174" fontId="15" fillId="0" borderId="13" xfId="1" applyNumberFormat="1" applyFont="1" applyFill="1" applyBorder="1"/>
    <xf numFmtId="174" fontId="15" fillId="0" borderId="0" xfId="1" applyNumberFormat="1" applyFont="1" applyFill="1" applyBorder="1"/>
    <xf numFmtId="173" fontId="17" fillId="0" borderId="13" xfId="0" applyNumberFormat="1" applyFont="1" applyFill="1" applyBorder="1"/>
    <xf numFmtId="173" fontId="17" fillId="0" borderId="2" xfId="0" applyNumberFormat="1" applyFont="1" applyFill="1" applyBorder="1"/>
    <xf numFmtId="173" fontId="17" fillId="0" borderId="0" xfId="0" applyNumberFormat="1" applyFont="1" applyFill="1" applyBorder="1"/>
    <xf numFmtId="0" fontId="17" fillId="0" borderId="3" xfId="0" applyNumberFormat="1" applyFont="1" applyBorder="1"/>
    <xf numFmtId="0" fontId="15" fillId="0" borderId="8" xfId="0" applyNumberFormat="1" applyFont="1" applyFill="1" applyBorder="1" applyAlignment="1">
      <alignment horizontal="center"/>
    </xf>
    <xf numFmtId="168" fontId="15" fillId="0" borderId="16" xfId="0" applyNumberFormat="1" applyFont="1" applyBorder="1"/>
    <xf numFmtId="168" fontId="15" fillId="0" borderId="2" xfId="0" applyNumberFormat="1" applyFont="1" applyBorder="1"/>
    <xf numFmtId="168" fontId="15" fillId="0" borderId="20" xfId="0" applyNumberFormat="1" applyFont="1" applyBorder="1"/>
    <xf numFmtId="0" fontId="19" fillId="0" borderId="2" xfId="0" applyFont="1" applyFill="1" applyBorder="1"/>
    <xf numFmtId="168" fontId="15" fillId="0" borderId="13" xfId="0" applyNumberFormat="1" applyFont="1" applyBorder="1"/>
    <xf numFmtId="168" fontId="15" fillId="0" borderId="24" xfId="0" applyNumberFormat="1" applyFont="1" applyBorder="1"/>
    <xf numFmtId="0" fontId="15" fillId="0" borderId="2" xfId="0" applyFont="1" applyFill="1" applyBorder="1"/>
    <xf numFmtId="173" fontId="17" fillId="0" borderId="24" xfId="0" applyNumberFormat="1" applyFont="1" applyBorder="1" applyAlignment="1">
      <alignment horizontal="center"/>
    </xf>
    <xf numFmtId="0" fontId="17" fillId="0" borderId="27" xfId="0" applyFont="1" applyBorder="1"/>
    <xf numFmtId="0" fontId="15" fillId="0" borderId="21" xfId="0" applyFont="1" applyBorder="1" applyAlignment="1">
      <alignment horizontal="center"/>
    </xf>
    <xf numFmtId="173" fontId="15" fillId="0" borderId="21" xfId="0" applyNumberFormat="1" applyFont="1" applyBorder="1"/>
    <xf numFmtId="173" fontId="15" fillId="0" borderId="26" xfId="0" applyNumberFormat="1" applyFont="1" applyBorder="1"/>
    <xf numFmtId="173" fontId="15" fillId="0" borderId="27" xfId="0" applyNumberFormat="1" applyFont="1" applyBorder="1"/>
    <xf numFmtId="173" fontId="15" fillId="0" borderId="25" xfId="0" applyNumberFormat="1" applyFont="1" applyBorder="1"/>
    <xf numFmtId="173" fontId="15" fillId="0" borderId="28" xfId="0" applyNumberFormat="1" applyFont="1" applyBorder="1"/>
    <xf numFmtId="0" fontId="18" fillId="0" borderId="2" xfId="0" applyFont="1" applyBorder="1" applyAlignment="1">
      <alignment horizontal="right"/>
    </xf>
    <xf numFmtId="0" fontId="22" fillId="0" borderId="2" xfId="0" applyFont="1" applyBorder="1" applyAlignment="1">
      <alignment horizontal="left" indent="1"/>
    </xf>
    <xf numFmtId="0" fontId="17" fillId="0" borderId="2" xfId="0" applyFont="1" applyBorder="1" applyAlignment="1">
      <alignment horizontal="left" indent="1"/>
    </xf>
    <xf numFmtId="0" fontId="15" fillId="0" borderId="2" xfId="0" applyFont="1" applyBorder="1" applyAlignment="1">
      <alignment horizontal="left" indent="2"/>
    </xf>
    <xf numFmtId="0" fontId="17" fillId="0" borderId="16" xfId="0" applyFont="1" applyFill="1" applyBorder="1" applyAlignment="1">
      <alignment vertical="center"/>
    </xf>
    <xf numFmtId="173" fontId="17" fillId="0" borderId="6" xfId="0" applyNumberFormat="1" applyFont="1" applyBorder="1" applyAlignment="1">
      <alignment horizontal="center"/>
    </xf>
    <xf numFmtId="173" fontId="17" fillId="0" borderId="1" xfId="0" applyNumberFormat="1" applyFont="1" applyBorder="1"/>
    <xf numFmtId="173" fontId="17" fillId="0" borderId="19" xfId="0" applyNumberFormat="1" applyFont="1" applyBorder="1"/>
    <xf numFmtId="0" fontId="17" fillId="0" borderId="29" xfId="0" applyFont="1" applyBorder="1" applyAlignment="1">
      <alignment vertical="top" wrapText="1"/>
    </xf>
    <xf numFmtId="17" fontId="18" fillId="0" borderId="0" xfId="0" quotePrefix="1" applyNumberFormat="1" applyFont="1" applyAlignment="1">
      <alignment horizontal="center"/>
    </xf>
    <xf numFmtId="173" fontId="15" fillId="0" borderId="16" xfId="0" applyNumberFormat="1" applyFont="1" applyBorder="1"/>
    <xf numFmtId="173" fontId="15" fillId="0" borderId="20" xfId="0" applyNumberFormat="1" applyFont="1" applyBorder="1"/>
    <xf numFmtId="0" fontId="17" fillId="0" borderId="27" xfId="0" applyFont="1" applyFill="1" applyBorder="1"/>
    <xf numFmtId="0" fontId="17" fillId="0" borderId="29" xfId="0" applyFont="1" applyFill="1" applyBorder="1"/>
    <xf numFmtId="0" fontId="15" fillId="0" borderId="0" xfId="0" applyFont="1" applyFill="1" applyBorder="1" applyAlignment="1">
      <alignment horizontal="center"/>
    </xf>
    <xf numFmtId="0" fontId="15" fillId="0" borderId="7" xfId="0" applyFont="1" applyBorder="1"/>
    <xf numFmtId="0" fontId="15" fillId="0" borderId="18" xfId="0" applyFont="1" applyBorder="1" applyAlignment="1">
      <alignment horizontal="center"/>
    </xf>
    <xf numFmtId="173" fontId="15" fillId="0" borderId="8" xfId="0" applyNumberFormat="1" applyFont="1" applyBorder="1"/>
    <xf numFmtId="173" fontId="15" fillId="0" borderId="15" xfId="0" applyNumberFormat="1" applyFont="1" applyBorder="1"/>
    <xf numFmtId="173" fontId="15" fillId="0" borderId="3" xfId="0" applyNumberFormat="1" applyFont="1" applyBorder="1"/>
    <xf numFmtId="173" fontId="15" fillId="0" borderId="5" xfId="0" applyNumberFormat="1" applyFont="1" applyBorder="1"/>
    <xf numFmtId="0" fontId="20" fillId="0" borderId="0" xfId="0" applyFont="1" applyAlignment="1">
      <alignment horizontal="right"/>
    </xf>
    <xf numFmtId="0" fontId="15" fillId="0" borderId="16" xfId="0" applyFont="1" applyBorder="1" applyAlignment="1">
      <alignment horizontal="center" vertical="top" wrapText="1"/>
    </xf>
    <xf numFmtId="167" fontId="15" fillId="0" borderId="0" xfId="7" applyNumberFormat="1" applyFont="1"/>
    <xf numFmtId="0" fontId="15" fillId="0" borderId="13" xfId="0" applyFont="1" applyBorder="1" applyAlignment="1">
      <alignment horizontal="center" vertical="top" wrapText="1"/>
    </xf>
    <xf numFmtId="0" fontId="17" fillId="0" borderId="8" xfId="0" applyFont="1" applyBorder="1"/>
    <xf numFmtId="0" fontId="15" fillId="0" borderId="1" xfId="0" applyFont="1" applyBorder="1" applyAlignment="1">
      <alignment horizontal="center" vertical="top" wrapText="1"/>
    </xf>
    <xf numFmtId="164" fontId="15" fillId="0" borderId="0" xfId="1" applyNumberFormat="1" applyFont="1" applyBorder="1" applyAlignment="1">
      <alignment horizontal="left"/>
    </xf>
    <xf numFmtId="168" fontId="15" fillId="0" borderId="0" xfId="1" applyNumberFormat="1" applyFont="1" applyBorder="1"/>
    <xf numFmtId="167" fontId="15" fillId="0" borderId="0" xfId="7" applyNumberFormat="1" applyFont="1" applyBorder="1"/>
    <xf numFmtId="164" fontId="15" fillId="0" borderId="0" xfId="1" applyNumberFormat="1" applyFont="1" applyBorder="1"/>
    <xf numFmtId="173" fontId="20" fillId="0" borderId="0" xfId="1" applyNumberFormat="1" applyFont="1" applyBorder="1" applyAlignment="1">
      <alignment horizontal="right"/>
    </xf>
    <xf numFmtId="168" fontId="20" fillId="0" borderId="0" xfId="0" applyNumberFormat="1" applyFont="1" applyBorder="1" applyAlignment="1">
      <alignment horizontal="right"/>
    </xf>
    <xf numFmtId="0" fontId="15" fillId="0" borderId="14" xfId="0" applyFont="1" applyBorder="1" applyAlignment="1">
      <alignment horizontal="center" vertical="top" wrapText="1"/>
    </xf>
    <xf numFmtId="0" fontId="15" fillId="0" borderId="2" xfId="0" applyFont="1" applyBorder="1" applyAlignment="1">
      <alignment horizontal="center" vertical="top" wrapText="1"/>
    </xf>
    <xf numFmtId="2" fontId="15" fillId="0" borderId="14" xfId="1" applyNumberFormat="1" applyFont="1" applyBorder="1" applyAlignment="1">
      <alignment horizontal="center" vertical="top" wrapText="1"/>
    </xf>
    <xf numFmtId="2" fontId="15" fillId="0" borderId="1" xfId="1" applyNumberFormat="1" applyFont="1" applyBorder="1" applyAlignment="1">
      <alignment horizontal="center" vertical="top" wrapText="1"/>
    </xf>
    <xf numFmtId="2" fontId="15" fillId="0" borderId="2" xfId="1" applyNumberFormat="1" applyFont="1" applyBorder="1" applyAlignment="1">
      <alignment horizontal="center" vertical="top" wrapText="1"/>
    </xf>
    <xf numFmtId="167" fontId="15" fillId="0" borderId="2" xfId="0" applyNumberFormat="1" applyFont="1" applyBorder="1" applyAlignment="1">
      <alignment horizontal="center" vertical="top" wrapText="1"/>
    </xf>
    <xf numFmtId="167" fontId="15" fillId="0" borderId="1" xfId="0" applyNumberFormat="1" applyFont="1" applyFill="1" applyBorder="1" applyAlignment="1">
      <alignment horizontal="center" vertical="top" wrapText="1"/>
    </xf>
    <xf numFmtId="174" fontId="15" fillId="0" borderId="13" xfId="0" applyNumberFormat="1" applyFont="1" applyBorder="1" applyAlignment="1">
      <alignment horizontal="center" vertical="top" wrapText="1"/>
    </xf>
    <xf numFmtId="174" fontId="15" fillId="0" borderId="14" xfId="0" applyNumberFormat="1" applyFont="1" applyBorder="1" applyAlignment="1">
      <alignment horizontal="center" vertical="top" wrapText="1"/>
    </xf>
    <xf numFmtId="174" fontId="15" fillId="0" borderId="2" xfId="0" applyNumberFormat="1" applyFont="1" applyBorder="1" applyAlignment="1">
      <alignment horizontal="center" vertical="top" wrapText="1"/>
    </xf>
    <xf numFmtId="174" fontId="15" fillId="0" borderId="0" xfId="0" applyNumberFormat="1" applyFont="1" applyBorder="1" applyAlignment="1">
      <alignment horizontal="center" vertical="top" wrapText="1"/>
    </xf>
    <xf numFmtId="0" fontId="20" fillId="0" borderId="0" xfId="0" applyFont="1"/>
    <xf numFmtId="165" fontId="20" fillId="0" borderId="0" xfId="1" applyNumberFormat="1" applyFont="1" applyBorder="1" applyAlignment="1">
      <alignment vertical="top" wrapText="1"/>
    </xf>
    <xf numFmtId="165" fontId="20" fillId="0" borderId="0" xfId="1" applyNumberFormat="1" applyFont="1" applyFill="1" applyBorder="1" applyAlignment="1">
      <alignment vertical="top" wrapText="1"/>
    </xf>
    <xf numFmtId="0" fontId="22" fillId="0" borderId="0" xfId="0" applyFont="1"/>
    <xf numFmtId="0" fontId="19" fillId="0" borderId="7" xfId="0" applyFont="1" applyBorder="1" applyAlignment="1">
      <alignment horizontal="left" wrapText="1"/>
    </xf>
    <xf numFmtId="0" fontId="15" fillId="0" borderId="43" xfId="0" applyFont="1" applyBorder="1" applyAlignment="1">
      <alignment horizontal="left" vertical="top" wrapText="1"/>
    </xf>
    <xf numFmtId="0" fontId="15" fillId="0" borderId="20" xfId="0" applyFont="1" applyBorder="1" applyAlignment="1">
      <alignment horizontal="center" vertical="top" wrapText="1"/>
    </xf>
    <xf numFmtId="0" fontId="15" fillId="0" borderId="17" xfId="0" applyFont="1" applyBorder="1" applyAlignment="1">
      <alignment horizontal="center" vertical="top" wrapText="1"/>
    </xf>
    <xf numFmtId="0" fontId="15" fillId="0" borderId="7" xfId="0" applyFont="1" applyBorder="1" applyAlignment="1">
      <alignment horizontal="center" vertical="top" wrapText="1"/>
    </xf>
    <xf numFmtId="0" fontId="15" fillId="0" borderId="18" xfId="0" applyFont="1" applyBorder="1" applyAlignment="1">
      <alignment horizontal="center" vertical="top" wrapText="1"/>
    </xf>
    <xf numFmtId="0" fontId="15" fillId="0" borderId="44" xfId="0" applyFont="1" applyBorder="1" applyAlignment="1">
      <alignment horizontal="left" vertical="top" wrapText="1"/>
    </xf>
    <xf numFmtId="167" fontId="15" fillId="0" borderId="24" xfId="7" applyNumberFormat="1" applyFont="1" applyFill="1" applyBorder="1" applyAlignment="1">
      <alignment horizontal="center" vertical="top" wrapText="1"/>
    </xf>
    <xf numFmtId="167" fontId="15" fillId="0" borderId="13" xfId="7" applyNumberFormat="1" applyFont="1" applyFill="1" applyBorder="1" applyAlignment="1">
      <alignment horizontal="center" vertical="top" wrapText="1"/>
    </xf>
    <xf numFmtId="167" fontId="15" fillId="0" borderId="14" xfId="7" applyNumberFormat="1" applyFont="1" applyFill="1" applyBorder="1" applyAlignment="1">
      <alignment horizontal="center" vertical="top" wrapText="1"/>
    </xf>
    <xf numFmtId="167" fontId="15" fillId="0" borderId="2" xfId="7" applyNumberFormat="1" applyFont="1" applyFill="1" applyBorder="1" applyAlignment="1">
      <alignment horizontal="center" vertical="top" wrapText="1"/>
    </xf>
    <xf numFmtId="167" fontId="15" fillId="0" borderId="0" xfId="7" applyNumberFormat="1" applyFont="1" applyFill="1" applyBorder="1" applyAlignment="1">
      <alignment horizontal="center" vertical="top" wrapText="1"/>
    </xf>
    <xf numFmtId="0" fontId="15" fillId="0" borderId="2" xfId="0" applyFont="1" applyBorder="1" applyAlignment="1">
      <alignment horizontal="left" vertical="top" wrapText="1" indent="1"/>
    </xf>
    <xf numFmtId="0" fontId="15" fillId="0" borderId="24" xfId="7" applyNumberFormat="1" applyFont="1" applyFill="1" applyBorder="1" applyAlignment="1">
      <alignment horizontal="center" vertical="top" wrapText="1"/>
    </xf>
    <xf numFmtId="0" fontId="15" fillId="0" borderId="13" xfId="7" applyNumberFormat="1" applyFont="1" applyFill="1" applyBorder="1" applyAlignment="1">
      <alignment horizontal="center" vertical="top" wrapText="1"/>
    </xf>
    <xf numFmtId="0" fontId="15" fillId="0" borderId="14" xfId="7" applyNumberFormat="1" applyFont="1" applyFill="1" applyBorder="1" applyAlignment="1">
      <alignment horizontal="center" vertical="top" wrapText="1"/>
    </xf>
    <xf numFmtId="0" fontId="19" fillId="0" borderId="2" xfId="0" applyFont="1" applyBorder="1" applyAlignment="1">
      <alignment horizontal="left" wrapText="1"/>
    </xf>
    <xf numFmtId="0" fontId="15" fillId="0" borderId="24" xfId="0" applyFont="1" applyFill="1" applyBorder="1" applyAlignment="1">
      <alignment horizontal="center" vertical="top" wrapText="1"/>
    </xf>
    <xf numFmtId="0" fontId="15" fillId="0" borderId="13" xfId="0" applyFont="1" applyFill="1" applyBorder="1" applyAlignment="1">
      <alignment horizontal="center" vertical="top" wrapText="1"/>
    </xf>
    <xf numFmtId="0" fontId="15" fillId="0" borderId="1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0" xfId="0" applyFont="1" applyFill="1" applyBorder="1" applyAlignment="1">
      <alignment horizontal="center" vertical="top" wrapText="1"/>
    </xf>
    <xf numFmtId="175" fontId="15" fillId="0" borderId="24" xfId="1" applyNumberFormat="1" applyFont="1" applyFill="1" applyBorder="1" applyAlignment="1">
      <alignment vertical="top" wrapText="1"/>
    </xf>
    <xf numFmtId="175" fontId="15" fillId="0" borderId="13" xfId="1" applyNumberFormat="1" applyFont="1" applyFill="1" applyBorder="1" applyAlignment="1">
      <alignment vertical="top" wrapText="1"/>
    </xf>
    <xf numFmtId="175" fontId="15" fillId="0" borderId="14" xfId="1" applyNumberFormat="1" applyFont="1" applyFill="1" applyBorder="1" applyAlignment="1">
      <alignment vertical="top" wrapText="1"/>
    </xf>
    <xf numFmtId="175" fontId="15" fillId="0" borderId="2" xfId="1" applyNumberFormat="1" applyFont="1" applyFill="1" applyBorder="1" applyAlignment="1">
      <alignment vertical="top" wrapText="1"/>
    </xf>
    <xf numFmtId="175" fontId="15" fillId="0" borderId="0" xfId="1" applyNumberFormat="1" applyFont="1" applyFill="1" applyBorder="1" applyAlignment="1">
      <alignment vertical="top" wrapText="1"/>
    </xf>
    <xf numFmtId="175" fontId="15" fillId="0" borderId="24" xfId="0" applyNumberFormat="1" applyFont="1" applyFill="1" applyBorder="1" applyAlignment="1">
      <alignment horizontal="center" vertical="top" wrapText="1"/>
    </xf>
    <xf numFmtId="175" fontId="15" fillId="0" borderId="13" xfId="0" applyNumberFormat="1" applyFont="1" applyFill="1" applyBorder="1" applyAlignment="1">
      <alignment horizontal="center" vertical="top" wrapText="1"/>
    </xf>
    <xf numFmtId="175" fontId="15" fillId="0" borderId="14" xfId="0" applyNumberFormat="1" applyFont="1" applyFill="1" applyBorder="1" applyAlignment="1">
      <alignment horizontal="center" vertical="top" wrapText="1"/>
    </xf>
    <xf numFmtId="175" fontId="15" fillId="0" borderId="2" xfId="0" applyNumberFormat="1" applyFont="1" applyFill="1" applyBorder="1" applyAlignment="1">
      <alignment horizontal="center" vertical="top" wrapText="1"/>
    </xf>
    <xf numFmtId="175" fontId="15" fillId="0" borderId="0" xfId="0" applyNumberFormat="1" applyFont="1" applyFill="1" applyBorder="1" applyAlignment="1">
      <alignment horizontal="center" vertical="top" wrapText="1"/>
    </xf>
    <xf numFmtId="167" fontId="15" fillId="0" borderId="24" xfId="0" applyNumberFormat="1" applyFont="1" applyFill="1" applyBorder="1" applyAlignment="1">
      <alignment horizontal="center" vertical="top" wrapText="1"/>
    </xf>
    <xf numFmtId="167" fontId="15" fillId="0" borderId="13" xfId="0" applyNumberFormat="1" applyFont="1" applyFill="1" applyBorder="1" applyAlignment="1">
      <alignment horizontal="center" vertical="top" wrapText="1"/>
    </xf>
    <xf numFmtId="167" fontId="15" fillId="0" borderId="14" xfId="0" applyNumberFormat="1" applyFont="1" applyFill="1" applyBorder="1" applyAlignment="1">
      <alignment horizontal="center" vertical="top" wrapText="1"/>
    </xf>
    <xf numFmtId="167" fontId="15" fillId="0" borderId="2" xfId="0" applyNumberFormat="1" applyFont="1" applyFill="1" applyBorder="1" applyAlignment="1">
      <alignment horizontal="center" vertical="top" wrapText="1"/>
    </xf>
    <xf numFmtId="167" fontId="15" fillId="0" borderId="0" xfId="0" applyNumberFormat="1" applyFont="1" applyFill="1" applyBorder="1" applyAlignment="1">
      <alignment horizontal="center" vertical="top" wrapText="1"/>
    </xf>
    <xf numFmtId="0" fontId="19" fillId="0" borderId="2" xfId="0" applyFont="1" applyBorder="1" applyAlignment="1">
      <alignment horizontal="left" vertical="top" wrapText="1"/>
    </xf>
    <xf numFmtId="0" fontId="19" fillId="0" borderId="44" xfId="0" applyFont="1" applyBorder="1" applyAlignment="1">
      <alignment horizontal="left" vertical="top" wrapText="1"/>
    </xf>
    <xf numFmtId="9" fontId="15" fillId="0" borderId="24" xfId="0" applyNumberFormat="1" applyFont="1" applyFill="1" applyBorder="1" applyAlignment="1">
      <alignment horizontal="center" vertical="top" wrapText="1"/>
    </xf>
    <xf numFmtId="9" fontId="15" fillId="0" borderId="13" xfId="0" applyNumberFormat="1" applyFont="1" applyFill="1" applyBorder="1" applyAlignment="1">
      <alignment horizontal="center" vertical="top" wrapText="1"/>
    </xf>
    <xf numFmtId="9" fontId="15" fillId="0" borderId="14" xfId="0" applyNumberFormat="1" applyFont="1" applyFill="1" applyBorder="1" applyAlignment="1">
      <alignment horizontal="center" vertical="top" wrapText="1"/>
    </xf>
    <xf numFmtId="9" fontId="15" fillId="0" borderId="2" xfId="0" applyNumberFormat="1" applyFont="1" applyFill="1" applyBorder="1" applyAlignment="1">
      <alignment horizontal="center" vertical="top" wrapText="1"/>
    </xf>
    <xf numFmtId="9" fontId="15" fillId="0" borderId="0" xfId="0" applyNumberFormat="1" applyFont="1" applyFill="1" applyBorder="1" applyAlignment="1">
      <alignment horizontal="center" vertical="top" wrapText="1"/>
    </xf>
    <xf numFmtId="0" fontId="15" fillId="0" borderId="45" xfId="0" applyFont="1" applyBorder="1" applyAlignment="1">
      <alignment horizontal="left" vertical="top" wrapText="1" indent="1"/>
    </xf>
    <xf numFmtId="0" fontId="15" fillId="0" borderId="46" xfId="0" applyFont="1" applyBorder="1" applyAlignment="1">
      <alignment horizontal="left" vertical="top" wrapText="1"/>
    </xf>
    <xf numFmtId="175" fontId="15" fillId="0" borderId="47" xfId="1" applyNumberFormat="1" applyFont="1" applyFill="1" applyBorder="1" applyAlignment="1">
      <alignment vertical="top" wrapText="1"/>
    </xf>
    <xf numFmtId="175" fontId="15" fillId="0" borderId="48" xfId="1" applyNumberFormat="1" applyFont="1" applyFill="1" applyBorder="1" applyAlignment="1">
      <alignment vertical="top" wrapText="1"/>
    </xf>
    <xf numFmtId="175" fontId="15" fillId="0" borderId="49" xfId="1" applyNumberFormat="1" applyFont="1" applyFill="1" applyBorder="1" applyAlignment="1">
      <alignment vertical="top" wrapText="1"/>
    </xf>
    <xf numFmtId="175" fontId="15" fillId="0" borderId="45" xfId="1" applyNumberFormat="1" applyFont="1" applyFill="1" applyBorder="1" applyAlignment="1">
      <alignment vertical="top" wrapText="1"/>
    </xf>
    <xf numFmtId="175" fontId="15" fillId="0" borderId="50" xfId="1" applyNumberFormat="1" applyFont="1" applyFill="1" applyBorder="1" applyAlignment="1">
      <alignment vertical="top" wrapText="1"/>
    </xf>
    <xf numFmtId="168" fontId="15" fillId="0" borderId="2" xfId="0" applyNumberFormat="1" applyFont="1" applyFill="1" applyBorder="1"/>
    <xf numFmtId="168" fontId="15" fillId="0" borderId="13" xfId="0" applyNumberFormat="1" applyFont="1" applyFill="1" applyBorder="1"/>
    <xf numFmtId="167" fontId="15" fillId="0" borderId="0" xfId="0" applyNumberFormat="1" applyFont="1" applyFill="1" applyAlignment="1">
      <alignment horizontal="center"/>
    </xf>
    <xf numFmtId="0" fontId="17" fillId="0" borderId="51" xfId="0" applyFont="1" applyFill="1" applyBorder="1" applyAlignment="1">
      <alignment horizontal="center" vertical="top" wrapText="1"/>
    </xf>
    <xf numFmtId="0" fontId="19" fillId="0" borderId="7" xfId="0" applyNumberFormat="1" applyFont="1" applyBorder="1" applyAlignment="1">
      <alignment horizontal="left" wrapText="1"/>
    </xf>
    <xf numFmtId="0" fontId="15" fillId="0" borderId="52" xfId="0" applyFont="1" applyBorder="1" applyAlignment="1">
      <alignment horizontal="left" vertical="top" wrapText="1"/>
    </xf>
    <xf numFmtId="0" fontId="15" fillId="0" borderId="43" xfId="0" applyFont="1" applyBorder="1" applyAlignment="1">
      <alignment horizontal="center" vertical="top" wrapText="1"/>
    </xf>
    <xf numFmtId="0" fontId="15" fillId="0" borderId="6" xfId="0" applyFont="1" applyBorder="1" applyAlignment="1">
      <alignment horizontal="center" vertical="top" wrapText="1"/>
    </xf>
    <xf numFmtId="0" fontId="15" fillId="0" borderId="2" xfId="0" applyNumberFormat="1" applyFont="1" applyBorder="1" applyAlignment="1">
      <alignment horizontal="left" vertical="top" wrapText="1" indent="1"/>
    </xf>
    <xf numFmtId="0" fontId="15" fillId="0" borderId="2" xfId="0" applyNumberFormat="1" applyFont="1" applyBorder="1" applyAlignment="1">
      <alignment horizontal="left" vertical="top" wrapText="1"/>
    </xf>
    <xf numFmtId="164" fontId="15" fillId="0" borderId="53" xfId="1" applyNumberFormat="1" applyFont="1" applyFill="1" applyBorder="1" applyAlignment="1">
      <alignment horizontal="left" vertical="top" wrapText="1"/>
    </xf>
    <xf numFmtId="0" fontId="19" fillId="0" borderId="2" xfId="0" applyNumberFormat="1" applyFont="1" applyBorder="1" applyAlignment="1">
      <alignment horizontal="left" wrapText="1"/>
    </xf>
    <xf numFmtId="0" fontId="15" fillId="0" borderId="44" xfId="0" applyFont="1" applyBorder="1" applyAlignment="1">
      <alignment horizontal="center" vertical="top" wrapText="1"/>
    </xf>
    <xf numFmtId="0" fontId="15" fillId="0" borderId="0" xfId="0" applyFont="1" applyBorder="1" applyAlignment="1">
      <alignment horizontal="center" vertical="top" wrapText="1"/>
    </xf>
    <xf numFmtId="174" fontId="15" fillId="0" borderId="53" xfId="1" applyNumberFormat="1" applyFont="1" applyFill="1" applyBorder="1" applyAlignment="1">
      <alignment horizontal="left" vertical="top" wrapText="1"/>
    </xf>
    <xf numFmtId="174" fontId="15" fillId="0" borderId="44" xfId="0" applyNumberFormat="1" applyFont="1" applyBorder="1" applyAlignment="1">
      <alignment horizontal="center" vertical="top" wrapText="1"/>
    </xf>
    <xf numFmtId="174" fontId="15" fillId="0" borderId="1" xfId="0" applyNumberFormat="1" applyFont="1" applyBorder="1" applyAlignment="1">
      <alignment horizontal="center" vertical="top" wrapText="1"/>
    </xf>
    <xf numFmtId="2" fontId="15" fillId="0" borderId="13" xfId="1" applyNumberFormat="1" applyFont="1" applyBorder="1" applyAlignment="1">
      <alignment horizontal="center" vertical="top" wrapText="1"/>
    </xf>
    <xf numFmtId="2" fontId="15" fillId="0" borderId="44" xfId="1" applyNumberFormat="1" applyFont="1" applyBorder="1" applyAlignment="1">
      <alignment horizontal="center" vertical="top" wrapText="1"/>
    </xf>
    <xf numFmtId="2" fontId="15" fillId="0" borderId="0" xfId="1" applyNumberFormat="1" applyFont="1" applyBorder="1" applyAlignment="1">
      <alignment horizontal="center" vertical="top" wrapText="1"/>
    </xf>
    <xf numFmtId="0" fontId="19" fillId="0" borderId="2" xfId="0" applyNumberFormat="1" applyFont="1" applyBorder="1" applyAlignment="1">
      <alignment horizontal="left" vertical="top" wrapText="1"/>
    </xf>
    <xf numFmtId="164" fontId="15" fillId="0" borderId="53" xfId="1" applyNumberFormat="1" applyFont="1" applyBorder="1" applyAlignment="1">
      <alignment horizontal="left" vertical="top" wrapText="1"/>
    </xf>
    <xf numFmtId="167" fontId="15" fillId="0" borderId="44" xfId="0" applyNumberFormat="1" applyFont="1" applyBorder="1" applyAlignment="1">
      <alignment horizontal="center" vertical="top" wrapText="1"/>
    </xf>
    <xf numFmtId="9" fontId="15" fillId="0" borderId="1" xfId="0" applyNumberFormat="1" applyFont="1" applyFill="1" applyBorder="1" applyAlignment="1">
      <alignment horizontal="center" vertical="top" wrapText="1"/>
    </xf>
    <xf numFmtId="164" fontId="15" fillId="2" borderId="53" xfId="1" applyNumberFormat="1" applyFont="1" applyFill="1" applyBorder="1" applyAlignment="1">
      <alignment horizontal="left" vertical="top" wrapText="1"/>
    </xf>
    <xf numFmtId="164" fontId="19" fillId="2" borderId="53" xfId="1" applyNumberFormat="1" applyFont="1" applyFill="1" applyBorder="1" applyAlignment="1">
      <alignment horizontal="left" vertical="top" wrapText="1"/>
    </xf>
    <xf numFmtId="167" fontId="15" fillId="0" borderId="13" xfId="0" applyNumberFormat="1" applyFont="1" applyBorder="1" applyAlignment="1">
      <alignment horizontal="center" vertical="top" wrapText="1"/>
    </xf>
    <xf numFmtId="0" fontId="15" fillId="0" borderId="3" xfId="0" applyFont="1" applyBorder="1" applyAlignment="1">
      <alignment horizontal="left" vertical="top" wrapText="1"/>
    </xf>
    <xf numFmtId="164" fontId="15" fillId="0" borderId="54" xfId="1" applyNumberFormat="1" applyFont="1" applyBorder="1" applyAlignment="1">
      <alignment horizontal="left" vertical="top" wrapText="1"/>
    </xf>
    <xf numFmtId="165" fontId="15" fillId="0" borderId="3" xfId="1" applyNumberFormat="1" applyFont="1" applyBorder="1" applyAlignment="1">
      <alignment vertical="top" wrapText="1"/>
    </xf>
    <xf numFmtId="165" fontId="15" fillId="0" borderId="8" xfId="1" applyNumberFormat="1" applyFont="1" applyBorder="1" applyAlignment="1">
      <alignment vertical="top" wrapText="1"/>
    </xf>
    <xf numFmtId="165" fontId="15" fillId="0" borderId="55" xfId="1" applyNumberFormat="1" applyFont="1" applyBorder="1" applyAlignment="1">
      <alignment vertical="top" wrapText="1"/>
    </xf>
    <xf numFmtId="165" fontId="15" fillId="0" borderId="4" xfId="1" applyNumberFormat="1" applyFont="1" applyFill="1" applyBorder="1" applyAlignment="1">
      <alignment vertical="top" wrapText="1"/>
    </xf>
    <xf numFmtId="165" fontId="15" fillId="0" borderId="5" xfId="1" applyNumberFormat="1" applyFont="1" applyFill="1" applyBorder="1" applyAlignment="1">
      <alignment vertical="top" wrapText="1"/>
    </xf>
    <xf numFmtId="165" fontId="15" fillId="0" borderId="8" xfId="1" applyNumberFormat="1" applyFont="1" applyFill="1" applyBorder="1" applyAlignment="1">
      <alignment vertical="top" wrapText="1"/>
    </xf>
    <xf numFmtId="165" fontId="15" fillId="0" borderId="15" xfId="1" applyNumberFormat="1" applyFont="1" applyFill="1" applyBorder="1" applyAlignment="1">
      <alignment vertical="top" wrapText="1"/>
    </xf>
    <xf numFmtId="0" fontId="19" fillId="0" borderId="43" xfId="0" applyFont="1" applyBorder="1" applyAlignment="1">
      <alignment horizontal="center"/>
    </xf>
    <xf numFmtId="0" fontId="19" fillId="0" borderId="13" xfId="0" applyFont="1" applyBorder="1" applyAlignment="1">
      <alignment horizontal="center"/>
    </xf>
    <xf numFmtId="0" fontId="15" fillId="0" borderId="43" xfId="0" applyFont="1" applyBorder="1"/>
    <xf numFmtId="0" fontId="15" fillId="0" borderId="52" xfId="0" applyFont="1" applyBorder="1"/>
    <xf numFmtId="0" fontId="15" fillId="0" borderId="20" xfId="0" applyFont="1" applyBorder="1"/>
    <xf numFmtId="0" fontId="15" fillId="0" borderId="44" xfId="0" applyFont="1" applyBorder="1" applyAlignment="1">
      <alignment horizontal="center"/>
    </xf>
    <xf numFmtId="173" fontId="15" fillId="0" borderId="44" xfId="0" applyNumberFormat="1" applyFont="1" applyFill="1" applyBorder="1"/>
    <xf numFmtId="173" fontId="15" fillId="0" borderId="53" xfId="0" applyNumberFormat="1" applyFont="1" applyFill="1" applyBorder="1"/>
    <xf numFmtId="175" fontId="15" fillId="0" borderId="0" xfId="1" applyNumberFormat="1" applyFont="1" applyFill="1" applyBorder="1" applyAlignment="1"/>
    <xf numFmtId="175" fontId="15" fillId="0" borderId="44" xfId="1" applyNumberFormat="1" applyFont="1" applyFill="1" applyBorder="1" applyAlignment="1"/>
    <xf numFmtId="175" fontId="15" fillId="0" borderId="53" xfId="1" applyNumberFormat="1" applyFont="1" applyFill="1" applyBorder="1" applyAlignment="1"/>
    <xf numFmtId="175" fontId="15" fillId="0" borderId="2" xfId="1" applyNumberFormat="1" applyFont="1" applyFill="1" applyBorder="1" applyAlignment="1"/>
    <xf numFmtId="175" fontId="15" fillId="0" borderId="24" xfId="1" applyNumberFormat="1" applyFont="1" applyFill="1" applyBorder="1" applyAlignment="1"/>
    <xf numFmtId="0" fontId="15" fillId="0" borderId="44" xfId="0" applyFont="1" applyFill="1" applyBorder="1" applyAlignment="1">
      <alignment horizontal="center"/>
    </xf>
    <xf numFmtId="170" fontId="15" fillId="0" borderId="44" xfId="0" applyNumberFormat="1" applyFont="1" applyFill="1" applyBorder="1" applyAlignment="1">
      <alignment horizontal="center"/>
    </xf>
    <xf numFmtId="170" fontId="15" fillId="0" borderId="53" xfId="7" applyNumberFormat="1" applyFont="1" applyFill="1" applyBorder="1" applyAlignment="1">
      <alignment horizontal="center"/>
    </xf>
    <xf numFmtId="170" fontId="15" fillId="0" borderId="2" xfId="7" applyNumberFormat="1" applyFont="1" applyFill="1" applyBorder="1" applyAlignment="1">
      <alignment horizontal="center"/>
    </xf>
    <xf numFmtId="170" fontId="15" fillId="0" borderId="44" xfId="7" applyNumberFormat="1" applyFont="1" applyFill="1" applyBorder="1" applyAlignment="1">
      <alignment horizontal="center"/>
    </xf>
    <xf numFmtId="170" fontId="15" fillId="0" borderId="0" xfId="7" applyNumberFormat="1" applyFont="1" applyFill="1" applyBorder="1" applyAlignment="1">
      <alignment horizontal="center"/>
    </xf>
    <xf numFmtId="170" fontId="15" fillId="0" borderId="24" xfId="7" applyNumberFormat="1" applyFont="1" applyFill="1" applyBorder="1" applyAlignment="1">
      <alignment horizontal="center"/>
    </xf>
    <xf numFmtId="9" fontId="15" fillId="0" borderId="44" xfId="7" applyFont="1" applyBorder="1" applyAlignment="1">
      <alignment horizontal="center"/>
    </xf>
    <xf numFmtId="9" fontId="15" fillId="0" borderId="55" xfId="7" applyFont="1" applyBorder="1" applyAlignment="1">
      <alignment horizontal="center"/>
    </xf>
    <xf numFmtId="9" fontId="15" fillId="0" borderId="8" xfId="7" applyFont="1" applyBorder="1" applyAlignment="1">
      <alignment horizontal="center"/>
    </xf>
    <xf numFmtId="9" fontId="15" fillId="0" borderId="5" xfId="7" applyFont="1" applyBorder="1" applyAlignment="1">
      <alignment horizontal="center"/>
    </xf>
    <xf numFmtId="9" fontId="15" fillId="0" borderId="54" xfId="7" applyFont="1" applyBorder="1" applyAlignment="1">
      <alignment horizontal="center"/>
    </xf>
    <xf numFmtId="9" fontId="15" fillId="0" borderId="3" xfId="7" applyFont="1" applyBorder="1" applyAlignment="1">
      <alignment horizontal="center"/>
    </xf>
    <xf numFmtId="9" fontId="15" fillId="0" borderId="41" xfId="7" applyFont="1" applyBorder="1" applyAlignment="1">
      <alignment horizontal="center"/>
    </xf>
    <xf numFmtId="9" fontId="15" fillId="0" borderId="18" xfId="7" applyFont="1" applyBorder="1" applyAlignment="1">
      <alignment horizontal="center"/>
    </xf>
    <xf numFmtId="9" fontId="15" fillId="0" borderId="0" xfId="7" applyFont="1" applyBorder="1" applyAlignment="1">
      <alignment horizontal="center"/>
    </xf>
    <xf numFmtId="0" fontId="19" fillId="0" borderId="1" xfId="0" applyFont="1" applyBorder="1" applyAlignment="1">
      <alignment horizontal="left"/>
    </xf>
    <xf numFmtId="0" fontId="15" fillId="0" borderId="1" xfId="0" applyFont="1" applyBorder="1" applyAlignment="1"/>
    <xf numFmtId="0" fontId="15" fillId="0" borderId="14" xfId="0" applyFont="1" applyBorder="1" applyAlignment="1">
      <alignment horizontal="center"/>
    </xf>
    <xf numFmtId="170" fontId="15" fillId="0" borderId="1" xfId="7" applyNumberFormat="1" applyFont="1" applyFill="1" applyBorder="1" applyAlignment="1">
      <alignment horizontal="center"/>
    </xf>
    <xf numFmtId="170" fontId="15" fillId="0" borderId="14" xfId="7" applyNumberFormat="1" applyFont="1" applyFill="1" applyBorder="1" applyAlignment="1">
      <alignment horizontal="center"/>
    </xf>
    <xf numFmtId="173" fontId="15" fillId="0" borderId="1" xfId="0" applyNumberFormat="1" applyFont="1" applyBorder="1"/>
    <xf numFmtId="0" fontId="15" fillId="0" borderId="1" xfId="0" applyFont="1" applyBorder="1" applyAlignment="1">
      <alignment horizontal="left"/>
    </xf>
    <xf numFmtId="9" fontId="15" fillId="0" borderId="14" xfId="0" applyNumberFormat="1" applyFont="1" applyBorder="1" applyAlignment="1">
      <alignment horizontal="center"/>
    </xf>
    <xf numFmtId="0" fontId="15" fillId="0" borderId="56" xfId="0" applyFont="1" applyBorder="1" applyAlignment="1">
      <alignment horizontal="left"/>
    </xf>
    <xf numFmtId="0" fontId="15" fillId="0" borderId="57" xfId="0" applyFont="1" applyBorder="1" applyAlignment="1">
      <alignment horizontal="center"/>
    </xf>
    <xf numFmtId="0" fontId="19" fillId="0" borderId="0" xfId="0" applyFont="1"/>
    <xf numFmtId="173" fontId="15" fillId="0" borderId="0" xfId="0" applyNumberFormat="1" applyFont="1" applyAlignment="1">
      <alignment horizontal="center"/>
    </xf>
    <xf numFmtId="0" fontId="15" fillId="0" borderId="43" xfId="0" applyFont="1" applyBorder="1" applyAlignment="1">
      <alignment horizontal="center"/>
    </xf>
    <xf numFmtId="168" fontId="17" fillId="0" borderId="16" xfId="0" applyNumberFormat="1" applyFont="1" applyBorder="1"/>
    <xf numFmtId="168" fontId="17" fillId="0" borderId="2" xfId="0" applyNumberFormat="1" applyFont="1" applyBorder="1"/>
    <xf numFmtId="0" fontId="17" fillId="0" borderId="13" xfId="0" applyNumberFormat="1" applyFont="1" applyFill="1" applyBorder="1" applyAlignment="1">
      <alignment horizontal="center"/>
    </xf>
    <xf numFmtId="0" fontId="15" fillId="0" borderId="44" xfId="0" quotePrefix="1" applyFont="1" applyBorder="1" applyAlignment="1">
      <alignment horizontal="center"/>
    </xf>
    <xf numFmtId="0" fontId="15" fillId="0" borderId="44" xfId="0" quotePrefix="1" applyFont="1" applyFill="1" applyBorder="1" applyAlignment="1">
      <alignment horizontal="center"/>
    </xf>
    <xf numFmtId="164" fontId="15" fillId="0" borderId="13" xfId="1" applyNumberFormat="1" applyFont="1" applyFill="1" applyBorder="1"/>
    <xf numFmtId="164" fontId="15" fillId="0" borderId="14" xfId="1" applyNumberFormat="1" applyFont="1" applyFill="1" applyBorder="1"/>
    <xf numFmtId="164" fontId="15" fillId="0" borderId="2" xfId="1" applyNumberFormat="1" applyFont="1" applyFill="1" applyBorder="1"/>
    <xf numFmtId="164" fontId="15" fillId="0" borderId="53" xfId="1" applyNumberFormat="1" applyFont="1" applyFill="1" applyBorder="1"/>
    <xf numFmtId="164" fontId="15" fillId="0" borderId="0" xfId="1" applyNumberFormat="1" applyFont="1" applyFill="1" applyBorder="1"/>
    <xf numFmtId="172" fontId="17" fillId="0" borderId="21" xfId="1" applyNumberFormat="1" applyFont="1" applyFill="1" applyBorder="1"/>
    <xf numFmtId="172" fontId="17" fillId="0" borderId="26" xfId="1" applyNumberFormat="1" applyFont="1" applyFill="1" applyBorder="1"/>
    <xf numFmtId="172" fontId="17" fillId="0" borderId="27" xfId="1" applyNumberFormat="1" applyFont="1" applyFill="1" applyBorder="1"/>
    <xf numFmtId="172" fontId="17" fillId="0" borderId="58" xfId="1" applyNumberFormat="1" applyFont="1" applyFill="1" applyBorder="1"/>
    <xf numFmtId="172" fontId="17" fillId="0" borderId="25" xfId="1" applyNumberFormat="1" applyFont="1" applyFill="1" applyBorder="1"/>
    <xf numFmtId="172" fontId="17" fillId="0" borderId="21" xfId="0" applyNumberFormat="1" applyFont="1" applyFill="1" applyBorder="1"/>
    <xf numFmtId="172" fontId="17" fillId="0" borderId="26" xfId="0" applyNumberFormat="1" applyFont="1" applyFill="1" applyBorder="1"/>
    <xf numFmtId="172" fontId="15" fillId="0" borderId="0" xfId="0" applyNumberFormat="1" applyFont="1" applyFill="1" applyBorder="1"/>
    <xf numFmtId="172" fontId="17" fillId="0" borderId="13" xfId="0" applyNumberFormat="1" applyFont="1" applyFill="1" applyBorder="1"/>
    <xf numFmtId="172" fontId="17" fillId="0" borderId="14" xfId="0" applyNumberFormat="1" applyFont="1" applyFill="1" applyBorder="1"/>
    <xf numFmtId="0" fontId="19" fillId="0" borderId="27" xfId="0" applyFont="1" applyBorder="1"/>
    <xf numFmtId="0" fontId="15" fillId="0" borderId="59" xfId="0" applyFont="1" applyBorder="1" applyAlignment="1">
      <alignment horizontal="center"/>
    </xf>
    <xf numFmtId="168" fontId="15" fillId="0" borderId="21" xfId="0" applyNumberFormat="1" applyFont="1" applyFill="1" applyBorder="1"/>
    <xf numFmtId="168" fontId="15" fillId="0" borderId="26" xfId="0" applyNumberFormat="1" applyFont="1" applyFill="1" applyBorder="1"/>
    <xf numFmtId="168" fontId="15" fillId="0" borderId="27" xfId="0" applyNumberFormat="1" applyFont="1" applyFill="1" applyBorder="1"/>
    <xf numFmtId="168" fontId="15" fillId="0" borderId="58" xfId="0" applyNumberFormat="1" applyFont="1" applyFill="1" applyBorder="1"/>
    <xf numFmtId="168" fontId="15" fillId="0" borderId="25" xfId="0" applyNumberFormat="1" applyFont="1" applyFill="1" applyBorder="1"/>
    <xf numFmtId="0" fontId="15" fillId="0" borderId="0" xfId="1" applyNumberFormat="1" applyFont="1" applyFill="1" applyBorder="1" applyAlignment="1">
      <alignment horizontal="center"/>
    </xf>
    <xf numFmtId="170" fontId="15" fillId="0" borderId="13" xfId="0" applyNumberFormat="1" applyFont="1" applyFill="1" applyBorder="1" applyAlignment="1">
      <alignment horizontal="center"/>
    </xf>
    <xf numFmtId="170" fontId="15" fillId="0" borderId="13" xfId="7" applyNumberFormat="1" applyFont="1" applyFill="1" applyBorder="1" applyAlignment="1">
      <alignment horizontal="center"/>
    </xf>
    <xf numFmtId="173" fontId="17" fillId="0" borderId="53" xfId="0" applyNumberFormat="1" applyFont="1" applyFill="1" applyBorder="1"/>
    <xf numFmtId="0" fontId="15" fillId="0" borderId="55" xfId="0" applyFont="1" applyBorder="1" applyAlignment="1">
      <alignment horizontal="center"/>
    </xf>
    <xf numFmtId="168" fontId="15" fillId="0" borderId="8" xfId="0" applyNumberFormat="1" applyFont="1" applyBorder="1"/>
    <xf numFmtId="168" fontId="15" fillId="0" borderId="15" xfId="0" applyNumberFormat="1" applyFont="1" applyBorder="1"/>
    <xf numFmtId="168" fontId="15" fillId="0" borderId="3" xfId="0" applyNumberFormat="1" applyFont="1" applyBorder="1"/>
    <xf numFmtId="168" fontId="15" fillId="0" borderId="8" xfId="0" applyNumberFormat="1" applyFont="1" applyFill="1" applyBorder="1"/>
    <xf numFmtId="168" fontId="15" fillId="0" borderId="54" xfId="0" applyNumberFormat="1" applyFont="1" applyFill="1" applyBorder="1"/>
    <xf numFmtId="168" fontId="15" fillId="0" borderId="5" xfId="0" applyNumberFormat="1" applyFont="1" applyBorder="1"/>
    <xf numFmtId="0" fontId="17" fillId="0" borderId="16" xfId="0" applyFont="1" applyFill="1" applyBorder="1" applyAlignment="1">
      <alignment horizontal="center" vertical="center" wrapText="1"/>
    </xf>
    <xf numFmtId="0" fontId="12" fillId="0" borderId="5" xfId="0" applyNumberFormat="1" applyFont="1" applyFill="1" applyBorder="1" applyAlignment="1">
      <alignment horizontal="left"/>
    </xf>
    <xf numFmtId="0" fontId="17" fillId="0" borderId="60" xfId="0" applyFont="1" applyFill="1" applyBorder="1" applyAlignment="1">
      <alignment horizontal="center" vertical="center"/>
    </xf>
    <xf numFmtId="0" fontId="17" fillId="0" borderId="51" xfId="0" applyNumberFormat="1" applyFont="1" applyFill="1" applyBorder="1" applyAlignment="1">
      <alignment horizontal="center" vertical="center"/>
    </xf>
    <xf numFmtId="0" fontId="17" fillId="0" borderId="61" xfId="0" applyFont="1" applyFill="1" applyBorder="1" applyAlignment="1">
      <alignment horizontal="center" vertical="top" wrapText="1"/>
    </xf>
    <xf numFmtId="168" fontId="17" fillId="0" borderId="13" xfId="0" applyNumberFormat="1" applyFont="1" applyFill="1" applyBorder="1"/>
    <xf numFmtId="168" fontId="17" fillId="0" borderId="53" xfId="0" applyNumberFormat="1" applyFont="1" applyFill="1" applyBorder="1"/>
    <xf numFmtId="0" fontId="15" fillId="0" borderId="13" xfId="0" quotePrefix="1" applyNumberFormat="1" applyFont="1" applyBorder="1" applyAlignment="1">
      <alignment horizontal="center"/>
    </xf>
    <xf numFmtId="172" fontId="15" fillId="0" borderId="21" xfId="1" applyNumberFormat="1" applyFont="1" applyFill="1" applyBorder="1"/>
    <xf numFmtId="172" fontId="15" fillId="0" borderId="58" xfId="1" applyNumberFormat="1" applyFont="1" applyFill="1" applyBorder="1"/>
    <xf numFmtId="0" fontId="19" fillId="0" borderId="27" xfId="0" applyNumberFormat="1" applyFont="1" applyBorder="1"/>
    <xf numFmtId="0" fontId="17" fillId="0" borderId="21" xfId="0" applyNumberFormat="1" applyFont="1" applyBorder="1" applyAlignment="1">
      <alignment horizontal="center"/>
    </xf>
    <xf numFmtId="169" fontId="17" fillId="0" borderId="21" xfId="0" applyNumberFormat="1" applyFont="1" applyFill="1" applyBorder="1"/>
    <xf numFmtId="169" fontId="17" fillId="0" borderId="58" xfId="0" applyNumberFormat="1" applyFont="1" applyFill="1" applyBorder="1"/>
    <xf numFmtId="0" fontId="15" fillId="0" borderId="13" xfId="0" quotePrefix="1" applyNumberFormat="1" applyFont="1" applyFill="1" applyBorder="1" applyAlignment="1">
      <alignment horizontal="center"/>
    </xf>
    <xf numFmtId="173" fontId="15" fillId="0" borderId="22" xfId="0" applyNumberFormat="1" applyFont="1" applyBorder="1"/>
    <xf numFmtId="173" fontId="15" fillId="0" borderId="21" xfId="1" applyNumberFormat="1" applyFont="1" applyFill="1" applyBorder="1"/>
    <xf numFmtId="173" fontId="15" fillId="0" borderId="58" xfId="1" applyNumberFormat="1" applyFont="1" applyFill="1" applyBorder="1"/>
    <xf numFmtId="0" fontId="17" fillId="0" borderId="2" xfId="0" applyNumberFormat="1" applyFont="1" applyFill="1" applyBorder="1"/>
    <xf numFmtId="0" fontId="15" fillId="0" borderId="3" xfId="0" applyNumberFormat="1" applyFont="1" applyFill="1" applyBorder="1"/>
    <xf numFmtId="0" fontId="15" fillId="0" borderId="0" xfId="0" applyNumberFormat="1" applyFont="1" applyBorder="1" applyAlignment="1">
      <alignment horizontal="center"/>
    </xf>
    <xf numFmtId="0" fontId="15" fillId="0" borderId="0" xfId="0" applyNumberFormat="1" applyFont="1" applyBorder="1"/>
    <xf numFmtId="0" fontId="15" fillId="0" borderId="0" xfId="0" applyNumberFormat="1" applyFont="1" applyAlignment="1">
      <alignment horizontal="center"/>
    </xf>
    <xf numFmtId="0" fontId="17" fillId="0" borderId="7" xfId="0" applyFont="1" applyFill="1" applyBorder="1" applyAlignment="1">
      <alignment horizontal="centerContinuous" vertical="center" wrapText="1"/>
    </xf>
    <xf numFmtId="0" fontId="17" fillId="0" borderId="10" xfId="0" applyFont="1" applyFill="1" applyBorder="1" applyAlignment="1">
      <alignment horizontal="centerContinuous" vertical="center" wrapText="1"/>
    </xf>
    <xf numFmtId="0" fontId="17" fillId="0" borderId="11" xfId="0" applyFont="1" applyFill="1" applyBorder="1" applyAlignment="1">
      <alignment horizontal="centerContinuous" vertical="center" wrapText="1"/>
    </xf>
    <xf numFmtId="0" fontId="17" fillId="0" borderId="62" xfId="0" applyFont="1" applyFill="1" applyBorder="1" applyAlignment="1">
      <alignment horizontal="centerContinuous" vertical="center" wrapText="1"/>
    </xf>
    <xf numFmtId="0" fontId="17" fillId="0" borderId="6"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5" fillId="0" borderId="16" xfId="0" applyNumberFormat="1" applyFont="1" applyBorder="1" applyAlignment="1">
      <alignment horizontal="center" vertical="top" wrapText="1"/>
    </xf>
    <xf numFmtId="177" fontId="15" fillId="0" borderId="16" xfId="0" applyNumberFormat="1" applyFont="1" applyBorder="1" applyAlignment="1">
      <alignment vertical="top" wrapText="1"/>
    </xf>
    <xf numFmtId="177" fontId="15" fillId="0" borderId="17" xfId="0" applyNumberFormat="1" applyFont="1" applyBorder="1" applyAlignment="1">
      <alignment vertical="top" wrapText="1"/>
    </xf>
    <xf numFmtId="177" fontId="15" fillId="0" borderId="7" xfId="0" applyNumberFormat="1" applyFont="1" applyBorder="1" applyAlignment="1">
      <alignment vertical="top" wrapText="1"/>
    </xf>
    <xf numFmtId="177" fontId="15" fillId="0" borderId="18" xfId="0" applyNumberFormat="1" applyFont="1" applyBorder="1" applyAlignment="1">
      <alignment vertical="top" wrapText="1"/>
    </xf>
    <xf numFmtId="178" fontId="15" fillId="0" borderId="6" xfId="0" applyNumberFormat="1" applyFont="1" applyBorder="1" applyAlignment="1">
      <alignment vertical="top" wrapText="1"/>
    </xf>
    <xf numFmtId="0" fontId="15" fillId="0" borderId="13" xfId="0" applyNumberFormat="1" applyFont="1" applyBorder="1" applyAlignment="1">
      <alignment horizontal="center" vertical="top" wrapText="1"/>
    </xf>
    <xf numFmtId="177" fontId="15" fillId="0" borderId="13" xfId="1" applyNumberFormat="1" applyFont="1" applyBorder="1" applyAlignment="1">
      <alignment vertical="top" wrapText="1"/>
    </xf>
    <xf numFmtId="177" fontId="15" fillId="0" borderId="14" xfId="1" applyNumberFormat="1" applyFont="1" applyBorder="1" applyAlignment="1">
      <alignment vertical="top" wrapText="1"/>
    </xf>
    <xf numFmtId="177" fontId="15" fillId="0" borderId="2" xfId="1" applyNumberFormat="1" applyFont="1" applyBorder="1" applyAlignment="1">
      <alignment vertical="top" wrapText="1"/>
    </xf>
    <xf numFmtId="177" fontId="15" fillId="0" borderId="0" xfId="1" applyNumberFormat="1" applyFont="1" applyBorder="1" applyAlignment="1">
      <alignment vertical="top" wrapText="1"/>
    </xf>
    <xf numFmtId="178" fontId="15" fillId="0" borderId="1" xfId="1" applyNumberFormat="1" applyFont="1" applyBorder="1" applyAlignment="1">
      <alignment vertical="top" wrapText="1"/>
    </xf>
    <xf numFmtId="0" fontId="17" fillId="0" borderId="2" xfId="0" applyNumberFormat="1" applyFont="1" applyBorder="1" applyAlignment="1">
      <alignment horizontal="right" wrapText="1"/>
    </xf>
    <xf numFmtId="177" fontId="17" fillId="0" borderId="21" xfId="1" applyNumberFormat="1" applyFont="1" applyBorder="1" applyAlignment="1">
      <alignment vertical="top" wrapText="1"/>
    </xf>
    <xf numFmtId="177" fontId="17" fillId="0" borderId="26" xfId="1" applyNumberFormat="1" applyFont="1" applyBorder="1" applyAlignment="1">
      <alignment vertical="top" wrapText="1"/>
    </xf>
    <xf numFmtId="177" fontId="17" fillId="0" borderId="27" xfId="1" applyNumberFormat="1" applyFont="1" applyBorder="1" applyAlignment="1">
      <alignment vertical="top" wrapText="1"/>
    </xf>
    <xf numFmtId="177" fontId="17" fillId="0" borderId="25" xfId="1" applyNumberFormat="1" applyFont="1" applyBorder="1" applyAlignment="1">
      <alignment vertical="top" wrapText="1"/>
    </xf>
    <xf numFmtId="178" fontId="17" fillId="0" borderId="19" xfId="7" applyNumberFormat="1" applyFont="1" applyBorder="1" applyAlignment="1">
      <alignment vertical="top" wrapText="1"/>
    </xf>
    <xf numFmtId="0" fontId="17" fillId="0" borderId="2" xfId="0" applyNumberFormat="1" applyFont="1" applyBorder="1" applyAlignment="1">
      <alignment horizontal="left" wrapText="1" indent="1"/>
    </xf>
    <xf numFmtId="178" fontId="17" fillId="0" borderId="13" xfId="1" applyNumberFormat="1" applyFont="1" applyBorder="1" applyAlignment="1">
      <alignment vertical="top" wrapText="1"/>
    </xf>
    <xf numFmtId="178" fontId="17" fillId="0" borderId="13" xfId="7" applyNumberFormat="1" applyFont="1" applyBorder="1" applyAlignment="1">
      <alignment vertical="top" wrapText="1"/>
    </xf>
    <xf numFmtId="178" fontId="17" fillId="0" borderId="14" xfId="7" applyNumberFormat="1" applyFont="1" applyBorder="1" applyAlignment="1">
      <alignment vertical="top" wrapText="1"/>
    </xf>
    <xf numFmtId="178" fontId="17" fillId="0" borderId="2" xfId="7" applyNumberFormat="1" applyFont="1" applyBorder="1" applyAlignment="1">
      <alignment vertical="top" wrapText="1"/>
    </xf>
    <xf numFmtId="178" fontId="17" fillId="0" borderId="0" xfId="7" applyNumberFormat="1" applyFont="1" applyBorder="1" applyAlignment="1">
      <alignment vertical="top" wrapText="1"/>
    </xf>
    <xf numFmtId="178" fontId="17" fillId="0" borderId="1" xfId="7" applyNumberFormat="1" applyFont="1" applyBorder="1" applyAlignment="1">
      <alignment vertical="top" wrapText="1"/>
    </xf>
    <xf numFmtId="43" fontId="15" fillId="0" borderId="13" xfId="1" applyFont="1" applyBorder="1" applyAlignment="1">
      <alignment horizontal="center" vertical="top" wrapText="1"/>
    </xf>
    <xf numFmtId="43" fontId="15" fillId="0" borderId="14" xfId="1" applyFont="1" applyBorder="1" applyAlignment="1">
      <alignment horizontal="center" vertical="top" wrapText="1"/>
    </xf>
    <xf numFmtId="43" fontId="15" fillId="0" borderId="2" xfId="1" applyFont="1" applyBorder="1" applyAlignment="1">
      <alignment horizontal="center" vertical="top" wrapText="1"/>
    </xf>
    <xf numFmtId="43" fontId="15" fillId="0" borderId="0" xfId="1" applyFont="1" applyBorder="1" applyAlignment="1">
      <alignment horizontal="center" vertical="top" wrapText="1"/>
    </xf>
    <xf numFmtId="0" fontId="19" fillId="0" borderId="27" xfId="0" applyNumberFormat="1" applyFont="1" applyBorder="1" applyAlignment="1">
      <alignment horizontal="left" wrapText="1"/>
    </xf>
    <xf numFmtId="0" fontId="15" fillId="0" borderId="21" xfId="0" applyNumberFormat="1" applyFont="1" applyBorder="1" applyAlignment="1">
      <alignment horizontal="center" vertical="top" wrapText="1"/>
    </xf>
    <xf numFmtId="177" fontId="15" fillId="0" borderId="21" xfId="1" applyNumberFormat="1" applyFont="1" applyBorder="1" applyAlignment="1">
      <alignment vertical="top" wrapText="1"/>
    </xf>
    <xf numFmtId="177" fontId="15" fillId="0" borderId="26" xfId="1" applyNumberFormat="1" applyFont="1" applyBorder="1" applyAlignment="1">
      <alignment vertical="top" wrapText="1"/>
    </xf>
    <xf numFmtId="177" fontId="15" fillId="0" borderId="27" xfId="1" applyNumberFormat="1" applyFont="1" applyBorder="1" applyAlignment="1">
      <alignment vertical="top" wrapText="1"/>
    </xf>
    <xf numFmtId="177" fontId="15" fillId="0" borderId="25" xfId="1" applyNumberFormat="1" applyFont="1" applyBorder="1" applyAlignment="1">
      <alignment vertical="top" wrapText="1"/>
    </xf>
    <xf numFmtId="178" fontId="15" fillId="0" borderId="19" xfId="1" applyNumberFormat="1" applyFont="1" applyBorder="1" applyAlignment="1">
      <alignment vertical="top" wrapText="1"/>
    </xf>
    <xf numFmtId="0" fontId="17" fillId="0" borderId="13" xfId="0" applyNumberFormat="1" applyFont="1" applyBorder="1" applyAlignment="1">
      <alignment horizontal="center" vertical="top" wrapText="1"/>
    </xf>
    <xf numFmtId="0" fontId="19" fillId="0" borderId="3" xfId="0" applyNumberFormat="1" applyFont="1" applyBorder="1" applyAlignment="1">
      <alignment horizontal="left" wrapText="1"/>
    </xf>
    <xf numFmtId="0" fontId="15" fillId="0" borderId="8" xfId="0" applyFont="1" applyBorder="1" applyAlignment="1">
      <alignment horizontal="center" vertical="top" wrapText="1"/>
    </xf>
    <xf numFmtId="0" fontId="15" fillId="0" borderId="15" xfId="0" applyFont="1" applyBorder="1" applyAlignment="1">
      <alignment horizontal="center" vertical="top" wrapText="1"/>
    </xf>
    <xf numFmtId="0" fontId="15" fillId="0" borderId="3" xfId="0" applyFont="1" applyBorder="1" applyAlignment="1">
      <alignment horizontal="center" vertical="top" wrapText="1"/>
    </xf>
    <xf numFmtId="0" fontId="15" fillId="0" borderId="5" xfId="0" applyFont="1" applyBorder="1" applyAlignment="1">
      <alignment horizontal="center" vertical="top" wrapText="1"/>
    </xf>
    <xf numFmtId="178" fontId="15" fillId="0" borderId="4" xfId="0" applyNumberFormat="1" applyFont="1" applyBorder="1" applyAlignment="1">
      <alignment vertical="top" wrapText="1"/>
    </xf>
    <xf numFmtId="0" fontId="15" fillId="0" borderId="0" xfId="0" applyFont="1" applyAlignment="1" applyProtection="1">
      <alignment horizontal="center"/>
    </xf>
    <xf numFmtId="4" fontId="15" fillId="0" borderId="0" xfId="0" applyNumberFormat="1" applyFont="1" applyProtection="1"/>
    <xf numFmtId="10" fontId="15" fillId="0" borderId="0" xfId="0" applyNumberFormat="1" applyFont="1" applyProtection="1"/>
    <xf numFmtId="0" fontId="15" fillId="0" borderId="0" xfId="0" applyFont="1" applyProtection="1"/>
    <xf numFmtId="4" fontId="15" fillId="0" borderId="0" xfId="0" applyNumberFormat="1" applyFont="1" applyProtection="1">
      <protection locked="0"/>
    </xf>
    <xf numFmtId="0" fontId="15" fillId="0" borderId="0" xfId="0" applyFont="1" applyProtection="1">
      <protection locked="0"/>
    </xf>
    <xf numFmtId="173" fontId="15" fillId="0" borderId="16" xfId="0" applyNumberFormat="1" applyFont="1" applyBorder="1" applyAlignment="1"/>
    <xf numFmtId="173" fontId="15" fillId="0" borderId="14" xfId="0" applyNumberFormat="1" applyFont="1" applyBorder="1" applyAlignment="1"/>
    <xf numFmtId="173" fontId="15" fillId="0" borderId="2" xfId="0" applyNumberFormat="1" applyFont="1" applyBorder="1" applyAlignment="1"/>
    <xf numFmtId="173" fontId="15" fillId="0" borderId="0" xfId="0" applyNumberFormat="1" applyFont="1" applyBorder="1" applyAlignment="1"/>
    <xf numFmtId="173" fontId="15" fillId="0" borderId="20" xfId="0" applyNumberFormat="1" applyFont="1" applyBorder="1" applyAlignment="1"/>
    <xf numFmtId="173" fontId="15" fillId="0" borderId="13" xfId="0" applyNumberFormat="1" applyFont="1" applyBorder="1" applyAlignment="1"/>
    <xf numFmtId="173" fontId="15" fillId="0" borderId="24" xfId="0" applyNumberFormat="1" applyFont="1" applyBorder="1" applyAlignment="1"/>
    <xf numFmtId="173" fontId="17" fillId="0" borderId="21" xfId="0" applyNumberFormat="1" applyFont="1" applyBorder="1" applyAlignment="1"/>
    <xf numFmtId="173" fontId="17" fillId="0" borderId="26" xfId="0" applyNumberFormat="1" applyFont="1" applyBorder="1" applyAlignment="1"/>
    <xf numFmtId="173" fontId="17" fillId="0" borderId="27" xfId="0" applyNumberFormat="1" applyFont="1" applyBorder="1" applyAlignment="1"/>
    <xf numFmtId="173" fontId="17" fillId="0" borderId="25" xfId="0" applyNumberFormat="1" applyFont="1" applyBorder="1" applyAlignment="1"/>
    <xf numFmtId="173" fontId="17" fillId="0" borderId="28" xfId="0" applyNumberFormat="1" applyFont="1" applyBorder="1" applyAlignment="1"/>
    <xf numFmtId="173" fontId="15" fillId="0" borderId="21" xfId="0" applyNumberFormat="1" applyFont="1" applyBorder="1" applyAlignment="1"/>
    <xf numFmtId="173" fontId="15" fillId="0" borderId="26" xfId="0" applyNumberFormat="1" applyFont="1" applyBorder="1" applyAlignment="1"/>
    <xf numFmtId="173" fontId="15" fillId="0" borderId="27" xfId="0" applyNumberFormat="1" applyFont="1" applyBorder="1" applyAlignment="1"/>
    <xf numFmtId="173" fontId="15" fillId="0" borderId="25" xfId="0" applyNumberFormat="1" applyFont="1" applyBorder="1" applyAlignment="1"/>
    <xf numFmtId="173" fontId="15" fillId="0" borderId="28" xfId="0" applyNumberFormat="1" applyFont="1" applyBorder="1" applyAlignment="1"/>
    <xf numFmtId="0" fontId="15" fillId="0" borderId="30" xfId="0" applyFont="1" applyBorder="1"/>
    <xf numFmtId="173" fontId="17" fillId="0" borderId="30" xfId="0" applyNumberFormat="1" applyFont="1" applyBorder="1" applyAlignment="1"/>
    <xf numFmtId="173" fontId="17" fillId="0" borderId="32" xfId="0" applyNumberFormat="1" applyFont="1" applyBorder="1" applyAlignment="1"/>
    <xf numFmtId="173" fontId="17" fillId="0" borderId="29" xfId="0" applyNumberFormat="1" applyFont="1" applyBorder="1" applyAlignment="1"/>
    <xf numFmtId="173" fontId="17" fillId="0" borderId="31" xfId="0" applyNumberFormat="1" applyFont="1" applyBorder="1" applyAlignment="1"/>
    <xf numFmtId="173" fontId="17" fillId="0" borderId="33" xfId="0" applyNumberFormat="1" applyFont="1" applyBorder="1" applyAlignment="1"/>
    <xf numFmtId="0" fontId="17" fillId="0" borderId="43" xfId="0" applyFont="1" applyFill="1" applyBorder="1" applyAlignment="1">
      <alignment horizontal="center" vertical="center"/>
    </xf>
    <xf numFmtId="0" fontId="17" fillId="0" borderId="63" xfId="0" applyFont="1" applyFill="1" applyBorder="1" applyAlignment="1">
      <alignment horizontal="center" vertical="center" wrapText="1"/>
    </xf>
    <xf numFmtId="0" fontId="17" fillId="0" borderId="55" xfId="0" applyFont="1" applyFill="1" applyBorder="1" applyAlignment="1">
      <alignment horizontal="center" vertical="center"/>
    </xf>
    <xf numFmtId="0" fontId="15" fillId="0" borderId="44" xfId="0" applyNumberFormat="1" applyFont="1" applyBorder="1" applyAlignment="1">
      <alignment horizontal="center"/>
    </xf>
    <xf numFmtId="168" fontId="15" fillId="0" borderId="53" xfId="0" applyNumberFormat="1" applyFont="1" applyBorder="1" applyAlignment="1">
      <alignment horizontal="center"/>
    </xf>
    <xf numFmtId="168" fontId="15" fillId="0" borderId="53" xfId="0" applyNumberFormat="1" applyFont="1" applyBorder="1" applyAlignment="1"/>
    <xf numFmtId="179" fontId="15" fillId="0" borderId="53" xfId="0" applyNumberFormat="1" applyFont="1" applyBorder="1" applyAlignment="1">
      <alignment horizontal="center"/>
    </xf>
    <xf numFmtId="173" fontId="15" fillId="0" borderId="53" xfId="0" applyNumberFormat="1" applyFont="1" applyBorder="1" applyAlignment="1"/>
    <xf numFmtId="173" fontId="17" fillId="0" borderId="58" xfId="0" applyNumberFormat="1" applyFont="1" applyBorder="1" applyAlignment="1"/>
    <xf numFmtId="0" fontId="15" fillId="0" borderId="55" xfId="0" applyNumberFormat="1" applyFont="1" applyBorder="1" applyAlignment="1">
      <alignment horizontal="center"/>
    </xf>
    <xf numFmtId="179" fontId="15" fillId="0" borderId="54" xfId="0" applyNumberFormat="1" applyFont="1" applyBorder="1" applyAlignment="1">
      <alignment horizontal="center"/>
    </xf>
    <xf numFmtId="173" fontId="17" fillId="0" borderId="64" xfId="0" applyNumberFormat="1" applyFont="1" applyBorder="1" applyAlignment="1"/>
    <xf numFmtId="0" fontId="15" fillId="0" borderId="16" xfId="0" applyNumberFormat="1" applyFont="1" applyBorder="1" applyAlignment="1">
      <alignment horizontal="center"/>
    </xf>
    <xf numFmtId="173" fontId="17" fillId="0" borderId="13" xfId="0" applyNumberFormat="1" applyFont="1" applyBorder="1" applyAlignment="1"/>
    <xf numFmtId="173" fontId="17" fillId="0" borderId="14" xfId="0" applyNumberFormat="1" applyFont="1" applyBorder="1" applyAlignment="1"/>
    <xf numFmtId="173" fontId="17" fillId="0" borderId="2" xfId="0" applyNumberFormat="1" applyFont="1" applyBorder="1" applyAlignment="1"/>
    <xf numFmtId="173" fontId="17" fillId="0" borderId="0" xfId="0" applyNumberFormat="1" applyFont="1" applyBorder="1" applyAlignment="1"/>
    <xf numFmtId="173" fontId="17" fillId="0" borderId="24" xfId="0" applyNumberFormat="1" applyFont="1" applyBorder="1" applyAlignment="1"/>
    <xf numFmtId="0" fontId="17" fillId="0" borderId="65" xfId="0" applyFont="1" applyFill="1" applyBorder="1" applyAlignment="1">
      <alignment horizontal="center" vertical="center" wrapText="1"/>
    </xf>
    <xf numFmtId="173" fontId="17" fillId="0" borderId="16" xfId="0" applyNumberFormat="1" applyFont="1" applyBorder="1" applyAlignment="1"/>
    <xf numFmtId="173" fontId="17" fillId="0" borderId="17" xfId="0" applyNumberFormat="1" applyFont="1" applyBorder="1" applyAlignment="1"/>
    <xf numFmtId="173" fontId="17" fillId="0" borderId="7" xfId="0" applyNumberFormat="1" applyFont="1" applyBorder="1" applyAlignment="1"/>
    <xf numFmtId="173" fontId="17" fillId="0" borderId="18" xfId="0" applyNumberFormat="1" applyFont="1" applyBorder="1" applyAlignment="1"/>
    <xf numFmtId="173" fontId="17" fillId="0" borderId="20" xfId="0" applyNumberFormat="1" applyFont="1" applyBorder="1" applyAlignment="1"/>
    <xf numFmtId="0" fontId="17" fillId="0" borderId="39" xfId="0" applyNumberFormat="1" applyFont="1" applyBorder="1" applyAlignment="1">
      <alignment vertical="center"/>
    </xf>
    <xf numFmtId="0" fontId="15" fillId="0" borderId="37" xfId="0" applyNumberFormat="1" applyFont="1" applyBorder="1" applyAlignment="1">
      <alignment horizontal="center" vertical="center"/>
    </xf>
    <xf numFmtId="173" fontId="17" fillId="0" borderId="37" xfId="0" applyNumberFormat="1" applyFont="1" applyBorder="1" applyAlignment="1">
      <alignment vertical="center"/>
    </xf>
    <xf numFmtId="173" fontId="17" fillId="0" borderId="38" xfId="0" applyNumberFormat="1" applyFont="1" applyBorder="1" applyAlignment="1">
      <alignment vertical="center"/>
    </xf>
    <xf numFmtId="173" fontId="17" fillId="0" borderId="39" xfId="0" applyNumberFormat="1" applyFont="1" applyBorder="1" applyAlignment="1">
      <alignment vertical="center"/>
    </xf>
    <xf numFmtId="173" fontId="17" fillId="0" borderId="36" xfId="0" applyNumberFormat="1" applyFont="1" applyBorder="1" applyAlignment="1">
      <alignment vertical="center"/>
    </xf>
    <xf numFmtId="173" fontId="17" fillId="0" borderId="40" xfId="0" applyNumberFormat="1" applyFont="1" applyBorder="1" applyAlignment="1">
      <alignment vertical="center"/>
    </xf>
    <xf numFmtId="0" fontId="15" fillId="0" borderId="0" xfId="0" applyFont="1" applyAlignment="1">
      <alignment vertical="center"/>
    </xf>
    <xf numFmtId="0" fontId="17" fillId="0" borderId="2" xfId="0" quotePrefix="1" applyNumberFormat="1" applyFont="1" applyBorder="1" applyAlignment="1">
      <alignment horizontal="left" indent="1"/>
    </xf>
    <xf numFmtId="0" fontId="17" fillId="0" borderId="27" xfId="0" applyNumberFormat="1" applyFont="1" applyBorder="1" applyAlignment="1">
      <alignment horizontal="left"/>
    </xf>
    <xf numFmtId="0" fontId="15" fillId="0" borderId="21" xfId="0" applyNumberFormat="1" applyFont="1" applyBorder="1" applyAlignment="1">
      <alignment horizontal="center"/>
    </xf>
    <xf numFmtId="0" fontId="17" fillId="0" borderId="29" xfId="0" applyNumberFormat="1" applyFont="1" applyBorder="1" applyAlignment="1">
      <alignment vertical="center"/>
    </xf>
    <xf numFmtId="0" fontId="15" fillId="0" borderId="30" xfId="0" applyNumberFormat="1" applyFont="1" applyBorder="1" applyAlignment="1">
      <alignment horizontal="center" vertical="center"/>
    </xf>
    <xf numFmtId="173" fontId="17" fillId="0" borderId="30" xfId="0" applyNumberFormat="1" applyFont="1" applyBorder="1" applyAlignment="1">
      <alignment vertical="center"/>
    </xf>
    <xf numFmtId="173" fontId="17" fillId="0" borderId="32" xfId="0" applyNumberFormat="1" applyFont="1" applyBorder="1" applyAlignment="1">
      <alignment vertical="center"/>
    </xf>
    <xf numFmtId="173" fontId="17" fillId="0" borderId="29" xfId="0" applyNumberFormat="1" applyFont="1" applyBorder="1" applyAlignment="1">
      <alignment vertical="center"/>
    </xf>
    <xf numFmtId="173" fontId="17" fillId="0" borderId="31" xfId="0" applyNumberFormat="1" applyFont="1" applyBorder="1" applyAlignment="1">
      <alignment vertical="center"/>
    </xf>
    <xf numFmtId="173" fontId="17" fillId="0" borderId="33" xfId="0" applyNumberFormat="1" applyFont="1" applyBorder="1" applyAlignment="1">
      <alignment vertical="center"/>
    </xf>
    <xf numFmtId="173" fontId="15" fillId="0" borderId="13" xfId="1" applyNumberFormat="1" applyFont="1" applyBorder="1" applyAlignment="1"/>
    <xf numFmtId="173" fontId="15" fillId="0" borderId="0" xfId="1" applyNumberFormat="1" applyFont="1" applyBorder="1" applyAlignment="1"/>
    <xf numFmtId="173" fontId="15" fillId="0" borderId="2" xfId="1" applyNumberFormat="1" applyFont="1" applyBorder="1" applyAlignment="1"/>
    <xf numFmtId="173" fontId="15" fillId="0" borderId="24" xfId="1" applyNumberFormat="1" applyFont="1" applyBorder="1" applyAlignment="1"/>
    <xf numFmtId="173" fontId="15" fillId="0" borderId="14" xfId="1" applyNumberFormat="1" applyFont="1" applyBorder="1" applyAlignment="1"/>
    <xf numFmtId="173" fontId="15" fillId="0" borderId="13" xfId="1" applyNumberFormat="1" applyFont="1" applyFill="1" applyBorder="1" applyAlignment="1"/>
    <xf numFmtId="0" fontId="17" fillId="0" borderId="2" xfId="0" applyNumberFormat="1" applyFont="1" applyBorder="1" applyAlignment="1">
      <alignment horizontal="left" indent="2"/>
    </xf>
    <xf numFmtId="173" fontId="17" fillId="0" borderId="37" xfId="1" applyNumberFormat="1" applyFont="1" applyFill="1" applyBorder="1" applyAlignment="1"/>
    <xf numFmtId="173" fontId="17" fillId="0" borderId="37" xfId="1" applyNumberFormat="1" applyFont="1" applyBorder="1" applyAlignment="1"/>
    <xf numFmtId="173" fontId="17" fillId="0" borderId="38" xfId="1" applyNumberFormat="1" applyFont="1" applyBorder="1" applyAlignment="1"/>
    <xf numFmtId="173" fontId="17" fillId="0" borderId="39" xfId="1" applyNumberFormat="1" applyFont="1" applyBorder="1" applyAlignment="1"/>
    <xf numFmtId="173" fontId="17" fillId="0" borderId="36" xfId="1" applyNumberFormat="1" applyFont="1" applyBorder="1" applyAlignment="1"/>
    <xf numFmtId="173" fontId="17" fillId="0" borderId="40" xfId="1" applyNumberFormat="1" applyFont="1" applyBorder="1" applyAlignment="1"/>
    <xf numFmtId="173" fontId="17" fillId="0" borderId="13" xfId="0" applyNumberFormat="1" applyFont="1" applyFill="1" applyBorder="1" applyAlignment="1"/>
    <xf numFmtId="0" fontId="15" fillId="0" borderId="2" xfId="0" quotePrefix="1" applyNumberFormat="1" applyFont="1" applyBorder="1" applyAlignment="1">
      <alignment horizontal="left" indent="2"/>
    </xf>
    <xf numFmtId="173" fontId="15" fillId="0" borderId="0" xfId="1" applyNumberFormat="1" applyFont="1" applyFill="1" applyBorder="1" applyAlignment="1"/>
    <xf numFmtId="0" fontId="17" fillId="0" borderId="2" xfId="0" quotePrefix="1" applyNumberFormat="1" applyFont="1" applyBorder="1" applyAlignment="1">
      <alignment horizontal="left" indent="2"/>
    </xf>
    <xf numFmtId="0" fontId="17" fillId="0" borderId="39" xfId="0" applyNumberFormat="1" applyFont="1" applyBorder="1"/>
    <xf numFmtId="0" fontId="15" fillId="0" borderId="37" xfId="0" applyNumberFormat="1" applyFont="1" applyBorder="1" applyAlignment="1">
      <alignment horizontal="center"/>
    </xf>
    <xf numFmtId="173" fontId="17" fillId="0" borderId="37" xfId="0" applyNumberFormat="1" applyFont="1" applyBorder="1" applyAlignment="1"/>
    <xf numFmtId="173" fontId="17" fillId="0" borderId="38" xfId="0" applyNumberFormat="1" applyFont="1" applyBorder="1" applyAlignment="1"/>
    <xf numFmtId="173" fontId="17" fillId="0" borderId="39" xfId="0" applyNumberFormat="1" applyFont="1" applyBorder="1" applyAlignment="1"/>
    <xf numFmtId="173" fontId="17" fillId="0" borderId="36" xfId="0" applyNumberFormat="1" applyFont="1" applyBorder="1" applyAlignment="1"/>
    <xf numFmtId="173" fontId="17" fillId="0" borderId="40" xfId="0" applyNumberFormat="1" applyFont="1" applyBorder="1" applyAlignment="1"/>
    <xf numFmtId="0" fontId="17" fillId="0" borderId="2" xfId="0" quotePrefix="1" applyNumberFormat="1" applyFont="1" applyBorder="1"/>
    <xf numFmtId="0" fontId="20" fillId="0" borderId="0" xfId="0" applyFont="1" applyAlignment="1">
      <alignment horizontal="center"/>
    </xf>
    <xf numFmtId="0" fontId="15" fillId="0" borderId="0" xfId="0" applyFont="1" applyBorder="1" applyAlignment="1">
      <alignment horizontal="left" wrapText="1"/>
    </xf>
    <xf numFmtId="43" fontId="15" fillId="0" borderId="0" xfId="1" applyFont="1"/>
    <xf numFmtId="173" fontId="15" fillId="0" borderId="53" xfId="0" applyNumberFormat="1" applyFont="1" applyBorder="1"/>
    <xf numFmtId="173" fontId="17" fillId="0" borderId="66" xfId="0" applyNumberFormat="1" applyFont="1" applyBorder="1"/>
    <xf numFmtId="0" fontId="19" fillId="0" borderId="2" xfId="0" applyNumberFormat="1" applyFont="1" applyFill="1" applyBorder="1"/>
    <xf numFmtId="0" fontId="17" fillId="0" borderId="39" xfId="0" applyNumberFormat="1" applyFont="1" applyFill="1" applyBorder="1"/>
    <xf numFmtId="0" fontId="15" fillId="0" borderId="37" xfId="0" applyNumberFormat="1" applyFont="1" applyFill="1" applyBorder="1" applyAlignment="1">
      <alignment horizontal="center"/>
    </xf>
    <xf numFmtId="173" fontId="17" fillId="0" borderId="37" xfId="0" applyNumberFormat="1" applyFont="1" applyFill="1" applyBorder="1"/>
    <xf numFmtId="173" fontId="17" fillId="0" borderId="38" xfId="0" applyNumberFormat="1" applyFont="1" applyFill="1" applyBorder="1"/>
    <xf numFmtId="173" fontId="17" fillId="0" borderId="39" xfId="0" applyNumberFormat="1" applyFont="1" applyFill="1" applyBorder="1"/>
    <xf numFmtId="173" fontId="17" fillId="0" borderId="36" xfId="0" applyNumberFormat="1" applyFont="1" applyFill="1" applyBorder="1"/>
    <xf numFmtId="0" fontId="15" fillId="0" borderId="2" xfId="0" applyNumberFormat="1" applyFont="1" applyFill="1" applyBorder="1"/>
    <xf numFmtId="0" fontId="17" fillId="0" borderId="29" xfId="0" applyNumberFormat="1" applyFont="1" applyFill="1" applyBorder="1"/>
    <xf numFmtId="173" fontId="17" fillId="0" borderId="64" xfId="0" applyNumberFormat="1" applyFont="1" applyFill="1" applyBorder="1"/>
    <xf numFmtId="0" fontId="15" fillId="0" borderId="14" xfId="0" applyNumberFormat="1" applyFont="1" applyBorder="1" applyAlignment="1">
      <alignment horizontal="center"/>
    </xf>
    <xf numFmtId="0" fontId="15" fillId="0" borderId="2" xfId="0" applyNumberFormat="1" applyFont="1" applyBorder="1" applyAlignment="1">
      <alignment horizontal="center"/>
    </xf>
    <xf numFmtId="178" fontId="17" fillId="0" borderId="13" xfId="0" applyNumberFormat="1" applyFont="1" applyFill="1" applyBorder="1"/>
    <xf numFmtId="178" fontId="17" fillId="0" borderId="13" xfId="7" applyNumberFormat="1" applyFont="1" applyBorder="1" applyAlignment="1">
      <alignment horizontal="center"/>
    </xf>
    <xf numFmtId="178" fontId="17" fillId="0" borderId="14" xfId="7" applyNumberFormat="1" applyFont="1" applyBorder="1" applyAlignment="1">
      <alignment horizontal="center"/>
    </xf>
    <xf numFmtId="178" fontId="17" fillId="0" borderId="2" xfId="7" applyNumberFormat="1" applyFont="1" applyBorder="1" applyAlignment="1">
      <alignment horizontal="center"/>
    </xf>
    <xf numFmtId="178" fontId="17" fillId="0" borderId="0" xfId="7" applyNumberFormat="1" applyFont="1" applyBorder="1" applyAlignment="1">
      <alignment horizontal="center"/>
    </xf>
    <xf numFmtId="178" fontId="17" fillId="0" borderId="13" xfId="0" applyNumberFormat="1" applyFont="1" applyBorder="1"/>
    <xf numFmtId="178" fontId="15" fillId="0" borderId="13" xfId="0" applyNumberFormat="1" applyFont="1" applyBorder="1"/>
    <xf numFmtId="9" fontId="17" fillId="0" borderId="13" xfId="7" applyFont="1" applyBorder="1" applyAlignment="1">
      <alignment horizontal="center"/>
    </xf>
    <xf numFmtId="9" fontId="17" fillId="0" borderId="14" xfId="7" applyFont="1" applyBorder="1" applyAlignment="1">
      <alignment horizontal="center"/>
    </xf>
    <xf numFmtId="9" fontId="17" fillId="0" borderId="2" xfId="7" applyFont="1" applyBorder="1" applyAlignment="1">
      <alignment horizontal="center"/>
    </xf>
    <xf numFmtId="9" fontId="17" fillId="0" borderId="0" xfId="7" applyFont="1" applyBorder="1" applyAlignment="1">
      <alignment horizontal="center"/>
    </xf>
    <xf numFmtId="0" fontId="20" fillId="0" borderId="0" xfId="0" applyNumberFormat="1" applyFont="1"/>
    <xf numFmtId="168" fontId="15" fillId="0" borderId="0" xfId="0" applyNumberFormat="1" applyFont="1" applyFill="1"/>
    <xf numFmtId="0" fontId="17" fillId="0" borderId="17" xfId="0" applyFont="1" applyFill="1" applyBorder="1" applyAlignment="1">
      <alignment horizontal="center" vertical="top" wrapText="1"/>
    </xf>
    <xf numFmtId="174" fontId="15" fillId="0" borderId="13" xfId="1" applyNumberFormat="1" applyFont="1" applyBorder="1" applyAlignment="1">
      <alignment horizontal="center"/>
    </xf>
    <xf numFmtId="174" fontId="15" fillId="0" borderId="13" xfId="1" applyNumberFormat="1" applyFont="1" applyBorder="1"/>
    <xf numFmtId="174" fontId="15" fillId="0" borderId="1" xfId="1" applyNumberFormat="1" applyFont="1" applyBorder="1"/>
    <xf numFmtId="174" fontId="15" fillId="0" borderId="13" xfId="1" applyNumberFormat="1" applyFont="1" applyFill="1" applyBorder="1" applyAlignment="1">
      <alignment horizontal="center"/>
    </xf>
    <xf numFmtId="174" fontId="17" fillId="0" borderId="37" xfId="1" applyNumberFormat="1" applyFont="1" applyFill="1" applyBorder="1" applyAlignment="1">
      <alignment horizontal="center"/>
    </xf>
    <xf numFmtId="174" fontId="17" fillId="0" borderId="37" xfId="1" applyNumberFormat="1" applyFont="1" applyFill="1" applyBorder="1"/>
    <xf numFmtId="174" fontId="17" fillId="0" borderId="37" xfId="1" applyNumberFormat="1" applyFont="1" applyBorder="1"/>
    <xf numFmtId="174" fontId="17" fillId="0" borderId="67" xfId="1" applyNumberFormat="1" applyFont="1" applyBorder="1"/>
    <xf numFmtId="0" fontId="20" fillId="0" borderId="2" xfId="0" applyNumberFormat="1" applyFont="1" applyBorder="1"/>
    <xf numFmtId="174" fontId="17" fillId="0" borderId="37" xfId="1" applyNumberFormat="1" applyFont="1" applyBorder="1" applyAlignment="1">
      <alignment horizontal="center"/>
    </xf>
    <xf numFmtId="174" fontId="17" fillId="0" borderId="38" xfId="1" applyNumberFormat="1" applyFont="1" applyFill="1" applyBorder="1"/>
    <xf numFmtId="174" fontId="15" fillId="0" borderId="1" xfId="1" applyNumberFormat="1" applyFont="1" applyFill="1" applyBorder="1"/>
    <xf numFmtId="174" fontId="15" fillId="0" borderId="0" xfId="1" applyNumberFormat="1" applyFont="1" applyBorder="1"/>
    <xf numFmtId="0" fontId="17" fillId="0" borderId="29" xfId="0" applyNumberFormat="1" applyFont="1" applyBorder="1" applyAlignment="1">
      <alignment vertical="center" wrapText="1"/>
    </xf>
    <xf numFmtId="174" fontId="17" fillId="0" borderId="30" xfId="1" applyNumberFormat="1" applyFont="1" applyBorder="1" applyAlignment="1">
      <alignment horizontal="center" vertical="center"/>
    </xf>
    <xf numFmtId="174" fontId="17" fillId="0" borderId="30" xfId="1" applyNumberFormat="1" applyFont="1" applyBorder="1" applyAlignment="1">
      <alignment vertical="center"/>
    </xf>
    <xf numFmtId="174" fontId="17" fillId="0" borderId="32" xfId="1" applyNumberFormat="1" applyFont="1" applyBorder="1" applyAlignment="1">
      <alignment vertical="center"/>
    </xf>
    <xf numFmtId="174" fontId="17" fillId="0" borderId="68" xfId="1" applyNumberFormat="1" applyFont="1" applyBorder="1" applyAlignment="1">
      <alignment vertical="center"/>
    </xf>
    <xf numFmtId="174" fontId="15" fillId="0" borderId="14" xfId="1" applyNumberFormat="1" applyFont="1" applyBorder="1"/>
    <xf numFmtId="174" fontId="15" fillId="0" borderId="2" xfId="1" applyNumberFormat="1" applyFont="1" applyBorder="1"/>
    <xf numFmtId="174" fontId="15" fillId="0" borderId="53" xfId="1" applyNumberFormat="1" applyFont="1" applyBorder="1"/>
    <xf numFmtId="178" fontId="17" fillId="0" borderId="13" xfId="1" applyNumberFormat="1" applyFont="1" applyBorder="1"/>
    <xf numFmtId="178" fontId="17" fillId="0" borderId="53" xfId="7" applyNumberFormat="1" applyFont="1" applyBorder="1" applyAlignment="1">
      <alignment horizontal="center"/>
    </xf>
    <xf numFmtId="174" fontId="17" fillId="0" borderId="30" xfId="1" applyNumberFormat="1" applyFont="1" applyBorder="1"/>
    <xf numFmtId="174" fontId="17" fillId="0" borderId="64" xfId="1" applyNumberFormat="1" applyFont="1" applyBorder="1"/>
    <xf numFmtId="0" fontId="19" fillId="0" borderId="7" xfId="0" applyNumberFormat="1" applyFont="1" applyBorder="1"/>
    <xf numFmtId="0" fontId="19" fillId="0" borderId="52" xfId="0" applyNumberFormat="1" applyFont="1" applyBorder="1" applyAlignment="1">
      <alignment horizontal="center"/>
    </xf>
    <xf numFmtId="173" fontId="17" fillId="0" borderId="52" xfId="0" applyNumberFormat="1" applyFont="1" applyBorder="1" applyAlignment="1">
      <alignment horizontal="center"/>
    </xf>
    <xf numFmtId="0" fontId="15" fillId="0" borderId="53" xfId="0" applyNumberFormat="1" applyFont="1" applyBorder="1" applyAlignment="1">
      <alignment horizontal="center"/>
    </xf>
    <xf numFmtId="0" fontId="17" fillId="0" borderId="53" xfId="0" applyNumberFormat="1" applyFont="1" applyBorder="1" applyAlignment="1">
      <alignment horizontal="center"/>
    </xf>
    <xf numFmtId="173" fontId="17" fillId="0" borderId="58" xfId="0" applyNumberFormat="1" applyFont="1" applyBorder="1"/>
    <xf numFmtId="0" fontId="19" fillId="0" borderId="53" xfId="0" applyNumberFormat="1" applyFont="1" applyBorder="1" applyAlignment="1">
      <alignment horizontal="center"/>
    </xf>
    <xf numFmtId="0" fontId="17" fillId="0" borderId="27" xfId="0" applyNumberFormat="1" applyFont="1" applyBorder="1"/>
    <xf numFmtId="0" fontId="17" fillId="0" borderId="58" xfId="0" applyNumberFormat="1" applyFont="1" applyBorder="1" applyAlignment="1">
      <alignment horizontal="center"/>
    </xf>
    <xf numFmtId="0" fontId="17" fillId="0" borderId="27" xfId="0" applyNumberFormat="1" applyFont="1" applyBorder="1" applyAlignment="1">
      <alignment vertical="center" wrapText="1"/>
    </xf>
    <xf numFmtId="0" fontId="17" fillId="0" borderId="58" xfId="0" applyNumberFormat="1" applyFont="1" applyBorder="1" applyAlignment="1">
      <alignment horizontal="center" vertical="center" wrapText="1"/>
    </xf>
    <xf numFmtId="173" fontId="17" fillId="0" borderId="27" xfId="0" applyNumberFormat="1" applyFont="1" applyBorder="1" applyAlignment="1">
      <alignment vertical="center"/>
    </xf>
    <xf numFmtId="173" fontId="17" fillId="0" borderId="21" xfId="0" applyNumberFormat="1" applyFont="1" applyBorder="1" applyAlignment="1">
      <alignment vertical="center"/>
    </xf>
    <xf numFmtId="173" fontId="17" fillId="0" borderId="58" xfId="0" applyNumberFormat="1" applyFont="1" applyBorder="1" applyAlignment="1">
      <alignment vertical="center"/>
    </xf>
    <xf numFmtId="173" fontId="17" fillId="0" borderId="26" xfId="0" applyNumberFormat="1" applyFont="1" applyBorder="1" applyAlignment="1">
      <alignment vertical="center"/>
    </xf>
    <xf numFmtId="0" fontId="15" fillId="0" borderId="53" xfId="0" applyNumberFormat="1" applyFont="1" applyBorder="1" applyAlignment="1">
      <alignment horizontal="center" vertical="top" wrapText="1"/>
    </xf>
    <xf numFmtId="0" fontId="17" fillId="0" borderId="64" xfId="0" quotePrefix="1" applyNumberFormat="1" applyFont="1" applyBorder="1" applyAlignment="1">
      <alignment horizontal="center" vertical="center" wrapText="1"/>
    </xf>
    <xf numFmtId="0" fontId="21" fillId="0" borderId="0" xfId="0" applyNumberFormat="1" applyFont="1" applyBorder="1" applyAlignment="1">
      <alignment vertical="center" wrapText="1"/>
    </xf>
    <xf numFmtId="164" fontId="20" fillId="0" borderId="0" xfId="1" applyNumberFormat="1" applyFont="1"/>
    <xf numFmtId="0" fontId="22" fillId="0" borderId="0" xfId="0" applyFont="1" applyBorder="1" applyAlignment="1">
      <alignment horizontal="center" vertical="center" wrapText="1"/>
    </xf>
    <xf numFmtId="0" fontId="15" fillId="0" borderId="64" xfId="0" quotePrefix="1" applyNumberFormat="1" applyFont="1" applyBorder="1" applyAlignment="1">
      <alignment horizontal="center" vertical="center" wrapText="1"/>
    </xf>
    <xf numFmtId="0" fontId="15" fillId="0" borderId="2" xfId="0" applyNumberFormat="1" applyFont="1" applyFill="1" applyBorder="1" applyAlignment="1"/>
    <xf numFmtId="0" fontId="20" fillId="0" borderId="0" xfId="0" applyFont="1" applyFill="1" applyAlignment="1">
      <alignment horizontal="center"/>
    </xf>
    <xf numFmtId="0" fontId="17" fillId="0" borderId="45" xfId="0" applyNumberFormat="1" applyFont="1" applyFill="1" applyBorder="1" applyAlignment="1">
      <alignment vertical="center" wrapText="1"/>
    </xf>
    <xf numFmtId="173" fontId="17" fillId="0" borderId="48" xfId="0" applyNumberFormat="1" applyFont="1" applyFill="1" applyBorder="1" applyAlignment="1">
      <alignment vertical="center"/>
    </xf>
    <xf numFmtId="173" fontId="17" fillId="0" borderId="49" xfId="0" applyNumberFormat="1" applyFont="1" applyFill="1" applyBorder="1" applyAlignment="1">
      <alignment vertical="center"/>
    </xf>
    <xf numFmtId="168" fontId="17" fillId="0" borderId="69" xfId="0" applyNumberFormat="1" applyFont="1" applyFill="1" applyBorder="1" applyAlignment="1">
      <alignment vertical="center"/>
    </xf>
    <xf numFmtId="168" fontId="17" fillId="0" borderId="70" xfId="0" applyNumberFormat="1" applyFont="1" applyFill="1" applyBorder="1" applyAlignment="1">
      <alignment vertical="center"/>
    </xf>
    <xf numFmtId="168" fontId="17" fillId="0" borderId="71" xfId="0" applyNumberFormat="1" applyFont="1" applyFill="1" applyBorder="1" applyAlignment="1">
      <alignment vertical="center"/>
    </xf>
    <xf numFmtId="0" fontId="15" fillId="0" borderId="0" xfId="0" applyFont="1" applyFill="1" applyAlignment="1">
      <alignment vertical="center"/>
    </xf>
    <xf numFmtId="0" fontId="15" fillId="0" borderId="4" xfId="0" applyNumberFormat="1" applyFont="1" applyFill="1" applyBorder="1"/>
    <xf numFmtId="173" fontId="15" fillId="0" borderId="3" xfId="0" applyNumberFormat="1" applyFont="1" applyFill="1" applyBorder="1"/>
    <xf numFmtId="173" fontId="15" fillId="0" borderId="8" xfId="0" applyNumberFormat="1" applyFont="1" applyFill="1" applyBorder="1"/>
    <xf numFmtId="173" fontId="15" fillId="0" borderId="15" xfId="0" applyNumberFormat="1" applyFont="1" applyFill="1" applyBorder="1"/>
    <xf numFmtId="0" fontId="17" fillId="0" borderId="72" xfId="0" applyFont="1" applyFill="1" applyBorder="1" applyAlignment="1">
      <alignment horizontal="center" vertical="center" wrapText="1"/>
    </xf>
    <xf numFmtId="0" fontId="19" fillId="0" borderId="6" xfId="0" applyNumberFormat="1" applyFont="1" applyBorder="1"/>
    <xf numFmtId="172" fontId="15" fillId="0" borderId="24" xfId="0" applyNumberFormat="1" applyFont="1" applyFill="1" applyBorder="1"/>
    <xf numFmtId="172" fontId="15" fillId="0" borderId="20" xfId="0" applyNumberFormat="1" applyFont="1" applyFill="1" applyBorder="1"/>
    <xf numFmtId="0" fontId="15" fillId="0" borderId="1" xfId="0" applyNumberFormat="1" applyFont="1" applyBorder="1" applyAlignment="1">
      <alignment horizontal="left" indent="1"/>
    </xf>
    <xf numFmtId="0" fontId="17" fillId="0" borderId="1" xfId="0" applyNumberFormat="1" applyFont="1" applyBorder="1"/>
    <xf numFmtId="172" fontId="17" fillId="0" borderId="28" xfId="0" applyNumberFormat="1" applyFont="1" applyFill="1" applyBorder="1"/>
    <xf numFmtId="172" fontId="17" fillId="0" borderId="27" xfId="0" applyNumberFormat="1" applyFont="1" applyFill="1" applyBorder="1"/>
    <xf numFmtId="172" fontId="17" fillId="0" borderId="25" xfId="0" applyNumberFormat="1" applyFont="1" applyFill="1" applyBorder="1"/>
    <xf numFmtId="172" fontId="17" fillId="0" borderId="40" xfId="0" applyNumberFormat="1" applyFont="1" applyFill="1" applyBorder="1"/>
    <xf numFmtId="172" fontId="17" fillId="0" borderId="37" xfId="0" applyNumberFormat="1" applyFont="1" applyFill="1" applyBorder="1"/>
    <xf numFmtId="172" fontId="17" fillId="0" borderId="38" xfId="0" applyNumberFormat="1" applyFont="1" applyFill="1" applyBorder="1"/>
    <xf numFmtId="172" fontId="17" fillId="0" borderId="39" xfId="0" applyNumberFormat="1" applyFont="1" applyFill="1" applyBorder="1"/>
    <xf numFmtId="172" fontId="17" fillId="0" borderId="36" xfId="0" applyNumberFormat="1" applyFont="1" applyFill="1" applyBorder="1"/>
    <xf numFmtId="172" fontId="17" fillId="0" borderId="24" xfId="0" applyNumberFormat="1" applyFont="1" applyFill="1" applyBorder="1"/>
    <xf numFmtId="172" fontId="17" fillId="0" borderId="2" xfId="0" applyNumberFormat="1" applyFont="1" applyFill="1" applyBorder="1"/>
    <xf numFmtId="172" fontId="17" fillId="0" borderId="0" xfId="0" applyNumberFormat="1" applyFont="1" applyFill="1" applyBorder="1"/>
    <xf numFmtId="0" fontId="15" fillId="0" borderId="4" xfId="0" applyNumberFormat="1" applyFont="1" applyBorder="1"/>
    <xf numFmtId="172" fontId="15" fillId="0" borderId="41" xfId="0" applyNumberFormat="1" applyFont="1" applyFill="1" applyBorder="1"/>
    <xf numFmtId="172" fontId="15" fillId="0" borderId="8" xfId="0" applyNumberFormat="1" applyFont="1" applyFill="1" applyBorder="1"/>
    <xf numFmtId="172" fontId="15" fillId="0" borderId="15" xfId="0" applyNumberFormat="1" applyFont="1" applyFill="1" applyBorder="1"/>
    <xf numFmtId="172" fontId="15" fillId="0" borderId="3" xfId="0" applyNumberFormat="1" applyFont="1" applyFill="1" applyBorder="1"/>
    <xf numFmtId="172" fontId="15" fillId="0" borderId="5" xfId="0" applyNumberFormat="1" applyFont="1" applyFill="1" applyBorder="1"/>
    <xf numFmtId="0" fontId="19" fillId="0" borderId="1" xfId="0" applyNumberFormat="1" applyFont="1" applyBorder="1"/>
    <xf numFmtId="0" fontId="18" fillId="0" borderId="1" xfId="0" applyNumberFormat="1" applyFont="1" applyBorder="1"/>
    <xf numFmtId="169" fontId="15" fillId="0" borderId="0" xfId="0" applyNumberFormat="1" applyFont="1"/>
    <xf numFmtId="172" fontId="15" fillId="0" borderId="16" xfId="0" applyNumberFormat="1" applyFont="1" applyFill="1" applyBorder="1"/>
    <xf numFmtId="172" fontId="15" fillId="0" borderId="17" xfId="0" applyNumberFormat="1" applyFont="1" applyFill="1" applyBorder="1"/>
    <xf numFmtId="172" fontId="15" fillId="0" borderId="7" xfId="0" applyNumberFormat="1" applyFont="1" applyFill="1" applyBorder="1"/>
    <xf numFmtId="172" fontId="15" fillId="0" borderId="18" xfId="0" applyNumberFormat="1" applyFont="1" applyFill="1" applyBorder="1"/>
    <xf numFmtId="0" fontId="15" fillId="0" borderId="4" xfId="0" applyFont="1" applyBorder="1"/>
    <xf numFmtId="0" fontId="17" fillId="0" borderId="1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5" fillId="0" borderId="8" xfId="0" applyNumberFormat="1" applyFont="1" applyFill="1" applyBorder="1" applyAlignment="1">
      <alignment horizontal="center" vertical="center"/>
    </xf>
    <xf numFmtId="173" fontId="17" fillId="0" borderId="1" xfId="0" applyNumberFormat="1" applyFont="1" applyBorder="1" applyAlignment="1">
      <alignment horizontal="center"/>
    </xf>
    <xf numFmtId="173" fontId="15" fillId="0" borderId="19" xfId="0" applyNumberFormat="1" applyFont="1" applyBorder="1"/>
    <xf numFmtId="173" fontId="15" fillId="0" borderId="68" xfId="0" applyNumberFormat="1" applyFont="1" applyBorder="1"/>
    <xf numFmtId="0" fontId="12" fillId="0" borderId="0" xfId="0" applyFont="1" applyFill="1" applyBorder="1" applyAlignment="1">
      <alignment horizontal="left"/>
    </xf>
    <xf numFmtId="173" fontId="17" fillId="0" borderId="16" xfId="0" applyNumberFormat="1" applyFont="1" applyFill="1" applyBorder="1" applyAlignment="1">
      <alignment horizontal="center"/>
    </xf>
    <xf numFmtId="173" fontId="17" fillId="0" borderId="18" xfId="0" applyNumberFormat="1" applyFont="1" applyFill="1" applyBorder="1" applyAlignment="1">
      <alignment horizontal="center"/>
    </xf>
    <xf numFmtId="173" fontId="15" fillId="0" borderId="13" xfId="0" applyNumberFormat="1" applyFont="1" applyFill="1" applyBorder="1" applyAlignment="1">
      <alignment horizontal="right"/>
    </xf>
    <xf numFmtId="173" fontId="15" fillId="0" borderId="0" xfId="0" applyNumberFormat="1" applyFont="1" applyFill="1" applyBorder="1" applyAlignment="1">
      <alignment horizontal="right"/>
    </xf>
    <xf numFmtId="173" fontId="15" fillId="0" borderId="2" xfId="0" applyNumberFormat="1" applyFont="1" applyFill="1" applyBorder="1" applyAlignment="1">
      <alignment horizontal="right"/>
    </xf>
    <xf numFmtId="173" fontId="15" fillId="0" borderId="14" xfId="0" applyNumberFormat="1" applyFont="1" applyFill="1" applyBorder="1" applyAlignment="1">
      <alignment horizontal="right"/>
    </xf>
    <xf numFmtId="173" fontId="17" fillId="0" borderId="13" xfId="0" applyNumberFormat="1" applyFont="1" applyFill="1" applyBorder="1" applyAlignment="1">
      <alignment horizontal="right"/>
    </xf>
    <xf numFmtId="173" fontId="17" fillId="0" borderId="0" xfId="0" applyNumberFormat="1" applyFont="1" applyFill="1" applyBorder="1" applyAlignment="1">
      <alignment horizontal="right"/>
    </xf>
    <xf numFmtId="173" fontId="17" fillId="0" borderId="2" xfId="0" applyNumberFormat="1" applyFont="1" applyFill="1" applyBorder="1" applyAlignment="1">
      <alignment horizontal="right"/>
    </xf>
    <xf numFmtId="173" fontId="17" fillId="0" borderId="14" xfId="0" applyNumberFormat="1" applyFont="1" applyFill="1" applyBorder="1" applyAlignment="1">
      <alignment horizontal="right"/>
    </xf>
    <xf numFmtId="0" fontId="17" fillId="0" borderId="7" xfId="0" applyNumberFormat="1" applyFont="1" applyFill="1" applyBorder="1"/>
    <xf numFmtId="0" fontId="17" fillId="0" borderId="16" xfId="0" applyNumberFormat="1" applyFont="1" applyFill="1" applyBorder="1" applyAlignment="1">
      <alignment horizontal="center"/>
    </xf>
    <xf numFmtId="174" fontId="17" fillId="0" borderId="16" xfId="1" applyNumberFormat="1" applyFont="1" applyFill="1" applyBorder="1" applyAlignment="1">
      <alignment horizontal="center"/>
    </xf>
    <xf numFmtId="0" fontId="20" fillId="0" borderId="16" xfId="0" applyNumberFormat="1" applyFont="1" applyFill="1" applyBorder="1" applyAlignment="1">
      <alignment horizontal="center"/>
    </xf>
    <xf numFmtId="0" fontId="20" fillId="0" borderId="18" xfId="0" applyNumberFormat="1" applyFont="1" applyFill="1" applyBorder="1" applyAlignment="1">
      <alignment horizontal="center"/>
    </xf>
    <xf numFmtId="174" fontId="17" fillId="0" borderId="13" xfId="1" applyNumberFormat="1" applyFont="1" applyFill="1" applyBorder="1" applyAlignment="1">
      <alignment horizontal="center"/>
    </xf>
    <xf numFmtId="0" fontId="20" fillId="0" borderId="13" xfId="0" applyNumberFormat="1" applyFont="1" applyFill="1" applyBorder="1" applyAlignment="1">
      <alignment horizontal="center"/>
    </xf>
    <xf numFmtId="0" fontId="20" fillId="0" borderId="0" xfId="0" applyNumberFormat="1" applyFont="1" applyFill="1" applyBorder="1" applyAlignment="1">
      <alignment horizontal="center"/>
    </xf>
    <xf numFmtId="0" fontId="20" fillId="0" borderId="2" xfId="0" applyNumberFormat="1" applyFont="1" applyFill="1" applyBorder="1"/>
    <xf numFmtId="0" fontId="15" fillId="0" borderId="13" xfId="0" applyNumberFormat="1" applyFont="1" applyFill="1" applyBorder="1"/>
    <xf numFmtId="0" fontId="17" fillId="0" borderId="59" xfId="0" applyFont="1" applyFill="1" applyBorder="1" applyAlignment="1">
      <alignment horizontal="center" vertical="center" wrapText="1"/>
    </xf>
    <xf numFmtId="0" fontId="17" fillId="0" borderId="18" xfId="1" applyNumberFormat="1" applyFont="1" applyFill="1" applyBorder="1" applyAlignment="1">
      <alignment horizontal="center"/>
    </xf>
    <xf numFmtId="173" fontId="17" fillId="0" borderId="43" xfId="0" applyNumberFormat="1" applyFont="1" applyFill="1" applyBorder="1" applyAlignment="1">
      <alignment horizontal="center"/>
    </xf>
    <xf numFmtId="173" fontId="17" fillId="0" borderId="7" xfId="0" applyNumberFormat="1" applyFont="1" applyFill="1" applyBorder="1" applyAlignment="1">
      <alignment horizontal="center"/>
    </xf>
    <xf numFmtId="173" fontId="17" fillId="0" borderId="17" xfId="0" applyNumberFormat="1" applyFont="1" applyFill="1" applyBorder="1" applyAlignment="1">
      <alignment horizontal="center"/>
    </xf>
    <xf numFmtId="0" fontId="17" fillId="0" borderId="0" xfId="1" applyNumberFormat="1" applyFont="1" applyFill="1" applyBorder="1" applyAlignment="1">
      <alignment horizontal="center"/>
    </xf>
    <xf numFmtId="173" fontId="17" fillId="0" borderId="13" xfId="0" applyNumberFormat="1" applyFont="1" applyFill="1" applyBorder="1" applyAlignment="1">
      <alignment horizontal="center"/>
    </xf>
    <xf numFmtId="173" fontId="17" fillId="0" borderId="44" xfId="0" applyNumberFormat="1" applyFont="1" applyFill="1" applyBorder="1" applyAlignment="1">
      <alignment horizontal="center"/>
    </xf>
    <xf numFmtId="173" fontId="17" fillId="0" borderId="2" xfId="0" applyNumberFormat="1" applyFont="1" applyFill="1" applyBorder="1" applyAlignment="1">
      <alignment horizontal="center"/>
    </xf>
    <xf numFmtId="173" fontId="17" fillId="0" borderId="14" xfId="0" applyNumberFormat="1" applyFont="1" applyFill="1" applyBorder="1" applyAlignment="1">
      <alignment horizontal="center"/>
    </xf>
    <xf numFmtId="0" fontId="17" fillId="0" borderId="2" xfId="0" applyNumberFormat="1" applyFont="1" applyFill="1" applyBorder="1" applyAlignment="1">
      <alignment horizontal="left" indent="1"/>
    </xf>
    <xf numFmtId="0" fontId="15" fillId="0" borderId="13" xfId="0" applyFont="1" applyBorder="1"/>
    <xf numFmtId="175" fontId="15" fillId="0" borderId="13" xfId="1" applyNumberFormat="1" applyFont="1" applyFill="1" applyBorder="1" applyAlignment="1"/>
    <xf numFmtId="0" fontId="21" fillId="0" borderId="18" xfId="0" applyFont="1" applyBorder="1"/>
    <xf numFmtId="0" fontId="17" fillId="0" borderId="20" xfId="0" applyFont="1" applyFill="1" applyBorder="1" applyAlignment="1">
      <alignment horizontal="center" vertical="center"/>
    </xf>
    <xf numFmtId="173" fontId="17" fillId="0" borderId="13" xfId="0" applyNumberFormat="1" applyFont="1" applyBorder="1" applyAlignment="1">
      <alignment horizontal="right"/>
    </xf>
    <xf numFmtId="173" fontId="17" fillId="0" borderId="14" xfId="0" applyNumberFormat="1" applyFont="1" applyBorder="1" applyAlignment="1">
      <alignment horizontal="right"/>
    </xf>
    <xf numFmtId="173" fontId="17" fillId="0" borderId="2" xfId="0" applyNumberFormat="1" applyFont="1" applyBorder="1" applyAlignment="1">
      <alignment horizontal="right"/>
    </xf>
    <xf numFmtId="173" fontId="17" fillId="0" borderId="0" xfId="0" applyNumberFormat="1" applyFont="1" applyBorder="1" applyAlignment="1">
      <alignment horizontal="right"/>
    </xf>
    <xf numFmtId="173" fontId="17" fillId="0" borderId="24" xfId="0" applyNumberFormat="1" applyFont="1" applyBorder="1" applyAlignment="1">
      <alignment horizontal="right"/>
    </xf>
    <xf numFmtId="0" fontId="17" fillId="0" borderId="13" xfId="0" applyFont="1" applyBorder="1" applyAlignment="1">
      <alignment horizontal="center"/>
    </xf>
    <xf numFmtId="173" fontId="17" fillId="0" borderId="2" xfId="1" applyNumberFormat="1" applyFont="1" applyBorder="1" applyAlignment="1">
      <alignment horizontal="right"/>
    </xf>
    <xf numFmtId="173" fontId="17" fillId="0" borderId="14" xfId="1" applyNumberFormat="1" applyFont="1" applyBorder="1" applyAlignment="1">
      <alignment horizontal="right"/>
    </xf>
    <xf numFmtId="0" fontId="17" fillId="0" borderId="16" xfId="0" applyFont="1" applyFill="1" applyBorder="1" applyAlignment="1">
      <alignment horizontal="center" vertical="center"/>
    </xf>
    <xf numFmtId="49" fontId="17" fillId="0" borderId="20" xfId="0" applyNumberFormat="1"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55" xfId="0" applyFont="1" applyFill="1" applyBorder="1" applyAlignment="1">
      <alignment horizontal="center" vertical="center" wrapText="1"/>
    </xf>
    <xf numFmtId="0" fontId="17" fillId="0" borderId="41" xfId="0" applyFont="1" applyFill="1" applyBorder="1" applyAlignment="1">
      <alignment horizontal="center" vertical="center" wrapText="1"/>
    </xf>
    <xf numFmtId="164" fontId="15" fillId="0" borderId="23" xfId="1" applyNumberFormat="1" applyFont="1" applyBorder="1"/>
    <xf numFmtId="0" fontId="17" fillId="0" borderId="8" xfId="0" applyFont="1" applyFill="1" applyBorder="1" applyAlignment="1">
      <alignment vertical="center"/>
    </xf>
    <xf numFmtId="0" fontId="17" fillId="0" borderId="41" xfId="0" applyFont="1" applyFill="1" applyBorder="1" applyAlignment="1"/>
    <xf numFmtId="49" fontId="17" fillId="0" borderId="41" xfId="0" applyNumberFormat="1" applyFont="1" applyFill="1" applyBorder="1" applyAlignment="1">
      <alignment vertical="center" wrapText="1"/>
    </xf>
    <xf numFmtId="173" fontId="17" fillId="0" borderId="53" xfId="0" applyNumberFormat="1" applyFont="1" applyBorder="1" applyAlignment="1">
      <alignment horizontal="center"/>
    </xf>
    <xf numFmtId="0" fontId="15" fillId="0" borderId="53" xfId="0" quotePrefix="1" applyNumberFormat="1" applyFont="1" applyBorder="1" applyAlignment="1">
      <alignment horizontal="center"/>
    </xf>
    <xf numFmtId="49" fontId="17" fillId="0" borderId="20" xfId="0" applyNumberFormat="1" applyFont="1" applyFill="1" applyBorder="1" applyAlignment="1">
      <alignment vertical="center" wrapText="1"/>
    </xf>
    <xf numFmtId="0" fontId="17" fillId="0" borderId="52" xfId="0" applyFont="1" applyFill="1" applyBorder="1" applyAlignment="1">
      <alignment vertical="center"/>
    </xf>
    <xf numFmtId="0" fontId="17" fillId="0" borderId="54" xfId="0" applyFont="1" applyFill="1" applyBorder="1" applyAlignment="1">
      <alignment vertical="center"/>
    </xf>
    <xf numFmtId="0" fontId="17" fillId="0" borderId="73" xfId="0"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49" fontId="17" fillId="0" borderId="6" xfId="0" applyNumberFormat="1" applyFont="1" applyFill="1" applyBorder="1" applyAlignment="1">
      <alignment vertical="center" wrapText="1"/>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6" fillId="3" borderId="7" xfId="0" applyFont="1" applyFill="1" applyBorder="1"/>
    <xf numFmtId="0" fontId="16" fillId="3" borderId="18" xfId="0" applyFont="1" applyFill="1" applyBorder="1" applyAlignment="1">
      <alignment horizontal="left"/>
    </xf>
    <xf numFmtId="0" fontId="24" fillId="0" borderId="0" xfId="0" applyFont="1"/>
    <xf numFmtId="173" fontId="15" fillId="0" borderId="8" xfId="1" applyNumberFormat="1" applyFont="1" applyBorder="1"/>
    <xf numFmtId="173" fontId="17" fillId="0" borderId="5" xfId="0" applyNumberFormat="1" applyFont="1" applyFill="1" applyBorder="1"/>
    <xf numFmtId="164" fontId="20" fillId="0" borderId="0" xfId="1" applyNumberFormat="1" applyFont="1" applyFill="1" applyBorder="1" applyAlignment="1">
      <alignment horizontal="right"/>
    </xf>
    <xf numFmtId="0" fontId="16" fillId="3" borderId="6" xfId="0" applyFont="1" applyFill="1" applyBorder="1" applyAlignment="1">
      <alignment horizontal="left"/>
    </xf>
    <xf numFmtId="0" fontId="16" fillId="3" borderId="7" xfId="0" applyFont="1" applyFill="1" applyBorder="1" applyAlignment="1">
      <alignment horizontal="left"/>
    </xf>
    <xf numFmtId="16" fontId="5" fillId="0" borderId="1" xfId="0" quotePrefix="1" applyNumberFormat="1" applyFont="1" applyBorder="1" applyAlignment="1">
      <alignment horizontal="center"/>
    </xf>
    <xf numFmtId="0" fontId="5" fillId="0" borderId="1" xfId="0" quotePrefix="1" applyFont="1" applyBorder="1" applyAlignment="1">
      <alignment horizontal="center"/>
    </xf>
    <xf numFmtId="0" fontId="16" fillId="4" borderId="60" xfId="0" applyFont="1" applyFill="1" applyBorder="1" applyAlignment="1">
      <alignment horizontal="left"/>
    </xf>
    <xf numFmtId="0" fontId="8" fillId="4" borderId="74" xfId="0" applyFont="1" applyFill="1" applyBorder="1"/>
    <xf numFmtId="0" fontId="15" fillId="0" borderId="0" xfId="0" applyFont="1" applyBorder="1" applyAlignment="1" applyProtection="1">
      <alignment horizontal="center"/>
      <protection locked="0"/>
    </xf>
    <xf numFmtId="0" fontId="20" fillId="0" borderId="0" xfId="0" applyFont="1" applyFill="1" applyBorder="1" applyProtection="1">
      <protection locked="0"/>
    </xf>
    <xf numFmtId="168" fontId="17" fillId="0" borderId="0" xfId="0" applyNumberFormat="1" applyFont="1" applyFill="1" applyBorder="1" applyProtection="1">
      <protection locked="0"/>
    </xf>
    <xf numFmtId="0" fontId="17" fillId="0" borderId="0" xfId="0" applyFont="1" applyBorder="1" applyProtection="1">
      <protection locked="0"/>
    </xf>
    <xf numFmtId="168" fontId="17" fillId="0" borderId="0" xfId="0" applyNumberFormat="1" applyFont="1" applyBorder="1" applyProtection="1">
      <protection locked="0"/>
    </xf>
    <xf numFmtId="0" fontId="20" fillId="0" borderId="0" xfId="0" applyFont="1" applyBorder="1" applyAlignment="1" applyProtection="1">
      <alignment horizontal="center"/>
      <protection locked="0"/>
    </xf>
    <xf numFmtId="0" fontId="20" fillId="0" borderId="0" xfId="0" applyFont="1" applyBorder="1" applyAlignment="1" applyProtection="1">
      <alignment horizontal="right"/>
      <protection locked="0"/>
    </xf>
    <xf numFmtId="164" fontId="15" fillId="0" borderId="0" xfId="1" applyNumberFormat="1" applyFont="1" applyProtection="1">
      <protection locked="0"/>
    </xf>
    <xf numFmtId="0" fontId="15" fillId="0" borderId="13" xfId="0" applyNumberFormat="1" applyFont="1" applyBorder="1" applyAlignment="1" applyProtection="1">
      <alignment horizontal="center"/>
      <protection locked="0"/>
    </xf>
    <xf numFmtId="0" fontId="15" fillId="0" borderId="30" xfId="0" applyNumberFormat="1" applyFont="1" applyBorder="1" applyAlignment="1" applyProtection="1">
      <alignment horizontal="center"/>
      <protection locked="0"/>
    </xf>
    <xf numFmtId="0" fontId="15" fillId="0" borderId="0" xfId="0" applyFont="1" applyAlignment="1" applyProtection="1">
      <alignment horizontal="center"/>
      <protection locked="0"/>
    </xf>
    <xf numFmtId="173" fontId="15" fillId="5" borderId="13" xfId="0" applyNumberFormat="1" applyFont="1" applyFill="1" applyBorder="1" applyAlignment="1" applyProtection="1">
      <alignment horizontal="right"/>
      <protection locked="0"/>
    </xf>
    <xf numFmtId="173" fontId="15" fillId="5" borderId="14" xfId="0" applyNumberFormat="1" applyFont="1" applyFill="1" applyBorder="1" applyAlignment="1" applyProtection="1">
      <alignment horizontal="right"/>
      <protection locked="0"/>
    </xf>
    <xf numFmtId="173" fontId="15" fillId="5" borderId="2" xfId="0" applyNumberFormat="1" applyFont="1" applyFill="1" applyBorder="1" applyAlignment="1" applyProtection="1">
      <alignment horizontal="right"/>
      <protection locked="0"/>
    </xf>
    <xf numFmtId="173" fontId="15" fillId="5" borderId="0" xfId="0" applyNumberFormat="1" applyFont="1" applyFill="1" applyBorder="1" applyAlignment="1" applyProtection="1">
      <alignment horizontal="right"/>
      <protection locked="0"/>
    </xf>
    <xf numFmtId="173" fontId="15" fillId="5" borderId="13" xfId="0" applyNumberFormat="1" applyFont="1" applyFill="1" applyBorder="1" applyProtection="1">
      <protection locked="0"/>
    </xf>
    <xf numFmtId="173" fontId="15" fillId="5" borderId="14" xfId="0" applyNumberFormat="1" applyFont="1" applyFill="1" applyBorder="1" applyProtection="1">
      <protection locked="0"/>
    </xf>
    <xf numFmtId="173" fontId="15" fillId="5" borderId="2" xfId="0" applyNumberFormat="1" applyFont="1" applyFill="1" applyBorder="1" applyProtection="1">
      <protection locked="0"/>
    </xf>
    <xf numFmtId="173" fontId="15" fillId="5" borderId="0" xfId="0" applyNumberFormat="1" applyFont="1" applyFill="1" applyBorder="1" applyProtection="1">
      <protection locked="0"/>
    </xf>
    <xf numFmtId="173" fontId="15" fillId="5" borderId="24" xfId="0" applyNumberFormat="1" applyFont="1" applyFill="1" applyBorder="1" applyProtection="1">
      <protection locked="0"/>
    </xf>
    <xf numFmtId="0" fontId="17" fillId="0" borderId="13" xfId="0" applyNumberFormat="1" applyFont="1" applyBorder="1" applyAlignment="1" applyProtection="1">
      <alignment horizontal="center"/>
      <protection locked="0"/>
    </xf>
    <xf numFmtId="168" fontId="18" fillId="0" borderId="0" xfId="0" applyNumberFormat="1" applyFont="1" applyBorder="1" applyProtection="1">
      <protection locked="0"/>
    </xf>
    <xf numFmtId="0" fontId="20" fillId="0" borderId="0" xfId="0" applyNumberFormat="1" applyFont="1" applyBorder="1" applyProtection="1">
      <protection locked="0"/>
    </xf>
    <xf numFmtId="0" fontId="15" fillId="0" borderId="0" xfId="0" applyFont="1" applyBorder="1" applyAlignment="1" applyProtection="1">
      <protection locked="0"/>
    </xf>
    <xf numFmtId="0" fontId="15" fillId="0" borderId="0" xfId="0" applyFont="1" applyBorder="1" applyProtection="1">
      <protection locked="0"/>
    </xf>
    <xf numFmtId="0" fontId="15" fillId="0" borderId="0" xfId="0" applyFont="1" applyFill="1" applyBorder="1" applyProtection="1">
      <protection locked="0"/>
    </xf>
    <xf numFmtId="173" fontId="15" fillId="0" borderId="13" xfId="0" applyNumberFormat="1" applyFont="1" applyFill="1" applyBorder="1" applyProtection="1"/>
    <xf numFmtId="173" fontId="15" fillId="0" borderId="14" xfId="0" applyNumberFormat="1" applyFont="1" applyFill="1" applyBorder="1" applyProtection="1"/>
    <xf numFmtId="173" fontId="15" fillId="0" borderId="2" xfId="0" applyNumberFormat="1" applyFont="1" applyFill="1" applyBorder="1" applyProtection="1"/>
    <xf numFmtId="173" fontId="15" fillId="0" borderId="0" xfId="0" applyNumberFormat="1" applyFont="1" applyFill="1" applyBorder="1" applyProtection="1"/>
    <xf numFmtId="173" fontId="15" fillId="0" borderId="24" xfId="0" applyNumberFormat="1" applyFont="1" applyFill="1" applyBorder="1" applyProtection="1"/>
    <xf numFmtId="0" fontId="22" fillId="0" borderId="0" xfId="0" applyFont="1" applyBorder="1" applyProtection="1">
      <protection locked="0"/>
    </xf>
    <xf numFmtId="173" fontId="15" fillId="0" borderId="1" xfId="0" applyNumberFormat="1" applyFont="1" applyFill="1" applyBorder="1"/>
    <xf numFmtId="173" fontId="15" fillId="0" borderId="13" xfId="0" applyNumberFormat="1" applyFont="1" applyFill="1" applyBorder="1" applyAlignment="1" applyProtection="1"/>
    <xf numFmtId="173" fontId="15" fillId="0" borderId="14" xfId="0" applyNumberFormat="1" applyFont="1" applyFill="1" applyBorder="1" applyAlignment="1" applyProtection="1"/>
    <xf numFmtId="173" fontId="15" fillId="0" borderId="2" xfId="0" applyNumberFormat="1" applyFont="1" applyFill="1" applyBorder="1" applyAlignment="1" applyProtection="1"/>
    <xf numFmtId="173" fontId="15" fillId="0" borderId="0" xfId="0" applyNumberFormat="1" applyFont="1" applyFill="1" applyBorder="1" applyAlignment="1" applyProtection="1"/>
    <xf numFmtId="173" fontId="15" fillId="0" borderId="24" xfId="0" applyNumberFormat="1" applyFont="1" applyFill="1" applyBorder="1" applyAlignment="1" applyProtection="1"/>
    <xf numFmtId="0" fontId="15" fillId="0" borderId="0" xfId="0" applyNumberFormat="1" applyFont="1" applyBorder="1" applyAlignment="1" applyProtection="1">
      <alignment horizontal="center"/>
      <protection locked="0"/>
    </xf>
    <xf numFmtId="10" fontId="15" fillId="0" borderId="0" xfId="0" applyNumberFormat="1" applyFont="1" applyProtection="1">
      <protection locked="0"/>
    </xf>
    <xf numFmtId="0" fontId="20" fillId="0" borderId="0" xfId="4" applyFont="1" applyAlignment="1" applyProtection="1">
      <alignment horizontal="center"/>
      <protection locked="0"/>
    </xf>
    <xf numFmtId="0" fontId="20" fillId="0" borderId="0" xfId="0" applyFont="1" applyProtection="1">
      <protection locked="0"/>
    </xf>
    <xf numFmtId="168" fontId="15" fillId="0" borderId="0" xfId="0" applyNumberFormat="1" applyFont="1" applyBorder="1" applyProtection="1">
      <protection locked="0"/>
    </xf>
    <xf numFmtId="43" fontId="15" fillId="0" borderId="0" xfId="1" applyFont="1" applyBorder="1" applyProtection="1">
      <protection locked="0"/>
    </xf>
    <xf numFmtId="0" fontId="20" fillId="0" borderId="0" xfId="0" applyFont="1" applyAlignment="1" applyProtection="1">
      <alignment horizontal="center"/>
      <protection locked="0"/>
    </xf>
    <xf numFmtId="0" fontId="20" fillId="0" borderId="0" xfId="0" applyNumberFormat="1" applyFont="1" applyProtection="1">
      <protection locked="0"/>
    </xf>
    <xf numFmtId="168" fontId="15" fillId="0" borderId="0" xfId="0" applyNumberFormat="1" applyFont="1" applyFill="1" applyProtection="1">
      <protection locked="0"/>
    </xf>
    <xf numFmtId="0" fontId="22" fillId="0" borderId="0" xfId="0" applyFont="1" applyBorder="1" applyAlignment="1" applyProtection="1">
      <alignment vertical="center" wrapText="1"/>
      <protection locked="0"/>
    </xf>
    <xf numFmtId="0" fontId="22" fillId="0" borderId="0" xfId="0" applyFont="1" applyFill="1" applyBorder="1" applyAlignment="1" applyProtection="1">
      <alignment horizontal="center" vertical="center" wrapText="1"/>
      <protection locked="0"/>
    </xf>
    <xf numFmtId="0" fontId="15" fillId="0" borderId="0" xfId="0" applyFont="1" applyFill="1" applyProtection="1">
      <protection locked="0"/>
    </xf>
    <xf numFmtId="0" fontId="22" fillId="0" borderId="0" xfId="0" applyFont="1" applyFill="1" applyBorder="1" applyAlignment="1" applyProtection="1">
      <alignment vertical="center" wrapText="1"/>
      <protection locked="0"/>
    </xf>
    <xf numFmtId="0" fontId="20" fillId="0" borderId="0" xfId="0" applyFont="1" applyBorder="1" applyAlignment="1" applyProtection="1">
      <alignment horizontal="left" vertical="top"/>
      <protection locked="0"/>
    </xf>
    <xf numFmtId="0" fontId="17" fillId="0" borderId="13" xfId="0" applyNumberFormat="1" applyFont="1" applyFill="1" applyBorder="1" applyAlignment="1" applyProtection="1">
      <alignment horizontal="center"/>
      <protection locked="0"/>
    </xf>
    <xf numFmtId="174" fontId="17" fillId="0" borderId="13" xfId="1" applyNumberFormat="1" applyFont="1" applyFill="1" applyBorder="1" applyAlignment="1" applyProtection="1">
      <alignment horizontal="center"/>
      <protection locked="0"/>
    </xf>
    <xf numFmtId="173" fontId="17" fillId="0" borderId="13" xfId="0" applyNumberFormat="1" applyFont="1" applyBorder="1" applyAlignment="1" applyProtection="1">
      <alignment horizontal="center"/>
      <protection locked="0"/>
    </xf>
    <xf numFmtId="173" fontId="17" fillId="0" borderId="0" xfId="0" applyNumberFormat="1" applyFont="1" applyBorder="1" applyAlignment="1" applyProtection="1">
      <alignment horizontal="center"/>
      <protection locked="0"/>
    </xf>
    <xf numFmtId="173" fontId="17" fillId="0" borderId="2" xfId="0" applyNumberFormat="1" applyFont="1" applyBorder="1" applyAlignment="1" applyProtection="1">
      <alignment horizontal="center"/>
      <protection locked="0"/>
    </xf>
    <xf numFmtId="173" fontId="17" fillId="0" borderId="14" xfId="0" applyNumberFormat="1" applyFont="1" applyBorder="1" applyAlignment="1" applyProtection="1">
      <alignment horizontal="center"/>
      <protection locked="0"/>
    </xf>
    <xf numFmtId="173" fontId="17" fillId="0" borderId="16" xfId="0" applyNumberFormat="1" applyFont="1" applyBorder="1" applyAlignment="1" applyProtection="1">
      <alignment horizontal="center"/>
    </xf>
    <xf numFmtId="0" fontId="17" fillId="0" borderId="45" xfId="0" applyNumberFormat="1" applyFont="1" applyBorder="1"/>
    <xf numFmtId="0" fontId="15" fillId="0" borderId="48" xfId="0" applyNumberFormat="1" applyFont="1" applyBorder="1" applyAlignment="1">
      <alignment horizontal="center"/>
    </xf>
    <xf numFmtId="173" fontId="17" fillId="0" borderId="48" xfId="0" applyNumberFormat="1" applyFont="1" applyBorder="1" applyAlignment="1"/>
    <xf numFmtId="173" fontId="17" fillId="0" borderId="49" xfId="0" applyNumberFormat="1" applyFont="1" applyBorder="1" applyAlignment="1"/>
    <xf numFmtId="173" fontId="17" fillId="0" borderId="45" xfId="0" applyNumberFormat="1" applyFont="1" applyBorder="1" applyAlignment="1"/>
    <xf numFmtId="173" fontId="17" fillId="0" borderId="50" xfId="0" applyNumberFormat="1" applyFont="1" applyBorder="1" applyAlignment="1"/>
    <xf numFmtId="173" fontId="17" fillId="0" borderId="47" xfId="0" applyNumberFormat="1" applyFont="1" applyBorder="1" applyAlignment="1"/>
    <xf numFmtId="173" fontId="17" fillId="0" borderId="40" xfId="0" applyNumberFormat="1" applyFont="1" applyFill="1" applyBorder="1"/>
    <xf numFmtId="173" fontId="17" fillId="0" borderId="15" xfId="0" applyNumberFormat="1" applyFont="1" applyFill="1" applyBorder="1"/>
    <xf numFmtId="173" fontId="17" fillId="0" borderId="3" xfId="0" applyNumberFormat="1" applyFont="1" applyFill="1" applyBorder="1"/>
    <xf numFmtId="173" fontId="15" fillId="0" borderId="21" xfId="0" applyNumberFormat="1" applyFont="1" applyFill="1" applyBorder="1" applyProtection="1"/>
    <xf numFmtId="173" fontId="15" fillId="0" borderId="28" xfId="0" applyNumberFormat="1" applyFont="1" applyFill="1" applyBorder="1" applyProtection="1"/>
    <xf numFmtId="0" fontId="15" fillId="0" borderId="45" xfId="0" applyNumberFormat="1" applyFont="1" applyBorder="1" applyAlignment="1">
      <alignment horizontal="left" vertical="top" wrapText="1" indent="1"/>
    </xf>
    <xf numFmtId="0" fontId="15" fillId="0" borderId="45" xfId="0" applyNumberFormat="1" applyFont="1" applyFill="1" applyBorder="1" applyAlignment="1" applyProtection="1">
      <alignment horizontal="left" vertical="top" wrapText="1" indent="1"/>
    </xf>
    <xf numFmtId="164" fontId="15" fillId="0" borderId="75" xfId="1" applyNumberFormat="1" applyFont="1" applyFill="1" applyBorder="1" applyAlignment="1" applyProtection="1">
      <alignment horizontal="left" vertical="top" wrapText="1"/>
    </xf>
    <xf numFmtId="2" fontId="15" fillId="0" borderId="45" xfId="1" applyNumberFormat="1" applyFont="1" applyFill="1" applyBorder="1" applyAlignment="1" applyProtection="1">
      <alignment horizontal="center" vertical="top" wrapText="1"/>
    </xf>
    <xf numFmtId="2" fontId="15" fillId="0" borderId="48" xfId="1" applyNumberFormat="1" applyFont="1" applyFill="1" applyBorder="1" applyAlignment="1" applyProtection="1">
      <alignment horizontal="center" vertical="top" wrapText="1"/>
    </xf>
    <xf numFmtId="2" fontId="15" fillId="0" borderId="46" xfId="1" applyNumberFormat="1" applyFont="1" applyFill="1" applyBorder="1" applyAlignment="1" applyProtection="1">
      <alignment horizontal="center" vertical="top" wrapText="1"/>
    </xf>
    <xf numFmtId="2" fontId="15" fillId="0" borderId="76" xfId="1" applyNumberFormat="1" applyFont="1" applyFill="1" applyBorder="1" applyAlignment="1" applyProtection="1">
      <alignment horizontal="center" vertical="top" wrapText="1"/>
    </xf>
    <xf numFmtId="2" fontId="15" fillId="0" borderId="50" xfId="1" applyNumberFormat="1" applyFont="1" applyFill="1" applyBorder="1" applyAlignment="1" applyProtection="1">
      <alignment horizontal="center" vertical="top" wrapText="1"/>
    </xf>
    <xf numFmtId="2" fontId="15" fillId="0" borderId="49" xfId="1" applyNumberFormat="1" applyFont="1" applyFill="1" applyBorder="1" applyAlignment="1" applyProtection="1">
      <alignment horizontal="center" vertical="top" wrapText="1"/>
    </xf>
    <xf numFmtId="0" fontId="12" fillId="0" borderId="5" xfId="0" applyFont="1" applyFill="1" applyBorder="1" applyAlignment="1" applyProtection="1">
      <alignment horizontal="left"/>
    </xf>
    <xf numFmtId="0" fontId="10" fillId="0" borderId="0" xfId="0" applyFont="1" applyProtection="1"/>
    <xf numFmtId="0" fontId="17" fillId="0" borderId="12"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9" fillId="0" borderId="2" xfId="0" applyNumberFormat="1" applyFont="1" applyBorder="1" applyProtection="1"/>
    <xf numFmtId="0" fontId="15" fillId="0" borderId="13" xfId="0" applyNumberFormat="1" applyFont="1" applyFill="1" applyBorder="1" applyAlignment="1" applyProtection="1">
      <alignment horizontal="center"/>
    </xf>
    <xf numFmtId="173" fontId="17" fillId="0" borderId="13" xfId="0" applyNumberFormat="1" applyFont="1" applyFill="1" applyBorder="1" applyProtection="1"/>
    <xf numFmtId="173" fontId="17" fillId="0" borderId="14" xfId="0" applyNumberFormat="1" applyFont="1" applyFill="1" applyBorder="1" applyProtection="1"/>
    <xf numFmtId="173" fontId="17" fillId="0" borderId="2" xfId="0" applyNumberFormat="1" applyFont="1" applyFill="1" applyBorder="1" applyProtection="1"/>
    <xf numFmtId="173" fontId="17" fillId="0" borderId="0" xfId="0" applyNumberFormat="1" applyFont="1" applyFill="1" applyBorder="1" applyProtection="1"/>
    <xf numFmtId="173" fontId="17" fillId="0" borderId="24" xfId="0" applyNumberFormat="1" applyFont="1" applyFill="1" applyBorder="1" applyProtection="1"/>
    <xf numFmtId="0" fontId="23" fillId="0" borderId="2" xfId="0" applyNumberFormat="1" applyFont="1" applyBorder="1" applyAlignment="1" applyProtection="1">
      <alignment horizontal="left"/>
    </xf>
    <xf numFmtId="0" fontId="15" fillId="0" borderId="2" xfId="0" applyNumberFormat="1" applyFont="1" applyBorder="1" applyAlignment="1" applyProtection="1">
      <alignment horizontal="left" indent="1"/>
    </xf>
    <xf numFmtId="0" fontId="17" fillId="0" borderId="2" xfId="0" applyNumberFormat="1" applyFont="1" applyBorder="1" applyAlignment="1" applyProtection="1">
      <alignment horizontal="left"/>
    </xf>
    <xf numFmtId="173" fontId="17" fillId="0" borderId="21" xfId="0" applyNumberFormat="1" applyFont="1" applyFill="1" applyBorder="1" applyProtection="1"/>
    <xf numFmtId="173" fontId="17" fillId="0" borderId="28" xfId="0" applyNumberFormat="1" applyFont="1" applyFill="1" applyBorder="1" applyProtection="1"/>
    <xf numFmtId="0" fontId="15" fillId="0" borderId="45" xfId="0" applyNumberFormat="1" applyFont="1" applyBorder="1" applyProtection="1"/>
    <xf numFmtId="0" fontId="15" fillId="0" borderId="48" xfId="0" applyNumberFormat="1" applyFont="1" applyFill="1" applyBorder="1" applyAlignment="1" applyProtection="1">
      <alignment horizontal="center"/>
    </xf>
    <xf numFmtId="173" fontId="15" fillId="0" borderId="48" xfId="0" applyNumberFormat="1" applyFont="1" applyFill="1" applyBorder="1" applyProtection="1"/>
    <xf numFmtId="173" fontId="15" fillId="0" borderId="49" xfId="0" applyNumberFormat="1" applyFont="1" applyFill="1" applyBorder="1" applyProtection="1"/>
    <xf numFmtId="173" fontId="15" fillId="0" borderId="45" xfId="0" applyNumberFormat="1" applyFont="1" applyFill="1" applyBorder="1" applyProtection="1"/>
    <xf numFmtId="173" fontId="15" fillId="0" borderId="50" xfId="0" applyNumberFormat="1" applyFont="1" applyFill="1" applyBorder="1" applyProtection="1"/>
    <xf numFmtId="173" fontId="15" fillId="0" borderId="47" xfId="0" applyNumberFormat="1" applyFont="1" applyFill="1" applyBorder="1" applyProtection="1"/>
    <xf numFmtId="173" fontId="15" fillId="0" borderId="58" xfId="0" applyNumberFormat="1" applyFont="1" applyFill="1" applyBorder="1" applyProtection="1"/>
    <xf numFmtId="0" fontId="15" fillId="0" borderId="2" xfId="0" applyNumberFormat="1" applyFont="1" applyBorder="1" applyProtection="1"/>
    <xf numFmtId="173" fontId="15" fillId="0" borderId="53" xfId="0" applyNumberFormat="1" applyFont="1" applyFill="1" applyBorder="1" applyProtection="1"/>
    <xf numFmtId="0" fontId="15" fillId="0" borderId="8" xfId="0" applyNumberFormat="1" applyFont="1" applyFill="1" applyBorder="1" applyAlignment="1" applyProtection="1">
      <alignment horizontal="center"/>
    </xf>
    <xf numFmtId="173" fontId="17" fillId="0" borderId="30" xfId="0" applyNumberFormat="1" applyFont="1" applyFill="1" applyBorder="1" applyProtection="1"/>
    <xf numFmtId="173" fontId="17" fillId="0" borderId="32" xfId="0" applyNumberFormat="1" applyFont="1" applyFill="1" applyBorder="1" applyProtection="1"/>
    <xf numFmtId="173" fontId="17" fillId="0" borderId="29" xfId="0" applyNumberFormat="1" applyFont="1" applyFill="1" applyBorder="1" applyProtection="1"/>
    <xf numFmtId="173" fontId="17" fillId="0" borderId="31" xfId="0" applyNumberFormat="1" applyFont="1" applyFill="1" applyBorder="1" applyProtection="1"/>
    <xf numFmtId="173" fontId="17" fillId="0" borderId="33" xfId="0" applyNumberFormat="1" applyFont="1" applyFill="1" applyBorder="1" applyProtection="1"/>
    <xf numFmtId="0" fontId="21" fillId="0" borderId="0" xfId="0" applyFont="1" applyProtection="1"/>
    <xf numFmtId="0" fontId="20" fillId="0" borderId="0" xfId="0" applyFont="1" applyFill="1" applyBorder="1" applyProtection="1"/>
    <xf numFmtId="0" fontId="15" fillId="0" borderId="0" xfId="0" applyFont="1" applyFill="1" applyBorder="1" applyProtection="1"/>
    <xf numFmtId="0" fontId="17" fillId="0" borderId="4" xfId="0" applyFont="1" applyFill="1" applyBorder="1" applyAlignment="1">
      <alignment horizontal="left" vertical="center"/>
    </xf>
    <xf numFmtId="0" fontId="17" fillId="0" borderId="1" xfId="0" applyNumberFormat="1" applyFont="1" applyBorder="1" applyAlignment="1">
      <alignment wrapText="1"/>
    </xf>
    <xf numFmtId="0" fontId="15" fillId="0" borderId="1" xfId="0" applyNumberFormat="1" applyFont="1" applyBorder="1" applyAlignment="1">
      <alignment horizontal="left" wrapText="1" indent="1"/>
    </xf>
    <xf numFmtId="0" fontId="15" fillId="0" borderId="1" xfId="0" applyNumberFormat="1" applyFont="1" applyBorder="1"/>
    <xf numFmtId="0" fontId="19" fillId="0" borderId="6" xfId="0" applyFont="1" applyBorder="1"/>
    <xf numFmtId="0" fontId="15" fillId="0" borderId="1" xfId="0" applyFont="1" applyBorder="1" applyAlignment="1">
      <alignment horizontal="left" indent="1"/>
    </xf>
    <xf numFmtId="0" fontId="15" fillId="0" borderId="4" xfId="0" applyFont="1" applyFill="1" applyBorder="1"/>
    <xf numFmtId="0" fontId="8" fillId="6" borderId="0" xfId="0" applyFont="1" applyFill="1"/>
    <xf numFmtId="0" fontId="17" fillId="0" borderId="2" xfId="0" applyFont="1" applyFill="1" applyBorder="1" applyAlignment="1" applyProtection="1">
      <alignment horizontal="left" indent="1"/>
    </xf>
    <xf numFmtId="0" fontId="15" fillId="0" borderId="2" xfId="0" applyFont="1" applyFill="1" applyBorder="1" applyAlignment="1" applyProtection="1">
      <alignment horizontal="left" indent="1"/>
    </xf>
    <xf numFmtId="0" fontId="15" fillId="0" borderId="0" xfId="0" applyFont="1" applyAlignment="1">
      <alignment horizontal="left"/>
    </xf>
    <xf numFmtId="43" fontId="15" fillId="0" borderId="0" xfId="1" applyFont="1" applyFill="1" applyBorder="1" applyAlignment="1">
      <alignment horizontal="left"/>
    </xf>
    <xf numFmtId="43" fontId="15" fillId="0" borderId="0" xfId="0" applyNumberFormat="1" applyFont="1" applyAlignment="1">
      <alignment horizontal="left"/>
    </xf>
    <xf numFmtId="0" fontId="15" fillId="0" borderId="2" xfId="0" applyNumberFormat="1" applyFont="1" applyFill="1" applyBorder="1" applyAlignment="1" applyProtection="1">
      <alignment horizontal="left" indent="1"/>
    </xf>
    <xf numFmtId="174" fontId="20" fillId="0" borderId="13" xfId="1" applyNumberFormat="1" applyFont="1" applyFill="1" applyBorder="1" applyProtection="1"/>
    <xf numFmtId="174" fontId="20" fillId="0" borderId="14" xfId="1" applyNumberFormat="1" applyFont="1" applyFill="1" applyBorder="1" applyProtection="1"/>
    <xf numFmtId="174" fontId="20" fillId="0" borderId="2" xfId="1" applyNumberFormat="1" applyFont="1" applyFill="1" applyBorder="1" applyProtection="1"/>
    <xf numFmtId="174" fontId="20" fillId="0" borderId="53" xfId="1" applyNumberFormat="1" applyFont="1" applyFill="1" applyBorder="1" applyProtection="1"/>
    <xf numFmtId="174" fontId="20" fillId="0" borderId="0" xfId="1" applyNumberFormat="1" applyFont="1" applyFill="1" applyBorder="1" applyProtection="1"/>
    <xf numFmtId="0" fontId="5" fillId="0" borderId="0" xfId="0" applyFont="1" applyProtection="1"/>
    <xf numFmtId="168" fontId="17" fillId="0" borderId="13" xfId="0" applyNumberFormat="1" applyFont="1" applyBorder="1"/>
    <xf numFmtId="168" fontId="17" fillId="0" borderId="24" xfId="0" applyNumberFormat="1" applyFont="1" applyBorder="1"/>
    <xf numFmtId="0" fontId="19" fillId="0" borderId="2" xfId="0" applyFont="1" applyFill="1" applyBorder="1" applyAlignment="1">
      <alignment horizontal="left"/>
    </xf>
    <xf numFmtId="178" fontId="17" fillId="0" borderId="77" xfId="7" applyNumberFormat="1" applyFont="1" applyBorder="1" applyAlignment="1">
      <alignment horizontal="center"/>
    </xf>
    <xf numFmtId="0" fontId="17" fillId="0" borderId="2" xfId="0" applyFont="1" applyBorder="1" applyAlignment="1"/>
    <xf numFmtId="0" fontId="19" fillId="0" borderId="2" xfId="0" applyFont="1" applyBorder="1" applyAlignment="1"/>
    <xf numFmtId="0" fontId="15" fillId="0" borderId="13" xfId="0" applyNumberFormat="1" applyFont="1" applyBorder="1" applyAlignment="1" applyProtection="1">
      <alignment horizontal="center"/>
    </xf>
    <xf numFmtId="0" fontId="17" fillId="0" borderId="2" xfId="0" applyNumberFormat="1" applyFont="1" applyBorder="1" applyProtection="1"/>
    <xf numFmtId="0" fontId="22" fillId="0" borderId="13" xfId="0" applyNumberFormat="1" applyFont="1" applyBorder="1" applyAlignment="1" applyProtection="1">
      <alignment horizontal="center"/>
    </xf>
    <xf numFmtId="0" fontId="17" fillId="0" borderId="29" xfId="0" applyNumberFormat="1" applyFont="1" applyBorder="1" applyProtection="1"/>
    <xf numFmtId="0" fontId="15" fillId="0" borderId="30" xfId="0" applyNumberFormat="1" applyFont="1" applyBorder="1" applyAlignment="1" applyProtection="1">
      <alignment horizontal="center"/>
    </xf>
    <xf numFmtId="0" fontId="21" fillId="0" borderId="0" xfId="0" applyFont="1" applyBorder="1" applyAlignment="1" applyProtection="1">
      <alignment horizontal="left"/>
    </xf>
    <xf numFmtId="0" fontId="20" fillId="0" borderId="0" xfId="0" applyFont="1" applyBorder="1" applyAlignment="1" applyProtection="1">
      <alignment horizontal="center"/>
    </xf>
    <xf numFmtId="0" fontId="20" fillId="0" borderId="0" xfId="0" applyFont="1" applyBorder="1" applyProtection="1"/>
    <xf numFmtId="0" fontId="18" fillId="0" borderId="0" xfId="0" applyFont="1" applyBorder="1" applyProtection="1"/>
    <xf numFmtId="168" fontId="18" fillId="0" borderId="0" xfId="0" applyNumberFormat="1" applyFont="1" applyBorder="1" applyProtection="1"/>
    <xf numFmtId="0" fontId="20" fillId="0" borderId="0" xfId="0" quotePrefix="1" applyFont="1" applyBorder="1" applyProtection="1"/>
    <xf numFmtId="0" fontId="17" fillId="0" borderId="20" xfId="0" applyFont="1" applyFill="1" applyBorder="1" applyAlignment="1" applyProtection="1">
      <alignment horizontal="center" vertical="center"/>
    </xf>
    <xf numFmtId="0" fontId="17" fillId="0" borderId="16" xfId="0" applyFont="1" applyFill="1" applyBorder="1" applyAlignment="1" applyProtection="1">
      <alignment vertical="center"/>
    </xf>
    <xf numFmtId="0" fontId="17" fillId="0" borderId="3" xfId="0" applyFont="1" applyFill="1" applyBorder="1" applyAlignment="1" applyProtection="1">
      <alignment horizontal="left" vertical="center"/>
    </xf>
    <xf numFmtId="0" fontId="17" fillId="0" borderId="8" xfId="0" applyFont="1" applyFill="1" applyBorder="1" applyAlignment="1" applyProtection="1">
      <alignment vertical="center"/>
    </xf>
    <xf numFmtId="0" fontId="19" fillId="0" borderId="2" xfId="0" applyFont="1" applyBorder="1" applyProtection="1"/>
    <xf numFmtId="0" fontId="17" fillId="0" borderId="16" xfId="0" applyFont="1" applyBorder="1" applyAlignment="1" applyProtection="1">
      <alignment horizontal="center"/>
    </xf>
    <xf numFmtId="0" fontId="17" fillId="0" borderId="17" xfId="0" applyFont="1" applyBorder="1" applyAlignment="1" applyProtection="1">
      <alignment horizontal="center"/>
    </xf>
    <xf numFmtId="0" fontId="17" fillId="0" borderId="7" xfId="0" applyFont="1" applyBorder="1" applyAlignment="1" applyProtection="1">
      <alignment horizontal="center"/>
    </xf>
    <xf numFmtId="0" fontId="17" fillId="0" borderId="18" xfId="0" applyFont="1" applyBorder="1" applyAlignment="1" applyProtection="1">
      <alignment horizontal="center"/>
    </xf>
    <xf numFmtId="0" fontId="17" fillId="0" borderId="20" xfId="0" applyFont="1" applyBorder="1" applyAlignment="1" applyProtection="1">
      <alignment horizontal="center"/>
    </xf>
    <xf numFmtId="0" fontId="15" fillId="0" borderId="2" xfId="0" applyFont="1" applyBorder="1" applyAlignment="1" applyProtection="1">
      <alignment horizontal="left" indent="1"/>
    </xf>
    <xf numFmtId="173" fontId="15" fillId="0" borderId="13" xfId="0" applyNumberFormat="1" applyFont="1" applyBorder="1" applyAlignment="1" applyProtection="1">
      <alignment horizontal="right"/>
    </xf>
    <xf numFmtId="173" fontId="15" fillId="0" borderId="14" xfId="0" applyNumberFormat="1" applyFont="1" applyBorder="1" applyAlignment="1" applyProtection="1">
      <alignment horizontal="right"/>
    </xf>
    <xf numFmtId="173" fontId="15" fillId="0" borderId="2" xfId="0" applyNumberFormat="1" applyFont="1" applyBorder="1" applyAlignment="1" applyProtection="1">
      <alignment horizontal="right"/>
    </xf>
    <xf numFmtId="173" fontId="15" fillId="0" borderId="0" xfId="0" applyNumberFormat="1" applyFont="1" applyBorder="1" applyAlignment="1" applyProtection="1">
      <alignment horizontal="right"/>
    </xf>
    <xf numFmtId="173" fontId="15" fillId="0" borderId="24" xfId="0" applyNumberFormat="1" applyFont="1" applyBorder="1" applyAlignment="1" applyProtection="1">
      <alignment horizontal="right"/>
    </xf>
    <xf numFmtId="0" fontId="17" fillId="0" borderId="2" xfId="0" applyFont="1" applyBorder="1" applyAlignment="1" applyProtection="1">
      <alignment horizontal="left"/>
    </xf>
    <xf numFmtId="173" fontId="17" fillId="0" borderId="21" xfId="0" applyNumberFormat="1" applyFont="1" applyBorder="1" applyAlignment="1" applyProtection="1">
      <alignment horizontal="right"/>
    </xf>
    <xf numFmtId="173" fontId="17" fillId="0" borderId="26" xfId="0" applyNumberFormat="1" applyFont="1" applyBorder="1" applyAlignment="1" applyProtection="1">
      <alignment horizontal="right"/>
    </xf>
    <xf numFmtId="173" fontId="17" fillId="0" borderId="27" xfId="0" applyNumberFormat="1" applyFont="1" applyBorder="1" applyAlignment="1" applyProtection="1">
      <alignment horizontal="right"/>
    </xf>
    <xf numFmtId="173" fontId="17" fillId="0" borderId="25" xfId="0" applyNumberFormat="1" applyFont="1" applyBorder="1" applyAlignment="1" applyProtection="1">
      <alignment horizontal="right"/>
    </xf>
    <xf numFmtId="173" fontId="17" fillId="0" borderId="28" xfId="0" applyNumberFormat="1" applyFont="1" applyBorder="1" applyAlignment="1" applyProtection="1">
      <alignment horizontal="right"/>
    </xf>
    <xf numFmtId="0" fontId="15" fillId="0" borderId="2" xfId="0" applyFont="1" applyBorder="1" applyProtection="1"/>
    <xf numFmtId="173" fontId="15" fillId="0" borderId="13" xfId="0" applyNumberFormat="1" applyFont="1" applyBorder="1" applyProtection="1"/>
    <xf numFmtId="173" fontId="15" fillId="0" borderId="14" xfId="0" applyNumberFormat="1" applyFont="1" applyBorder="1" applyProtection="1"/>
    <xf numFmtId="173" fontId="15" fillId="0" borderId="2" xfId="0" applyNumberFormat="1" applyFont="1" applyBorder="1" applyProtection="1"/>
    <xf numFmtId="173" fontId="15" fillId="0" borderId="0" xfId="0" applyNumberFormat="1" applyFont="1" applyBorder="1" applyProtection="1"/>
    <xf numFmtId="173" fontId="15" fillId="0" borderId="24" xfId="0" applyNumberFormat="1" applyFont="1" applyBorder="1" applyProtection="1"/>
    <xf numFmtId="0" fontId="17" fillId="0" borderId="29" xfId="0" applyFont="1" applyBorder="1" applyProtection="1"/>
    <xf numFmtId="173" fontId="17" fillId="0" borderId="32" xfId="0" applyNumberFormat="1" applyFont="1" applyBorder="1" applyProtection="1"/>
    <xf numFmtId="173" fontId="17" fillId="0" borderId="29" xfId="0" applyNumberFormat="1" applyFont="1" applyBorder="1" applyProtection="1"/>
    <xf numFmtId="173" fontId="17" fillId="0" borderId="30" xfId="0" applyNumberFormat="1" applyFont="1" applyBorder="1" applyProtection="1"/>
    <xf numFmtId="173" fontId="17" fillId="0" borderId="31" xfId="0" applyNumberFormat="1" applyFont="1" applyBorder="1" applyProtection="1"/>
    <xf numFmtId="173" fontId="17" fillId="0" borderId="33" xfId="0" applyNumberFormat="1" applyFont="1" applyBorder="1" applyProtection="1"/>
    <xf numFmtId="0" fontId="21" fillId="0" borderId="0" xfId="0" applyFont="1" applyBorder="1" applyProtection="1"/>
    <xf numFmtId="0" fontId="15" fillId="0" borderId="0" xfId="0" applyFont="1" applyBorder="1" applyAlignment="1" applyProtection="1">
      <alignment horizontal="center"/>
    </xf>
    <xf numFmtId="0" fontId="17" fillId="0" borderId="0" xfId="0" applyFont="1" applyFill="1" applyBorder="1" applyProtection="1"/>
    <xf numFmtId="168" fontId="17" fillId="0" borderId="0" xfId="0" applyNumberFormat="1" applyFont="1" applyFill="1" applyBorder="1" applyProtection="1"/>
    <xf numFmtId="0" fontId="17" fillId="0" borderId="0" xfId="0" applyFont="1" applyBorder="1" applyProtection="1"/>
    <xf numFmtId="168" fontId="17" fillId="0" borderId="0" xfId="0" applyNumberFormat="1" applyFont="1" applyBorder="1" applyProtection="1"/>
    <xf numFmtId="0" fontId="20" fillId="0" borderId="0" xfId="0" applyFont="1" applyBorder="1" applyAlignment="1" applyProtection="1">
      <alignment horizontal="left"/>
    </xf>
    <xf numFmtId="0" fontId="20" fillId="0" borderId="0" xfId="0" applyFont="1" applyBorder="1" applyAlignment="1" applyProtection="1">
      <alignment horizontal="right"/>
    </xf>
    <xf numFmtId="164" fontId="15" fillId="0" borderId="0" xfId="1" applyNumberFormat="1" applyFont="1" applyProtection="1"/>
    <xf numFmtId="0" fontId="15" fillId="0" borderId="3" xfId="0" applyFont="1" applyBorder="1" applyProtection="1"/>
    <xf numFmtId="0" fontId="15" fillId="0" borderId="8" xfId="0" applyNumberFormat="1" applyFont="1" applyBorder="1" applyAlignment="1" applyProtection="1">
      <alignment horizontal="center"/>
    </xf>
    <xf numFmtId="173" fontId="15" fillId="0" borderId="8" xfId="0" applyNumberFormat="1" applyFont="1" applyBorder="1" applyProtection="1"/>
    <xf numFmtId="173" fontId="15" fillId="0" borderId="15" xfId="0" applyNumberFormat="1" applyFont="1" applyBorder="1" applyProtection="1"/>
    <xf numFmtId="173" fontId="15" fillId="0" borderId="3" xfId="0" applyNumberFormat="1" applyFont="1" applyBorder="1" applyProtection="1"/>
    <xf numFmtId="173" fontId="15" fillId="0" borderId="5" xfId="0" applyNumberFormat="1" applyFont="1" applyBorder="1" applyProtection="1"/>
    <xf numFmtId="173" fontId="15" fillId="0" borderId="41" xfId="0" applyNumberFormat="1" applyFont="1" applyBorder="1" applyProtection="1"/>
    <xf numFmtId="0" fontId="19" fillId="0" borderId="7" xfId="0" applyFont="1" applyBorder="1" applyProtection="1"/>
    <xf numFmtId="0" fontId="15" fillId="0" borderId="16" xfId="0" applyNumberFormat="1" applyFont="1" applyBorder="1" applyAlignment="1" applyProtection="1">
      <alignment horizontal="center"/>
    </xf>
    <xf numFmtId="173" fontId="15" fillId="0" borderId="16" xfId="0" applyNumberFormat="1" applyFont="1" applyBorder="1" applyProtection="1"/>
    <xf numFmtId="173" fontId="15" fillId="0" borderId="17" xfId="0" applyNumberFormat="1" applyFont="1" applyBorder="1" applyProtection="1"/>
    <xf numFmtId="173" fontId="15" fillId="0" borderId="7" xfId="0" applyNumberFormat="1" applyFont="1" applyBorder="1" applyProtection="1"/>
    <xf numFmtId="173" fontId="15" fillId="0" borderId="18" xfId="0" applyNumberFormat="1" applyFont="1" applyBorder="1" applyProtection="1"/>
    <xf numFmtId="173" fontId="15" fillId="0" borderId="20" xfId="0" applyNumberFormat="1" applyFont="1" applyBorder="1" applyProtection="1"/>
    <xf numFmtId="0" fontId="17" fillId="0" borderId="13" xfId="0" applyNumberFormat="1" applyFont="1" applyBorder="1" applyAlignment="1" applyProtection="1">
      <alignment horizontal="center"/>
    </xf>
    <xf numFmtId="173" fontId="17" fillId="0" borderId="13" xfId="0" applyNumberFormat="1" applyFont="1" applyBorder="1" applyAlignment="1" applyProtection="1">
      <alignment horizontal="right"/>
    </xf>
    <xf numFmtId="173" fontId="17" fillId="0" borderId="14" xfId="0" applyNumberFormat="1" applyFont="1" applyBorder="1" applyAlignment="1" applyProtection="1">
      <alignment horizontal="right"/>
    </xf>
    <xf numFmtId="173" fontId="17" fillId="0" borderId="2" xfId="0" applyNumberFormat="1" applyFont="1" applyBorder="1" applyAlignment="1" applyProtection="1">
      <alignment horizontal="right"/>
    </xf>
    <xf numFmtId="173" fontId="17" fillId="0" borderId="0" xfId="0" applyNumberFormat="1" applyFont="1" applyBorder="1" applyAlignment="1" applyProtection="1">
      <alignment horizontal="right"/>
    </xf>
    <xf numFmtId="173" fontId="17" fillId="0" borderId="24" xfId="0" applyNumberFormat="1" applyFont="1" applyBorder="1" applyAlignment="1" applyProtection="1">
      <alignment horizontal="right"/>
    </xf>
    <xf numFmtId="0" fontId="21" fillId="0" borderId="0" xfId="0" applyNumberFormat="1" applyFont="1" applyBorder="1" applyProtection="1"/>
    <xf numFmtId="0" fontId="20" fillId="0" borderId="0" xfId="0" applyNumberFormat="1" applyFont="1" applyBorder="1" applyProtection="1"/>
    <xf numFmtId="0" fontId="20" fillId="0" borderId="2" xfId="0" applyFont="1" applyBorder="1" applyAlignment="1" applyProtection="1">
      <alignment horizontal="right"/>
    </xf>
    <xf numFmtId="0" fontId="15" fillId="0" borderId="0" xfId="0" applyFont="1" applyBorder="1" applyProtection="1"/>
    <xf numFmtId="168" fontId="15" fillId="0" borderId="0" xfId="0" applyNumberFormat="1" applyFont="1" applyBorder="1" applyProtection="1"/>
    <xf numFmtId="0" fontId="20" fillId="0" borderId="0" xfId="0" quotePrefix="1" applyFont="1" applyBorder="1" applyAlignment="1" applyProtection="1">
      <alignment horizontal="left" wrapText="1"/>
    </xf>
    <xf numFmtId="43" fontId="15" fillId="0" borderId="0" xfId="1" applyFont="1" applyBorder="1" applyProtection="1"/>
    <xf numFmtId="173" fontId="15" fillId="0" borderId="0" xfId="1" applyNumberFormat="1" applyFont="1" applyBorder="1" applyProtection="1"/>
    <xf numFmtId="0" fontId="20" fillId="0" borderId="0" xfId="0" applyFont="1" applyFill="1" applyBorder="1" applyAlignment="1" applyProtection="1">
      <alignment horizontal="right"/>
    </xf>
    <xf numFmtId="0" fontId="18" fillId="0" borderId="2" xfId="0" applyNumberFormat="1" applyFont="1" applyFill="1" applyBorder="1" applyAlignment="1" applyProtection="1">
      <alignment horizontal="left" indent="1"/>
    </xf>
    <xf numFmtId="0" fontId="15" fillId="0" borderId="2" xfId="0" applyNumberFormat="1" applyFont="1" applyFill="1" applyBorder="1" applyAlignment="1" applyProtection="1">
      <alignment horizontal="left" indent="2"/>
    </xf>
    <xf numFmtId="173" fontId="15" fillId="0" borderId="24" xfId="0" applyNumberFormat="1" applyFont="1" applyBorder="1" applyAlignment="1">
      <alignment horizontal="right"/>
    </xf>
    <xf numFmtId="173" fontId="15" fillId="0" borderId="53" xfId="0" applyNumberFormat="1" applyFont="1" applyBorder="1" applyAlignment="1">
      <alignment horizontal="right"/>
    </xf>
    <xf numFmtId="0" fontId="15" fillId="0" borderId="51" xfId="0" applyFont="1" applyBorder="1" applyAlignment="1">
      <alignment horizontal="center"/>
    </xf>
    <xf numFmtId="173" fontId="17" fillId="0" borderId="51" xfId="0" applyNumberFormat="1" applyFont="1" applyBorder="1" applyAlignment="1">
      <alignment horizontal="right"/>
    </xf>
    <xf numFmtId="173" fontId="17" fillId="0" borderId="74" xfId="0" applyNumberFormat="1" applyFont="1" applyBorder="1"/>
    <xf numFmtId="173" fontId="17" fillId="0" borderId="60" xfId="0" applyNumberFormat="1" applyFont="1" applyBorder="1"/>
    <xf numFmtId="173" fontId="17" fillId="0" borderId="51" xfId="0" applyNumberFormat="1" applyFont="1" applyBorder="1"/>
    <xf numFmtId="173" fontId="17" fillId="0" borderId="22" xfId="0" applyNumberFormat="1" applyFont="1" applyBorder="1"/>
    <xf numFmtId="0" fontId="15" fillId="0" borderId="2" xfId="0" applyFont="1" applyFill="1" applyBorder="1" applyAlignment="1">
      <alignment horizontal="left" indent="2"/>
    </xf>
    <xf numFmtId="173" fontId="17" fillId="0" borderId="30" xfId="0" applyNumberFormat="1" applyFont="1" applyBorder="1" applyAlignment="1">
      <alignment vertical="top"/>
    </xf>
    <xf numFmtId="173" fontId="17" fillId="0" borderId="68" xfId="0" applyNumberFormat="1" applyFont="1" applyBorder="1" applyAlignment="1">
      <alignment vertical="top"/>
    </xf>
    <xf numFmtId="0" fontId="17" fillId="0" borderId="0" xfId="0" applyNumberFormat="1" applyFont="1" applyBorder="1" applyAlignment="1">
      <alignment vertical="center" wrapText="1"/>
    </xf>
    <xf numFmtId="0" fontId="15" fillId="0" borderId="0" xfId="0" quotePrefix="1" applyNumberFormat="1" applyFont="1" applyBorder="1" applyAlignment="1">
      <alignment horizontal="center" vertical="center" wrapText="1"/>
    </xf>
    <xf numFmtId="0" fontId="17" fillId="0" borderId="2" xfId="0" applyNumberFormat="1" applyFont="1" applyBorder="1" applyAlignment="1">
      <alignment vertical="center" wrapText="1"/>
    </xf>
    <xf numFmtId="0" fontId="15" fillId="0" borderId="53" xfId="0" quotePrefix="1" applyNumberFormat="1" applyFont="1" applyBorder="1" applyAlignment="1">
      <alignment horizontal="center" vertical="center" wrapText="1"/>
    </xf>
    <xf numFmtId="0" fontId="15" fillId="0" borderId="58" xfId="0" quotePrefix="1" applyNumberFormat="1" applyFont="1" applyBorder="1" applyAlignment="1">
      <alignment horizontal="center" vertical="center" wrapText="1"/>
    </xf>
    <xf numFmtId="0" fontId="17" fillId="0" borderId="24" xfId="0" applyFont="1" applyBorder="1"/>
    <xf numFmtId="0" fontId="20" fillId="0" borderId="2" xfId="0" applyNumberFormat="1" applyFont="1" applyBorder="1" applyAlignment="1">
      <alignment horizontal="left" indent="2"/>
    </xf>
    <xf numFmtId="173" fontId="15" fillId="0" borderId="13" xfId="0" applyNumberFormat="1" applyFont="1" applyFill="1" applyBorder="1" applyProtection="1">
      <protection locked="0"/>
    </xf>
    <xf numFmtId="173" fontId="15" fillId="0" borderId="24" xfId="0" applyNumberFormat="1" applyFont="1" applyFill="1" applyBorder="1" applyProtection="1">
      <protection locked="0"/>
    </xf>
    <xf numFmtId="173" fontId="17" fillId="0" borderId="16" xfId="0" applyNumberFormat="1" applyFont="1" applyBorder="1"/>
    <xf numFmtId="173" fontId="17" fillId="0" borderId="17" xfId="0" applyNumberFormat="1" applyFont="1" applyBorder="1"/>
    <xf numFmtId="173" fontId="17" fillId="0" borderId="7" xfId="0" applyNumberFormat="1" applyFont="1" applyBorder="1"/>
    <xf numFmtId="173" fontId="17" fillId="0" borderId="18" xfId="0" applyNumberFormat="1" applyFont="1" applyBorder="1"/>
    <xf numFmtId="173" fontId="17" fillId="0" borderId="20" xfId="0" applyNumberFormat="1" applyFont="1" applyBorder="1"/>
    <xf numFmtId="0" fontId="19" fillId="0" borderId="2" xfId="0" applyNumberFormat="1" applyFont="1" applyFill="1" applyBorder="1" applyAlignment="1">
      <alignment horizontal="left" indent="1"/>
    </xf>
    <xf numFmtId="174" fontId="17" fillId="0" borderId="78" xfId="1" applyNumberFormat="1" applyFont="1" applyBorder="1"/>
    <xf numFmtId="174" fontId="17" fillId="0" borderId="33" xfId="1" applyNumberFormat="1" applyFont="1" applyBorder="1"/>
    <xf numFmtId="174" fontId="17" fillId="0" borderId="79" xfId="1" applyNumberFormat="1" applyFont="1" applyBorder="1"/>
    <xf numFmtId="178" fontId="15" fillId="0" borderId="16" xfId="7" applyNumberFormat="1" applyFont="1" applyBorder="1" applyAlignment="1">
      <alignment horizontal="center"/>
    </xf>
    <xf numFmtId="178" fontId="15" fillId="0" borderId="52" xfId="7" applyNumberFormat="1" applyFont="1" applyBorder="1" applyAlignment="1">
      <alignment horizontal="center"/>
    </xf>
    <xf numFmtId="178" fontId="15" fillId="0" borderId="2" xfId="7" applyNumberFormat="1" applyFont="1" applyBorder="1" applyAlignment="1">
      <alignment horizontal="center"/>
    </xf>
    <xf numFmtId="178" fontId="15" fillId="0" borderId="13" xfId="7" applyNumberFormat="1" applyFont="1" applyBorder="1" applyAlignment="1">
      <alignment horizontal="center"/>
    </xf>
    <xf numFmtId="178" fontId="15" fillId="0" borderId="53" xfId="7" applyNumberFormat="1" applyFont="1" applyBorder="1" applyAlignment="1">
      <alignment horizontal="center"/>
    </xf>
    <xf numFmtId="178" fontId="15" fillId="0" borderId="0" xfId="7" applyNumberFormat="1" applyFont="1" applyBorder="1" applyAlignment="1">
      <alignment horizontal="center"/>
    </xf>
    <xf numFmtId="178" fontId="15" fillId="0" borderId="14" xfId="7" applyNumberFormat="1" applyFont="1" applyBorder="1" applyAlignment="1">
      <alignment horizontal="center"/>
    </xf>
    <xf numFmtId="0" fontId="15" fillId="0" borderId="3" xfId="0" applyNumberFormat="1" applyFont="1" applyBorder="1" applyAlignment="1">
      <alignment horizontal="left" indent="1"/>
    </xf>
    <xf numFmtId="0" fontId="15" fillId="0" borderId="3" xfId="0" applyFont="1" applyBorder="1" applyAlignment="1">
      <alignment horizontal="left" indent="1"/>
    </xf>
    <xf numFmtId="173" fontId="15" fillId="0" borderId="28" xfId="0" applyNumberFormat="1" applyFont="1" applyFill="1" applyBorder="1"/>
    <xf numFmtId="173" fontId="15" fillId="0" borderId="59" xfId="0" applyNumberFormat="1" applyFont="1" applyFill="1" applyBorder="1"/>
    <xf numFmtId="173" fontId="15" fillId="0" borderId="58" xfId="0" applyNumberFormat="1" applyFont="1" applyFill="1" applyBorder="1"/>
    <xf numFmtId="173" fontId="15" fillId="0" borderId="25" xfId="0" applyNumberFormat="1" applyFont="1" applyFill="1" applyBorder="1"/>
    <xf numFmtId="173" fontId="15" fillId="0" borderId="40" xfId="0" applyNumberFormat="1" applyFont="1" applyFill="1" applyBorder="1"/>
    <xf numFmtId="173" fontId="15" fillId="0" borderId="37" xfId="0" applyNumberFormat="1" applyFont="1" applyFill="1" applyBorder="1"/>
    <xf numFmtId="173" fontId="15" fillId="0" borderId="80" xfId="0" applyNumberFormat="1" applyFont="1" applyFill="1" applyBorder="1"/>
    <xf numFmtId="173" fontId="15" fillId="0" borderId="66" xfId="0" applyNumberFormat="1" applyFont="1" applyFill="1" applyBorder="1"/>
    <xf numFmtId="173" fontId="15" fillId="0" borderId="36" xfId="0" applyNumberFormat="1" applyFont="1" applyFill="1" applyBorder="1"/>
    <xf numFmtId="173" fontId="15" fillId="0" borderId="47" xfId="0" applyNumberFormat="1" applyFont="1" applyFill="1" applyBorder="1"/>
    <xf numFmtId="173" fontId="15" fillId="0" borderId="48" xfId="0" applyNumberFormat="1" applyFont="1" applyFill="1" applyBorder="1"/>
    <xf numFmtId="173" fontId="15" fillId="0" borderId="46" xfId="0" applyNumberFormat="1" applyFont="1" applyFill="1" applyBorder="1"/>
    <xf numFmtId="173" fontId="15" fillId="0" borderId="75" xfId="0" applyNumberFormat="1" applyFont="1" applyFill="1" applyBorder="1"/>
    <xf numFmtId="173" fontId="15" fillId="0" borderId="50" xfId="0" applyNumberFormat="1" applyFont="1" applyFill="1" applyBorder="1"/>
    <xf numFmtId="0" fontId="15" fillId="0" borderId="24" xfId="0" applyNumberFormat="1" applyFont="1" applyFill="1" applyBorder="1" applyAlignment="1" applyProtection="1">
      <alignment horizontal="left" indent="2"/>
    </xf>
    <xf numFmtId="173" fontId="15" fillId="0" borderId="14" xfId="0" applyNumberFormat="1" applyFont="1" applyFill="1" applyBorder="1" applyProtection="1">
      <protection locked="0"/>
    </xf>
    <xf numFmtId="173" fontId="15" fillId="0" borderId="2" xfId="0" applyNumberFormat="1" applyFont="1" applyFill="1" applyBorder="1" applyProtection="1">
      <protection locked="0"/>
    </xf>
    <xf numFmtId="173" fontId="15" fillId="0" borderId="0" xfId="0" applyNumberFormat="1" applyFont="1" applyFill="1" applyBorder="1" applyProtection="1">
      <protection locked="0"/>
    </xf>
    <xf numFmtId="0" fontId="17" fillId="0" borderId="45" xfId="0" applyNumberFormat="1" applyFont="1" applyBorder="1" applyProtection="1"/>
    <xf numFmtId="173" fontId="17" fillId="0" borderId="37" xfId="0" applyNumberFormat="1" applyFont="1" applyFill="1" applyBorder="1" applyProtection="1"/>
    <xf numFmtId="173" fontId="17" fillId="0" borderId="40" xfId="0" applyNumberFormat="1" applyFont="1" applyFill="1" applyBorder="1" applyProtection="1"/>
    <xf numFmtId="173" fontId="15" fillId="0" borderId="40" xfId="0" applyNumberFormat="1" applyFont="1" applyFill="1" applyBorder="1" applyAlignment="1">
      <alignment vertical="top"/>
    </xf>
    <xf numFmtId="173" fontId="15" fillId="0" borderId="37" xfId="0" applyNumberFormat="1" applyFont="1" applyFill="1" applyBorder="1" applyAlignment="1">
      <alignment vertical="top"/>
    </xf>
    <xf numFmtId="173" fontId="15" fillId="0" borderId="80" xfId="0" applyNumberFormat="1" applyFont="1" applyFill="1" applyBorder="1" applyAlignment="1">
      <alignment vertical="top"/>
    </xf>
    <xf numFmtId="173" fontId="15" fillId="0" borderId="66" xfId="0" applyNumberFormat="1" applyFont="1" applyFill="1" applyBorder="1" applyAlignment="1">
      <alignment vertical="top"/>
    </xf>
    <xf numFmtId="173" fontId="15" fillId="0" borderId="36" xfId="0" applyNumberFormat="1" applyFont="1" applyFill="1" applyBorder="1" applyAlignment="1">
      <alignment vertical="top"/>
    </xf>
    <xf numFmtId="0" fontId="15" fillId="0" borderId="1" xfId="0" applyFont="1" applyFill="1" applyBorder="1" applyAlignment="1">
      <alignment horizontal="left" indent="2"/>
    </xf>
    <xf numFmtId="0" fontId="15" fillId="0" borderId="79" xfId="0" applyNumberFormat="1" applyFont="1" applyBorder="1" applyAlignment="1">
      <alignment horizontal="center" vertical="center"/>
    </xf>
    <xf numFmtId="173" fontId="17" fillId="0" borderId="21" xfId="0" applyNumberFormat="1" applyFont="1" applyFill="1" applyBorder="1" applyAlignment="1">
      <alignment horizontal="center"/>
    </xf>
    <xf numFmtId="173" fontId="17" fillId="0" borderId="26" xfId="0" applyNumberFormat="1" applyFont="1" applyFill="1" applyBorder="1" applyAlignment="1">
      <alignment horizontal="right"/>
    </xf>
    <xf numFmtId="173" fontId="17" fillId="0" borderId="27" xfId="0" applyNumberFormat="1" applyFont="1" applyFill="1" applyBorder="1" applyAlignment="1">
      <alignment horizontal="right"/>
    </xf>
    <xf numFmtId="173" fontId="17" fillId="0" borderId="21" xfId="0" applyNumberFormat="1" applyFont="1" applyFill="1" applyBorder="1" applyAlignment="1">
      <alignment horizontal="right"/>
    </xf>
    <xf numFmtId="173" fontId="17" fillId="0" borderId="25" xfId="0" applyNumberFormat="1" applyFont="1" applyFill="1" applyBorder="1" applyAlignment="1">
      <alignment horizontal="right"/>
    </xf>
    <xf numFmtId="0" fontId="15" fillId="0" borderId="44" xfId="0" applyFont="1" applyFill="1" applyBorder="1" applyAlignment="1">
      <alignment horizontal="left" vertical="top" wrapText="1"/>
    </xf>
    <xf numFmtId="168" fontId="15" fillId="0" borderId="18" xfId="0" applyNumberFormat="1" applyFont="1" applyBorder="1"/>
    <xf numFmtId="0" fontId="15" fillId="0" borderId="28" xfId="0" applyNumberFormat="1" applyFont="1" applyBorder="1" applyAlignment="1">
      <alignment horizontal="center"/>
    </xf>
    <xf numFmtId="0" fontId="15" fillId="0" borderId="59" xfId="0" applyNumberFormat="1" applyFont="1" applyBorder="1" applyAlignment="1">
      <alignment horizontal="center"/>
    </xf>
    <xf numFmtId="179" fontId="15" fillId="0" borderId="58" xfId="0" applyNumberFormat="1" applyFont="1" applyBorder="1" applyAlignment="1">
      <alignment horizontal="center"/>
    </xf>
    <xf numFmtId="0" fontId="17" fillId="0" borderId="41" xfId="0" applyFont="1" applyBorder="1" applyAlignment="1">
      <alignment vertical="center" wrapText="1"/>
    </xf>
    <xf numFmtId="173" fontId="15" fillId="0" borderId="28" xfId="0" applyNumberFormat="1" applyFont="1" applyFill="1" applyBorder="1" applyAlignment="1">
      <alignment vertical="top"/>
    </xf>
    <xf numFmtId="173" fontId="15" fillId="0" borderId="21" xfId="0" applyNumberFormat="1" applyFont="1" applyFill="1" applyBorder="1" applyAlignment="1">
      <alignment vertical="top"/>
    </xf>
    <xf numFmtId="173" fontId="15" fillId="0" borderId="59" xfId="0" applyNumberFormat="1" applyFont="1" applyFill="1" applyBorder="1" applyAlignment="1">
      <alignment vertical="top"/>
    </xf>
    <xf numFmtId="173" fontId="15" fillId="0" borderId="58" xfId="0" applyNumberFormat="1" applyFont="1" applyFill="1" applyBorder="1" applyAlignment="1">
      <alignment vertical="top"/>
    </xf>
    <xf numFmtId="173" fontId="15" fillId="0" borderId="25" xfId="0" applyNumberFormat="1" applyFont="1" applyFill="1" applyBorder="1" applyAlignment="1">
      <alignment vertical="top"/>
    </xf>
    <xf numFmtId="0" fontId="17" fillId="0" borderId="39" xfId="0" applyNumberFormat="1" applyFont="1" applyBorder="1" applyProtection="1"/>
    <xf numFmtId="0" fontId="15" fillId="0" borderId="37" xfId="0" applyNumberFormat="1" applyFont="1" applyBorder="1" applyAlignment="1" applyProtection="1">
      <alignment horizontal="center"/>
    </xf>
    <xf numFmtId="0" fontId="17" fillId="0" borderId="39" xfId="0" applyFont="1" applyBorder="1" applyAlignment="1" applyProtection="1">
      <alignment horizontal="left"/>
    </xf>
    <xf numFmtId="173" fontId="17" fillId="0" borderId="37" xfId="0" applyNumberFormat="1" applyFont="1" applyBorder="1" applyAlignment="1" applyProtection="1">
      <alignment horizontal="right"/>
    </xf>
    <xf numFmtId="173" fontId="17" fillId="0" borderId="38" xfId="0" applyNumberFormat="1" applyFont="1" applyBorder="1" applyAlignment="1" applyProtection="1">
      <alignment horizontal="right"/>
    </xf>
    <xf numFmtId="173" fontId="17" fillId="0" borderId="39" xfId="0" applyNumberFormat="1" applyFont="1" applyBorder="1" applyAlignment="1" applyProtection="1">
      <alignment horizontal="right"/>
    </xf>
    <xf numFmtId="173" fontId="17" fillId="0" borderId="36" xfId="0" applyNumberFormat="1" applyFont="1" applyBorder="1" applyAlignment="1" applyProtection="1">
      <alignment horizontal="right"/>
    </xf>
    <xf numFmtId="173" fontId="17" fillId="0" borderId="40" xfId="0" applyNumberFormat="1" applyFont="1" applyBorder="1" applyAlignment="1" applyProtection="1">
      <alignment horizontal="right"/>
    </xf>
    <xf numFmtId="173" fontId="17" fillId="0" borderId="37" xfId="0" applyNumberFormat="1" applyFont="1" applyBorder="1" applyProtection="1"/>
    <xf numFmtId="173" fontId="17" fillId="0" borderId="38" xfId="0" applyNumberFormat="1" applyFont="1" applyBorder="1" applyProtection="1"/>
    <xf numFmtId="173" fontId="17" fillId="0" borderId="39" xfId="0" applyNumberFormat="1" applyFont="1" applyBorder="1" applyProtection="1"/>
    <xf numFmtId="173" fontId="17" fillId="0" borderId="36" xfId="0" applyNumberFormat="1" applyFont="1" applyBorder="1" applyProtection="1"/>
    <xf numFmtId="173" fontId="17" fillId="0" borderId="40" xfId="0" applyNumberFormat="1" applyFont="1" applyBorder="1" applyProtection="1"/>
    <xf numFmtId="0" fontId="17" fillId="0" borderId="39" xfId="0" applyNumberFormat="1" applyFont="1" applyBorder="1" applyAlignment="1">
      <alignment horizontal="left" vertical="top" wrapText="1"/>
    </xf>
    <xf numFmtId="0" fontId="15" fillId="0" borderId="37" xfId="0" applyFont="1" applyBorder="1" applyAlignment="1">
      <alignment horizontal="center" vertical="top"/>
    </xf>
    <xf numFmtId="173" fontId="17" fillId="0" borderId="37" xfId="0" applyNumberFormat="1" applyFont="1" applyBorder="1" applyAlignment="1">
      <alignment vertical="top"/>
    </xf>
    <xf numFmtId="173" fontId="17" fillId="0" borderId="38" xfId="0" applyNumberFormat="1" applyFont="1" applyBorder="1" applyAlignment="1">
      <alignment vertical="top"/>
    </xf>
    <xf numFmtId="173" fontId="17" fillId="0" borderId="39" xfId="0" applyNumberFormat="1" applyFont="1" applyBorder="1" applyAlignment="1">
      <alignment vertical="top"/>
    </xf>
    <xf numFmtId="173" fontId="17" fillId="0" borderId="40" xfId="0" applyNumberFormat="1" applyFont="1" applyBorder="1" applyAlignment="1">
      <alignment vertical="top"/>
    </xf>
    <xf numFmtId="0" fontId="17" fillId="0" borderId="39" xfId="0" applyNumberFormat="1" applyFont="1" applyBorder="1" applyAlignment="1">
      <alignment vertical="top"/>
    </xf>
    <xf numFmtId="173" fontId="17" fillId="0" borderId="81" xfId="0" applyNumberFormat="1" applyFont="1" applyBorder="1"/>
    <xf numFmtId="0" fontId="15" fillId="0" borderId="66" xfId="0" applyFont="1" applyBorder="1" applyAlignment="1">
      <alignment horizontal="center"/>
    </xf>
    <xf numFmtId="0" fontId="26" fillId="0" borderId="0" xfId="6"/>
    <xf numFmtId="0" fontId="5" fillId="0" borderId="0" xfId="0" applyFont="1" applyProtection="1">
      <protection locked="0"/>
    </xf>
    <xf numFmtId="0" fontId="5"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0" xfId="0" applyFont="1" applyBorder="1" applyProtection="1">
      <protection locked="0"/>
    </xf>
    <xf numFmtId="0" fontId="5" fillId="0" borderId="14" xfId="0" applyFont="1" applyBorder="1" applyProtection="1">
      <protection locked="0"/>
    </xf>
    <xf numFmtId="0" fontId="5" fillId="0" borderId="14" xfId="0" applyFont="1" applyBorder="1" applyAlignment="1" applyProtection="1">
      <alignment horizontal="center"/>
      <protection locked="0"/>
    </xf>
    <xf numFmtId="0" fontId="5" fillId="0" borderId="2" xfId="0" applyFont="1" applyBorder="1" applyProtection="1">
      <protection locked="0"/>
    </xf>
    <xf numFmtId="0" fontId="5" fillId="0" borderId="0" xfId="0" quotePrefix="1" applyFont="1" applyBorder="1" applyProtection="1">
      <protection locked="0"/>
    </xf>
    <xf numFmtId="0" fontId="5" fillId="0" borderId="4" xfId="0" applyFont="1" applyBorder="1" applyAlignment="1" applyProtection="1">
      <alignment horizontal="center"/>
      <protection locked="0"/>
    </xf>
    <xf numFmtId="0" fontId="5" fillId="0" borderId="3" xfId="0" applyFont="1" applyBorder="1" applyProtection="1">
      <protection locked="0"/>
    </xf>
    <xf numFmtId="0" fontId="5" fillId="0" borderId="5" xfId="0" applyFont="1" applyBorder="1" applyProtection="1">
      <protection locked="0"/>
    </xf>
    <xf numFmtId="0" fontId="5" fillId="0" borderId="15"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8" fillId="0" borderId="0" xfId="0" applyFont="1" applyFill="1" applyBorder="1" applyAlignment="1" applyProtection="1">
      <alignment horizontal="center"/>
      <protection locked="0"/>
    </xf>
    <xf numFmtId="0" fontId="5" fillId="0" borderId="17" xfId="0" applyFont="1" applyBorder="1" applyProtection="1">
      <protection locked="0"/>
    </xf>
    <xf numFmtId="0" fontId="5" fillId="0" borderId="2" xfId="0" applyFont="1" applyBorder="1" applyAlignment="1" applyProtection="1">
      <alignment horizontal="center"/>
      <protection locked="0"/>
    </xf>
    <xf numFmtId="0" fontId="5" fillId="0" borderId="15" xfId="0" applyFont="1" applyBorder="1" applyProtection="1">
      <protection locked="0"/>
    </xf>
    <xf numFmtId="0" fontId="5" fillId="0" borderId="17" xfId="0" applyFont="1" applyBorder="1" applyAlignment="1" applyProtection="1">
      <alignment horizontal="center"/>
      <protection locked="0"/>
    </xf>
    <xf numFmtId="0" fontId="5" fillId="0" borderId="14" xfId="0" applyFont="1" applyBorder="1" applyAlignment="1" applyProtection="1">
      <alignment horizontal="center" wrapText="1"/>
      <protection locked="0"/>
    </xf>
    <xf numFmtId="0" fontId="5" fillId="0" borderId="18" xfId="0" applyFont="1" applyBorder="1" applyAlignment="1" applyProtection="1">
      <alignment horizontal="center"/>
      <protection locked="0"/>
    </xf>
    <xf numFmtId="0" fontId="20" fillId="0" borderId="0" xfId="0" applyFont="1" applyFill="1" applyBorder="1" applyAlignment="1" applyProtection="1">
      <alignment horizontal="left"/>
    </xf>
    <xf numFmtId="173" fontId="17" fillId="0" borderId="44" xfId="0" applyNumberFormat="1" applyFont="1" applyFill="1" applyBorder="1" applyProtection="1"/>
    <xf numFmtId="173" fontId="17" fillId="0" borderId="53" xfId="0" applyNumberFormat="1" applyFont="1" applyFill="1" applyBorder="1" applyProtection="1"/>
    <xf numFmtId="173" fontId="17" fillId="0" borderId="77" xfId="0" applyNumberFormat="1" applyFont="1" applyFill="1" applyBorder="1" applyProtection="1"/>
    <xf numFmtId="173" fontId="20" fillId="0" borderId="0" xfId="0" applyNumberFormat="1" applyFont="1" applyBorder="1" applyAlignment="1" applyProtection="1">
      <alignment horizontal="right"/>
    </xf>
    <xf numFmtId="173" fontId="20" fillId="0" borderId="0" xfId="1" applyNumberFormat="1" applyFont="1" applyBorder="1" applyAlignment="1" applyProtection="1">
      <alignment horizontal="right"/>
    </xf>
    <xf numFmtId="0" fontId="20" fillId="0" borderId="0" xfId="0" applyFont="1" applyProtection="1"/>
    <xf numFmtId="0" fontId="20" fillId="0" borderId="0" xfId="0" quotePrefix="1" applyNumberFormat="1" applyFont="1" applyBorder="1" applyProtection="1"/>
    <xf numFmtId="0" fontId="20" fillId="0" borderId="0" xfId="4" applyFont="1" applyAlignment="1" applyProtection="1"/>
    <xf numFmtId="0" fontId="20" fillId="0" borderId="0" xfId="0" applyNumberFormat="1" applyFont="1" applyProtection="1"/>
    <xf numFmtId="0" fontId="21" fillId="0" borderId="0" xfId="0" applyNumberFormat="1" applyFont="1" applyProtection="1"/>
    <xf numFmtId="0" fontId="21" fillId="0" borderId="0" xfId="0" applyNumberFormat="1" applyFont="1" applyBorder="1" applyAlignment="1" applyProtection="1">
      <alignment vertical="center" wrapText="1"/>
    </xf>
    <xf numFmtId="0" fontId="21" fillId="0" borderId="0" xfId="0" applyFont="1" applyFill="1" applyBorder="1" applyAlignment="1" applyProtection="1">
      <alignment vertical="center" wrapText="1"/>
    </xf>
    <xf numFmtId="0" fontId="21" fillId="0" borderId="0" xfId="0" applyNumberFormat="1" applyFont="1" applyFill="1" applyBorder="1" applyAlignment="1" applyProtection="1">
      <alignment vertical="center" wrapText="1"/>
    </xf>
    <xf numFmtId="173" fontId="15" fillId="0" borderId="59" xfId="0" applyNumberFormat="1" applyFont="1" applyFill="1" applyBorder="1" applyProtection="1"/>
    <xf numFmtId="173" fontId="15" fillId="0" borderId="44" xfId="0" applyNumberFormat="1" applyFont="1" applyFill="1" applyBorder="1" applyProtection="1"/>
    <xf numFmtId="0" fontId="20" fillId="0" borderId="0" xfId="0" applyNumberFormat="1" applyFont="1" applyBorder="1" applyAlignment="1" applyProtection="1">
      <alignment horizontal="left" vertical="top"/>
    </xf>
    <xf numFmtId="0" fontId="20" fillId="0" borderId="2" xfId="0" applyNumberFormat="1" applyFont="1" applyFill="1" applyBorder="1" applyAlignment="1" applyProtection="1">
      <alignment horizontal="left" indent="1"/>
    </xf>
    <xf numFmtId="0" fontId="20" fillId="0" borderId="13" xfId="0" applyNumberFormat="1" applyFont="1" applyFill="1" applyBorder="1" applyAlignment="1" applyProtection="1">
      <alignment horizontal="center"/>
    </xf>
    <xf numFmtId="0" fontId="20" fillId="0" borderId="0" xfId="0" applyNumberFormat="1" applyFont="1" applyFill="1" applyBorder="1" applyAlignment="1" applyProtection="1">
      <alignment horizontal="center"/>
    </xf>
    <xf numFmtId="0" fontId="17" fillId="0" borderId="41" xfId="0" applyFont="1" applyFill="1" applyBorder="1" applyAlignment="1">
      <alignment horizontal="left" vertical="center"/>
    </xf>
    <xf numFmtId="0" fontId="15" fillId="0" borderId="24" xfId="0" applyFont="1" applyBorder="1"/>
    <xf numFmtId="0" fontId="17" fillId="0" borderId="3" xfId="0" applyNumberFormat="1" applyFont="1" applyBorder="1" applyAlignment="1" applyProtection="1">
      <alignment wrapText="1"/>
    </xf>
    <xf numFmtId="0" fontId="4" fillId="0" borderId="0" xfId="0" applyFont="1" applyProtection="1">
      <protection hidden="1"/>
    </xf>
    <xf numFmtId="0" fontId="4" fillId="0" borderId="0" xfId="0" applyFont="1" applyProtection="1"/>
    <xf numFmtId="0" fontId="4" fillId="0" borderId="0" xfId="0" applyFont="1"/>
    <xf numFmtId="0" fontId="4" fillId="0" borderId="0" xfId="0" applyFont="1" applyBorder="1" applyProtection="1">
      <protection hidden="1"/>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quotePrefix="1" applyNumberFormat="1" applyFont="1" applyProtection="1"/>
    <xf numFmtId="0" fontId="30" fillId="0" borderId="0" xfId="0" applyFont="1" applyProtection="1"/>
    <xf numFmtId="0" fontId="30" fillId="0" borderId="0" xfId="0" applyNumberFormat="1" applyFont="1" applyProtection="1"/>
    <xf numFmtId="0" fontId="4" fillId="0" borderId="0" xfId="0" applyFont="1" applyAlignment="1" applyProtection="1">
      <alignment vertical="center"/>
      <protection hidden="1"/>
    </xf>
    <xf numFmtId="0" fontId="30" fillId="0" borderId="0" xfId="0" applyFont="1" applyAlignment="1" applyProtection="1">
      <alignment vertical="center"/>
    </xf>
    <xf numFmtId="0" fontId="4" fillId="0" borderId="0" xfId="0" applyFont="1" applyAlignment="1">
      <alignment vertical="center"/>
    </xf>
    <xf numFmtId="0" fontId="6" fillId="0" borderId="0" xfId="0" applyFont="1" applyAlignment="1" applyProtection="1">
      <alignment vertical="center"/>
    </xf>
    <xf numFmtId="0" fontId="6" fillId="0" borderId="0" xfId="0" applyFont="1" applyProtection="1"/>
    <xf numFmtId="0" fontId="0" fillId="0" borderId="0" xfId="0" applyProtection="1"/>
    <xf numFmtId="0" fontId="6" fillId="0" borderId="0" xfId="0" applyFont="1" applyBorder="1" applyProtection="1"/>
    <xf numFmtId="0" fontId="6"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14" fillId="0" borderId="0" xfId="0" applyFont="1" applyProtection="1"/>
    <xf numFmtId="0" fontId="14" fillId="0" borderId="0" xfId="0" applyFont="1" applyProtection="1">
      <protection hidden="1"/>
    </xf>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0" fontId="30" fillId="0" borderId="0" xfId="0" applyFont="1" applyFill="1" applyProtection="1"/>
    <xf numFmtId="0" fontId="15" fillId="0" borderId="0" xfId="0" applyFont="1" applyFill="1" applyProtection="1"/>
    <xf numFmtId="173" fontId="15" fillId="0" borderId="13" xfId="1" applyNumberFormat="1" applyFont="1" applyFill="1" applyBorder="1" applyProtection="1"/>
    <xf numFmtId="173" fontId="15" fillId="0" borderId="14" xfId="1" applyNumberFormat="1" applyFont="1" applyFill="1" applyBorder="1" applyProtection="1"/>
    <xf numFmtId="173" fontId="15" fillId="0" borderId="2" xfId="1" applyNumberFormat="1" applyFont="1" applyFill="1" applyBorder="1" applyProtection="1"/>
    <xf numFmtId="173" fontId="15" fillId="0" borderId="0" xfId="1" applyNumberFormat="1" applyFont="1" applyFill="1" applyBorder="1" applyProtection="1"/>
    <xf numFmtId="173" fontId="15" fillId="0" borderId="24" xfId="1" applyNumberFormat="1" applyFont="1" applyFill="1" applyBorder="1" applyProtection="1"/>
    <xf numFmtId="173" fontId="17" fillId="0" borderId="24" xfId="0" applyNumberFormat="1" applyFont="1" applyFill="1" applyBorder="1"/>
    <xf numFmtId="0" fontId="20" fillId="0" borderId="2" xfId="0" applyNumberFormat="1" applyFont="1" applyFill="1" applyBorder="1" applyAlignment="1">
      <alignment horizontal="left" indent="2"/>
    </xf>
    <xf numFmtId="173" fontId="15" fillId="0" borderId="13" xfId="0" applyNumberFormat="1" applyFont="1" applyFill="1" applyBorder="1" applyAlignment="1" applyProtection="1">
      <alignment horizontal="right"/>
    </xf>
    <xf numFmtId="173" fontId="15" fillId="0" borderId="0" xfId="0" applyNumberFormat="1" applyFont="1" applyFill="1" applyBorder="1" applyAlignment="1" applyProtection="1">
      <alignment horizontal="right"/>
    </xf>
    <xf numFmtId="173" fontId="15" fillId="0" borderId="21" xfId="0" applyNumberFormat="1" applyFont="1" applyFill="1" applyBorder="1" applyAlignment="1">
      <alignment horizontal="right"/>
    </xf>
    <xf numFmtId="173" fontId="15" fillId="0" borderId="25" xfId="0" applyNumberFormat="1" applyFont="1" applyFill="1" applyBorder="1" applyAlignment="1">
      <alignment horizontal="right"/>
    </xf>
    <xf numFmtId="173" fontId="15" fillId="0" borderId="27" xfId="0" applyNumberFormat="1" applyFont="1" applyFill="1" applyBorder="1" applyAlignment="1">
      <alignment horizontal="right"/>
    </xf>
    <xf numFmtId="173" fontId="15" fillId="0" borderId="26" xfId="0" applyNumberFormat="1" applyFont="1" applyFill="1" applyBorder="1" applyAlignment="1">
      <alignment horizontal="right"/>
    </xf>
    <xf numFmtId="0" fontId="5" fillId="0" borderId="1" xfId="0" applyFont="1" applyBorder="1" applyAlignment="1" applyProtection="1">
      <alignment horizontal="center"/>
    </xf>
    <xf numFmtId="0" fontId="5" fillId="0" borderId="0" xfId="0" applyFont="1" applyBorder="1" applyProtection="1"/>
    <xf numFmtId="0" fontId="5" fillId="0" borderId="14" xfId="0" applyFont="1" applyBorder="1" applyAlignment="1" applyProtection="1">
      <alignment horizontal="center"/>
    </xf>
    <xf numFmtId="0" fontId="5" fillId="0" borderId="2" xfId="0" applyFont="1" applyBorder="1" applyProtection="1"/>
    <xf numFmtId="0" fontId="5" fillId="0" borderId="2" xfId="0" quotePrefix="1" applyFont="1" applyBorder="1" applyProtection="1"/>
    <xf numFmtId="0" fontId="5" fillId="0" borderId="7" xfId="0" applyFont="1" applyBorder="1" applyAlignment="1" applyProtection="1">
      <alignment horizontal="center"/>
    </xf>
    <xf numFmtId="0" fontId="5" fillId="0" borderId="17" xfId="0" applyFont="1" applyBorder="1" applyProtection="1"/>
    <xf numFmtId="0" fontId="5" fillId="0" borderId="14" xfId="0" applyFont="1" applyBorder="1" applyProtection="1"/>
    <xf numFmtId="0" fontId="5" fillId="0" borderId="15" xfId="0" applyFont="1" applyBorder="1" applyProtection="1"/>
    <xf numFmtId="0" fontId="5" fillId="0" borderId="0" xfId="0" applyFont="1" applyAlignment="1" applyProtection="1">
      <alignment horizontal="center"/>
    </xf>
    <xf numFmtId="0" fontId="8" fillId="7" borderId="23" xfId="0" applyFont="1" applyFill="1" applyBorder="1" applyAlignment="1" applyProtection="1">
      <alignment horizontal="center"/>
    </xf>
    <xf numFmtId="0" fontId="8" fillId="8" borderId="22" xfId="0" applyFont="1" applyFill="1" applyBorder="1" applyAlignment="1" applyProtection="1">
      <alignment horizontal="center"/>
    </xf>
    <xf numFmtId="0" fontId="8" fillId="8" borderId="23" xfId="0" applyFont="1" applyFill="1" applyBorder="1" applyAlignment="1" applyProtection="1">
      <alignment horizontal="center"/>
    </xf>
    <xf numFmtId="0" fontId="5" fillId="0" borderId="0" xfId="0" applyFont="1" applyFill="1" applyBorder="1" applyProtection="1"/>
    <xf numFmtId="0" fontId="7" fillId="0" borderId="0" xfId="0" applyFont="1" applyBorder="1" applyProtection="1"/>
    <xf numFmtId="0" fontId="5" fillId="0" borderId="5" xfId="0" applyFont="1" applyBorder="1" applyProtection="1"/>
    <xf numFmtId="0" fontId="5" fillId="0" borderId="4" xfId="0" applyFont="1" applyBorder="1" applyAlignment="1" applyProtection="1">
      <alignment horizontal="center"/>
    </xf>
    <xf numFmtId="0" fontId="8" fillId="7" borderId="22" xfId="0" applyFont="1" applyFill="1" applyBorder="1" applyAlignment="1" applyProtection="1">
      <alignment horizontal="center"/>
    </xf>
    <xf numFmtId="0" fontId="5" fillId="0" borderId="6" xfId="0" applyFont="1" applyBorder="1" applyAlignment="1" applyProtection="1">
      <alignment horizontal="center"/>
    </xf>
    <xf numFmtId="0" fontId="5" fillId="0" borderId="18" xfId="0" applyFont="1" applyBorder="1" applyProtection="1"/>
    <xf numFmtId="0" fontId="16" fillId="9" borderId="60" xfId="0" applyFont="1" applyFill="1" applyBorder="1" applyAlignment="1" applyProtection="1"/>
    <xf numFmtId="0" fontId="16" fillId="9" borderId="60" xfId="0" applyFont="1" applyFill="1" applyBorder="1" applyAlignment="1" applyProtection="1">
      <alignment horizontal="center"/>
    </xf>
    <xf numFmtId="0" fontId="16" fillId="9" borderId="23" xfId="0" applyFont="1" applyFill="1" applyBorder="1" applyAlignment="1" applyProtection="1">
      <alignment horizontal="center"/>
    </xf>
    <xf numFmtId="0" fontId="5" fillId="0" borderId="2" xfId="0" applyFont="1" applyBorder="1" applyAlignment="1" applyProtection="1">
      <alignment horizontal="center"/>
    </xf>
    <xf numFmtId="0" fontId="5" fillId="0" borderId="7" xfId="0" applyFont="1" applyBorder="1" applyAlignment="1" applyProtection="1">
      <alignment horizontal="left"/>
    </xf>
    <xf numFmtId="0" fontId="5" fillId="0" borderId="2" xfId="0" applyFont="1" applyBorder="1" applyAlignment="1" applyProtection="1">
      <alignment horizontal="left"/>
    </xf>
    <xf numFmtId="0" fontId="5" fillId="0" borderId="3" xfId="0" applyFont="1" applyBorder="1" applyAlignment="1" applyProtection="1">
      <alignment horizontal="left"/>
    </xf>
    <xf numFmtId="0" fontId="5" fillId="0" borderId="15" xfId="0" applyFont="1" applyBorder="1" applyAlignment="1" applyProtection="1">
      <alignment horizontal="center"/>
    </xf>
    <xf numFmtId="173" fontId="17" fillId="0" borderId="66" xfId="0" applyNumberFormat="1" applyFont="1" applyFill="1" applyBorder="1" applyProtection="1"/>
    <xf numFmtId="173" fontId="17" fillId="0" borderId="58" xfId="0" applyNumberFormat="1" applyFont="1" applyFill="1" applyBorder="1" applyProtection="1"/>
    <xf numFmtId="173" fontId="15" fillId="0" borderId="13" xfId="0" applyNumberFormat="1" applyFont="1" applyFill="1" applyBorder="1" applyAlignment="1" applyProtection="1">
      <alignment horizontal="center"/>
    </xf>
    <xf numFmtId="173" fontId="15" fillId="0" borderId="14" xfId="0" applyNumberFormat="1" applyFont="1" applyFill="1" applyBorder="1" applyAlignment="1" applyProtection="1">
      <alignment horizontal="right"/>
    </xf>
    <xf numFmtId="173" fontId="15" fillId="0" borderId="2" xfId="0" applyNumberFormat="1" applyFont="1" applyFill="1" applyBorder="1" applyAlignment="1" applyProtection="1">
      <alignment horizontal="right"/>
    </xf>
    <xf numFmtId="0" fontId="20" fillId="0" borderId="0" xfId="0" applyNumberFormat="1" applyFont="1" applyFill="1" applyBorder="1" applyProtection="1"/>
    <xf numFmtId="173" fontId="17"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4" fillId="0" borderId="0" xfId="0" applyFont="1" applyFill="1" applyProtection="1"/>
    <xf numFmtId="0" fontId="28" fillId="0" borderId="0" xfId="0" applyFont="1" applyFill="1" applyProtection="1"/>
    <xf numFmtId="0" fontId="17" fillId="10" borderId="4" xfId="0" applyFont="1" applyFill="1" applyBorder="1" applyAlignment="1" applyProtection="1">
      <alignment horizontal="left" vertical="top" wrapText="1"/>
      <protection locked="0"/>
    </xf>
    <xf numFmtId="0" fontId="31" fillId="0" borderId="0" xfId="0" applyFont="1" applyAlignment="1">
      <alignment wrapText="1"/>
    </xf>
    <xf numFmtId="0" fontId="17" fillId="10" borderId="23" xfId="0" applyFont="1" applyFill="1" applyBorder="1" applyAlignment="1" applyProtection="1">
      <alignment horizontal="left" vertical="top" wrapText="1"/>
      <protection locked="0"/>
    </xf>
    <xf numFmtId="0" fontId="17" fillId="11" borderId="23" xfId="0" applyFont="1" applyFill="1" applyBorder="1" applyAlignment="1" applyProtection="1">
      <alignment horizontal="left" vertical="top" wrapText="1" indent="1"/>
      <protection locked="0"/>
    </xf>
    <xf numFmtId="0" fontId="17" fillId="12" borderId="23" xfId="0" applyFont="1" applyFill="1" applyBorder="1" applyAlignment="1" applyProtection="1">
      <alignment horizontal="left" vertical="top" wrapText="1" indent="2"/>
      <protection locked="0"/>
    </xf>
    <xf numFmtId="0" fontId="15" fillId="0" borderId="1" xfId="0" applyFont="1" applyFill="1" applyBorder="1" applyAlignment="1">
      <alignment horizontal="left" indent="1"/>
    </xf>
    <xf numFmtId="0" fontId="15" fillId="0" borderId="1" xfId="0" applyNumberFormat="1" applyFont="1" applyBorder="1" applyAlignment="1">
      <alignment horizontal="left" vertical="top" indent="1"/>
    </xf>
    <xf numFmtId="0" fontId="19" fillId="0" borderId="1" xfId="0" applyFont="1" applyFill="1" applyBorder="1" applyAlignment="1">
      <alignment horizontal="left" indent="1"/>
    </xf>
    <xf numFmtId="0" fontId="25" fillId="0" borderId="0" xfId="0" applyFont="1"/>
    <xf numFmtId="0" fontId="25" fillId="0" borderId="8" xfId="0" applyFont="1" applyBorder="1" applyAlignment="1"/>
    <xf numFmtId="0" fontId="17" fillId="0" borderId="68" xfId="0" applyNumberFormat="1" applyFont="1" applyBorder="1" applyAlignment="1">
      <alignment horizontal="left"/>
    </xf>
    <xf numFmtId="0" fontId="17" fillId="0" borderId="13" xfId="0" applyNumberFormat="1" applyFont="1" applyBorder="1" applyAlignment="1">
      <alignment horizontal="center"/>
    </xf>
    <xf numFmtId="0" fontId="22" fillId="0" borderId="2" xfId="0" applyFont="1" applyFill="1" applyBorder="1" applyAlignment="1">
      <alignment horizontal="left" indent="1"/>
    </xf>
    <xf numFmtId="0" fontId="20" fillId="0" borderId="2" xfId="0" applyNumberFormat="1" applyFont="1" applyBorder="1" applyAlignment="1" applyProtection="1">
      <alignment horizontal="right" indent="1"/>
    </xf>
    <xf numFmtId="0" fontId="17" fillId="0" borderId="24" xfId="0" applyNumberFormat="1" applyFont="1" applyBorder="1"/>
    <xf numFmtId="0" fontId="19" fillId="0" borderId="24" xfId="0" applyNumberFormat="1" applyFont="1" applyBorder="1" applyAlignment="1">
      <alignment horizontal="left" indent="1"/>
    </xf>
    <xf numFmtId="0" fontId="17" fillId="0" borderId="33" xfId="0" applyFont="1" applyBorder="1"/>
    <xf numFmtId="0" fontId="17" fillId="0" borderId="7" xfId="0" applyFont="1" applyBorder="1"/>
    <xf numFmtId="0" fontId="17" fillId="0" borderId="60" xfId="0" applyFont="1" applyBorder="1"/>
    <xf numFmtId="0" fontId="17" fillId="0" borderId="2" xfId="0" applyFont="1" applyFill="1" applyBorder="1" applyAlignment="1">
      <alignment horizontal="left" indent="1"/>
    </xf>
    <xf numFmtId="0" fontId="17" fillId="13" borderId="17" xfId="0" applyFont="1" applyFill="1" applyBorder="1" applyAlignment="1">
      <alignment horizontal="center" vertical="top" wrapText="1"/>
    </xf>
    <xf numFmtId="0" fontId="17" fillId="13" borderId="6" xfId="0" applyFont="1" applyFill="1" applyBorder="1" applyAlignment="1">
      <alignment horizontal="center" vertical="top" wrapText="1"/>
    </xf>
    <xf numFmtId="0" fontId="14" fillId="0" borderId="24" xfId="0" applyFont="1" applyFill="1" applyBorder="1" applyAlignment="1">
      <alignment horizontal="left" vertical="top" wrapText="1" indent="3"/>
    </xf>
    <xf numFmtId="0" fontId="15" fillId="0" borderId="0" xfId="0" applyFont="1" applyFill="1" applyAlignment="1">
      <alignment horizontal="right"/>
    </xf>
    <xf numFmtId="166" fontId="15" fillId="0" borderId="0" xfId="0" applyNumberFormat="1" applyFont="1" applyFill="1"/>
    <xf numFmtId="0" fontId="15" fillId="0" borderId="0" xfId="0" applyFont="1" applyFill="1" applyBorder="1" applyAlignment="1" applyProtection="1">
      <protection locked="0"/>
    </xf>
    <xf numFmtId="0" fontId="25" fillId="0" borderId="0" xfId="0" applyFont="1" applyFill="1"/>
    <xf numFmtId="0" fontId="15" fillId="0" borderId="0" xfId="0" applyFont="1" applyFill="1" applyAlignment="1">
      <alignment vertical="top"/>
    </xf>
    <xf numFmtId="0" fontId="15" fillId="0" borderId="0" xfId="0" applyFont="1" applyFill="1" applyAlignment="1"/>
    <xf numFmtId="0" fontId="15" fillId="0" borderId="0" xfId="0" applyFont="1" applyFill="1" applyAlignment="1">
      <alignment wrapText="1"/>
    </xf>
    <xf numFmtId="173" fontId="15" fillId="0" borderId="0" xfId="0" applyNumberFormat="1" applyFont="1" applyFill="1" applyProtection="1">
      <protection locked="0"/>
    </xf>
    <xf numFmtId="0" fontId="17" fillId="0" borderId="0" xfId="0" applyNumberFormat="1" applyFont="1" applyBorder="1"/>
    <xf numFmtId="0" fontId="19" fillId="0" borderId="7" xfId="0" applyFont="1" applyBorder="1"/>
    <xf numFmtId="173" fontId="17" fillId="0" borderId="81" xfId="0" applyNumberFormat="1" applyFont="1" applyBorder="1" applyAlignment="1">
      <alignment horizontal="right"/>
    </xf>
    <xf numFmtId="173" fontId="17" fillId="0" borderId="58" xfId="0" applyNumberFormat="1" applyFont="1" applyBorder="1" applyAlignment="1">
      <alignment horizontal="right"/>
    </xf>
    <xf numFmtId="173" fontId="17" fillId="0" borderId="19" xfId="0" applyNumberFormat="1" applyFont="1" applyBorder="1" applyAlignment="1">
      <alignment horizontal="right"/>
    </xf>
    <xf numFmtId="173" fontId="17" fillId="0" borderId="64" xfId="0" applyNumberFormat="1" applyFont="1" applyBorder="1" applyAlignment="1">
      <alignment horizontal="right"/>
    </xf>
    <xf numFmtId="173" fontId="17" fillId="0" borderId="68" xfId="0" applyNumberFormat="1" applyFont="1" applyBorder="1" applyAlignment="1">
      <alignment horizontal="right"/>
    </xf>
    <xf numFmtId="0" fontId="17" fillId="0" borderId="39" xfId="0" applyNumberFormat="1" applyFont="1" applyFill="1" applyBorder="1" applyAlignment="1">
      <alignment wrapText="1"/>
    </xf>
    <xf numFmtId="170" fontId="15" fillId="0" borderId="77" xfId="7" applyNumberFormat="1" applyFont="1" applyFill="1" applyBorder="1" applyAlignment="1">
      <alignment horizontal="center"/>
    </xf>
    <xf numFmtId="0" fontId="15" fillId="0" borderId="14" xfId="0" applyFont="1" applyBorder="1"/>
    <xf numFmtId="0" fontId="19" fillId="0" borderId="0" xfId="0" applyFont="1" applyBorder="1"/>
    <xf numFmtId="0" fontId="15" fillId="0" borderId="0" xfId="0" applyFont="1" applyFill="1" applyBorder="1" applyAlignment="1"/>
    <xf numFmtId="0" fontId="15" fillId="0" borderId="1" xfId="0" applyFont="1" applyBorder="1"/>
    <xf numFmtId="167" fontId="15" fillId="0" borderId="1" xfId="8" applyNumberFormat="1" applyFont="1" applyBorder="1" applyAlignment="1"/>
    <xf numFmtId="167" fontId="15" fillId="0" borderId="1" xfId="8" applyNumberFormat="1" applyFont="1" applyBorder="1"/>
    <xf numFmtId="10" fontId="15" fillId="0" borderId="1" xfId="8" applyNumberFormat="1" applyFont="1" applyFill="1" applyBorder="1" applyProtection="1"/>
    <xf numFmtId="0" fontId="15" fillId="0" borderId="0" xfId="0" applyFont="1" applyBorder="1" applyAlignment="1">
      <alignment wrapText="1"/>
    </xf>
    <xf numFmtId="173" fontId="15" fillId="0" borderId="1" xfId="0" applyNumberFormat="1" applyFont="1" applyBorder="1" applyAlignment="1">
      <alignment horizontal="left" wrapText="1"/>
    </xf>
    <xf numFmtId="173" fontId="15" fillId="0" borderId="6" xfId="0" applyNumberFormat="1" applyFont="1" applyBorder="1" applyAlignment="1">
      <alignment horizontal="left" wrapText="1"/>
    </xf>
    <xf numFmtId="0" fontId="15" fillId="0" borderId="17" xfId="0" applyFont="1" applyBorder="1" applyAlignment="1">
      <alignment horizontal="center"/>
    </xf>
    <xf numFmtId="0" fontId="19" fillId="0" borderId="17" xfId="0" applyFont="1" applyBorder="1"/>
    <xf numFmtId="0" fontId="15" fillId="0" borderId="6" xfId="0" applyFont="1" applyBorder="1"/>
    <xf numFmtId="0" fontId="15" fillId="0" borderId="5" xfId="0" applyFont="1" applyBorder="1"/>
    <xf numFmtId="0" fontId="15" fillId="0" borderId="15" xfId="0" applyFont="1" applyBorder="1"/>
    <xf numFmtId="167" fontId="15" fillId="0" borderId="4" xfId="8" applyNumberFormat="1" applyFont="1" applyBorder="1"/>
    <xf numFmtId="171" fontId="15" fillId="0" borderId="4" xfId="0" applyNumberFormat="1" applyFont="1" applyBorder="1"/>
    <xf numFmtId="0" fontId="15" fillId="0" borderId="5" xfId="0" applyFont="1" applyFill="1" applyBorder="1" applyAlignment="1"/>
    <xf numFmtId="173" fontId="15" fillId="0" borderId="4" xfId="0" applyNumberFormat="1" applyFont="1" applyFill="1" applyBorder="1"/>
    <xf numFmtId="0" fontId="15" fillId="0" borderId="53" xfId="0" applyFont="1" applyBorder="1"/>
    <xf numFmtId="170" fontId="15" fillId="0" borderId="8" xfId="0" applyNumberFormat="1" applyFont="1" applyBorder="1" applyAlignment="1">
      <alignment horizontal="center"/>
    </xf>
    <xf numFmtId="170" fontId="15" fillId="0" borderId="13" xfId="0" quotePrefix="1" applyNumberFormat="1" applyFont="1" applyBorder="1" applyAlignment="1">
      <alignment horizontal="center"/>
    </xf>
    <xf numFmtId="0" fontId="15" fillId="0" borderId="16" xfId="0" applyFont="1" applyBorder="1"/>
    <xf numFmtId="173" fontId="15" fillId="0" borderId="8" xfId="0" quotePrefix="1" applyNumberFormat="1" applyFont="1" applyBorder="1" applyAlignment="1">
      <alignment horizontal="center"/>
    </xf>
    <xf numFmtId="0" fontId="15" fillId="0" borderId="82" xfId="0" applyFont="1" applyBorder="1"/>
    <xf numFmtId="173" fontId="15" fillId="0" borderId="53" xfId="0" applyNumberFormat="1" applyFont="1" applyBorder="1" applyAlignment="1">
      <alignment horizontal="center"/>
    </xf>
    <xf numFmtId="0" fontId="15" fillId="0" borderId="77" xfId="0" applyFont="1" applyBorder="1"/>
    <xf numFmtId="170" fontId="15" fillId="0" borderId="54" xfId="0" applyNumberFormat="1" applyFont="1" applyBorder="1" applyAlignment="1">
      <alignment horizontal="center"/>
    </xf>
    <xf numFmtId="170" fontId="15" fillId="0" borderId="53" xfId="0" quotePrefix="1" applyNumberFormat="1" applyFont="1" applyBorder="1" applyAlignment="1">
      <alignment horizontal="center"/>
    </xf>
    <xf numFmtId="173" fontId="15" fillId="0" borderId="54" xfId="0" quotePrefix="1" applyNumberFormat="1" applyFont="1" applyBorder="1" applyAlignment="1">
      <alignment horizontal="center"/>
    </xf>
    <xf numFmtId="173" fontId="15" fillId="16" borderId="13" xfId="0" applyNumberFormat="1" applyFont="1" applyFill="1" applyBorder="1" applyAlignment="1" applyProtection="1">
      <alignment horizontal="right"/>
      <protection locked="0"/>
    </xf>
    <xf numFmtId="173" fontId="15" fillId="16" borderId="0" xfId="0" applyNumberFormat="1" applyFont="1" applyFill="1" applyBorder="1" applyAlignment="1" applyProtection="1">
      <alignment horizontal="right"/>
      <protection locked="0"/>
    </xf>
    <xf numFmtId="173" fontId="15" fillId="16" borderId="53" xfId="0" applyNumberFormat="1" applyFont="1" applyFill="1" applyBorder="1" applyAlignment="1" applyProtection="1">
      <alignment horizontal="right"/>
      <protection locked="0"/>
    </xf>
    <xf numFmtId="173" fontId="17" fillId="16" borderId="0" xfId="0" applyNumberFormat="1" applyFont="1" applyFill="1" applyBorder="1" applyProtection="1">
      <protection locked="0"/>
    </xf>
    <xf numFmtId="174" fontId="15" fillId="16" borderId="13" xfId="0" applyNumberFormat="1" applyFont="1" applyFill="1" applyBorder="1" applyProtection="1">
      <protection locked="0"/>
    </xf>
    <xf numFmtId="174" fontId="15" fillId="16" borderId="14" xfId="0" applyNumberFormat="1" applyFont="1" applyFill="1" applyBorder="1" applyProtection="1">
      <protection locked="0"/>
    </xf>
    <xf numFmtId="174" fontId="15" fillId="16" borderId="0" xfId="0" applyNumberFormat="1" applyFont="1" applyFill="1" applyBorder="1" applyProtection="1">
      <protection locked="0"/>
    </xf>
    <xf numFmtId="174" fontId="15" fillId="16" borderId="24" xfId="0" applyNumberFormat="1" applyFont="1" applyFill="1" applyBorder="1" applyProtection="1">
      <protection locked="0"/>
    </xf>
    <xf numFmtId="174" fontId="15" fillId="16" borderId="48" xfId="0" applyNumberFormat="1" applyFont="1" applyFill="1" applyBorder="1" applyProtection="1">
      <protection locked="0"/>
    </xf>
    <xf numFmtId="174" fontId="15" fillId="16" borderId="49" xfId="0" applyNumberFormat="1" applyFont="1" applyFill="1" applyBorder="1" applyProtection="1">
      <protection locked="0"/>
    </xf>
    <xf numFmtId="174" fontId="15" fillId="16" borderId="47" xfId="0" applyNumberFormat="1" applyFont="1" applyFill="1" applyBorder="1" applyProtection="1">
      <protection locked="0"/>
    </xf>
    <xf numFmtId="0" fontId="25" fillId="0" borderId="0" xfId="0" applyFont="1" applyProtection="1"/>
    <xf numFmtId="0" fontId="0" fillId="0" borderId="0" xfId="0" applyFont="1" applyProtection="1"/>
    <xf numFmtId="174" fontId="15" fillId="17" borderId="13" xfId="1" applyNumberFormat="1" applyFont="1" applyFill="1" applyBorder="1"/>
    <xf numFmtId="174" fontId="15" fillId="17" borderId="0" xfId="1" applyNumberFormat="1" applyFont="1" applyFill="1" applyBorder="1"/>
    <xf numFmtId="170" fontId="15" fillId="0" borderId="13" xfId="0" applyNumberFormat="1" applyFont="1" applyBorder="1" applyAlignment="1">
      <alignment horizontal="center"/>
    </xf>
    <xf numFmtId="170" fontId="15" fillId="0" borderId="53" xfId="0" applyNumberFormat="1" applyFont="1" applyBorder="1" applyAlignment="1">
      <alignment horizontal="center"/>
    </xf>
    <xf numFmtId="170" fontId="15" fillId="0" borderId="8" xfId="0" quotePrefix="1" applyNumberFormat="1" applyFont="1" applyBorder="1" applyAlignment="1">
      <alignment horizontal="center"/>
    </xf>
    <xf numFmtId="170" fontId="15" fillId="0" borderId="54" xfId="0" quotePrefix="1" applyNumberFormat="1" applyFont="1" applyBorder="1" applyAlignment="1">
      <alignment horizontal="center"/>
    </xf>
    <xf numFmtId="173" fontId="15" fillId="0" borderId="24" xfId="0" applyNumberFormat="1" applyFont="1" applyBorder="1" applyAlignment="1">
      <alignment horizontal="center"/>
    </xf>
    <xf numFmtId="170" fontId="15" fillId="0" borderId="55" xfId="0" applyNumberFormat="1" applyFont="1" applyBorder="1" applyAlignment="1">
      <alignment horizontal="center"/>
    </xf>
    <xf numFmtId="0" fontId="15" fillId="0" borderId="44" xfId="0" applyFont="1" applyBorder="1"/>
    <xf numFmtId="173" fontId="15" fillId="0" borderId="44" xfId="0" applyNumberFormat="1" applyFont="1" applyBorder="1" applyAlignment="1">
      <alignment horizontal="center"/>
    </xf>
    <xf numFmtId="170" fontId="15" fillId="0" borderId="44" xfId="0" quotePrefix="1" applyNumberFormat="1" applyFont="1" applyBorder="1" applyAlignment="1">
      <alignment horizontal="center"/>
    </xf>
    <xf numFmtId="170" fontId="15" fillId="0" borderId="55" xfId="0" quotePrefix="1" applyNumberFormat="1" applyFont="1" applyBorder="1" applyAlignment="1">
      <alignment horizontal="center"/>
    </xf>
    <xf numFmtId="170" fontId="15" fillId="0" borderId="41" xfId="0" applyNumberFormat="1" applyFont="1" applyBorder="1" applyAlignment="1">
      <alignment horizontal="center"/>
    </xf>
    <xf numFmtId="170" fontId="15" fillId="0" borderId="24" xfId="0" quotePrefix="1" applyNumberFormat="1" applyFont="1" applyBorder="1" applyAlignment="1">
      <alignment horizontal="center"/>
    </xf>
    <xf numFmtId="170" fontId="15" fillId="0" borderId="41" xfId="0" quotePrefix="1" applyNumberFormat="1" applyFont="1" applyBorder="1" applyAlignment="1">
      <alignment horizontal="center"/>
    </xf>
    <xf numFmtId="170" fontId="15" fillId="0" borderId="44" xfId="0" applyNumberFormat="1" applyFont="1" applyBorder="1" applyAlignment="1">
      <alignment horizontal="center"/>
    </xf>
    <xf numFmtId="173" fontId="15" fillId="0" borderId="55" xfId="0" quotePrefix="1" applyNumberFormat="1" applyFont="1" applyBorder="1" applyAlignment="1">
      <alignment horizontal="center"/>
    </xf>
    <xf numFmtId="170" fontId="15" fillId="0" borderId="24" xfId="0" applyNumberFormat="1" applyFont="1" applyBorder="1" applyAlignment="1">
      <alignment horizontal="center"/>
    </xf>
    <xf numFmtId="173" fontId="15" fillId="0" borderId="41" xfId="0" quotePrefix="1" applyNumberFormat="1" applyFont="1" applyBorder="1" applyAlignment="1">
      <alignment horizontal="center"/>
    </xf>
    <xf numFmtId="0" fontId="15" fillId="0" borderId="24" xfId="0" applyFont="1" applyBorder="1" applyAlignment="1">
      <alignment horizontal="center"/>
    </xf>
    <xf numFmtId="170" fontId="15" fillId="0" borderId="77" xfId="0" applyNumberFormat="1" applyFont="1" applyBorder="1" applyAlignment="1">
      <alignment horizontal="center"/>
    </xf>
    <xf numFmtId="0" fontId="32" fillId="0" borderId="7" xfId="0" applyFont="1" applyBorder="1"/>
    <xf numFmtId="0" fontId="33" fillId="0" borderId="2" xfId="0" applyFont="1" applyBorder="1"/>
    <xf numFmtId="0" fontId="34" fillId="0" borderId="2" xfId="0" applyFont="1" applyBorder="1"/>
    <xf numFmtId="0" fontId="33" fillId="0" borderId="6" xfId="0" applyFont="1" applyBorder="1" applyAlignment="1">
      <alignment horizontal="center"/>
    </xf>
    <xf numFmtId="0" fontId="33" fillId="0" borderId="18" xfId="0" applyFont="1" applyBorder="1" applyAlignment="1">
      <alignment horizontal="center"/>
    </xf>
    <xf numFmtId="0" fontId="33" fillId="0" borderId="83" xfId="0" applyFont="1" applyBorder="1" applyAlignment="1">
      <alignment horizontal="center"/>
    </xf>
    <xf numFmtId="0" fontId="33" fillId="0" borderId="16" xfId="0" applyFont="1" applyBorder="1" applyAlignment="1">
      <alignment horizontal="center"/>
    </xf>
    <xf numFmtId="0" fontId="33" fillId="0" borderId="52" xfId="0" applyFont="1" applyBorder="1"/>
    <xf numFmtId="0" fontId="33" fillId="0" borderId="83" xfId="0" applyFont="1" applyBorder="1"/>
    <xf numFmtId="0" fontId="33" fillId="0" borderId="16" xfId="0" applyFont="1" applyBorder="1"/>
    <xf numFmtId="0" fontId="33" fillId="0" borderId="1" xfId="0" applyFont="1" applyBorder="1" applyAlignment="1">
      <alignment horizontal="center"/>
    </xf>
    <xf numFmtId="0" fontId="33" fillId="0" borderId="0" xfId="0" applyFont="1" applyBorder="1" applyAlignment="1">
      <alignment horizontal="center"/>
    </xf>
    <xf numFmtId="173" fontId="33" fillId="0" borderId="77" xfId="0" applyNumberFormat="1" applyFont="1" applyBorder="1" applyAlignment="1">
      <alignment horizontal="center"/>
    </xf>
    <xf numFmtId="0" fontId="33" fillId="0" borderId="3" xfId="0" applyFont="1" applyBorder="1"/>
    <xf numFmtId="0" fontId="33" fillId="0" borderId="4" xfId="0" applyFont="1" applyBorder="1" applyAlignment="1">
      <alignment horizontal="center"/>
    </xf>
    <xf numFmtId="0" fontId="33" fillId="0" borderId="5" xfId="0" applyFont="1" applyBorder="1" applyAlignment="1">
      <alignment horizontal="center"/>
    </xf>
    <xf numFmtId="0" fontId="33" fillId="0" borderId="73" xfId="0" applyFont="1" applyBorder="1" applyAlignment="1">
      <alignment horizontal="center"/>
    </xf>
    <xf numFmtId="0" fontId="33" fillId="0" borderId="8" xfId="0" applyFont="1" applyBorder="1" applyAlignment="1">
      <alignment horizontal="center"/>
    </xf>
    <xf numFmtId="0" fontId="33" fillId="0" borderId="54" xfId="0" applyFont="1" applyBorder="1"/>
    <xf numFmtId="0" fontId="33" fillId="0" borderId="73" xfId="0" applyFont="1" applyBorder="1"/>
    <xf numFmtId="0" fontId="33" fillId="0" borderId="8" xfId="0" applyFont="1" applyBorder="1"/>
    <xf numFmtId="173" fontId="33" fillId="0" borderId="53" xfId="0" applyNumberFormat="1" applyFont="1" applyBorder="1" applyAlignment="1">
      <alignment horizontal="center"/>
    </xf>
    <xf numFmtId="0" fontId="35" fillId="0" borderId="77" xfId="0" applyFont="1" applyBorder="1" applyAlignment="1">
      <alignment horizontal="center"/>
    </xf>
    <xf numFmtId="0" fontId="35" fillId="0" borderId="53" xfId="0" applyFont="1" applyBorder="1" applyAlignment="1">
      <alignment horizontal="center"/>
    </xf>
    <xf numFmtId="164" fontId="15" fillId="17" borderId="53" xfId="1" applyNumberFormat="1" applyFont="1" applyFill="1" applyBorder="1" applyAlignment="1">
      <alignment horizontal="left" vertical="top" wrapText="1"/>
    </xf>
    <xf numFmtId="164" fontId="19" fillId="17" borderId="53" xfId="1" applyNumberFormat="1" applyFont="1" applyFill="1" applyBorder="1" applyAlignment="1">
      <alignment horizontal="left" vertical="top" wrapText="1"/>
    </xf>
    <xf numFmtId="168" fontId="15" fillId="17" borderId="13" xfId="0" applyNumberFormat="1" applyFont="1" applyFill="1" applyBorder="1" applyAlignment="1">
      <alignment horizontal="center"/>
    </xf>
    <xf numFmtId="168" fontId="15" fillId="17" borderId="53" xfId="0" applyNumberFormat="1" applyFont="1" applyFill="1" applyBorder="1" applyAlignment="1">
      <alignment horizontal="center"/>
    </xf>
    <xf numFmtId="0" fontId="15" fillId="17" borderId="13" xfId="0" applyNumberFormat="1" applyFont="1" applyFill="1" applyBorder="1" applyAlignment="1">
      <alignment horizontal="center"/>
    </xf>
    <xf numFmtId="0" fontId="15" fillId="17" borderId="14" xfId="0" applyNumberFormat="1" applyFont="1" applyFill="1" applyBorder="1" applyAlignment="1">
      <alignment horizontal="center"/>
    </xf>
    <xf numFmtId="174" fontId="15" fillId="17" borderId="13" xfId="0" applyNumberFormat="1" applyFont="1" applyFill="1" applyBorder="1" applyAlignment="1"/>
    <xf numFmtId="174" fontId="15" fillId="17" borderId="14" xfId="0" applyNumberFormat="1" applyFont="1" applyFill="1" applyBorder="1" applyAlignment="1"/>
    <xf numFmtId="168" fontId="17" fillId="17" borderId="16" xfId="0" applyNumberFormat="1" applyFont="1" applyFill="1" applyBorder="1"/>
    <xf numFmtId="168" fontId="17" fillId="17" borderId="52" xfId="0" applyNumberFormat="1" applyFont="1" applyFill="1" applyBorder="1"/>
    <xf numFmtId="168" fontId="17" fillId="17" borderId="0" xfId="0" applyNumberFormat="1" applyFont="1" applyFill="1" applyBorder="1" applyAlignment="1">
      <alignment horizontal="center"/>
    </xf>
    <xf numFmtId="168" fontId="17" fillId="17" borderId="14" xfId="0" applyNumberFormat="1" applyFont="1" applyFill="1" applyBorder="1"/>
    <xf numFmtId="14" fontId="15" fillId="17" borderId="13" xfId="0" applyNumberFormat="1" applyFont="1" applyFill="1" applyBorder="1" applyAlignment="1">
      <alignment horizontal="center"/>
    </xf>
    <xf numFmtId="14" fontId="15" fillId="17" borderId="53" xfId="0" applyNumberFormat="1" applyFont="1" applyFill="1" applyBorder="1" applyAlignment="1">
      <alignment horizontal="center"/>
    </xf>
    <xf numFmtId="14" fontId="15" fillId="17" borderId="0" xfId="0" applyNumberFormat="1" applyFont="1" applyFill="1" applyBorder="1" applyAlignment="1">
      <alignment horizontal="center"/>
    </xf>
    <xf numFmtId="14" fontId="15" fillId="17" borderId="14" xfId="0" applyNumberFormat="1" applyFont="1" applyFill="1" applyBorder="1" applyAlignment="1">
      <alignment horizontal="center"/>
    </xf>
    <xf numFmtId="168" fontId="17" fillId="17" borderId="13" xfId="0" applyNumberFormat="1" applyFont="1" applyFill="1" applyBorder="1"/>
    <xf numFmtId="168" fontId="17" fillId="17" borderId="53" xfId="0" applyNumberFormat="1" applyFont="1" applyFill="1" applyBorder="1"/>
    <xf numFmtId="168" fontId="17" fillId="17" borderId="13" xfId="0" applyNumberFormat="1" applyFont="1" applyFill="1" applyBorder="1" applyAlignment="1">
      <alignment horizontal="center"/>
    </xf>
    <xf numFmtId="168" fontId="17" fillId="17" borderId="53" xfId="0" applyNumberFormat="1" applyFont="1" applyFill="1" applyBorder="1" applyAlignment="1">
      <alignment horizontal="center"/>
    </xf>
    <xf numFmtId="0" fontId="17" fillId="17" borderId="13" xfId="0" applyNumberFormat="1" applyFont="1" applyFill="1" applyBorder="1" applyAlignment="1">
      <alignment horizontal="center"/>
    </xf>
    <xf numFmtId="0" fontId="17" fillId="17" borderId="14" xfId="0" applyNumberFormat="1" applyFont="1" applyFill="1" applyBorder="1" applyAlignment="1">
      <alignment horizontal="center"/>
    </xf>
    <xf numFmtId="43" fontId="15" fillId="17" borderId="13" xfId="1" applyFont="1" applyFill="1" applyBorder="1" applyAlignment="1">
      <alignment horizontal="center"/>
    </xf>
    <xf numFmtId="43" fontId="15" fillId="17" borderId="53" xfId="1" applyFont="1" applyFill="1" applyBorder="1" applyAlignment="1">
      <alignment horizontal="center"/>
    </xf>
    <xf numFmtId="168" fontId="15" fillId="17" borderId="13" xfId="0" applyNumberFormat="1" applyFont="1" applyFill="1" applyBorder="1"/>
    <xf numFmtId="168" fontId="15" fillId="17" borderId="53" xfId="0" applyNumberFormat="1" applyFont="1" applyFill="1" applyBorder="1"/>
    <xf numFmtId="43" fontId="15" fillId="17" borderId="14" xfId="1" applyFont="1" applyFill="1" applyBorder="1" applyAlignment="1">
      <alignment horizontal="center"/>
    </xf>
    <xf numFmtId="168" fontId="15" fillId="17" borderId="14" xfId="0" applyNumberFormat="1" applyFont="1" applyFill="1" applyBorder="1"/>
    <xf numFmtId="0" fontId="17" fillId="0" borderId="7" xfId="0" applyFont="1" applyBorder="1" applyAlignment="1">
      <alignment wrapText="1"/>
    </xf>
    <xf numFmtId="0" fontId="15" fillId="0" borderId="83" xfId="0" applyFont="1" applyBorder="1"/>
    <xf numFmtId="173" fontId="15" fillId="0" borderId="54" xfId="0" applyNumberFormat="1" applyFont="1" applyBorder="1"/>
    <xf numFmtId="173" fontId="15" fillId="0" borderId="73" xfId="0" applyNumberFormat="1" applyFont="1" applyBorder="1"/>
    <xf numFmtId="173" fontId="15" fillId="0" borderId="4" xfId="0" applyNumberFormat="1" applyFont="1" applyBorder="1"/>
    <xf numFmtId="0" fontId="9" fillId="0" borderId="0" xfId="2" applyAlignment="1" applyProtection="1">
      <alignment vertical="center"/>
    </xf>
    <xf numFmtId="0" fontId="9" fillId="0" borderId="0" xfId="2" applyAlignment="1" applyProtection="1"/>
    <xf numFmtId="174" fontId="15" fillId="0" borderId="13" xfId="1" applyNumberFormat="1" applyFont="1" applyBorder="1" applyAlignment="1" applyProtection="1">
      <alignment horizontal="center"/>
      <protection locked="0"/>
    </xf>
    <xf numFmtId="174" fontId="15" fillId="0" borderId="13" xfId="1" applyNumberFormat="1" applyFont="1" applyBorder="1" applyProtection="1">
      <protection locked="0"/>
    </xf>
    <xf numFmtId="174" fontId="15" fillId="0" borderId="13" xfId="1" applyNumberFormat="1" applyFont="1" applyFill="1" applyBorder="1" applyProtection="1">
      <protection locked="0"/>
    </xf>
    <xf numFmtId="174" fontId="15" fillId="0" borderId="0" xfId="1" applyNumberFormat="1" applyFont="1" applyFill="1" applyBorder="1" applyProtection="1">
      <protection locked="0"/>
    </xf>
    <xf numFmtId="0" fontId="19" fillId="0" borderId="6" xfId="0" applyFont="1" applyBorder="1" applyAlignment="1">
      <alignment horizontal="left"/>
    </xf>
    <xf numFmtId="0" fontId="19" fillId="0" borderId="17" xfId="0" applyFont="1" applyBorder="1" applyAlignment="1">
      <alignment horizontal="center"/>
    </xf>
    <xf numFmtId="0" fontId="45" fillId="0" borderId="2" xfId="0" applyFont="1" applyBorder="1"/>
    <xf numFmtId="0" fontId="46" fillId="0" borderId="1" xfId="0" applyFont="1" applyBorder="1" applyAlignment="1">
      <alignment horizontal="center"/>
    </xf>
    <xf numFmtId="0" fontId="47" fillId="0" borderId="77" xfId="0" applyFont="1" applyBorder="1" applyAlignment="1">
      <alignment horizontal="center"/>
    </xf>
    <xf numFmtId="0" fontId="47" fillId="0" borderId="53" xfId="0" applyFont="1" applyBorder="1" applyAlignment="1">
      <alignment horizontal="center"/>
    </xf>
    <xf numFmtId="0" fontId="48" fillId="0" borderId="0" xfId="0" applyFont="1"/>
    <xf numFmtId="0" fontId="15" fillId="0" borderId="83" xfId="0" applyFont="1" applyBorder="1" applyAlignment="1">
      <alignment horizontal="center"/>
    </xf>
    <xf numFmtId="0" fontId="15" fillId="0" borderId="73" xfId="0" applyFont="1" applyBorder="1" applyAlignment="1">
      <alignment horizontal="center"/>
    </xf>
    <xf numFmtId="0" fontId="20" fillId="0" borderId="0" xfId="0" applyNumberFormat="1" applyFont="1" applyBorder="1" applyAlignment="1" applyProtection="1">
      <alignment horizontal="left"/>
    </xf>
    <xf numFmtId="170" fontId="15" fillId="17" borderId="13" xfId="1" applyNumberFormat="1" applyFont="1" applyFill="1" applyBorder="1" applyAlignment="1">
      <alignment horizontal="center"/>
    </xf>
    <xf numFmtId="170" fontId="15" fillId="17" borderId="44" xfId="1" applyNumberFormat="1" applyFont="1" applyFill="1" applyBorder="1" applyAlignment="1">
      <alignment horizontal="center"/>
    </xf>
    <xf numFmtId="170" fontId="15" fillId="17" borderId="53" xfId="1" applyNumberFormat="1" applyFont="1" applyFill="1" applyBorder="1" applyAlignment="1">
      <alignment horizontal="center"/>
    </xf>
    <xf numFmtId="170" fontId="15" fillId="17" borderId="0" xfId="1" applyNumberFormat="1" applyFont="1" applyFill="1" applyBorder="1" applyAlignment="1">
      <alignment horizontal="center"/>
    </xf>
    <xf numFmtId="0" fontId="15" fillId="17" borderId="0" xfId="0" applyFont="1" applyFill="1" applyAlignment="1">
      <alignment horizontal="center"/>
    </xf>
    <xf numFmtId="0" fontId="15" fillId="17" borderId="0" xfId="0" applyFont="1" applyFill="1"/>
    <xf numFmtId="0" fontId="15" fillId="17" borderId="14" xfId="0" applyFont="1" applyFill="1" applyBorder="1"/>
    <xf numFmtId="0" fontId="15" fillId="17" borderId="5" xfId="0" applyFont="1" applyFill="1" applyBorder="1" applyAlignment="1">
      <alignment horizontal="center"/>
    </xf>
    <xf numFmtId="0" fontId="15" fillId="17" borderId="5" xfId="0" applyFont="1" applyFill="1" applyBorder="1"/>
    <xf numFmtId="0" fontId="15" fillId="17" borderId="15" xfId="0" applyFont="1" applyFill="1" applyBorder="1"/>
    <xf numFmtId="173" fontId="15" fillId="0" borderId="20" xfId="0" applyNumberFormat="1" applyFont="1" applyBorder="1" applyAlignment="1">
      <alignment horizontal="center"/>
    </xf>
    <xf numFmtId="173" fontId="15" fillId="0" borderId="16" xfId="0" applyNumberFormat="1" applyFont="1" applyBorder="1" applyAlignment="1">
      <alignment horizontal="center"/>
    </xf>
    <xf numFmtId="173" fontId="15" fillId="0" borderId="43" xfId="0" applyNumberFormat="1" applyFont="1" applyBorder="1" applyAlignment="1">
      <alignment horizontal="center"/>
    </xf>
    <xf numFmtId="173" fontId="15" fillId="0" borderId="52" xfId="0" applyNumberFormat="1" applyFont="1" applyBorder="1" applyAlignment="1">
      <alignment horizontal="center"/>
    </xf>
    <xf numFmtId="173" fontId="15" fillId="0" borderId="41" xfId="0" applyNumberFormat="1" applyFont="1" applyBorder="1" applyAlignment="1">
      <alignment horizontal="center"/>
    </xf>
    <xf numFmtId="173" fontId="15" fillId="0" borderId="8" xfId="0" applyNumberFormat="1" applyFont="1" applyBorder="1" applyAlignment="1">
      <alignment horizontal="center"/>
    </xf>
    <xf numFmtId="173" fontId="15" fillId="0" borderId="55" xfId="0" applyNumberFormat="1" applyFont="1" applyBorder="1"/>
    <xf numFmtId="173" fontId="15" fillId="0" borderId="41" xfId="0" applyNumberFormat="1" applyFont="1" applyBorder="1"/>
    <xf numFmtId="0" fontId="19" fillId="0" borderId="20" xfId="0" applyFont="1" applyBorder="1" applyAlignment="1">
      <alignment horizontal="center"/>
    </xf>
    <xf numFmtId="0" fontId="19" fillId="0" borderId="16" xfId="0" applyFont="1" applyBorder="1" applyAlignment="1">
      <alignment horizontal="center"/>
    </xf>
    <xf numFmtId="168" fontId="15" fillId="0" borderId="52" xfId="0" applyNumberFormat="1" applyFont="1" applyBorder="1"/>
    <xf numFmtId="170" fontId="15" fillId="0" borderId="13" xfId="7" applyNumberFormat="1" applyFont="1" applyBorder="1" applyAlignment="1">
      <alignment horizontal="center"/>
    </xf>
    <xf numFmtId="168" fontId="15" fillId="0" borderId="53" xfId="0" applyNumberFormat="1" applyFont="1" applyBorder="1"/>
    <xf numFmtId="170" fontId="15" fillId="0" borderId="24" xfId="7" applyNumberFormat="1" applyFont="1" applyBorder="1" applyAlignment="1">
      <alignment horizontal="center"/>
    </xf>
    <xf numFmtId="170" fontId="15" fillId="0" borderId="53" xfId="7" applyNumberFormat="1" applyFont="1" applyBorder="1" applyAlignment="1">
      <alignment horizontal="center"/>
    </xf>
    <xf numFmtId="173" fontId="15" fillId="17" borderId="24" xfId="0" applyNumberFormat="1" applyFont="1" applyFill="1" applyBorder="1" applyAlignment="1">
      <alignment horizontal="center"/>
    </xf>
    <xf numFmtId="173" fontId="15" fillId="17" borderId="13" xfId="0" applyNumberFormat="1" applyFont="1" applyFill="1" applyBorder="1" applyAlignment="1">
      <alignment horizontal="center"/>
    </xf>
    <xf numFmtId="173" fontId="15" fillId="17" borderId="53" xfId="0" applyNumberFormat="1" applyFont="1" applyFill="1" applyBorder="1"/>
    <xf numFmtId="173" fontId="15" fillId="17" borderId="24" xfId="0" applyNumberFormat="1" applyFont="1" applyFill="1" applyBorder="1"/>
    <xf numFmtId="173" fontId="15" fillId="17" borderId="13" xfId="0" applyNumberFormat="1" applyFont="1" applyFill="1" applyBorder="1"/>
    <xf numFmtId="0" fontId="15" fillId="0" borderId="84" xfId="0" applyFont="1" applyBorder="1" applyAlignment="1">
      <alignment horizontal="center"/>
    </xf>
    <xf numFmtId="0" fontId="15" fillId="0" borderId="85" xfId="0" applyFont="1" applyBorder="1" applyAlignment="1">
      <alignment horizontal="center"/>
    </xf>
    <xf numFmtId="168" fontId="15" fillId="0" borderId="86" xfId="0" applyNumberFormat="1" applyFont="1" applyBorder="1"/>
    <xf numFmtId="168" fontId="15" fillId="0" borderId="84" xfId="0" applyNumberFormat="1" applyFont="1" applyBorder="1"/>
    <xf numFmtId="168" fontId="15" fillId="0" borderId="85" xfId="0" applyNumberFormat="1" applyFont="1" applyBorder="1"/>
    <xf numFmtId="168" fontId="15" fillId="0" borderId="87" xfId="0" applyNumberFormat="1" applyFont="1" applyBorder="1"/>
    <xf numFmtId="168" fontId="15" fillId="0" borderId="88" xfId="0" applyNumberFormat="1" applyFont="1" applyBorder="1"/>
    <xf numFmtId="168" fontId="15" fillId="0" borderId="89" xfId="0" applyNumberFormat="1" applyFont="1" applyBorder="1"/>
    <xf numFmtId="173" fontId="17" fillId="0" borderId="90" xfId="0" applyNumberFormat="1" applyFont="1" applyBorder="1"/>
    <xf numFmtId="173" fontId="17" fillId="0" borderId="91" xfId="0" applyNumberFormat="1" applyFont="1" applyBorder="1"/>
    <xf numFmtId="173" fontId="17" fillId="0" borderId="92" xfId="0" applyNumberFormat="1" applyFont="1" applyBorder="1"/>
    <xf numFmtId="49" fontId="17" fillId="0" borderId="7" xfId="0" applyNumberFormat="1" applyFont="1" applyFill="1" applyBorder="1" applyAlignment="1">
      <alignment horizontal="center" vertical="center" wrapText="1"/>
    </xf>
    <xf numFmtId="0" fontId="17" fillId="0" borderId="20" xfId="0" applyFont="1" applyFill="1" applyBorder="1" applyAlignment="1">
      <alignment vertical="center"/>
    </xf>
    <xf numFmtId="0" fontId="17" fillId="0" borderId="41" xfId="0" applyFont="1" applyFill="1" applyBorder="1" applyAlignment="1">
      <alignment vertical="center"/>
    </xf>
    <xf numFmtId="0" fontId="15" fillId="0" borderId="24" xfId="0" applyNumberFormat="1" applyFont="1" applyBorder="1" applyAlignment="1">
      <alignment horizontal="center"/>
    </xf>
    <xf numFmtId="0" fontId="15" fillId="0" borderId="40" xfId="0" applyNumberFormat="1" applyFont="1" applyBorder="1" applyAlignment="1">
      <alignment horizontal="center"/>
    </xf>
    <xf numFmtId="0" fontId="15" fillId="0" borderId="24" xfId="0" applyNumberFormat="1" applyFont="1" applyFill="1" applyBorder="1" applyAlignment="1">
      <alignment horizontal="center"/>
    </xf>
    <xf numFmtId="0" fontId="15" fillId="0" borderId="40" xfId="0" applyNumberFormat="1" applyFont="1" applyFill="1" applyBorder="1" applyAlignment="1">
      <alignment horizontal="center"/>
    </xf>
    <xf numFmtId="0" fontId="15" fillId="0" borderId="33" xfId="0" applyNumberFormat="1" applyFont="1" applyFill="1" applyBorder="1" applyAlignment="1">
      <alignment horizontal="center"/>
    </xf>
    <xf numFmtId="173" fontId="15" fillId="0" borderId="53" xfId="0" applyNumberFormat="1" applyFont="1" applyBorder="1" applyAlignment="1" applyProtection="1">
      <alignment horizontal="right"/>
    </xf>
    <xf numFmtId="173" fontId="15" fillId="0" borderId="24" xfId="0" applyNumberFormat="1" applyFont="1" applyFill="1" applyBorder="1" applyAlignment="1" applyProtection="1">
      <alignment horizontal="right"/>
    </xf>
    <xf numFmtId="173" fontId="17" fillId="0" borderId="66" xfId="0" applyNumberFormat="1" applyFont="1" applyBorder="1" applyProtection="1"/>
    <xf numFmtId="173" fontId="15" fillId="0" borderId="77" xfId="0" applyNumberFormat="1" applyFont="1" applyBorder="1" applyAlignment="1" applyProtection="1">
      <alignment horizontal="right"/>
    </xf>
    <xf numFmtId="173" fontId="15" fillId="0" borderId="47" xfId="0" applyNumberFormat="1" applyFont="1" applyBorder="1" applyAlignment="1">
      <alignment horizontal="right"/>
    </xf>
    <xf numFmtId="0" fontId="17" fillId="0" borderId="52" xfId="0" applyFont="1" applyBorder="1" applyAlignment="1" applyProtection="1">
      <alignment horizontal="center"/>
    </xf>
    <xf numFmtId="173" fontId="17" fillId="0" borderId="66" xfId="0" applyNumberFormat="1" applyFont="1" applyBorder="1" applyAlignment="1" applyProtection="1">
      <alignment horizontal="right"/>
    </xf>
    <xf numFmtId="173" fontId="15" fillId="0" borderId="53" xfId="0" applyNumberFormat="1" applyFont="1" applyBorder="1" applyProtection="1"/>
    <xf numFmtId="173" fontId="15" fillId="0" borderId="53" xfId="0" applyNumberFormat="1" applyFont="1" applyFill="1" applyBorder="1" applyAlignment="1" applyProtection="1">
      <alignment horizontal="right"/>
    </xf>
    <xf numFmtId="173" fontId="17" fillId="0" borderId="64" xfId="0" applyNumberFormat="1" applyFont="1" applyBorder="1" applyProtection="1"/>
    <xf numFmtId="0" fontId="10" fillId="0" borderId="0" xfId="6" applyFont="1"/>
    <xf numFmtId="167" fontId="15" fillId="0" borderId="53" xfId="0" applyNumberFormat="1" applyFont="1" applyFill="1" applyBorder="1" applyAlignment="1">
      <alignment horizontal="center" vertical="top" wrapText="1"/>
    </xf>
    <xf numFmtId="173" fontId="15" fillId="0" borderId="0" xfId="1" applyNumberFormat="1" applyFont="1"/>
    <xf numFmtId="168" fontId="17" fillId="0" borderId="37" xfId="0" applyNumberFormat="1" applyFont="1" applyBorder="1"/>
    <xf numFmtId="174" fontId="17" fillId="0" borderId="37" xfId="0" applyNumberFormat="1" applyFont="1" applyBorder="1"/>
    <xf numFmtId="0" fontId="17" fillId="0" borderId="37" xfId="0" applyNumberFormat="1" applyFont="1" applyBorder="1"/>
    <xf numFmtId="0" fontId="17" fillId="0" borderId="36" xfId="0" applyNumberFormat="1" applyFont="1" applyBorder="1"/>
    <xf numFmtId="168" fontId="17" fillId="0" borderId="38" xfId="0" applyNumberFormat="1" applyFont="1" applyBorder="1"/>
    <xf numFmtId="0" fontId="17" fillId="0" borderId="83" xfId="0" applyNumberFormat="1" applyFont="1" applyFill="1" applyBorder="1" applyAlignment="1">
      <alignment horizontal="center"/>
    </xf>
    <xf numFmtId="0" fontId="17" fillId="0" borderId="77" xfId="0" applyNumberFormat="1" applyFont="1" applyFill="1" applyBorder="1" applyAlignment="1">
      <alignment horizontal="center"/>
    </xf>
    <xf numFmtId="0" fontId="15" fillId="0" borderId="77" xfId="0" applyNumberFormat="1" applyFont="1" applyFill="1" applyBorder="1"/>
    <xf numFmtId="168" fontId="17" fillId="0" borderId="80" xfId="0" applyNumberFormat="1" applyFont="1" applyBorder="1"/>
    <xf numFmtId="173" fontId="17" fillId="0" borderId="64" xfId="0" applyNumberFormat="1" applyFont="1" applyBorder="1"/>
    <xf numFmtId="168" fontId="17" fillId="0" borderId="36" xfId="0" applyNumberFormat="1" applyFont="1" applyBorder="1"/>
    <xf numFmtId="0" fontId="17" fillId="0" borderId="77" xfId="0" applyFont="1" applyFill="1" applyBorder="1" applyAlignment="1">
      <alignment horizontal="center" vertical="center" wrapText="1"/>
    </xf>
    <xf numFmtId="0" fontId="17" fillId="0" borderId="24" xfId="0" applyFont="1" applyFill="1" applyBorder="1" applyAlignment="1" applyProtection="1">
      <alignment horizontal="left" indent="1"/>
    </xf>
    <xf numFmtId="0" fontId="17" fillId="0" borderId="2" xfId="0" applyNumberFormat="1" applyFont="1" applyFill="1" applyBorder="1" applyAlignment="1">
      <alignment wrapText="1"/>
    </xf>
    <xf numFmtId="0" fontId="17" fillId="0" borderId="2" xfId="0" applyFont="1" applyFill="1" applyBorder="1" applyAlignment="1">
      <alignment horizontal="left" vertical="center"/>
    </xf>
    <xf numFmtId="0" fontId="17" fillId="0" borderId="24" xfId="0" applyFont="1" applyFill="1" applyBorder="1" applyAlignment="1">
      <alignment vertical="center"/>
    </xf>
    <xf numFmtId="0" fontId="17" fillId="0" borderId="18" xfId="0" applyFont="1" applyFill="1" applyBorder="1" applyAlignment="1">
      <alignment horizontal="left" vertical="center"/>
    </xf>
    <xf numFmtId="0" fontId="15" fillId="0" borderId="18" xfId="0" applyNumberFormat="1" applyFont="1" applyFill="1" applyBorder="1" applyAlignment="1">
      <alignment horizontal="center"/>
    </xf>
    <xf numFmtId="173" fontId="17" fillId="0" borderId="18" xfId="0" applyNumberFormat="1" applyFont="1" applyFill="1" applyBorder="1"/>
    <xf numFmtId="0" fontId="15" fillId="0" borderId="20" xfId="0" applyNumberFormat="1" applyFont="1" applyBorder="1" applyAlignment="1">
      <alignment horizontal="center"/>
    </xf>
    <xf numFmtId="173" fontId="15" fillId="0" borderId="17" xfId="0" applyNumberFormat="1" applyFont="1" applyBorder="1"/>
    <xf numFmtId="173" fontId="15" fillId="0" borderId="7" xfId="0" applyNumberFormat="1" applyFont="1" applyBorder="1"/>
    <xf numFmtId="173" fontId="15" fillId="0" borderId="18" xfId="0" applyNumberFormat="1" applyFont="1" applyBorder="1"/>
    <xf numFmtId="173" fontId="15" fillId="0" borderId="44" xfId="0" applyNumberFormat="1" applyFont="1" applyBorder="1"/>
    <xf numFmtId="173" fontId="17" fillId="0" borderId="80" xfId="0" applyNumberFormat="1" applyFont="1" applyBorder="1"/>
    <xf numFmtId="173" fontId="17" fillId="0" borderId="80" xfId="0" applyNumberFormat="1" applyFont="1" applyFill="1" applyBorder="1"/>
    <xf numFmtId="173" fontId="17" fillId="0" borderId="44" xfId="0" applyNumberFormat="1" applyFont="1" applyFill="1" applyBorder="1"/>
    <xf numFmtId="173" fontId="17" fillId="0" borderId="78" xfId="0" applyNumberFormat="1" applyFont="1" applyFill="1" applyBorder="1"/>
    <xf numFmtId="173" fontId="15" fillId="0" borderId="43" xfId="0" applyNumberFormat="1" applyFont="1" applyBorder="1"/>
    <xf numFmtId="0" fontId="17" fillId="0" borderId="68" xfId="0" applyFont="1" applyFill="1" applyBorder="1" applyAlignment="1">
      <alignment horizontal="center" vertical="center" wrapText="1"/>
    </xf>
    <xf numFmtId="173" fontId="17" fillId="0" borderId="67" xfId="0" applyNumberFormat="1" applyFont="1" applyBorder="1"/>
    <xf numFmtId="173" fontId="17" fillId="0" borderId="67" xfId="0" applyNumberFormat="1" applyFont="1" applyFill="1" applyBorder="1"/>
    <xf numFmtId="173" fontId="17" fillId="0" borderId="1" xfId="0" applyNumberFormat="1" applyFont="1" applyFill="1" applyBorder="1"/>
    <xf numFmtId="173" fontId="17" fillId="0" borderId="68" xfId="0" applyNumberFormat="1" applyFont="1" applyFill="1" applyBorder="1"/>
    <xf numFmtId="173" fontId="17" fillId="0" borderId="6" xfId="0" applyNumberFormat="1" applyFont="1" applyFill="1" applyBorder="1"/>
    <xf numFmtId="173" fontId="15" fillId="0" borderId="6" xfId="0" applyNumberFormat="1" applyFont="1" applyBorder="1"/>
    <xf numFmtId="0" fontId="49" fillId="18" borderId="0" xfId="0" applyFont="1" applyFill="1" applyProtection="1"/>
    <xf numFmtId="0" fontId="50" fillId="18" borderId="0" xfId="0" applyFont="1" applyFill="1" applyAlignment="1" applyProtection="1">
      <alignment horizontal="right"/>
    </xf>
    <xf numFmtId="0" fontId="38" fillId="18" borderId="0" xfId="0" applyFont="1" applyFill="1" applyProtection="1"/>
    <xf numFmtId="0" fontId="51" fillId="18" borderId="0" xfId="0" applyFont="1" applyFill="1" applyProtection="1"/>
    <xf numFmtId="0" fontId="52" fillId="18" borderId="0" xfId="0" applyFont="1" applyFill="1" applyAlignment="1" applyProtection="1">
      <alignment horizontal="right"/>
    </xf>
    <xf numFmtId="49" fontId="51" fillId="18" borderId="0" xfId="0" applyNumberFormat="1" applyFont="1" applyFill="1" applyAlignment="1" applyProtection="1">
      <alignment horizontal="right"/>
    </xf>
    <xf numFmtId="49" fontId="52" fillId="18" borderId="0" xfId="0" applyNumberFormat="1" applyFont="1" applyFill="1" applyAlignment="1" applyProtection="1">
      <alignment horizontal="right"/>
    </xf>
    <xf numFmtId="0" fontId="51" fillId="18" borderId="0" xfId="0" applyFont="1" applyFill="1" applyAlignment="1" applyProtection="1">
      <alignment horizontal="right"/>
    </xf>
    <xf numFmtId="0" fontId="14" fillId="18" borderId="0" xfId="0" applyFont="1" applyFill="1" applyProtection="1">
      <protection locked="0"/>
    </xf>
    <xf numFmtId="0" fontId="12" fillId="0" borderId="0" xfId="0" applyNumberFormat="1" applyFont="1" applyFill="1" applyBorder="1" applyAlignment="1">
      <alignment horizontal="left"/>
    </xf>
    <xf numFmtId="0" fontId="17" fillId="0" borderId="0" xfId="0"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top" wrapText="1"/>
    </xf>
    <xf numFmtId="0" fontId="15" fillId="0" borderId="0" xfId="0" applyNumberFormat="1" applyFont="1" applyFill="1" applyBorder="1" applyAlignment="1">
      <alignment horizontal="left" indent="1"/>
    </xf>
    <xf numFmtId="0" fontId="15" fillId="0" borderId="0" xfId="0" applyNumberFormat="1" applyFont="1" applyFill="1" applyBorder="1" applyAlignment="1">
      <alignment horizontal="center"/>
    </xf>
    <xf numFmtId="172" fontId="15" fillId="0" borderId="0" xfId="1" applyNumberFormat="1" applyFont="1" applyFill="1" applyBorder="1"/>
    <xf numFmtId="169" fontId="17" fillId="0" borderId="0" xfId="0" applyNumberFormat="1" applyFont="1" applyFill="1" applyBorder="1"/>
    <xf numFmtId="0" fontId="15" fillId="0" borderId="0" xfId="0" quotePrefix="1" applyNumberFormat="1" applyFont="1" applyFill="1" applyBorder="1" applyAlignment="1">
      <alignment horizontal="center"/>
    </xf>
    <xf numFmtId="0" fontId="17" fillId="0" borderId="0" xfId="0" applyNumberFormat="1" applyFont="1" applyFill="1" applyBorder="1"/>
    <xf numFmtId="0" fontId="15" fillId="0" borderId="0" xfId="0" applyNumberFormat="1" applyFont="1" applyFill="1" applyBorder="1"/>
    <xf numFmtId="0" fontId="19" fillId="0" borderId="0" xfId="0" applyNumberFormat="1" applyFont="1" applyFill="1" applyBorder="1"/>
    <xf numFmtId="174" fontId="15" fillId="0" borderId="0" xfId="0" applyNumberFormat="1" applyFont="1" applyFill="1" applyBorder="1" applyProtection="1">
      <protection locked="0"/>
    </xf>
    <xf numFmtId="168" fontId="15" fillId="0" borderId="0" xfId="0" applyNumberFormat="1" applyFont="1" applyFill="1" applyBorder="1" applyProtection="1">
      <protection locked="0"/>
    </xf>
    <xf numFmtId="0" fontId="15" fillId="0" borderId="0" xfId="0" applyNumberFormat="1" applyFont="1" applyFill="1" applyBorder="1" applyAlignment="1" applyProtection="1">
      <alignment horizontal="center"/>
      <protection locked="0"/>
    </xf>
    <xf numFmtId="0" fontId="15" fillId="0" borderId="0" xfId="1" applyNumberFormat="1" applyFont="1" applyFill="1" applyBorder="1" applyAlignment="1" applyProtection="1">
      <alignment horizontal="center"/>
      <protection locked="0"/>
    </xf>
    <xf numFmtId="172" fontId="15" fillId="0" borderId="0" xfId="1" applyNumberFormat="1" applyFont="1" applyFill="1" applyBorder="1" applyProtection="1">
      <protection locked="0"/>
    </xf>
    <xf numFmtId="172" fontId="15" fillId="0" borderId="0" xfId="0" applyNumberFormat="1" applyFont="1" applyFill="1" applyBorder="1" applyProtection="1">
      <protection locked="0"/>
    </xf>
    <xf numFmtId="0" fontId="17" fillId="0" borderId="0" xfId="0" applyNumberFormat="1" applyFont="1" applyFill="1" applyBorder="1" applyAlignment="1">
      <alignment horizontal="center"/>
    </xf>
    <xf numFmtId="172" fontId="17" fillId="0" borderId="0" xfId="0" applyNumberFormat="1" applyFont="1" applyFill="1" applyBorder="1" applyProtection="1">
      <protection locked="0"/>
    </xf>
    <xf numFmtId="176" fontId="15" fillId="0" borderId="0" xfId="1" applyNumberFormat="1" applyFont="1" applyFill="1" applyBorder="1" applyProtection="1">
      <protection locked="0"/>
    </xf>
    <xf numFmtId="170" fontId="15" fillId="0" borderId="0" xfId="7" applyNumberFormat="1" applyFont="1" applyFill="1" applyBorder="1" applyAlignment="1" applyProtection="1">
      <alignment horizontal="center"/>
      <protection locked="0"/>
    </xf>
    <xf numFmtId="173" fontId="15" fillId="0" borderId="0" xfId="1" applyNumberFormat="1" applyFont="1" applyFill="1" applyBorder="1" applyProtection="1">
      <protection locked="0"/>
    </xf>
    <xf numFmtId="0" fontId="21" fillId="0" borderId="0" xfId="0" applyNumberFormat="1" applyFont="1" applyFill="1" applyBorder="1" applyProtection="1"/>
    <xf numFmtId="0" fontId="20" fillId="0" borderId="0" xfId="0" quotePrefix="1" applyNumberFormat="1" applyFont="1" applyFill="1" applyBorder="1" applyProtection="1"/>
    <xf numFmtId="0" fontId="17" fillId="0" borderId="43" xfId="0" applyFont="1" applyFill="1" applyBorder="1" applyAlignment="1">
      <alignment horizontal="center" vertical="center" wrapText="1"/>
    </xf>
    <xf numFmtId="0" fontId="8" fillId="6" borderId="0" xfId="0" applyFont="1" applyFill="1" applyAlignment="1">
      <alignment horizontal="left" indent="1"/>
    </xf>
    <xf numFmtId="0" fontId="5" fillId="0" borderId="0" xfId="0" applyFont="1" applyAlignment="1">
      <alignment horizontal="left" indent="1"/>
    </xf>
    <xf numFmtId="0" fontId="17" fillId="0" borderId="36" xfId="0" applyFont="1" applyFill="1" applyBorder="1" applyAlignment="1" applyProtection="1">
      <alignment vertical="top"/>
      <protection locked="0"/>
    </xf>
    <xf numFmtId="0" fontId="15" fillId="0" borderId="36" xfId="0" applyFont="1" applyFill="1" applyBorder="1" applyAlignment="1" applyProtection="1">
      <alignment vertical="top" wrapText="1"/>
      <protection locked="0"/>
    </xf>
    <xf numFmtId="0" fontId="15" fillId="0" borderId="93" xfId="0" applyFont="1" applyFill="1" applyBorder="1" applyAlignment="1" applyProtection="1">
      <alignment vertical="top" wrapText="1"/>
      <protection locked="0"/>
    </xf>
    <xf numFmtId="0" fontId="17" fillId="0" borderId="5" xfId="0" applyFont="1" applyBorder="1"/>
    <xf numFmtId="0" fontId="17" fillId="0" borderId="73" xfId="0" applyFont="1" applyBorder="1"/>
    <xf numFmtId="0" fontId="17" fillId="0" borderId="39" xfId="0" applyFont="1" applyFill="1" applyBorder="1" applyAlignment="1" applyProtection="1">
      <alignment vertical="top"/>
      <protection locked="0"/>
    </xf>
    <xf numFmtId="0" fontId="17" fillId="0" borderId="93" xfId="0" applyFont="1" applyFill="1" applyBorder="1" applyAlignment="1" applyProtection="1">
      <alignment horizontal="center" vertical="top" wrapText="1"/>
      <protection locked="0"/>
    </xf>
    <xf numFmtId="0" fontId="51" fillId="18" borderId="0" xfId="0" applyFont="1" applyFill="1" applyProtection="1">
      <protection locked="0"/>
    </xf>
    <xf numFmtId="0" fontId="51" fillId="18" borderId="2" xfId="0" applyFont="1" applyFill="1" applyBorder="1" applyAlignment="1" applyProtection="1">
      <alignment horizontal="left" indent="1"/>
      <protection locked="0"/>
    </xf>
    <xf numFmtId="0" fontId="20" fillId="0" borderId="52" xfId="0" applyNumberFormat="1" applyFont="1" applyFill="1" applyBorder="1" applyAlignment="1">
      <alignment horizontal="center"/>
    </xf>
    <xf numFmtId="0" fontId="20" fillId="0" borderId="53" xfId="0" applyNumberFormat="1" applyFont="1" applyFill="1" applyBorder="1" applyAlignment="1" applyProtection="1">
      <alignment horizontal="center"/>
    </xf>
    <xf numFmtId="0" fontId="20" fillId="0" borderId="53" xfId="0" applyNumberFormat="1" applyFont="1" applyFill="1" applyBorder="1" applyAlignment="1">
      <alignment horizontal="center"/>
    </xf>
    <xf numFmtId="0" fontId="15" fillId="0" borderId="53" xfId="0" applyNumberFormat="1" applyFont="1" applyFill="1" applyBorder="1"/>
    <xf numFmtId="0" fontId="10" fillId="0" borderId="5" xfId="0" applyFont="1" applyFill="1" applyBorder="1" applyAlignment="1">
      <alignment horizontal="center"/>
    </xf>
    <xf numFmtId="0" fontId="15" fillId="0" borderId="17" xfId="0" applyNumberFormat="1" applyFont="1" applyBorder="1" applyAlignment="1">
      <alignment horizontal="left" vertical="top" wrapText="1"/>
    </xf>
    <xf numFmtId="0" fontId="19" fillId="0" borderId="14" xfId="0" applyNumberFormat="1" applyFont="1" applyBorder="1" applyAlignment="1">
      <alignment horizontal="left" wrapText="1"/>
    </xf>
    <xf numFmtId="0" fontId="15" fillId="0" borderId="14" xfId="0" applyNumberFormat="1" applyFont="1" applyBorder="1" applyAlignment="1">
      <alignment horizontal="left" vertical="top" wrapText="1"/>
    </xf>
    <xf numFmtId="0" fontId="15" fillId="0" borderId="76" xfId="0" applyNumberFormat="1" applyFont="1" applyFill="1" applyBorder="1" applyAlignment="1" applyProtection="1">
      <alignment horizontal="center" vertical="top" wrapText="1"/>
    </xf>
    <xf numFmtId="0" fontId="15" fillId="0" borderId="49" xfId="0" applyNumberFormat="1" applyFont="1" applyFill="1" applyBorder="1" applyAlignment="1" applyProtection="1">
      <alignment horizontal="left" vertical="top" wrapText="1"/>
    </xf>
    <xf numFmtId="0" fontId="17" fillId="0" borderId="2" xfId="0" applyNumberFormat="1" applyFont="1" applyFill="1" applyBorder="1" applyAlignment="1" applyProtection="1">
      <alignment horizontal="left" vertical="top" wrapText="1" indent="1"/>
      <protection locked="0"/>
    </xf>
    <xf numFmtId="0" fontId="15" fillId="0" borderId="1" xfId="0" applyNumberFormat="1" applyFont="1" applyFill="1" applyBorder="1" applyAlignment="1" applyProtection="1">
      <alignment horizontal="center" vertical="top" wrapText="1"/>
      <protection locked="0"/>
    </xf>
    <xf numFmtId="0" fontId="15" fillId="0" borderId="14" xfId="0" applyNumberFormat="1" applyFont="1" applyFill="1" applyBorder="1" applyAlignment="1" applyProtection="1">
      <alignment horizontal="left" vertical="top" wrapText="1"/>
      <protection locked="0"/>
    </xf>
    <xf numFmtId="164" fontId="15" fillId="0" borderId="53" xfId="1" applyNumberFormat="1" applyFont="1" applyFill="1" applyBorder="1" applyAlignment="1" applyProtection="1">
      <alignment horizontal="left" vertical="top" wrapText="1"/>
    </xf>
    <xf numFmtId="164" fontId="15" fillId="0" borderId="2" xfId="1" applyNumberFormat="1" applyFont="1" applyFill="1" applyBorder="1" applyAlignment="1" applyProtection="1">
      <alignment horizontal="center" vertical="top" wrapText="1"/>
    </xf>
    <xf numFmtId="164" fontId="15" fillId="0" borderId="13" xfId="1" applyNumberFormat="1" applyFont="1" applyFill="1" applyBorder="1" applyAlignment="1" applyProtection="1">
      <alignment horizontal="center" vertical="top" wrapText="1"/>
    </xf>
    <xf numFmtId="164" fontId="15" fillId="0" borderId="44" xfId="1" applyNumberFormat="1" applyFont="1" applyFill="1" applyBorder="1" applyAlignment="1" applyProtection="1">
      <alignment horizontal="center" vertical="top" wrapText="1"/>
    </xf>
    <xf numFmtId="164" fontId="15" fillId="0" borderId="1" xfId="1" applyNumberFormat="1" applyFont="1" applyFill="1" applyBorder="1" applyAlignment="1" applyProtection="1">
      <alignment horizontal="center" vertical="top" wrapText="1"/>
    </xf>
    <xf numFmtId="164" fontId="15" fillId="0" borderId="0" xfId="1" applyNumberFormat="1" applyFont="1" applyFill="1" applyBorder="1" applyAlignment="1" applyProtection="1">
      <alignment horizontal="center" vertical="top" wrapText="1"/>
    </xf>
    <xf numFmtId="164" fontId="15" fillId="0" borderId="14" xfId="1" applyNumberFormat="1" applyFont="1" applyFill="1" applyBorder="1" applyAlignment="1" applyProtection="1">
      <alignment horizontal="center" vertical="top" wrapText="1"/>
    </xf>
    <xf numFmtId="0" fontId="17" fillId="0" borderId="45" xfId="0" applyNumberFormat="1" applyFont="1" applyFill="1" applyBorder="1" applyAlignment="1" applyProtection="1">
      <alignment horizontal="left" vertical="top" wrapText="1" indent="1"/>
      <protection locked="0"/>
    </xf>
    <xf numFmtId="0" fontId="15" fillId="0" borderId="76" xfId="0" applyNumberFormat="1" applyFont="1" applyFill="1" applyBorder="1" applyAlignment="1" applyProtection="1">
      <alignment horizontal="center" vertical="top" wrapText="1"/>
      <protection locked="0"/>
    </xf>
    <xf numFmtId="0" fontId="15" fillId="0" borderId="49" xfId="0" applyNumberFormat="1" applyFont="1" applyFill="1" applyBorder="1" applyAlignment="1" applyProtection="1">
      <alignment horizontal="left" vertical="top" wrapText="1"/>
      <protection locked="0"/>
    </xf>
    <xf numFmtId="164" fontId="15" fillId="0" borderId="67" xfId="1" applyNumberFormat="1" applyFont="1" applyFill="1" applyBorder="1" applyAlignment="1" applyProtection="1">
      <alignment horizontal="left" vertical="top" wrapText="1"/>
    </xf>
    <xf numFmtId="164" fontId="15" fillId="0" borderId="66" xfId="1" applyNumberFormat="1" applyFont="1" applyFill="1" applyBorder="1" applyAlignment="1" applyProtection="1">
      <alignment horizontal="left" vertical="top" wrapText="1"/>
    </xf>
    <xf numFmtId="164" fontId="15" fillId="0" borderId="39" xfId="1" applyNumberFormat="1" applyFont="1" applyFill="1" applyBorder="1" applyAlignment="1" applyProtection="1">
      <alignment horizontal="center" vertical="top" wrapText="1"/>
    </xf>
    <xf numFmtId="164" fontId="15" fillId="0" borderId="37" xfId="1" applyNumberFormat="1" applyFont="1" applyFill="1" applyBorder="1" applyAlignment="1" applyProtection="1">
      <alignment horizontal="center" vertical="top" wrapText="1"/>
    </xf>
    <xf numFmtId="164" fontId="15" fillId="0" borderId="80" xfId="1" applyNumberFormat="1" applyFont="1" applyFill="1" applyBorder="1" applyAlignment="1" applyProtection="1">
      <alignment horizontal="center" vertical="top" wrapText="1"/>
    </xf>
    <xf numFmtId="164" fontId="15" fillId="0" borderId="67" xfId="1" applyNumberFormat="1" applyFont="1" applyFill="1" applyBorder="1" applyAlignment="1" applyProtection="1">
      <alignment horizontal="center" vertical="top" wrapText="1"/>
    </xf>
    <xf numFmtId="164" fontId="15" fillId="0" borderId="36" xfId="1" applyNumberFormat="1" applyFont="1" applyFill="1" applyBorder="1" applyAlignment="1" applyProtection="1">
      <alignment horizontal="center" vertical="top" wrapText="1"/>
    </xf>
    <xf numFmtId="164" fontId="15" fillId="0" borderId="38" xfId="1" applyNumberFormat="1" applyFont="1" applyFill="1" applyBorder="1" applyAlignment="1" applyProtection="1">
      <alignment horizontal="center" vertical="top" wrapText="1"/>
    </xf>
    <xf numFmtId="0" fontId="15" fillId="0" borderId="4" xfId="0" applyFont="1" applyBorder="1" applyAlignment="1">
      <alignment horizontal="center" vertical="top" wrapText="1"/>
    </xf>
    <xf numFmtId="0" fontId="15" fillId="0" borderId="15" xfId="0" applyFont="1" applyBorder="1" applyAlignment="1">
      <alignment horizontal="left" vertical="top" wrapText="1"/>
    </xf>
    <xf numFmtId="0" fontId="29" fillId="0" borderId="0" xfId="0" applyFont="1"/>
    <xf numFmtId="173" fontId="10" fillId="0" borderId="6" xfId="0" applyNumberFormat="1" applyFont="1" applyFill="1" applyBorder="1" applyAlignment="1" applyProtection="1">
      <alignment horizontal="center"/>
      <protection locked="0"/>
    </xf>
    <xf numFmtId="0" fontId="15" fillId="0" borderId="18" xfId="0" applyFont="1" applyBorder="1"/>
    <xf numFmtId="0" fontId="15" fillId="0" borderId="17" xfId="0" applyFont="1" applyBorder="1"/>
    <xf numFmtId="0" fontId="17" fillId="0" borderId="72" xfId="0" applyFont="1" applyFill="1" applyBorder="1" applyAlignment="1" applyProtection="1">
      <alignment horizontal="center" vertical="center" wrapText="1"/>
    </xf>
    <xf numFmtId="0" fontId="15" fillId="0" borderId="4" xfId="0" applyFont="1" applyFill="1" applyBorder="1" applyAlignment="1">
      <alignment horizontal="center"/>
    </xf>
    <xf numFmtId="0" fontId="17" fillId="0" borderId="24"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5" fillId="0" borderId="1" xfId="0" applyFont="1" applyFill="1" applyBorder="1" applyAlignment="1">
      <alignment horizontal="center"/>
    </xf>
    <xf numFmtId="0" fontId="19" fillId="0" borderId="0" xfId="0" applyNumberFormat="1" applyFont="1" applyBorder="1" applyProtection="1"/>
    <xf numFmtId="173" fontId="10" fillId="0" borderId="16" xfId="0" applyNumberFormat="1" applyFont="1" applyFill="1" applyBorder="1" applyProtection="1">
      <protection locked="0"/>
    </xf>
    <xf numFmtId="173" fontId="10" fillId="0" borderId="52" xfId="0" applyNumberFormat="1" applyFont="1" applyFill="1" applyBorder="1" applyProtection="1">
      <protection locked="0"/>
    </xf>
    <xf numFmtId="173" fontId="17" fillId="0" borderId="7" xfId="0" applyNumberFormat="1" applyFont="1" applyFill="1" applyBorder="1" applyProtection="1"/>
    <xf numFmtId="173" fontId="17" fillId="0" borderId="16" xfId="0" applyNumberFormat="1" applyFont="1" applyFill="1" applyBorder="1" applyProtection="1"/>
    <xf numFmtId="173" fontId="17" fillId="0" borderId="18" xfId="0" applyNumberFormat="1" applyFont="1" applyFill="1" applyBorder="1" applyProtection="1"/>
    <xf numFmtId="173" fontId="17" fillId="0" borderId="20" xfId="0" applyNumberFormat="1" applyFont="1" applyFill="1" applyBorder="1" applyProtection="1"/>
    <xf numFmtId="173" fontId="17" fillId="0" borderId="17" xfId="0" applyNumberFormat="1" applyFont="1" applyFill="1" applyBorder="1" applyProtection="1"/>
    <xf numFmtId="0" fontId="23" fillId="0" borderId="0" xfId="0" applyNumberFormat="1" applyFont="1" applyBorder="1" applyAlignment="1" applyProtection="1">
      <alignment horizontal="left"/>
    </xf>
    <xf numFmtId="0" fontId="15" fillId="0" borderId="0" xfId="0" applyNumberFormat="1" applyFont="1" applyBorder="1" applyAlignment="1" applyProtection="1">
      <alignment horizontal="left" indent="1"/>
    </xf>
    <xf numFmtId="0" fontId="15" fillId="0" borderId="1" xfId="0" applyNumberFormat="1" applyFont="1" applyFill="1" applyBorder="1" applyAlignment="1" applyProtection="1">
      <alignment horizontal="center"/>
    </xf>
    <xf numFmtId="0" fontId="20" fillId="0" borderId="0" xfId="0" applyNumberFormat="1" applyFont="1" applyBorder="1" applyAlignment="1" applyProtection="1">
      <alignment horizontal="right" indent="1"/>
    </xf>
    <xf numFmtId="0" fontId="17" fillId="0" borderId="0" xfId="0" applyNumberFormat="1" applyFont="1" applyBorder="1" applyAlignment="1" applyProtection="1">
      <alignment horizontal="left"/>
    </xf>
    <xf numFmtId="0" fontId="15" fillId="0" borderId="50" xfId="0" applyNumberFormat="1" applyFont="1" applyBorder="1" applyProtection="1"/>
    <xf numFmtId="173" fontId="17" fillId="16" borderId="5" xfId="0" applyNumberFormat="1" applyFont="1" applyFill="1" applyBorder="1" applyProtection="1">
      <protection locked="0"/>
    </xf>
    <xf numFmtId="173" fontId="17" fillId="0" borderId="0" xfId="0" applyNumberFormat="1" applyFont="1" applyFill="1" applyBorder="1" applyProtection="1">
      <protection locked="0"/>
    </xf>
    <xf numFmtId="173" fontId="15" fillId="0" borderId="41" xfId="0" applyNumberFormat="1" applyFont="1" applyFill="1" applyBorder="1" applyProtection="1"/>
    <xf numFmtId="173" fontId="15" fillId="0" borderId="8" xfId="0" applyNumberFormat="1" applyFont="1" applyFill="1" applyBorder="1" applyProtection="1"/>
    <xf numFmtId="173" fontId="15" fillId="0" borderId="15" xfId="0" applyNumberFormat="1" applyFont="1" applyFill="1" applyBorder="1" applyProtection="1"/>
    <xf numFmtId="173" fontId="15" fillId="0" borderId="3" xfId="0" applyNumberFormat="1" applyFont="1" applyFill="1" applyBorder="1" applyProtection="1"/>
    <xf numFmtId="173" fontId="15" fillId="0" borderId="5" xfId="0" applyNumberFormat="1" applyFont="1" applyFill="1" applyBorder="1" applyProtection="1"/>
    <xf numFmtId="0" fontId="20" fillId="0" borderId="0" xfId="0" applyFont="1" applyAlignment="1" applyProtection="1">
      <alignment horizontal="center"/>
    </xf>
    <xf numFmtId="0" fontId="17" fillId="0" borderId="9"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94" xfId="0" applyFont="1" applyFill="1" applyBorder="1" applyAlignment="1">
      <alignment horizontal="center" vertical="top" wrapText="1"/>
    </xf>
    <xf numFmtId="0" fontId="17" fillId="0" borderId="62" xfId="0" applyFont="1" applyFill="1" applyBorder="1" applyAlignment="1">
      <alignment horizontal="center" vertical="top" wrapText="1"/>
    </xf>
    <xf numFmtId="0" fontId="17" fillId="0" borderId="78" xfId="0" applyFont="1" applyFill="1" applyBorder="1" applyAlignment="1">
      <alignment horizontal="center" vertical="top" wrapText="1"/>
    </xf>
    <xf numFmtId="0" fontId="17" fillId="0" borderId="68"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64" xfId="0" applyFont="1" applyFill="1" applyBorder="1" applyAlignment="1">
      <alignment horizontal="center" vertical="top" wrapText="1"/>
    </xf>
    <xf numFmtId="0" fontId="15" fillId="0" borderId="17" xfId="0" applyNumberFormat="1" applyFont="1" applyFill="1" applyBorder="1" applyAlignment="1" applyProtection="1">
      <alignment horizontal="center"/>
    </xf>
    <xf numFmtId="0" fontId="15" fillId="0" borderId="14" xfId="0" applyNumberFormat="1" applyFont="1" applyFill="1" applyBorder="1" applyAlignment="1" applyProtection="1">
      <alignment horizontal="center"/>
    </xf>
    <xf numFmtId="0" fontId="15" fillId="0" borderId="49" xfId="0" applyNumberFormat="1" applyFont="1" applyFill="1" applyBorder="1" applyAlignment="1" applyProtection="1">
      <alignment horizontal="center"/>
    </xf>
    <xf numFmtId="0" fontId="15" fillId="0" borderId="15" xfId="0" applyNumberFormat="1" applyFont="1" applyFill="1" applyBorder="1" applyAlignment="1" applyProtection="1">
      <alignment horizontal="center"/>
    </xf>
    <xf numFmtId="0" fontId="15" fillId="0" borderId="2" xfId="0" applyNumberFormat="1" applyFont="1" applyFill="1" applyBorder="1" applyAlignment="1" applyProtection="1">
      <alignment horizontal="left" vertical="top" wrapText="1" indent="1"/>
      <protection locked="0"/>
    </xf>
    <xf numFmtId="0" fontId="20" fillId="0" borderId="45" xfId="0" applyNumberFormat="1" applyFont="1" applyFill="1" applyBorder="1" applyAlignment="1" applyProtection="1">
      <alignment horizontal="left" vertical="top" wrapText="1" indent="1"/>
      <protection locked="0"/>
    </xf>
    <xf numFmtId="0" fontId="15" fillId="0" borderId="6" xfId="0" applyNumberFormat="1" applyFont="1" applyFill="1" applyBorder="1" applyAlignment="1">
      <alignment horizontal="center" wrapText="1"/>
    </xf>
    <xf numFmtId="0" fontId="15" fillId="0" borderId="1" xfId="0" applyNumberFormat="1" applyFont="1" applyFill="1" applyBorder="1" applyAlignment="1">
      <alignment horizontal="center" wrapText="1"/>
    </xf>
    <xf numFmtId="0" fontId="15" fillId="0" borderId="1" xfId="0" applyNumberFormat="1" applyFont="1" applyFill="1" applyBorder="1" applyAlignment="1">
      <alignment horizontal="center" vertical="top" wrapText="1"/>
    </xf>
    <xf numFmtId="0" fontId="15" fillId="0" borderId="76" xfId="0" applyNumberFormat="1" applyFont="1" applyFill="1" applyBorder="1" applyAlignment="1">
      <alignment horizontal="center" vertical="top" wrapText="1"/>
    </xf>
    <xf numFmtId="173" fontId="15" fillId="0" borderId="77" xfId="0" applyNumberFormat="1" applyFont="1" applyBorder="1" applyAlignment="1"/>
    <xf numFmtId="0" fontId="17" fillId="0" borderId="16" xfId="0" applyFont="1" applyFill="1" applyBorder="1" applyAlignment="1">
      <alignment vertical="center" wrapText="1"/>
    </xf>
    <xf numFmtId="0" fontId="17" fillId="0" borderId="52" xfId="0" applyFont="1" applyFill="1" applyBorder="1" applyAlignment="1">
      <alignment vertical="center" wrapText="1"/>
    </xf>
    <xf numFmtId="0" fontId="17" fillId="0" borderId="83" xfId="0" applyFont="1" applyFill="1" applyBorder="1" applyAlignment="1">
      <alignment vertical="center" wrapText="1"/>
    </xf>
    <xf numFmtId="0" fontId="18" fillId="0" borderId="3" xfId="0" applyNumberFormat="1" applyFont="1" applyBorder="1"/>
    <xf numFmtId="0" fontId="20" fillId="0" borderId="8" xfId="0" applyNumberFormat="1" applyFont="1" applyBorder="1" applyAlignment="1">
      <alignment horizontal="center"/>
    </xf>
    <xf numFmtId="167" fontId="20" fillId="0" borderId="8" xfId="7" applyNumberFormat="1" applyFont="1" applyFill="1" applyBorder="1" applyAlignment="1">
      <alignment horizontal="center"/>
    </xf>
    <xf numFmtId="167" fontId="20" fillId="0" borderId="15" xfId="7" applyNumberFormat="1" applyFont="1" applyFill="1" applyBorder="1" applyAlignment="1">
      <alignment horizontal="center"/>
    </xf>
    <xf numFmtId="167" fontId="20" fillId="0" borderId="3" xfId="7" applyNumberFormat="1" applyFont="1" applyFill="1" applyBorder="1" applyAlignment="1">
      <alignment horizontal="center"/>
    </xf>
    <xf numFmtId="167" fontId="20" fillId="0" borderId="5" xfId="7" applyNumberFormat="1" applyFont="1" applyFill="1" applyBorder="1" applyAlignment="1">
      <alignment horizontal="center"/>
    </xf>
    <xf numFmtId="167" fontId="20" fillId="0" borderId="41" xfId="7" applyNumberFormat="1" applyFont="1" applyFill="1" applyBorder="1" applyAlignment="1">
      <alignment horizontal="center"/>
    </xf>
    <xf numFmtId="0" fontId="18" fillId="0" borderId="7" xfId="0" applyNumberFormat="1" applyFont="1" applyBorder="1"/>
    <xf numFmtId="0" fontId="20" fillId="0" borderId="16" xfId="0" applyNumberFormat="1" applyFont="1" applyBorder="1" applyAlignment="1">
      <alignment horizontal="center"/>
    </xf>
    <xf numFmtId="167" fontId="20" fillId="0" borderId="16" xfId="7" applyNumberFormat="1" applyFont="1" applyFill="1" applyBorder="1" applyAlignment="1">
      <alignment horizontal="center"/>
    </xf>
    <xf numFmtId="167" fontId="20" fillId="0" borderId="17" xfId="7" applyNumberFormat="1" applyFont="1" applyFill="1" applyBorder="1" applyAlignment="1">
      <alignment horizontal="center"/>
    </xf>
    <xf numFmtId="167" fontId="20" fillId="0" borderId="7" xfId="7" applyNumberFormat="1" applyFont="1" applyFill="1" applyBorder="1" applyAlignment="1">
      <alignment horizontal="center"/>
    </xf>
    <xf numFmtId="167" fontId="20" fillId="0" borderId="18" xfId="7" applyNumberFormat="1" applyFont="1" applyFill="1" applyBorder="1" applyAlignment="1">
      <alignment horizontal="center"/>
    </xf>
    <xf numFmtId="167" fontId="20" fillId="0" borderId="20" xfId="7" applyNumberFormat="1" applyFont="1" applyFill="1" applyBorder="1" applyAlignment="1">
      <alignment horizontal="center"/>
    </xf>
    <xf numFmtId="0" fontId="20" fillId="0" borderId="0" xfId="0" applyFont="1" applyAlignment="1">
      <alignment horizontal="left"/>
    </xf>
    <xf numFmtId="173" fontId="15" fillId="0" borderId="0" xfId="0" applyNumberFormat="1" applyFont="1" applyFill="1"/>
    <xf numFmtId="9" fontId="15" fillId="0" borderId="0" xfId="7" applyFont="1" applyFill="1" applyAlignment="1">
      <alignment horizontal="center"/>
    </xf>
    <xf numFmtId="9" fontId="15" fillId="0" borderId="0" xfId="7" applyFont="1" applyFill="1" applyAlignment="1" applyProtection="1">
      <alignment horizontal="center"/>
      <protection locked="0"/>
    </xf>
    <xf numFmtId="0" fontId="15" fillId="0" borderId="44" xfId="0" applyNumberFormat="1" applyFont="1" applyFill="1" applyBorder="1" applyAlignment="1">
      <alignment horizontal="center"/>
    </xf>
    <xf numFmtId="0" fontId="15" fillId="0" borderId="44" xfId="0" applyNumberFormat="1" applyFont="1" applyFill="1" applyBorder="1" applyAlignment="1" applyProtection="1">
      <alignment horizontal="center"/>
      <protection locked="0"/>
    </xf>
    <xf numFmtId="0" fontId="15" fillId="0" borderId="55" xfId="0" applyNumberFormat="1" applyFont="1" applyFill="1" applyBorder="1" applyAlignment="1">
      <alignment horizontal="center"/>
    </xf>
    <xf numFmtId="0" fontId="15" fillId="0" borderId="0" xfId="0" applyFont="1" applyFill="1" applyBorder="1" applyAlignment="1" applyProtection="1">
      <alignment horizontal="center"/>
      <protection locked="0"/>
    </xf>
    <xf numFmtId="0" fontId="15" fillId="0" borderId="0" xfId="0" applyFont="1" applyFill="1" applyAlignment="1">
      <alignment horizontal="center"/>
    </xf>
    <xf numFmtId="0" fontId="17" fillId="0" borderId="16" xfId="0" applyFont="1" applyFill="1" applyBorder="1" applyAlignment="1">
      <alignment horizontal="center" wrapText="1"/>
    </xf>
    <xf numFmtId="173" fontId="17" fillId="0" borderId="1" xfId="0" applyNumberFormat="1" applyFont="1" applyBorder="1" applyAlignment="1">
      <alignment horizontal="right"/>
    </xf>
    <xf numFmtId="173" fontId="17" fillId="0" borderId="28" xfId="0" applyNumberFormat="1" applyFont="1" applyBorder="1" applyAlignment="1">
      <alignment horizontal="right"/>
    </xf>
    <xf numFmtId="173" fontId="17" fillId="0" borderId="59" xfId="0" applyNumberFormat="1" applyFont="1" applyBorder="1" applyAlignment="1">
      <alignment horizontal="right"/>
    </xf>
    <xf numFmtId="173" fontId="17" fillId="0" borderId="27" xfId="0" applyNumberFormat="1" applyFont="1" applyBorder="1" applyAlignment="1">
      <alignment horizontal="right"/>
    </xf>
    <xf numFmtId="173" fontId="17" fillId="0" borderId="44" xfId="0" applyNumberFormat="1" applyFont="1" applyBorder="1" applyAlignment="1">
      <alignment horizontal="right"/>
    </xf>
    <xf numFmtId="173" fontId="17" fillId="0" borderId="77" xfId="0" applyNumberFormat="1" applyFont="1" applyBorder="1" applyAlignment="1">
      <alignment horizontal="right"/>
    </xf>
    <xf numFmtId="173" fontId="17" fillId="0" borderId="53" xfId="0" applyNumberFormat="1" applyFont="1" applyBorder="1" applyAlignment="1">
      <alignment horizontal="right"/>
    </xf>
    <xf numFmtId="173" fontId="17" fillId="0" borderId="24" xfId="0" applyNumberFormat="1" applyFont="1" applyFill="1" applyBorder="1" applyAlignment="1">
      <alignment horizontal="right"/>
    </xf>
    <xf numFmtId="173" fontId="17" fillId="0" borderId="53" xfId="0" applyNumberFormat="1" applyFont="1" applyFill="1" applyBorder="1" applyAlignment="1">
      <alignment horizontal="right"/>
    </xf>
    <xf numFmtId="173" fontId="17" fillId="0" borderId="28" xfId="0" applyNumberFormat="1" applyFont="1" applyFill="1" applyBorder="1" applyAlignment="1">
      <alignment horizontal="right"/>
    </xf>
    <xf numFmtId="173" fontId="17" fillId="0" borderId="58" xfId="0" applyNumberFormat="1" applyFont="1" applyFill="1" applyBorder="1" applyAlignment="1">
      <alignment horizontal="right"/>
    </xf>
    <xf numFmtId="173" fontId="15" fillId="0" borderId="74" xfId="0" applyNumberFormat="1" applyFont="1" applyFill="1" applyBorder="1"/>
    <xf numFmtId="0" fontId="17" fillId="0" borderId="78" xfId="0" applyFont="1" applyFill="1" applyBorder="1" applyAlignment="1">
      <alignment horizontal="center" vertical="center" wrapText="1"/>
    </xf>
    <xf numFmtId="173" fontId="17" fillId="0" borderId="25" xfId="0" applyNumberFormat="1" applyFont="1" applyBorder="1" applyAlignment="1">
      <alignment horizontal="right"/>
    </xf>
    <xf numFmtId="0" fontId="15" fillId="0" borderId="13" xfId="0" applyNumberFormat="1" applyFont="1" applyFill="1" applyBorder="1" applyProtection="1"/>
    <xf numFmtId="0" fontId="15" fillId="0" borderId="14" xfId="0" applyNumberFormat="1" applyFont="1" applyFill="1" applyBorder="1" applyProtection="1"/>
    <xf numFmtId="0" fontId="15" fillId="0" borderId="2" xfId="0" applyNumberFormat="1" applyFont="1" applyFill="1" applyBorder="1" applyProtection="1"/>
    <xf numFmtId="0" fontId="15" fillId="0" borderId="0" xfId="0" applyNumberFormat="1" applyFont="1" applyFill="1" applyBorder="1" applyProtection="1"/>
    <xf numFmtId="0" fontId="15" fillId="0" borderId="24" xfId="0" applyNumberFormat="1" applyFont="1" applyFill="1" applyBorder="1" applyProtection="1"/>
    <xf numFmtId="174" fontId="15" fillId="16" borderId="2" xfId="0" applyNumberFormat="1" applyFont="1" applyFill="1" applyBorder="1" applyProtection="1">
      <protection locked="0"/>
    </xf>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4" fontId="15" fillId="0" borderId="37" xfId="0" applyNumberFormat="1" applyFont="1" applyFill="1" applyBorder="1" applyProtection="1"/>
    <xf numFmtId="174" fontId="15" fillId="0" borderId="38" xfId="0" applyNumberFormat="1" applyFont="1" applyFill="1" applyBorder="1" applyProtection="1"/>
    <xf numFmtId="174" fontId="15" fillId="0" borderId="39" xfId="0" applyNumberFormat="1" applyFont="1" applyFill="1" applyBorder="1" applyProtection="1"/>
    <xf numFmtId="174" fontId="15" fillId="0" borderId="36" xfId="0" applyNumberFormat="1" applyFont="1" applyFill="1" applyBorder="1" applyProtection="1"/>
    <xf numFmtId="174" fontId="15" fillId="0" borderId="40" xfId="0" applyNumberFormat="1" applyFont="1" applyFill="1" applyBorder="1" applyProtection="1"/>
    <xf numFmtId="174" fontId="17" fillId="0" borderId="21" xfId="0" applyNumberFormat="1" applyFont="1" applyFill="1" applyBorder="1" applyProtection="1"/>
    <xf numFmtId="174" fontId="17" fillId="0" borderId="26" xfId="0" applyNumberFormat="1" applyFont="1" applyFill="1" applyBorder="1" applyProtection="1"/>
    <xf numFmtId="174" fontId="17" fillId="0" borderId="27" xfId="0" applyNumberFormat="1" applyFont="1" applyFill="1" applyBorder="1" applyProtection="1"/>
    <xf numFmtId="174" fontId="17" fillId="0" borderId="25" xfId="0" applyNumberFormat="1" applyFont="1" applyFill="1" applyBorder="1" applyProtection="1"/>
    <xf numFmtId="174" fontId="17" fillId="0" borderId="28" xfId="0" applyNumberFormat="1" applyFont="1" applyFill="1" applyBorder="1" applyProtection="1"/>
    <xf numFmtId="174" fontId="15" fillId="0" borderId="13" xfId="0" applyNumberFormat="1" applyFont="1" applyFill="1" applyBorder="1" applyProtection="1"/>
    <xf numFmtId="174" fontId="15" fillId="0" borderId="14" xfId="0" applyNumberFormat="1" applyFont="1" applyFill="1" applyBorder="1" applyProtection="1"/>
    <xf numFmtId="174" fontId="15" fillId="0" borderId="2" xfId="0" applyNumberFormat="1" applyFont="1" applyFill="1" applyBorder="1" applyProtection="1"/>
    <xf numFmtId="174" fontId="15" fillId="0" borderId="0" xfId="0" applyNumberFormat="1" applyFont="1" applyFill="1" applyBorder="1" applyProtection="1"/>
    <xf numFmtId="174" fontId="15" fillId="0" borderId="24" xfId="0" applyNumberFormat="1" applyFont="1" applyFill="1" applyBorder="1" applyProtection="1"/>
    <xf numFmtId="174" fontId="15" fillId="16" borderId="45" xfId="0" applyNumberFormat="1" applyFont="1" applyFill="1" applyBorder="1" applyProtection="1">
      <protection locked="0"/>
    </xf>
    <xf numFmtId="174" fontId="15" fillId="16" borderId="50" xfId="0" applyNumberFormat="1" applyFont="1" applyFill="1" applyBorder="1" applyProtection="1">
      <protection locked="0"/>
    </xf>
    <xf numFmtId="0" fontId="15" fillId="0" borderId="0" xfId="0" applyNumberFormat="1" applyFont="1" applyFill="1" applyProtection="1"/>
    <xf numFmtId="0" fontId="15" fillId="0" borderId="0" xfId="0" applyNumberFormat="1" applyFont="1" applyProtection="1"/>
    <xf numFmtId="0" fontId="17" fillId="0" borderId="13" xfId="0" applyNumberFormat="1" applyFont="1" applyFill="1" applyBorder="1" applyProtection="1"/>
    <xf numFmtId="0" fontId="17" fillId="0" borderId="14" xfId="0" applyNumberFormat="1" applyFont="1" applyFill="1" applyBorder="1" applyProtection="1"/>
    <xf numFmtId="0" fontId="17" fillId="0" borderId="2" xfId="0" applyNumberFormat="1" applyFont="1" applyFill="1" applyBorder="1" applyProtection="1"/>
    <xf numFmtId="0" fontId="17" fillId="0" borderId="0" xfId="0" applyNumberFormat="1" applyFont="1" applyFill="1" applyBorder="1" applyProtection="1"/>
    <xf numFmtId="0" fontId="17" fillId="0" borderId="24" xfId="0" applyNumberFormat="1" applyFont="1" applyFill="1" applyBorder="1" applyProtection="1"/>
    <xf numFmtId="0" fontId="15" fillId="0" borderId="2" xfId="0" applyNumberFormat="1" applyFont="1" applyBorder="1" applyAlignment="1" applyProtection="1">
      <alignment horizontal="left" wrapText="1" indent="1"/>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indent="2"/>
    </xf>
    <xf numFmtId="0" fontId="33" fillId="0" borderId="2" xfId="0" applyFont="1" applyBorder="1" applyAlignment="1">
      <alignment horizontal="center"/>
    </xf>
    <xf numFmtId="0" fontId="21" fillId="0" borderId="0" xfId="0" applyFont="1" applyAlignment="1">
      <alignment horizontal="left"/>
    </xf>
    <xf numFmtId="0" fontId="20" fillId="0" borderId="0" xfId="0" applyNumberFormat="1" applyFont="1" applyFill="1" applyProtection="1"/>
    <xf numFmtId="0" fontId="15" fillId="0" borderId="0" xfId="0" applyFont="1" applyFill="1" applyAlignment="1" applyProtection="1">
      <alignment horizontal="center"/>
      <protection locked="0"/>
    </xf>
    <xf numFmtId="0" fontId="17" fillId="0" borderId="8" xfId="0" quotePrefix="1" applyFont="1" applyFill="1" applyBorder="1" applyAlignment="1">
      <alignment horizontal="center" vertical="center" wrapText="1"/>
    </xf>
    <xf numFmtId="0" fontId="17" fillId="0" borderId="16" xfId="0" applyFont="1" applyFill="1" applyBorder="1" applyAlignment="1">
      <alignment horizontal="right" wrapText="1"/>
    </xf>
    <xf numFmtId="173" fontId="15" fillId="0" borderId="77" xfId="0" applyNumberFormat="1" applyFont="1" applyBorder="1"/>
    <xf numFmtId="0" fontId="12" fillId="0" borderId="3" xfId="0" applyFont="1" applyFill="1" applyBorder="1" applyAlignment="1" applyProtection="1">
      <alignment horizontal="left"/>
    </xf>
    <xf numFmtId="0" fontId="17" fillId="0" borderId="9" xfId="0" applyFont="1" applyFill="1" applyBorder="1" applyAlignment="1" applyProtection="1">
      <alignment horizontal="centerContinuous" vertical="center" wrapText="1"/>
    </xf>
    <xf numFmtId="0" fontId="17" fillId="0" borderId="11" xfId="0" applyFont="1" applyFill="1" applyBorder="1" applyAlignment="1" applyProtection="1">
      <alignment horizontal="centerContinuous" vertical="center" wrapText="1"/>
    </xf>
    <xf numFmtId="0" fontId="17" fillId="0" borderId="62" xfId="0" applyFont="1" applyFill="1" applyBorder="1" applyAlignment="1" applyProtection="1">
      <alignment horizontal="centerContinuous" vertical="center" wrapText="1"/>
    </xf>
    <xf numFmtId="0" fontId="17" fillId="0" borderId="21" xfId="0" applyFont="1" applyFill="1" applyBorder="1" applyAlignment="1" applyProtection="1">
      <alignment horizontal="center" vertical="center" wrapText="1"/>
    </xf>
    <xf numFmtId="0" fontId="19" fillId="0" borderId="2" xfId="0" applyNumberFormat="1" applyFont="1" applyBorder="1" applyAlignment="1" applyProtection="1">
      <alignment horizontal="left" wrapText="1"/>
    </xf>
    <xf numFmtId="0" fontId="15" fillId="0" borderId="16" xfId="0" applyNumberFormat="1" applyFont="1" applyBorder="1" applyAlignment="1" applyProtection="1">
      <alignment horizontal="center" vertical="top" wrapText="1"/>
    </xf>
    <xf numFmtId="164" fontId="15" fillId="0" borderId="16" xfId="1" applyNumberFormat="1" applyFont="1" applyBorder="1" applyAlignment="1" applyProtection="1">
      <alignment vertical="top" wrapText="1"/>
    </xf>
    <xf numFmtId="164" fontId="15" fillId="0" borderId="17" xfId="1" applyNumberFormat="1" applyFont="1" applyBorder="1" applyAlignment="1" applyProtection="1">
      <alignment vertical="top" wrapText="1"/>
    </xf>
    <xf numFmtId="164" fontId="15" fillId="0" borderId="7" xfId="1" applyNumberFormat="1" applyFont="1" applyBorder="1" applyAlignment="1" applyProtection="1">
      <alignment vertical="top" wrapText="1"/>
    </xf>
    <xf numFmtId="0" fontId="15" fillId="0" borderId="2" xfId="0" applyNumberFormat="1" applyFont="1" applyBorder="1" applyAlignment="1" applyProtection="1">
      <alignment horizontal="left" wrapText="1" indent="2"/>
    </xf>
    <xf numFmtId="0" fontId="15" fillId="0" borderId="13" xfId="0" applyNumberFormat="1" applyFont="1" applyBorder="1" applyAlignment="1" applyProtection="1">
      <alignment horizontal="center" vertical="top" wrapText="1"/>
    </xf>
    <xf numFmtId="0" fontId="15" fillId="0" borderId="13" xfId="0" applyNumberFormat="1" applyFont="1" applyFill="1" applyBorder="1" applyAlignment="1" applyProtection="1">
      <alignment horizontal="center" vertical="top" wrapText="1"/>
    </xf>
    <xf numFmtId="164" fontId="15" fillId="0" borderId="13" xfId="1" applyNumberFormat="1" applyFont="1" applyFill="1" applyBorder="1" applyAlignment="1" applyProtection="1">
      <alignment vertical="top" wrapText="1"/>
    </xf>
    <xf numFmtId="164" fontId="15" fillId="0" borderId="14" xfId="1" applyNumberFormat="1" applyFont="1" applyFill="1" applyBorder="1" applyAlignment="1" applyProtection="1">
      <alignment vertical="top" wrapText="1"/>
    </xf>
    <xf numFmtId="164" fontId="15" fillId="0" borderId="2" xfId="1" applyNumberFormat="1" applyFont="1" applyFill="1" applyBorder="1" applyAlignment="1" applyProtection="1">
      <alignment vertical="top" wrapText="1"/>
    </xf>
    <xf numFmtId="0" fontId="18" fillId="0" borderId="2" xfId="0" applyNumberFormat="1" applyFont="1" applyBorder="1" applyAlignment="1" applyProtection="1">
      <alignment horizontal="left" wrapText="1" indent="1"/>
    </xf>
    <xf numFmtId="0" fontId="15" fillId="0" borderId="2" xfId="0" applyFont="1" applyBorder="1" applyAlignment="1" applyProtection="1">
      <alignment horizontal="left" indent="2"/>
    </xf>
    <xf numFmtId="177" fontId="15" fillId="0" borderId="24" xfId="1" applyNumberFormat="1" applyFont="1" applyFill="1" applyBorder="1" applyAlignment="1" applyProtection="1">
      <alignment vertical="top" wrapText="1"/>
    </xf>
    <xf numFmtId="164" fontId="17" fillId="0" borderId="13" xfId="1" applyNumberFormat="1" applyFont="1" applyFill="1" applyBorder="1" applyAlignment="1" applyProtection="1">
      <alignment vertical="top" wrapText="1"/>
    </xf>
    <xf numFmtId="164" fontId="17" fillId="0" borderId="14" xfId="1" applyNumberFormat="1" applyFont="1" applyFill="1" applyBorder="1" applyAlignment="1" applyProtection="1">
      <alignment vertical="top" wrapText="1"/>
    </xf>
    <xf numFmtId="164" fontId="17" fillId="0" borderId="2" xfId="1" applyNumberFormat="1" applyFont="1" applyFill="1" applyBorder="1" applyAlignment="1" applyProtection="1">
      <alignment vertical="top" wrapText="1"/>
    </xf>
    <xf numFmtId="0" fontId="15" fillId="0" borderId="2" xfId="0" applyNumberFormat="1" applyFont="1" applyFill="1" applyBorder="1" applyAlignment="1" applyProtection="1">
      <alignment horizontal="left" wrapText="1" indent="2"/>
    </xf>
    <xf numFmtId="0" fontId="15" fillId="0" borderId="2" xfId="0" applyNumberFormat="1" applyFont="1" applyBorder="1" applyAlignment="1" applyProtection="1">
      <alignment horizontal="left" vertical="top" wrapText="1" indent="2"/>
    </xf>
    <xf numFmtId="0" fontId="19" fillId="0" borderId="3" xfId="0" applyNumberFormat="1" applyFont="1" applyBorder="1" applyAlignment="1" applyProtection="1">
      <alignment horizontal="left" wrapText="1"/>
    </xf>
    <xf numFmtId="0" fontId="15" fillId="0" borderId="8" xfId="0" applyFont="1" applyBorder="1" applyAlignment="1" applyProtection="1">
      <alignment horizontal="center" vertical="top" wrapText="1"/>
    </xf>
    <xf numFmtId="164" fontId="15" fillId="0" borderId="8" xfId="1" applyNumberFormat="1" applyFont="1" applyBorder="1" applyAlignment="1" applyProtection="1">
      <alignment horizontal="center" vertical="top" wrapText="1"/>
    </xf>
    <xf numFmtId="164" fontId="15" fillId="0" borderId="15" xfId="1" applyNumberFormat="1" applyFont="1" applyBorder="1" applyAlignment="1" applyProtection="1">
      <alignment horizontal="center" vertical="top" wrapText="1"/>
    </xf>
    <xf numFmtId="164" fontId="15" fillId="0" borderId="3" xfId="1" applyNumberFormat="1" applyFont="1" applyBorder="1" applyAlignment="1" applyProtection="1">
      <alignment horizontal="center" vertical="top" wrapText="1"/>
    </xf>
    <xf numFmtId="0" fontId="20" fillId="0" borderId="0" xfId="4" applyFont="1" applyAlignment="1" applyProtection="1">
      <alignment horizontal="center"/>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center"/>
    </xf>
    <xf numFmtId="172" fontId="15" fillId="0" borderId="0" xfId="1" applyNumberFormat="1" applyFont="1" applyFill="1" applyBorder="1" applyProtection="1"/>
    <xf numFmtId="0" fontId="17"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Continuous" vertical="center" wrapText="1"/>
      <protection locked="0"/>
    </xf>
    <xf numFmtId="0" fontId="15" fillId="0" borderId="0" xfId="0" applyNumberFormat="1" applyFont="1" applyFill="1" applyBorder="1" applyAlignment="1" applyProtection="1">
      <alignment horizontal="center" vertical="top" wrapText="1"/>
      <protection locked="0"/>
    </xf>
    <xf numFmtId="164" fontId="15" fillId="0" borderId="0" xfId="1" applyNumberFormat="1" applyFont="1" applyFill="1" applyBorder="1" applyAlignment="1" applyProtection="1">
      <alignment vertical="top" wrapText="1"/>
      <protection locked="0"/>
    </xf>
    <xf numFmtId="0" fontId="15" fillId="0" borderId="0" xfId="0" applyNumberFormat="1" applyFont="1" applyFill="1" applyBorder="1" applyAlignment="1" applyProtection="1">
      <alignment horizontal="left" indent="1"/>
      <protection locked="0"/>
    </xf>
    <xf numFmtId="0" fontId="22" fillId="0" borderId="0" xfId="0" applyFont="1" applyFill="1" applyBorder="1" applyProtection="1">
      <protection locked="0"/>
    </xf>
    <xf numFmtId="0" fontId="19" fillId="0" borderId="0" xfId="0" applyNumberFormat="1" applyFont="1" applyFill="1" applyBorder="1" applyAlignment="1" applyProtection="1">
      <alignment horizontal="left" wrapText="1"/>
      <protection locked="0"/>
    </xf>
    <xf numFmtId="0" fontId="20" fillId="0" borderId="0" xfId="1" applyNumberFormat="1" applyFont="1" applyFill="1" applyBorder="1" applyAlignment="1" applyProtection="1">
      <alignment vertical="top" wrapText="1"/>
      <protection locked="0"/>
    </xf>
    <xf numFmtId="0" fontId="22" fillId="0" borderId="0" xfId="0" applyNumberFormat="1" applyFont="1" applyFill="1" applyBorder="1" applyProtection="1">
      <protection locked="0"/>
    </xf>
    <xf numFmtId="0" fontId="15" fillId="0" borderId="0" xfId="1" applyNumberFormat="1" applyFont="1" applyFill="1" applyBorder="1" applyProtection="1">
      <protection locked="0"/>
    </xf>
    <xf numFmtId="0" fontId="17" fillId="0" borderId="0" xfId="0" applyNumberFormat="1" applyFont="1" applyFill="1" applyBorder="1" applyAlignment="1" applyProtection="1">
      <alignment horizontal="center" vertical="center" wrapText="1"/>
      <protection locked="0"/>
    </xf>
    <xf numFmtId="0" fontId="17" fillId="0" borderId="0" xfId="0" applyNumberFormat="1" applyFont="1" applyFill="1" applyBorder="1" applyAlignment="1" applyProtection="1">
      <alignment horizontal="centerContinuous" vertical="center" wrapText="1"/>
      <protection locked="0"/>
    </xf>
    <xf numFmtId="0" fontId="15" fillId="0" borderId="0" xfId="1" applyNumberFormat="1" applyFont="1" applyFill="1" applyBorder="1"/>
    <xf numFmtId="0" fontId="15" fillId="0" borderId="0" xfId="1" applyNumberFormat="1" applyFont="1" applyFill="1" applyBorder="1" applyAlignment="1" applyProtection="1">
      <alignment vertical="top" wrapText="1"/>
      <protection locked="0"/>
    </xf>
    <xf numFmtId="0" fontId="15" fillId="0" borderId="0" xfId="0" applyNumberFormat="1" applyFont="1" applyFill="1" applyBorder="1" applyProtection="1">
      <protection locked="0"/>
    </xf>
    <xf numFmtId="0" fontId="17" fillId="0" borderId="0" xfId="0" applyNumberFormat="1" applyFont="1" applyFill="1" applyBorder="1" applyProtection="1">
      <protection locked="0"/>
    </xf>
    <xf numFmtId="0" fontId="15" fillId="0" borderId="0" xfId="7" applyNumberFormat="1" applyFont="1" applyFill="1" applyBorder="1" applyAlignment="1" applyProtection="1">
      <alignment horizontal="center"/>
      <protection locked="0"/>
    </xf>
    <xf numFmtId="0" fontId="15" fillId="0" borderId="0" xfId="0" applyNumberFormat="1" applyFont="1" applyFill="1" applyBorder="1" applyAlignment="1" applyProtection="1">
      <alignment horizontal="left" wrapText="1" indent="2"/>
    </xf>
    <xf numFmtId="0" fontId="15" fillId="0" borderId="0" xfId="0" applyNumberFormat="1" applyFont="1" applyFill="1" applyBorder="1" applyAlignment="1" applyProtection="1">
      <alignment horizontal="center" vertical="top" wrapText="1"/>
    </xf>
    <xf numFmtId="164" fontId="15" fillId="0" borderId="0" xfId="1" applyNumberFormat="1" applyFont="1" applyFill="1" applyBorder="1" applyAlignment="1" applyProtection="1">
      <alignment vertical="top" wrapText="1"/>
    </xf>
    <xf numFmtId="0" fontId="18" fillId="0" borderId="0" xfId="0" applyNumberFormat="1" applyFont="1" applyFill="1" applyBorder="1" applyAlignment="1" applyProtection="1">
      <alignment horizontal="left" indent="1"/>
    </xf>
    <xf numFmtId="0" fontId="18" fillId="0" borderId="0" xfId="0" applyNumberFormat="1" applyFont="1" applyFill="1" applyBorder="1" applyAlignment="1" applyProtection="1">
      <alignment horizontal="left" wrapText="1" indent="1"/>
    </xf>
    <xf numFmtId="0" fontId="19" fillId="0" borderId="0" xfId="0" applyNumberFormat="1" applyFont="1" applyFill="1" applyBorder="1" applyAlignment="1" applyProtection="1">
      <alignment horizontal="left" wrapText="1"/>
    </xf>
    <xf numFmtId="0" fontId="15" fillId="0" borderId="0" xfId="0" applyFont="1" applyFill="1" applyBorder="1" applyAlignment="1" applyProtection="1">
      <alignment horizontal="center" vertical="top" wrapText="1"/>
    </xf>
    <xf numFmtId="0" fontId="20" fillId="0" borderId="8" xfId="1" applyNumberFormat="1" applyFont="1" applyFill="1" applyBorder="1" applyAlignment="1" applyProtection="1">
      <alignment vertical="top" wrapText="1"/>
      <protection locked="0"/>
    </xf>
    <xf numFmtId="0" fontId="15" fillId="0" borderId="8" xfId="0" applyNumberFormat="1" applyFont="1" applyFill="1" applyBorder="1" applyAlignment="1" applyProtection="1">
      <alignment horizontal="center" vertical="top" wrapText="1"/>
    </xf>
    <xf numFmtId="164" fontId="15" fillId="0" borderId="8" xfId="1" applyNumberFormat="1" applyFont="1" applyFill="1" applyBorder="1" applyAlignment="1" applyProtection="1">
      <alignment vertical="top" wrapText="1"/>
    </xf>
    <xf numFmtId="164" fontId="15" fillId="0" borderId="15" xfId="1" applyNumberFormat="1" applyFont="1" applyFill="1" applyBorder="1" applyAlignment="1" applyProtection="1">
      <alignment vertical="top" wrapText="1"/>
    </xf>
    <xf numFmtId="164" fontId="15" fillId="0" borderId="3" xfId="1" applyNumberFormat="1" applyFont="1" applyFill="1" applyBorder="1" applyAlignment="1" applyProtection="1">
      <alignment vertical="top" wrapText="1"/>
    </xf>
    <xf numFmtId="0" fontId="17" fillId="0" borderId="29"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32" xfId="0" applyFont="1" applyFill="1" applyBorder="1" applyAlignment="1" applyProtection="1">
      <alignment horizontal="center" vertical="center" wrapText="1"/>
    </xf>
    <xf numFmtId="0" fontId="15" fillId="0" borderId="2" xfId="0" applyFont="1" applyBorder="1" applyProtection="1">
      <protection locked="0"/>
    </xf>
    <xf numFmtId="0" fontId="15" fillId="0" borderId="2" xfId="0" applyNumberFormat="1" applyFont="1" applyFill="1" applyBorder="1" applyAlignment="1" applyProtection="1">
      <alignment horizontal="left" wrapText="1" indent="2"/>
      <protection locked="0"/>
    </xf>
    <xf numFmtId="0" fontId="15" fillId="0" borderId="46" xfId="0" applyFont="1" applyFill="1" applyBorder="1" applyAlignment="1">
      <alignment horizontal="left" vertical="top" wrapText="1"/>
    </xf>
    <xf numFmtId="0" fontId="15" fillId="0" borderId="59" xfId="0" applyFont="1" applyFill="1" applyBorder="1" applyAlignment="1">
      <alignment horizontal="left" vertical="top" wrapText="1"/>
    </xf>
    <xf numFmtId="168" fontId="15" fillId="0" borderId="24" xfId="0" applyNumberFormat="1" applyFont="1" applyBorder="1" applyAlignment="1"/>
    <xf numFmtId="168" fontId="15" fillId="0" borderId="13" xfId="0" applyNumberFormat="1" applyFont="1" applyBorder="1" applyAlignment="1"/>
    <xf numFmtId="173" fontId="17" fillId="0" borderId="53" xfId="0" applyNumberFormat="1" applyFont="1" applyBorder="1" applyAlignment="1"/>
    <xf numFmtId="0" fontId="15" fillId="0" borderId="44" xfId="0" quotePrefix="1" applyNumberFormat="1" applyFont="1" applyBorder="1" applyAlignment="1">
      <alignment horizontal="center" vertical="center" wrapText="1"/>
    </xf>
    <xf numFmtId="173" fontId="17" fillId="0" borderId="77" xfId="0" applyNumberFormat="1" applyFont="1" applyFill="1" applyBorder="1"/>
    <xf numFmtId="168" fontId="17" fillId="0" borderId="13" xfId="0" applyNumberFormat="1" applyFont="1" applyFill="1" applyBorder="1" applyProtection="1">
      <protection locked="0"/>
    </xf>
    <xf numFmtId="168" fontId="17" fillId="0" borderId="53" xfId="0" applyNumberFormat="1" applyFont="1" applyFill="1" applyBorder="1" applyProtection="1">
      <protection locked="0"/>
    </xf>
    <xf numFmtId="168" fontId="17" fillId="0" borderId="44" xfId="0" applyNumberFormat="1" applyFont="1" applyFill="1" applyBorder="1" applyProtection="1">
      <protection locked="0"/>
    </xf>
    <xf numFmtId="168" fontId="17" fillId="0" borderId="24" xfId="0" applyNumberFormat="1" applyFont="1" applyFill="1" applyBorder="1" applyProtection="1">
      <protection locked="0"/>
    </xf>
    <xf numFmtId="173" fontId="15" fillId="0" borderId="30" xfId="0" applyNumberFormat="1" applyFont="1" applyBorder="1"/>
    <xf numFmtId="173" fontId="15" fillId="0" borderId="44" xfId="0" applyNumberFormat="1" applyFont="1" applyBorder="1" applyProtection="1"/>
    <xf numFmtId="173" fontId="15" fillId="0" borderId="24" xfId="1" applyNumberFormat="1" applyFont="1" applyBorder="1" applyProtection="1"/>
    <xf numFmtId="173" fontId="15" fillId="0" borderId="13" xfId="1" applyNumberFormat="1" applyFont="1" applyBorder="1" applyProtection="1"/>
    <xf numFmtId="173" fontId="15" fillId="0" borderId="53" xfId="1" applyNumberFormat="1" applyFont="1" applyBorder="1" applyProtection="1"/>
    <xf numFmtId="173" fontId="17" fillId="0" borderId="58" xfId="0" applyNumberFormat="1" applyFont="1" applyBorder="1" applyProtection="1"/>
    <xf numFmtId="173" fontId="17" fillId="0" borderId="81" xfId="0" applyNumberFormat="1" applyFont="1" applyBorder="1" applyProtection="1"/>
    <xf numFmtId="173" fontId="17" fillId="0" borderId="21" xfId="0" applyNumberFormat="1" applyFont="1" applyBorder="1" applyProtection="1"/>
    <xf numFmtId="173" fontId="15" fillId="0" borderId="78" xfId="0" applyNumberFormat="1" applyFont="1" applyBorder="1" applyProtection="1"/>
    <xf numFmtId="173" fontId="15" fillId="0" borderId="33" xfId="0" applyNumberFormat="1" applyFont="1" applyBorder="1" applyProtection="1"/>
    <xf numFmtId="173" fontId="15" fillId="0" borderId="30" xfId="0" applyNumberFormat="1" applyFont="1" applyBorder="1" applyProtection="1"/>
    <xf numFmtId="173" fontId="15" fillId="0" borderId="64" xfId="0" applyNumberFormat="1" applyFont="1" applyBorder="1" applyProtection="1"/>
    <xf numFmtId="168" fontId="15" fillId="0" borderId="77" xfId="0" applyNumberFormat="1" applyFont="1" applyBorder="1" applyAlignment="1"/>
    <xf numFmtId="173" fontId="17" fillId="0" borderId="81" xfId="0" applyNumberFormat="1" applyFont="1" applyBorder="1" applyAlignment="1"/>
    <xf numFmtId="173" fontId="17" fillId="0" borderId="77" xfId="0" applyNumberFormat="1" applyFont="1" applyBorder="1" applyAlignment="1"/>
    <xf numFmtId="173" fontId="17" fillId="0" borderId="79" xfId="0" applyNumberFormat="1" applyFont="1" applyBorder="1" applyAlignment="1"/>
    <xf numFmtId="173" fontId="17" fillId="0" borderId="53" xfId="0" applyNumberFormat="1" applyFont="1" applyBorder="1" applyAlignment="1" applyProtection="1"/>
    <xf numFmtId="173" fontId="17" fillId="0" borderId="75" xfId="0" applyNumberFormat="1" applyFont="1" applyBorder="1" applyAlignment="1" applyProtection="1"/>
    <xf numFmtId="0" fontId="17" fillId="0" borderId="33" xfId="0" applyFont="1" applyFill="1" applyBorder="1" applyAlignment="1">
      <alignment horizontal="center" vertical="center" wrapText="1"/>
    </xf>
    <xf numFmtId="0" fontId="17" fillId="0" borderId="32" xfId="0" applyFont="1" applyFill="1" applyBorder="1" applyAlignment="1">
      <alignment horizontal="center" vertical="center" wrapText="1"/>
    </xf>
    <xf numFmtId="173" fontId="20" fillId="0" borderId="44" xfId="0" applyNumberFormat="1" applyFont="1" applyBorder="1"/>
    <xf numFmtId="173" fontId="20" fillId="0" borderId="0" xfId="0" applyNumberFormat="1" applyFont="1" applyBorder="1"/>
    <xf numFmtId="173" fontId="17" fillId="0" borderId="66" xfId="0" applyNumberFormat="1" applyFont="1" applyFill="1" applyBorder="1"/>
    <xf numFmtId="173" fontId="17" fillId="0" borderId="47" xfId="0" applyNumberFormat="1" applyFont="1" applyFill="1" applyBorder="1" applyAlignment="1">
      <alignment vertical="center"/>
    </xf>
    <xf numFmtId="173" fontId="17" fillId="0" borderId="75" xfId="0" applyNumberFormat="1" applyFont="1" applyFill="1" applyBorder="1" applyAlignment="1">
      <alignment vertical="center"/>
    </xf>
    <xf numFmtId="173" fontId="15" fillId="0" borderId="41" xfId="0" applyNumberFormat="1" applyFont="1" applyFill="1" applyBorder="1"/>
    <xf numFmtId="173" fontId="15" fillId="0" borderId="54" xfId="0" applyNumberFormat="1" applyFont="1" applyFill="1" applyBorder="1"/>
    <xf numFmtId="0" fontId="20" fillId="0" borderId="2" xfId="0" applyFont="1" applyBorder="1" applyAlignment="1" applyProtection="1">
      <alignment horizontal="left"/>
    </xf>
    <xf numFmtId="167" fontId="15" fillId="0" borderId="0" xfId="7" applyNumberFormat="1" applyFont="1" applyFill="1" applyAlignment="1">
      <alignment horizontal="center"/>
    </xf>
    <xf numFmtId="170" fontId="15" fillId="0" borderId="73" xfId="0" applyNumberFormat="1" applyFont="1" applyBorder="1" applyAlignment="1">
      <alignment horizontal="center"/>
    </xf>
    <xf numFmtId="173" fontId="15" fillId="0" borderId="75" xfId="0" applyNumberFormat="1" applyFont="1" applyFill="1" applyBorder="1" applyProtection="1"/>
    <xf numFmtId="173" fontId="17" fillId="0" borderId="24" xfId="0" applyNumberFormat="1" applyFont="1" applyBorder="1" applyProtection="1"/>
    <xf numFmtId="173" fontId="17" fillId="0" borderId="13" xfId="0" applyNumberFormat="1" applyFont="1" applyBorder="1" applyProtection="1"/>
    <xf numFmtId="173" fontId="17" fillId="0" borderId="53" xfId="0" applyNumberFormat="1" applyFont="1" applyBorder="1" applyProtection="1"/>
    <xf numFmtId="173" fontId="15" fillId="0" borderId="53" xfId="1" applyNumberFormat="1" applyFont="1" applyFill="1" applyBorder="1" applyProtection="1"/>
    <xf numFmtId="173" fontId="17" fillId="0" borderId="41" xfId="0" applyNumberFormat="1" applyFont="1" applyFill="1" applyBorder="1" applyProtection="1"/>
    <xf numFmtId="173" fontId="17" fillId="0" borderId="8" xfId="0" applyNumberFormat="1" applyFont="1" applyBorder="1" applyProtection="1"/>
    <xf numFmtId="173" fontId="17" fillId="0" borderId="54" xfId="0" applyNumberFormat="1" applyFont="1" applyBorder="1" applyProtection="1"/>
    <xf numFmtId="0" fontId="5" fillId="16" borderId="6" xfId="0" applyFont="1" applyFill="1" applyBorder="1" applyAlignment="1" applyProtection="1">
      <alignment horizontal="center"/>
      <protection locked="0"/>
    </xf>
    <xf numFmtId="0" fontId="5" fillId="16" borderId="18" xfId="0" applyFont="1" applyFill="1" applyBorder="1" applyProtection="1">
      <protection locked="0"/>
    </xf>
    <xf numFmtId="0" fontId="5" fillId="16" borderId="17" xfId="0" applyFont="1" applyFill="1" applyBorder="1" applyProtection="1">
      <protection locked="0"/>
    </xf>
    <xf numFmtId="0" fontId="5" fillId="16" borderId="1" xfId="0" applyFont="1" applyFill="1" applyBorder="1" applyAlignment="1" applyProtection="1">
      <alignment horizontal="center"/>
      <protection locked="0"/>
    </xf>
    <xf numFmtId="0" fontId="5" fillId="16" borderId="0" xfId="0" applyFont="1" applyFill="1" applyBorder="1" applyProtection="1">
      <protection locked="0"/>
    </xf>
    <xf numFmtId="0" fontId="5" fillId="16" borderId="14" xfId="0" applyFont="1" applyFill="1" applyBorder="1" applyProtection="1">
      <protection locked="0"/>
    </xf>
    <xf numFmtId="0" fontId="5" fillId="16" borderId="0" xfId="0" applyFont="1" applyFill="1" applyAlignment="1" applyProtection="1">
      <alignment horizontal="center"/>
      <protection locked="0"/>
    </xf>
    <xf numFmtId="0" fontId="5" fillId="16" borderId="0" xfId="0" applyFont="1" applyFill="1" applyProtection="1">
      <protection locked="0"/>
    </xf>
    <xf numFmtId="0" fontId="5" fillId="16" borderId="0" xfId="0" applyFont="1" applyFill="1" applyAlignment="1" applyProtection="1">
      <alignment horizontal="left"/>
      <protection locked="0"/>
    </xf>
    <xf numFmtId="0" fontId="13" fillId="16" borderId="23" xfId="0" applyFont="1" applyFill="1" applyBorder="1" applyProtection="1">
      <protection locked="0"/>
    </xf>
    <xf numFmtId="0" fontId="14" fillId="16" borderId="0" xfId="0" applyFont="1" applyFill="1" applyAlignment="1" applyProtection="1">
      <alignment horizontal="left" indent="1"/>
      <protection locked="0"/>
    </xf>
    <xf numFmtId="173" fontId="15" fillId="16" borderId="13" xfId="0" applyNumberFormat="1" applyFont="1" applyFill="1" applyBorder="1" applyProtection="1">
      <protection locked="0"/>
    </xf>
    <xf numFmtId="173" fontId="15" fillId="16" borderId="44" xfId="0" applyNumberFormat="1" applyFont="1" applyFill="1" applyBorder="1" applyProtection="1">
      <protection locked="0"/>
    </xf>
    <xf numFmtId="173" fontId="15" fillId="16" borderId="24" xfId="0" applyNumberFormat="1" applyFont="1" applyFill="1" applyBorder="1" applyProtection="1">
      <protection locked="0"/>
    </xf>
    <xf numFmtId="173" fontId="15" fillId="16" borderId="53" xfId="0" applyNumberFormat="1" applyFont="1" applyFill="1" applyBorder="1" applyProtection="1">
      <protection locked="0"/>
    </xf>
    <xf numFmtId="173" fontId="15" fillId="16" borderId="77" xfId="0" applyNumberFormat="1" applyFont="1" applyFill="1" applyBorder="1" applyProtection="1">
      <protection locked="0"/>
    </xf>
    <xf numFmtId="173" fontId="15" fillId="16" borderId="21" xfId="0" applyNumberFormat="1" applyFont="1" applyFill="1" applyBorder="1" applyProtection="1">
      <protection locked="0"/>
    </xf>
    <xf numFmtId="173" fontId="15" fillId="16" borderId="14" xfId="0" applyNumberFormat="1" applyFont="1" applyFill="1" applyBorder="1" applyAlignment="1" applyProtection="1">
      <alignment horizontal="right"/>
      <protection locked="0"/>
    </xf>
    <xf numFmtId="173" fontId="15" fillId="16" borderId="2" xfId="0" applyNumberFormat="1" applyFont="1" applyFill="1" applyBorder="1" applyAlignment="1" applyProtection="1">
      <alignment horizontal="right"/>
      <protection locked="0"/>
    </xf>
    <xf numFmtId="173" fontId="15" fillId="16" borderId="24" xfId="0" applyNumberFormat="1" applyFont="1" applyFill="1" applyBorder="1" applyAlignment="1" applyProtection="1">
      <alignment horizontal="right"/>
      <protection locked="0"/>
    </xf>
    <xf numFmtId="173" fontId="15" fillId="16" borderId="14" xfId="0" applyNumberFormat="1" applyFont="1" applyFill="1" applyBorder="1" applyProtection="1">
      <protection locked="0"/>
    </xf>
    <xf numFmtId="173" fontId="15" fillId="16" borderId="2" xfId="0" applyNumberFormat="1" applyFont="1" applyFill="1" applyBorder="1" applyProtection="1">
      <protection locked="0"/>
    </xf>
    <xf numFmtId="173" fontId="15" fillId="16" borderId="0" xfId="0" applyNumberFormat="1" applyFont="1" applyFill="1" applyBorder="1" applyProtection="1">
      <protection locked="0"/>
    </xf>
    <xf numFmtId="173" fontId="15" fillId="16" borderId="1" xfId="0" applyNumberFormat="1" applyFont="1" applyFill="1" applyBorder="1" applyProtection="1">
      <protection locked="0"/>
    </xf>
    <xf numFmtId="173" fontId="15" fillId="16" borderId="13" xfId="1" applyNumberFormat="1" applyFont="1" applyFill="1" applyBorder="1" applyProtection="1">
      <protection locked="0"/>
    </xf>
    <xf numFmtId="173" fontId="15" fillId="16" borderId="53" xfId="1" applyNumberFormat="1" applyFont="1" applyFill="1" applyBorder="1" applyProtection="1">
      <protection locked="0"/>
    </xf>
    <xf numFmtId="173" fontId="15" fillId="16" borderId="77" xfId="1" applyNumberFormat="1" applyFont="1" applyFill="1" applyBorder="1" applyProtection="1">
      <protection locked="0"/>
    </xf>
    <xf numFmtId="173" fontId="15" fillId="16" borderId="14" xfId="1" applyNumberFormat="1" applyFont="1" applyFill="1" applyBorder="1" applyProtection="1">
      <protection locked="0"/>
    </xf>
    <xf numFmtId="173" fontId="15" fillId="16" borderId="2" xfId="1" applyNumberFormat="1" applyFont="1" applyFill="1" applyBorder="1" applyProtection="1">
      <protection locked="0"/>
    </xf>
    <xf numFmtId="173" fontId="15" fillId="16" borderId="0" xfId="1" applyNumberFormat="1" applyFont="1" applyFill="1" applyBorder="1" applyProtection="1">
      <protection locked="0"/>
    </xf>
    <xf numFmtId="173" fontId="15" fillId="16" borderId="24" xfId="1" applyNumberFormat="1" applyFont="1" applyFill="1" applyBorder="1" applyProtection="1">
      <protection locked="0"/>
    </xf>
    <xf numFmtId="173" fontId="17" fillId="16" borderId="2" xfId="1" applyNumberFormat="1" applyFont="1" applyFill="1" applyBorder="1" applyProtection="1">
      <protection locked="0"/>
    </xf>
    <xf numFmtId="173" fontId="17" fillId="16" borderId="13" xfId="1" applyNumberFormat="1" applyFont="1" applyFill="1" applyBorder="1" applyProtection="1">
      <protection locked="0"/>
    </xf>
    <xf numFmtId="173" fontId="17" fillId="16" borderId="14" xfId="1" applyNumberFormat="1" applyFont="1" applyFill="1" applyBorder="1" applyProtection="1">
      <protection locked="0"/>
    </xf>
    <xf numFmtId="173" fontId="17" fillId="16" borderId="24" xfId="1" applyNumberFormat="1" applyFont="1" applyFill="1" applyBorder="1" applyProtection="1">
      <protection locked="0"/>
    </xf>
    <xf numFmtId="173" fontId="17" fillId="16" borderId="13" xfId="0" applyNumberFormat="1" applyFont="1" applyFill="1" applyBorder="1" applyProtection="1">
      <protection locked="0"/>
    </xf>
    <xf numFmtId="173" fontId="17" fillId="16" borderId="14" xfId="0" applyNumberFormat="1" applyFont="1" applyFill="1" applyBorder="1" applyProtection="1">
      <protection locked="0"/>
    </xf>
    <xf numFmtId="173" fontId="17" fillId="16" borderId="2" xfId="0" applyNumberFormat="1" applyFont="1" applyFill="1" applyBorder="1" applyProtection="1">
      <protection locked="0"/>
    </xf>
    <xf numFmtId="173" fontId="17" fillId="16" borderId="47" xfId="0" applyNumberFormat="1" applyFont="1" applyFill="1" applyBorder="1" applyProtection="1">
      <protection locked="0"/>
    </xf>
    <xf numFmtId="173" fontId="17" fillId="16" borderId="48" xfId="0" applyNumberFormat="1" applyFont="1" applyFill="1" applyBorder="1" applyProtection="1">
      <protection locked="0"/>
    </xf>
    <xf numFmtId="173" fontId="17" fillId="16" borderId="75" xfId="0" applyNumberFormat="1" applyFont="1" applyFill="1" applyBorder="1" applyProtection="1">
      <protection locked="0"/>
    </xf>
    <xf numFmtId="173" fontId="15" fillId="16" borderId="48" xfId="0" applyNumberFormat="1" applyFont="1" applyFill="1" applyBorder="1" applyProtection="1">
      <protection locked="0"/>
    </xf>
    <xf numFmtId="173" fontId="15" fillId="16" borderId="75" xfId="0" applyNumberFormat="1" applyFont="1" applyFill="1" applyBorder="1" applyProtection="1">
      <protection locked="0"/>
    </xf>
    <xf numFmtId="173" fontId="15" fillId="16" borderId="47" xfId="0" applyNumberFormat="1" applyFont="1" applyFill="1" applyBorder="1" applyProtection="1">
      <protection locked="0"/>
    </xf>
    <xf numFmtId="173" fontId="15" fillId="16" borderId="49" xfId="0" applyNumberFormat="1" applyFont="1" applyFill="1" applyBorder="1" applyProtection="1">
      <protection locked="0"/>
    </xf>
    <xf numFmtId="0" fontId="15" fillId="16" borderId="0" xfId="0" applyFont="1" applyFill="1" applyProtection="1">
      <protection locked="0"/>
    </xf>
    <xf numFmtId="0" fontId="22" fillId="16" borderId="0" xfId="0" applyFont="1" applyFill="1" applyProtection="1">
      <protection locked="0"/>
    </xf>
    <xf numFmtId="174" fontId="15" fillId="16" borderId="53" xfId="0" applyNumberFormat="1" applyFont="1" applyFill="1" applyBorder="1" applyProtection="1">
      <protection locked="0"/>
    </xf>
    <xf numFmtId="174" fontId="15" fillId="16" borderId="2" xfId="1" applyNumberFormat="1" applyFont="1" applyFill="1" applyBorder="1" applyProtection="1">
      <protection locked="0"/>
    </xf>
    <xf numFmtId="174" fontId="15" fillId="16" borderId="13" xfId="1" applyNumberFormat="1" applyFont="1" applyFill="1" applyBorder="1" applyProtection="1">
      <protection locked="0"/>
    </xf>
    <xf numFmtId="174" fontId="15" fillId="16" borderId="14" xfId="1" applyNumberFormat="1" applyFont="1" applyFill="1" applyBorder="1" applyProtection="1">
      <protection locked="0"/>
    </xf>
    <xf numFmtId="174" fontId="15" fillId="16" borderId="0" xfId="1" applyNumberFormat="1" applyFont="1" applyFill="1" applyBorder="1" applyProtection="1">
      <protection locked="0"/>
    </xf>
    <xf numFmtId="174" fontId="15" fillId="16" borderId="24" xfId="1" applyNumberFormat="1" applyFont="1" applyFill="1" applyBorder="1" applyProtection="1">
      <protection locked="0"/>
    </xf>
    <xf numFmtId="174" fontId="15" fillId="16" borderId="45" xfId="1" applyNumberFormat="1" applyFont="1" applyFill="1" applyBorder="1" applyProtection="1">
      <protection locked="0"/>
    </xf>
    <xf numFmtId="174" fontId="15" fillId="16" borderId="48" xfId="1" applyNumberFormat="1" applyFont="1" applyFill="1" applyBorder="1" applyProtection="1">
      <protection locked="0"/>
    </xf>
    <xf numFmtId="174" fontId="15" fillId="16" borderId="50" xfId="1" applyNumberFormat="1" applyFont="1" applyFill="1" applyBorder="1" applyProtection="1">
      <protection locked="0"/>
    </xf>
    <xf numFmtId="168" fontId="15" fillId="16" borderId="13" xfId="0" applyNumberFormat="1" applyFont="1" applyFill="1" applyBorder="1" applyProtection="1">
      <protection locked="0"/>
    </xf>
    <xf numFmtId="168" fontId="15" fillId="16" borderId="14" xfId="0" applyNumberFormat="1" applyFont="1" applyFill="1" applyBorder="1" applyProtection="1">
      <protection locked="0"/>
    </xf>
    <xf numFmtId="168" fontId="15" fillId="16" borderId="2" xfId="0" applyNumberFormat="1" applyFont="1" applyFill="1" applyBorder="1" applyProtection="1">
      <protection locked="0"/>
    </xf>
    <xf numFmtId="168" fontId="15" fillId="16" borderId="0" xfId="0" applyNumberFormat="1" applyFont="1" applyFill="1" applyBorder="1" applyProtection="1">
      <protection locked="0"/>
    </xf>
    <xf numFmtId="168" fontId="15" fillId="16" borderId="24" xfId="0" applyNumberFormat="1" applyFont="1" applyFill="1" applyBorder="1" applyProtection="1">
      <protection locked="0"/>
    </xf>
    <xf numFmtId="168" fontId="17" fillId="16" borderId="13" xfId="0" applyNumberFormat="1" applyFont="1" applyFill="1" applyBorder="1" applyProtection="1">
      <protection locked="0"/>
    </xf>
    <xf numFmtId="168" fontId="17" fillId="16" borderId="14" xfId="0" applyNumberFormat="1" applyFont="1" applyFill="1" applyBorder="1" applyProtection="1">
      <protection locked="0"/>
    </xf>
    <xf numFmtId="168" fontId="17" fillId="16" borderId="2" xfId="0" applyNumberFormat="1" applyFont="1" applyFill="1" applyBorder="1" applyProtection="1">
      <protection locked="0"/>
    </xf>
    <xf numFmtId="168" fontId="17" fillId="16" borderId="0" xfId="0" applyNumberFormat="1" applyFont="1" applyFill="1" applyBorder="1" applyProtection="1">
      <protection locked="0"/>
    </xf>
    <xf numFmtId="168" fontId="17" fillId="16" borderId="24" xfId="0" applyNumberFormat="1" applyFont="1" applyFill="1" applyBorder="1" applyProtection="1">
      <protection locked="0"/>
    </xf>
    <xf numFmtId="173" fontId="17" fillId="16" borderId="24" xfId="0" applyNumberFormat="1" applyFont="1" applyFill="1" applyBorder="1" applyProtection="1">
      <protection locked="0"/>
    </xf>
    <xf numFmtId="173" fontId="15" fillId="16" borderId="95" xfId="0" applyNumberFormat="1" applyFont="1" applyFill="1" applyBorder="1" applyProtection="1">
      <protection locked="0"/>
    </xf>
    <xf numFmtId="0" fontId="15" fillId="16" borderId="2" xfId="0" applyFont="1" applyFill="1" applyBorder="1" applyAlignment="1" applyProtection="1">
      <alignment vertical="top" wrapText="1"/>
      <protection locked="0"/>
    </xf>
    <xf numFmtId="0" fontId="15" fillId="16" borderId="13" xfId="0" applyFont="1" applyFill="1" applyBorder="1" applyAlignment="1" applyProtection="1">
      <alignment vertical="top" wrapText="1"/>
      <protection locked="0"/>
    </xf>
    <xf numFmtId="173" fontId="15" fillId="16" borderId="13" xfId="0" applyNumberFormat="1" applyFont="1" applyFill="1" applyBorder="1" applyAlignment="1" applyProtection="1">
      <alignment vertical="top" wrapText="1"/>
      <protection locked="0"/>
    </xf>
    <xf numFmtId="173" fontId="15" fillId="16" borderId="14" xfId="0" applyNumberFormat="1" applyFont="1" applyFill="1" applyBorder="1" applyAlignment="1" applyProtection="1">
      <alignment vertical="top" wrapText="1"/>
      <protection locked="0"/>
    </xf>
    <xf numFmtId="173" fontId="15" fillId="16" borderId="2" xfId="0" applyNumberFormat="1" applyFont="1" applyFill="1" applyBorder="1" applyAlignment="1" applyProtection="1">
      <alignment vertical="top" wrapText="1"/>
      <protection locked="0"/>
    </xf>
    <xf numFmtId="173" fontId="15" fillId="16" borderId="0" xfId="0" applyNumberFormat="1" applyFont="1" applyFill="1" applyBorder="1" applyAlignment="1" applyProtection="1">
      <alignment vertical="top" wrapText="1"/>
      <protection locked="0"/>
    </xf>
    <xf numFmtId="173" fontId="15" fillId="16" borderId="24" xfId="0" applyNumberFormat="1" applyFont="1" applyFill="1" applyBorder="1" applyAlignment="1" applyProtection="1">
      <alignment vertical="top" wrapText="1"/>
      <protection locked="0"/>
    </xf>
    <xf numFmtId="173" fontId="15" fillId="16" borderId="37" xfId="0" applyNumberFormat="1" applyFont="1" applyFill="1" applyBorder="1" applyAlignment="1" applyProtection="1">
      <alignment vertical="top" wrapText="1"/>
      <protection locked="0"/>
    </xf>
    <xf numFmtId="173" fontId="15" fillId="16" borderId="38" xfId="0" applyNumberFormat="1" applyFont="1" applyFill="1" applyBorder="1" applyAlignment="1" applyProtection="1">
      <alignment vertical="top" wrapText="1"/>
      <protection locked="0"/>
    </xf>
    <xf numFmtId="173" fontId="15" fillId="16" borderId="39" xfId="0" applyNumberFormat="1" applyFont="1" applyFill="1" applyBorder="1" applyAlignment="1" applyProtection="1">
      <alignment vertical="top" wrapText="1"/>
      <protection locked="0"/>
    </xf>
    <xf numFmtId="173" fontId="15" fillId="16" borderId="36" xfId="0" applyNumberFormat="1" applyFont="1" applyFill="1" applyBorder="1" applyAlignment="1" applyProtection="1">
      <alignment vertical="top" wrapText="1"/>
      <protection locked="0"/>
    </xf>
    <xf numFmtId="173" fontId="15" fillId="16" borderId="40" xfId="0" applyNumberFormat="1" applyFont="1" applyFill="1" applyBorder="1" applyAlignment="1" applyProtection="1">
      <alignment vertical="top" wrapText="1"/>
      <protection locked="0"/>
    </xf>
    <xf numFmtId="0" fontId="17" fillId="16" borderId="13" xfId="0" applyFont="1" applyFill="1" applyBorder="1" applyAlignment="1" applyProtection="1">
      <alignment horizontal="center" vertical="top" wrapText="1"/>
      <protection locked="0"/>
    </xf>
    <xf numFmtId="0" fontId="17" fillId="16" borderId="14" xfId="0" applyFont="1" applyFill="1" applyBorder="1" applyAlignment="1" applyProtection="1">
      <alignment horizontal="left" vertical="top" wrapText="1"/>
      <protection locked="0"/>
    </xf>
    <xf numFmtId="167" fontId="15" fillId="16" borderId="14" xfId="7" applyNumberFormat="1" applyFont="1" applyFill="1" applyBorder="1" applyAlignment="1" applyProtection="1">
      <alignment horizontal="center" vertical="top" wrapText="1"/>
      <protection locked="0"/>
    </xf>
    <xf numFmtId="167" fontId="15" fillId="16" borderId="1" xfId="7" applyNumberFormat="1" applyFont="1" applyFill="1" applyBorder="1" applyAlignment="1" applyProtection="1">
      <alignment horizontal="center" vertical="top" wrapText="1"/>
      <protection locked="0"/>
    </xf>
    <xf numFmtId="0" fontId="15" fillId="16" borderId="1" xfId="0" applyFont="1" applyFill="1" applyBorder="1" applyAlignment="1" applyProtection="1">
      <alignment horizontal="left" vertical="top" wrapText="1"/>
      <protection locked="0"/>
    </xf>
    <xf numFmtId="0" fontId="15" fillId="16" borderId="14" xfId="0" applyFont="1" applyFill="1" applyBorder="1" applyAlignment="1" applyProtection="1">
      <alignment horizontal="left" vertical="top" wrapText="1"/>
      <protection locked="0"/>
    </xf>
    <xf numFmtId="0" fontId="20" fillId="16" borderId="4" xfId="0" applyFont="1" applyFill="1" applyBorder="1" applyAlignment="1" applyProtection="1">
      <alignment horizontal="left" wrapText="1"/>
      <protection locked="0"/>
    </xf>
    <xf numFmtId="0" fontId="17" fillId="16" borderId="4" xfId="0" applyFont="1" applyFill="1" applyBorder="1" applyAlignment="1" applyProtection="1">
      <alignment horizontal="left" vertical="top" wrapText="1"/>
      <protection locked="0"/>
    </xf>
    <xf numFmtId="0" fontId="15" fillId="16" borderId="19" xfId="0" applyFont="1" applyFill="1" applyBorder="1" applyAlignment="1" applyProtection="1">
      <alignment horizontal="left" vertical="top" wrapText="1"/>
      <protection locked="0"/>
    </xf>
    <xf numFmtId="167" fontId="15" fillId="16" borderId="26" xfId="7" applyNumberFormat="1" applyFont="1" applyFill="1" applyBorder="1" applyAlignment="1" applyProtection="1">
      <alignment horizontal="center" vertical="top" wrapText="1"/>
      <protection locked="0"/>
    </xf>
    <xf numFmtId="167" fontId="15" fillId="16" borderId="19" xfId="7" applyNumberFormat="1" applyFont="1" applyFill="1" applyBorder="1" applyAlignment="1" applyProtection="1">
      <alignment horizontal="center" vertical="top" wrapText="1"/>
      <protection locked="0"/>
    </xf>
    <xf numFmtId="0" fontId="17" fillId="16" borderId="19" xfId="0" applyFont="1" applyFill="1" applyBorder="1" applyAlignment="1" applyProtection="1">
      <alignment horizontal="left" vertical="top" wrapText="1"/>
      <protection locked="0"/>
    </xf>
    <xf numFmtId="0" fontId="17" fillId="16" borderId="23" xfId="0" applyFont="1" applyFill="1" applyBorder="1" applyAlignment="1" applyProtection="1">
      <alignment horizontal="left" vertical="top" wrapText="1"/>
      <protection locked="0"/>
    </xf>
    <xf numFmtId="0" fontId="15" fillId="16" borderId="4" xfId="0" applyFont="1" applyFill="1" applyBorder="1" applyAlignment="1" applyProtection="1">
      <alignment horizontal="left" vertical="top" wrapText="1"/>
      <protection locked="0"/>
    </xf>
    <xf numFmtId="167" fontId="15" fillId="16" borderId="15" xfId="7" applyNumberFormat="1" applyFont="1" applyFill="1" applyBorder="1" applyAlignment="1" applyProtection="1">
      <alignment horizontal="center" vertical="top" wrapText="1"/>
      <protection locked="0"/>
    </xf>
    <xf numFmtId="167" fontId="15" fillId="16" borderId="4" xfId="7" applyNumberFormat="1" applyFont="1" applyFill="1" applyBorder="1" applyAlignment="1" applyProtection="1">
      <alignment horizontal="center" vertical="top" wrapText="1"/>
      <protection locked="0"/>
    </xf>
    <xf numFmtId="0" fontId="17" fillId="16" borderId="23" xfId="0" applyFont="1" applyFill="1" applyBorder="1" applyAlignment="1" applyProtection="1">
      <alignment horizontal="left" wrapText="1" indent="1"/>
      <protection locked="0"/>
    </xf>
    <xf numFmtId="174" fontId="15" fillId="16" borderId="77" xfId="7" applyNumberFormat="1" applyFont="1" applyFill="1" applyBorder="1" applyAlignment="1" applyProtection="1">
      <alignment horizontal="center" vertical="top" wrapText="1"/>
      <protection locked="0"/>
    </xf>
    <xf numFmtId="174" fontId="15" fillId="16" borderId="13" xfId="7" applyNumberFormat="1" applyFont="1" applyFill="1" applyBorder="1" applyAlignment="1" applyProtection="1">
      <alignment horizontal="center" vertical="top" wrapText="1"/>
      <protection locked="0"/>
    </xf>
    <xf numFmtId="174" fontId="15" fillId="16" borderId="14" xfId="7" applyNumberFormat="1" applyFont="1" applyFill="1" applyBorder="1" applyAlignment="1" applyProtection="1">
      <alignment horizontal="center" vertical="top" wrapText="1"/>
      <protection locked="0"/>
    </xf>
    <xf numFmtId="174" fontId="15" fillId="16" borderId="2" xfId="7" applyNumberFormat="1" applyFont="1" applyFill="1" applyBorder="1" applyAlignment="1" applyProtection="1">
      <alignment horizontal="center" vertical="top" wrapText="1"/>
      <protection locked="0"/>
    </xf>
    <xf numFmtId="174" fontId="15" fillId="16" borderId="0" xfId="7" applyNumberFormat="1" applyFont="1" applyFill="1" applyBorder="1" applyAlignment="1" applyProtection="1">
      <alignment horizontal="center" vertical="top" wrapText="1"/>
      <protection locked="0"/>
    </xf>
    <xf numFmtId="174" fontId="15" fillId="16" borderId="20" xfId="7" applyNumberFormat="1" applyFont="1" applyFill="1" applyBorder="1" applyAlignment="1" applyProtection="1">
      <alignment horizontal="center" vertical="top" wrapText="1"/>
      <protection locked="0"/>
    </xf>
    <xf numFmtId="0" fontId="20" fillId="16" borderId="23" xfId="0" applyFont="1" applyFill="1" applyBorder="1" applyAlignment="1" applyProtection="1">
      <alignment horizontal="left" wrapText="1" indent="1"/>
      <protection locked="0"/>
    </xf>
    <xf numFmtId="174" fontId="15" fillId="16" borderId="24" xfId="7" applyNumberFormat="1" applyFont="1" applyFill="1" applyBorder="1" applyAlignment="1" applyProtection="1">
      <alignment horizontal="center" vertical="top" wrapText="1"/>
      <protection locked="0"/>
    </xf>
    <xf numFmtId="0" fontId="20" fillId="16" borderId="6" xfId="0" applyFont="1" applyFill="1" applyBorder="1" applyAlignment="1" applyProtection="1">
      <alignment horizontal="left" wrapText="1" indent="1"/>
      <protection locked="0"/>
    </xf>
    <xf numFmtId="0" fontId="15" fillId="16" borderId="17" xfId="0" applyFont="1" applyFill="1" applyBorder="1" applyAlignment="1" applyProtection="1">
      <alignment horizontal="left" vertical="top" wrapText="1"/>
      <protection locked="0"/>
    </xf>
    <xf numFmtId="174" fontId="15" fillId="16" borderId="83" xfId="7" applyNumberFormat="1" applyFont="1" applyFill="1" applyBorder="1" applyAlignment="1" applyProtection="1">
      <alignment horizontal="center" vertical="top" wrapText="1"/>
      <protection locked="0"/>
    </xf>
    <xf numFmtId="174" fontId="15" fillId="16" borderId="16" xfId="7" applyNumberFormat="1" applyFont="1" applyFill="1" applyBorder="1" applyAlignment="1" applyProtection="1">
      <alignment horizontal="center" vertical="top" wrapText="1"/>
      <protection locked="0"/>
    </xf>
    <xf numFmtId="174" fontId="15" fillId="16" borderId="17" xfId="7" applyNumberFormat="1" applyFont="1" applyFill="1" applyBorder="1" applyAlignment="1" applyProtection="1">
      <alignment horizontal="center" vertical="top" wrapText="1"/>
      <protection locked="0"/>
    </xf>
    <xf numFmtId="174" fontId="15" fillId="16" borderId="7" xfId="7" applyNumberFormat="1" applyFont="1" applyFill="1" applyBorder="1" applyAlignment="1" applyProtection="1">
      <alignment horizontal="center" vertical="top" wrapText="1"/>
      <protection locked="0"/>
    </xf>
    <xf numFmtId="174" fontId="15" fillId="16" borderId="18" xfId="7" applyNumberFormat="1" applyFont="1" applyFill="1" applyBorder="1" applyAlignment="1" applyProtection="1">
      <alignment horizontal="center" vertical="top" wrapText="1"/>
      <protection locked="0"/>
    </xf>
    <xf numFmtId="0" fontId="15" fillId="16" borderId="14" xfId="0" applyFont="1" applyFill="1" applyBorder="1" applyAlignment="1" applyProtection="1">
      <alignment horizontal="left" wrapText="1"/>
      <protection locked="0"/>
    </xf>
    <xf numFmtId="174" fontId="15" fillId="16" borderId="77" xfId="0" applyNumberFormat="1" applyFont="1" applyFill="1" applyBorder="1" applyAlignment="1" applyProtection="1">
      <alignment horizontal="center" vertical="top" wrapText="1"/>
      <protection locked="0"/>
    </xf>
    <xf numFmtId="174" fontId="15" fillId="16" borderId="13" xfId="0" applyNumberFormat="1" applyFont="1" applyFill="1" applyBorder="1" applyAlignment="1" applyProtection="1">
      <alignment horizontal="center" vertical="top" wrapText="1"/>
      <protection locked="0"/>
    </xf>
    <xf numFmtId="174" fontId="15" fillId="16" borderId="14" xfId="0" applyNumberFormat="1" applyFont="1" applyFill="1" applyBorder="1" applyAlignment="1" applyProtection="1">
      <alignment horizontal="center" vertical="top" wrapText="1"/>
      <protection locked="0"/>
    </xf>
    <xf numFmtId="174" fontId="15" fillId="16" borderId="2" xfId="0" applyNumberFormat="1" applyFont="1" applyFill="1" applyBorder="1" applyAlignment="1" applyProtection="1">
      <alignment horizontal="center" vertical="top" wrapText="1"/>
      <protection locked="0"/>
    </xf>
    <xf numFmtId="174" fontId="15" fillId="16" borderId="0" xfId="0" applyNumberFormat="1" applyFont="1" applyFill="1" applyBorder="1" applyAlignment="1" applyProtection="1">
      <alignment horizontal="center" vertical="top" wrapText="1"/>
      <protection locked="0"/>
    </xf>
    <xf numFmtId="174" fontId="15" fillId="16" borderId="24" xfId="0"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vertical="top" wrapText="1"/>
      <protection locked="0"/>
    </xf>
    <xf numFmtId="174" fontId="15" fillId="16" borderId="83" xfId="1" applyNumberFormat="1" applyFont="1" applyFill="1" applyBorder="1" applyAlignment="1" applyProtection="1">
      <alignment horizontal="center" vertical="top" wrapText="1"/>
      <protection locked="0"/>
    </xf>
    <xf numFmtId="174" fontId="15" fillId="16" borderId="16" xfId="1" applyNumberFormat="1" applyFont="1" applyFill="1" applyBorder="1" applyAlignment="1" applyProtection="1">
      <alignment horizontal="center" vertical="top" wrapText="1"/>
      <protection locked="0"/>
    </xf>
    <xf numFmtId="174" fontId="15" fillId="16" borderId="17" xfId="1" applyNumberFormat="1" applyFont="1" applyFill="1" applyBorder="1" applyAlignment="1" applyProtection="1">
      <alignment horizontal="center" vertical="top" wrapText="1"/>
      <protection locked="0"/>
    </xf>
    <xf numFmtId="174" fontId="15" fillId="16" borderId="7" xfId="1" applyNumberFormat="1" applyFont="1" applyFill="1" applyBorder="1" applyAlignment="1" applyProtection="1">
      <alignment horizontal="center" vertical="top" wrapText="1"/>
      <protection locked="0"/>
    </xf>
    <xf numFmtId="174" fontId="15" fillId="16" borderId="18" xfId="1" applyNumberFormat="1" applyFont="1" applyFill="1" applyBorder="1" applyAlignment="1" applyProtection="1">
      <alignment horizontal="center" vertical="top" wrapText="1"/>
      <protection locked="0"/>
    </xf>
    <xf numFmtId="174" fontId="15" fillId="16" borderId="20" xfId="1" applyNumberFormat="1" applyFont="1" applyFill="1" applyBorder="1" applyAlignment="1" applyProtection="1">
      <alignment horizontal="center" vertical="top" wrapText="1"/>
      <protection locked="0"/>
    </xf>
    <xf numFmtId="174" fontId="15" fillId="16" borderId="77" xfId="1" applyNumberFormat="1" applyFont="1" applyFill="1" applyBorder="1" applyAlignment="1" applyProtection="1">
      <alignment horizontal="center" vertical="top" wrapText="1"/>
      <protection locked="0"/>
    </xf>
    <xf numFmtId="174" fontId="15" fillId="16" borderId="13" xfId="1" applyNumberFormat="1" applyFont="1" applyFill="1" applyBorder="1" applyAlignment="1" applyProtection="1">
      <alignment horizontal="center" vertical="top" wrapText="1"/>
      <protection locked="0"/>
    </xf>
    <xf numFmtId="174" fontId="15" fillId="16" borderId="14" xfId="1" applyNumberFormat="1" applyFont="1" applyFill="1" applyBorder="1" applyAlignment="1" applyProtection="1">
      <alignment horizontal="center" vertical="top" wrapText="1"/>
      <protection locked="0"/>
    </xf>
    <xf numFmtId="174" fontId="15" fillId="16" borderId="2" xfId="1" applyNumberFormat="1" applyFont="1" applyFill="1" applyBorder="1" applyAlignment="1" applyProtection="1">
      <alignment horizontal="center" vertical="top" wrapText="1"/>
      <protection locked="0"/>
    </xf>
    <xf numFmtId="174" fontId="15" fillId="16" borderId="0" xfId="1" applyNumberFormat="1" applyFont="1" applyFill="1" applyBorder="1" applyAlignment="1" applyProtection="1">
      <alignment horizontal="center" vertical="top" wrapText="1"/>
      <protection locked="0"/>
    </xf>
    <xf numFmtId="174" fontId="15" fillId="16" borderId="24" xfId="1" applyNumberFormat="1" applyFont="1" applyFill="1" applyBorder="1" applyAlignment="1" applyProtection="1">
      <alignment horizontal="center" vertical="top" wrapText="1"/>
      <protection locked="0"/>
    </xf>
    <xf numFmtId="0" fontId="15" fillId="16" borderId="15" xfId="0" applyFont="1" applyFill="1" applyBorder="1" applyAlignment="1" applyProtection="1">
      <alignment horizontal="left" vertical="top" wrapText="1"/>
      <protection locked="0"/>
    </xf>
    <xf numFmtId="174" fontId="15" fillId="16" borderId="73" xfId="0" applyNumberFormat="1" applyFont="1" applyFill="1" applyBorder="1" applyAlignment="1" applyProtection="1">
      <alignment horizontal="center" vertical="top" wrapText="1"/>
      <protection locked="0"/>
    </xf>
    <xf numFmtId="174" fontId="15" fillId="16" borderId="8" xfId="0" applyNumberFormat="1" applyFont="1" applyFill="1" applyBorder="1" applyAlignment="1" applyProtection="1">
      <alignment horizontal="center" vertical="top" wrapText="1"/>
      <protection locked="0"/>
    </xf>
    <xf numFmtId="174" fontId="15" fillId="16" borderId="15" xfId="0" applyNumberFormat="1" applyFont="1" applyFill="1" applyBorder="1" applyAlignment="1" applyProtection="1">
      <alignment horizontal="center" vertical="top" wrapText="1"/>
      <protection locked="0"/>
    </xf>
    <xf numFmtId="174" fontId="15" fillId="16" borderId="3" xfId="0" applyNumberFormat="1" applyFont="1" applyFill="1" applyBorder="1" applyAlignment="1" applyProtection="1">
      <alignment horizontal="center" vertical="top" wrapText="1"/>
      <protection locked="0"/>
    </xf>
    <xf numFmtId="174" fontId="15" fillId="16" borderId="5" xfId="0" applyNumberFormat="1" applyFont="1" applyFill="1" applyBorder="1" applyAlignment="1" applyProtection="1">
      <alignment horizontal="center" vertical="top" wrapText="1"/>
      <protection locked="0"/>
    </xf>
    <xf numFmtId="174" fontId="15" fillId="16" borderId="41" xfId="0" applyNumberFormat="1" applyFont="1" applyFill="1" applyBorder="1" applyAlignment="1" applyProtection="1">
      <alignment horizontal="center" vertical="top" wrapText="1"/>
      <protection locked="0"/>
    </xf>
    <xf numFmtId="0" fontId="15" fillId="16" borderId="24" xfId="7" applyNumberFormat="1" applyFont="1" applyFill="1" applyBorder="1" applyAlignment="1" applyProtection="1">
      <alignment horizontal="center" vertical="top" wrapText="1"/>
      <protection locked="0"/>
    </xf>
    <xf numFmtId="0" fontId="15" fillId="16" borderId="13" xfId="0" applyNumberFormat="1" applyFont="1" applyFill="1" applyBorder="1" applyAlignment="1" applyProtection="1">
      <alignment horizontal="center" vertical="top" wrapText="1"/>
      <protection locked="0"/>
    </xf>
    <xf numFmtId="0" fontId="15" fillId="16" borderId="14" xfId="0" applyNumberFormat="1" applyFont="1" applyFill="1" applyBorder="1" applyAlignment="1" applyProtection="1">
      <alignment horizontal="center" vertical="top" wrapText="1"/>
      <protection locked="0"/>
    </xf>
    <xf numFmtId="0" fontId="15" fillId="16" borderId="2" xfId="0" applyNumberFormat="1" applyFont="1" applyFill="1" applyBorder="1" applyAlignment="1" applyProtection="1">
      <alignment horizontal="center" vertical="top" wrapText="1"/>
      <protection locked="0"/>
    </xf>
    <xf numFmtId="0" fontId="15" fillId="16" borderId="0" xfId="0" applyNumberFormat="1" applyFont="1" applyFill="1" applyBorder="1" applyAlignment="1" applyProtection="1">
      <alignment horizontal="center" vertical="top" wrapText="1"/>
      <protection locked="0"/>
    </xf>
    <xf numFmtId="167" fontId="15" fillId="16" borderId="24" xfId="7" applyNumberFormat="1" applyFont="1" applyFill="1" applyBorder="1" applyAlignment="1" applyProtection="1">
      <alignment horizontal="center" vertical="top" wrapText="1"/>
      <protection locked="0"/>
    </xf>
    <xf numFmtId="167" fontId="15" fillId="16" borderId="13" xfId="7" applyNumberFormat="1" applyFont="1" applyFill="1" applyBorder="1" applyAlignment="1" applyProtection="1">
      <alignment horizontal="center" vertical="top" wrapText="1"/>
      <protection locked="0"/>
    </xf>
    <xf numFmtId="167" fontId="15" fillId="16" borderId="2" xfId="7" applyNumberFormat="1" applyFont="1" applyFill="1" applyBorder="1" applyAlignment="1" applyProtection="1">
      <alignment horizontal="center" vertical="top" wrapText="1"/>
      <protection locked="0"/>
    </xf>
    <xf numFmtId="167" fontId="15" fillId="16" borderId="0" xfId="7" applyNumberFormat="1" applyFont="1" applyFill="1" applyBorder="1" applyAlignment="1" applyProtection="1">
      <alignment horizontal="center" vertical="top" wrapText="1"/>
      <protection locked="0"/>
    </xf>
    <xf numFmtId="167" fontId="15" fillId="16" borderId="24" xfId="0" applyNumberFormat="1" applyFont="1" applyFill="1" applyBorder="1" applyAlignment="1" applyProtection="1">
      <alignment horizontal="center" vertical="top" wrapText="1"/>
      <protection locked="0"/>
    </xf>
    <xf numFmtId="167" fontId="15" fillId="16" borderId="13" xfId="0" applyNumberFormat="1" applyFont="1" applyFill="1" applyBorder="1" applyAlignment="1" applyProtection="1">
      <alignment horizontal="center" vertical="top" wrapText="1"/>
      <protection locked="0"/>
    </xf>
    <xf numFmtId="167" fontId="15" fillId="16" borderId="14" xfId="0" applyNumberFormat="1" applyFont="1" applyFill="1" applyBorder="1" applyAlignment="1" applyProtection="1">
      <alignment horizontal="center" vertical="top" wrapText="1"/>
      <protection locked="0"/>
    </xf>
    <xf numFmtId="167" fontId="15" fillId="16" borderId="2" xfId="0" applyNumberFormat="1" applyFont="1" applyFill="1" applyBorder="1" applyAlignment="1" applyProtection="1">
      <alignment horizontal="center" vertical="top" wrapText="1"/>
      <protection locked="0"/>
    </xf>
    <xf numFmtId="167" fontId="15" fillId="16" borderId="0" xfId="0" applyNumberFormat="1" applyFont="1" applyFill="1" applyBorder="1" applyAlignment="1" applyProtection="1">
      <alignment horizontal="center" vertical="top" wrapText="1"/>
      <protection locked="0"/>
    </xf>
    <xf numFmtId="0" fontId="15" fillId="16" borderId="24" xfId="0" applyNumberFormat="1" applyFont="1" applyFill="1" applyBorder="1" applyAlignment="1" applyProtection="1">
      <alignment horizontal="right" wrapText="1"/>
      <protection locked="0"/>
    </xf>
    <xf numFmtId="0" fontId="15" fillId="16" borderId="13" xfId="0" applyNumberFormat="1" applyFont="1" applyFill="1" applyBorder="1" applyAlignment="1" applyProtection="1">
      <alignment horizontal="right" wrapText="1"/>
      <protection locked="0"/>
    </xf>
    <xf numFmtId="0" fontId="15" fillId="16" borderId="14" xfId="0" applyNumberFormat="1" applyFont="1" applyFill="1" applyBorder="1" applyAlignment="1" applyProtection="1">
      <alignment horizontal="right" wrapText="1"/>
      <protection locked="0"/>
    </xf>
    <xf numFmtId="0" fontId="15" fillId="16" borderId="0" xfId="0" applyNumberFormat="1" applyFont="1" applyFill="1" applyBorder="1" applyAlignment="1" applyProtection="1">
      <alignment horizontal="right" wrapText="1"/>
      <protection locked="0"/>
    </xf>
    <xf numFmtId="0" fontId="15" fillId="16" borderId="77" xfId="0" applyNumberFormat="1" applyFont="1" applyFill="1" applyBorder="1" applyAlignment="1" applyProtection="1">
      <alignment horizontal="right" wrapText="1"/>
      <protection locked="0"/>
    </xf>
    <xf numFmtId="173" fontId="15" fillId="16" borderId="77" xfId="0" applyNumberFormat="1" applyFont="1" applyFill="1" applyBorder="1" applyAlignment="1" applyProtection="1">
      <alignment horizontal="right"/>
      <protection locked="0"/>
    </xf>
    <xf numFmtId="167" fontId="15" fillId="16" borderId="23" xfId="0" applyNumberFormat="1" applyFont="1" applyFill="1" applyBorder="1" applyAlignment="1" applyProtection="1">
      <alignment horizontal="center"/>
      <protection locked="0"/>
    </xf>
    <xf numFmtId="0" fontId="15" fillId="16" borderId="14" xfId="0" applyNumberFormat="1" applyFont="1" applyFill="1" applyBorder="1" applyAlignment="1" applyProtection="1">
      <alignment horizontal="left" vertical="top" wrapText="1"/>
      <protection locked="0"/>
    </xf>
    <xf numFmtId="173" fontId="15" fillId="16" borderId="53" xfId="1" applyNumberFormat="1" applyFont="1" applyFill="1" applyBorder="1" applyAlignment="1" applyProtection="1">
      <alignment horizontal="left" vertical="top" wrapText="1"/>
      <protection locked="0"/>
    </xf>
    <xf numFmtId="173" fontId="15" fillId="16" borderId="2" xfId="0" applyNumberFormat="1" applyFont="1" applyFill="1" applyBorder="1" applyAlignment="1" applyProtection="1">
      <alignment horizontal="center" vertical="top" wrapText="1"/>
      <protection locked="0"/>
    </xf>
    <xf numFmtId="173" fontId="15" fillId="16" borderId="13" xfId="0" applyNumberFormat="1" applyFont="1" applyFill="1" applyBorder="1" applyAlignment="1" applyProtection="1">
      <alignment horizontal="center" vertical="top" wrapText="1"/>
      <protection locked="0"/>
    </xf>
    <xf numFmtId="173" fontId="15" fillId="16" borderId="44" xfId="0" applyNumberFormat="1" applyFont="1" applyFill="1" applyBorder="1" applyAlignment="1" applyProtection="1">
      <alignment horizontal="center" vertical="top" wrapText="1"/>
      <protection locked="0"/>
    </xf>
    <xf numFmtId="173" fontId="15" fillId="16" borderId="1" xfId="0" applyNumberFormat="1" applyFont="1" applyFill="1" applyBorder="1" applyAlignment="1" applyProtection="1">
      <alignment horizontal="center" vertical="top" wrapText="1"/>
      <protection locked="0"/>
    </xf>
    <xf numFmtId="173" fontId="15" fillId="16" borderId="0" xfId="0" applyNumberFormat="1" applyFont="1" applyFill="1" applyBorder="1" applyAlignment="1" applyProtection="1">
      <alignment horizontal="center" vertical="top" wrapText="1"/>
      <protection locked="0"/>
    </xf>
    <xf numFmtId="173" fontId="15" fillId="16" borderId="14" xfId="0" applyNumberFormat="1" applyFont="1" applyFill="1" applyBorder="1" applyAlignment="1" applyProtection="1">
      <alignment horizontal="center" vertical="top" wrapText="1"/>
      <protection locked="0"/>
    </xf>
    <xf numFmtId="173" fontId="15" fillId="16" borderId="2" xfId="7" applyNumberFormat="1" applyFont="1" applyFill="1" applyBorder="1" applyAlignment="1" applyProtection="1">
      <alignment horizontal="center" vertical="top" wrapText="1"/>
      <protection locked="0"/>
    </xf>
    <xf numFmtId="173" fontId="15" fillId="16" borderId="13" xfId="7" applyNumberFormat="1" applyFont="1" applyFill="1" applyBorder="1" applyAlignment="1" applyProtection="1">
      <alignment horizontal="center" vertical="top" wrapText="1"/>
      <protection locked="0"/>
    </xf>
    <xf numFmtId="173" fontId="15" fillId="16" borderId="44" xfId="7" applyNumberFormat="1" applyFont="1" applyFill="1" applyBorder="1" applyAlignment="1" applyProtection="1">
      <alignment horizontal="center" vertical="top" wrapText="1"/>
      <protection locked="0"/>
    </xf>
    <xf numFmtId="173" fontId="15" fillId="16" borderId="1" xfId="7" applyNumberFormat="1" applyFont="1" applyFill="1" applyBorder="1" applyAlignment="1" applyProtection="1">
      <alignment horizontal="center" vertical="top" wrapText="1"/>
      <protection locked="0"/>
    </xf>
    <xf numFmtId="173" fontId="15" fillId="16" borderId="0" xfId="7" applyNumberFormat="1" applyFont="1" applyFill="1" applyBorder="1" applyAlignment="1" applyProtection="1">
      <alignment horizontal="center" vertical="top" wrapText="1"/>
      <protection locked="0"/>
    </xf>
    <xf numFmtId="173" fontId="15" fillId="16" borderId="14" xfId="7" applyNumberFormat="1" applyFont="1" applyFill="1" applyBorder="1" applyAlignment="1" applyProtection="1">
      <alignment horizontal="center" vertical="top" wrapText="1"/>
      <protection locked="0"/>
    </xf>
    <xf numFmtId="0" fontId="15" fillId="16" borderId="49" xfId="0" applyNumberFormat="1" applyFont="1" applyFill="1" applyBorder="1" applyAlignment="1" applyProtection="1">
      <alignment horizontal="left" vertical="top" wrapText="1"/>
      <protection locked="0"/>
    </xf>
    <xf numFmtId="173" fontId="15" fillId="16" borderId="75" xfId="7" applyNumberFormat="1" applyFont="1" applyFill="1" applyBorder="1" applyAlignment="1" applyProtection="1">
      <alignment horizontal="center" vertical="top" wrapText="1"/>
      <protection locked="0"/>
    </xf>
    <xf numFmtId="173" fontId="15" fillId="16" borderId="45" xfId="7" applyNumberFormat="1" applyFont="1" applyFill="1" applyBorder="1" applyAlignment="1" applyProtection="1">
      <alignment horizontal="center" vertical="top" wrapText="1"/>
      <protection locked="0"/>
    </xf>
    <xf numFmtId="173" fontId="15" fillId="16" borderId="48" xfId="7" applyNumberFormat="1" applyFont="1" applyFill="1" applyBorder="1" applyAlignment="1" applyProtection="1">
      <alignment horizontal="center" vertical="top" wrapText="1"/>
      <protection locked="0"/>
    </xf>
    <xf numFmtId="173" fontId="15" fillId="16" borderId="46" xfId="7" applyNumberFormat="1" applyFont="1" applyFill="1" applyBorder="1" applyAlignment="1" applyProtection="1">
      <alignment horizontal="center" vertical="top" wrapText="1"/>
      <protection locked="0"/>
    </xf>
    <xf numFmtId="173" fontId="15" fillId="16" borderId="76" xfId="7" applyNumberFormat="1" applyFont="1" applyFill="1" applyBorder="1" applyAlignment="1" applyProtection="1">
      <alignment horizontal="center" vertical="top" wrapText="1"/>
      <protection locked="0"/>
    </xf>
    <xf numFmtId="173" fontId="15" fillId="16" borderId="50" xfId="7" applyNumberFormat="1" applyFont="1" applyFill="1" applyBorder="1" applyAlignment="1" applyProtection="1">
      <alignment horizontal="center" vertical="top" wrapText="1"/>
      <protection locked="0"/>
    </xf>
    <xf numFmtId="173" fontId="15" fillId="16" borderId="49" xfId="7" applyNumberFormat="1" applyFont="1" applyFill="1" applyBorder="1" applyAlignment="1" applyProtection="1">
      <alignment horizontal="center" vertical="top" wrapText="1"/>
      <protection locked="0"/>
    </xf>
    <xf numFmtId="174" fontId="15" fillId="16" borderId="53" xfId="1" applyNumberFormat="1" applyFont="1" applyFill="1" applyBorder="1" applyAlignment="1" applyProtection="1">
      <alignment horizontal="left" vertical="top" wrapText="1"/>
      <protection locked="0"/>
    </xf>
    <xf numFmtId="174" fontId="15" fillId="16" borderId="44" xfId="7" applyNumberFormat="1" applyFont="1" applyFill="1" applyBorder="1" applyAlignment="1" applyProtection="1">
      <alignment horizontal="center" vertical="top" wrapText="1"/>
      <protection locked="0"/>
    </xf>
    <xf numFmtId="174" fontId="15" fillId="16" borderId="1" xfId="7" applyNumberFormat="1" applyFont="1" applyFill="1" applyBorder="1" applyAlignment="1" applyProtection="1">
      <alignment horizontal="center" vertical="top" wrapText="1"/>
      <protection locked="0"/>
    </xf>
    <xf numFmtId="174" fontId="15" fillId="16" borderId="75" xfId="1" applyNumberFormat="1" applyFont="1" applyFill="1" applyBorder="1" applyAlignment="1" applyProtection="1">
      <alignment horizontal="left" vertical="top" wrapText="1"/>
      <protection locked="0"/>
    </xf>
    <xf numFmtId="174" fontId="15" fillId="16" borderId="45" xfId="0" applyNumberFormat="1" applyFont="1" applyFill="1" applyBorder="1" applyAlignment="1" applyProtection="1">
      <alignment horizontal="center" vertical="top" wrapText="1"/>
      <protection locked="0"/>
    </xf>
    <xf numFmtId="174" fontId="15" fillId="16" borderId="48" xfId="0" applyNumberFormat="1" applyFont="1" applyFill="1" applyBorder="1" applyAlignment="1" applyProtection="1">
      <alignment horizontal="center" vertical="top" wrapText="1"/>
      <protection locked="0"/>
    </xf>
    <xf numFmtId="174" fontId="15" fillId="16" borderId="46" xfId="0" applyNumberFormat="1" applyFont="1" applyFill="1" applyBorder="1" applyAlignment="1" applyProtection="1">
      <alignment horizontal="center" vertical="top" wrapText="1"/>
      <protection locked="0"/>
    </xf>
    <xf numFmtId="174" fontId="15" fillId="16" borderId="76" xfId="0" applyNumberFormat="1" applyFont="1" applyFill="1" applyBorder="1" applyAlignment="1" applyProtection="1">
      <alignment horizontal="center" vertical="top" wrapText="1"/>
      <protection locked="0"/>
    </xf>
    <xf numFmtId="174" fontId="15" fillId="16" borderId="50" xfId="0" applyNumberFormat="1" applyFont="1" applyFill="1" applyBorder="1" applyAlignment="1" applyProtection="1">
      <alignment horizontal="center" vertical="top" wrapText="1"/>
      <protection locked="0"/>
    </xf>
    <xf numFmtId="174" fontId="15" fillId="16" borderId="49" xfId="0" applyNumberFormat="1" applyFont="1" applyFill="1" applyBorder="1" applyAlignment="1" applyProtection="1">
      <alignment horizontal="center" vertical="top" wrapText="1"/>
      <protection locked="0"/>
    </xf>
    <xf numFmtId="0" fontId="15" fillId="16" borderId="2" xfId="0" applyNumberFormat="1" applyFont="1" applyFill="1" applyBorder="1" applyAlignment="1" applyProtection="1">
      <alignment horizontal="left" vertical="top" wrapText="1" indent="1"/>
      <protection locked="0"/>
    </xf>
    <xf numFmtId="164" fontId="15" fillId="16" borderId="53" xfId="1" applyNumberFormat="1" applyFont="1" applyFill="1" applyBorder="1" applyAlignment="1" applyProtection="1">
      <alignment horizontal="left" vertical="top" wrapText="1"/>
      <protection locked="0"/>
    </xf>
    <xf numFmtId="2" fontId="15" fillId="16" borderId="2" xfId="1" applyNumberFormat="1" applyFont="1" applyFill="1" applyBorder="1" applyAlignment="1" applyProtection="1">
      <alignment horizontal="center" vertical="top" wrapText="1"/>
      <protection locked="0"/>
    </xf>
    <xf numFmtId="2" fontId="15" fillId="16" borderId="13" xfId="1" applyNumberFormat="1" applyFont="1" applyFill="1" applyBorder="1" applyAlignment="1" applyProtection="1">
      <alignment horizontal="center" vertical="top" wrapText="1"/>
      <protection locked="0"/>
    </xf>
    <xf numFmtId="2" fontId="15" fillId="16" borderId="44" xfId="1" applyNumberFormat="1" applyFont="1" applyFill="1" applyBorder="1" applyAlignment="1" applyProtection="1">
      <alignment horizontal="center" vertical="top" wrapText="1"/>
      <protection locked="0"/>
    </xf>
    <xf numFmtId="2" fontId="15" fillId="16" borderId="1" xfId="1" applyNumberFormat="1" applyFont="1" applyFill="1" applyBorder="1" applyAlignment="1" applyProtection="1">
      <alignment horizontal="center" vertical="top" wrapText="1"/>
      <protection locked="0"/>
    </xf>
    <xf numFmtId="2" fontId="15" fillId="16" borderId="0" xfId="1" applyNumberFormat="1" applyFont="1" applyFill="1" applyBorder="1" applyAlignment="1" applyProtection="1">
      <alignment horizontal="center" vertical="top" wrapText="1"/>
      <protection locked="0"/>
    </xf>
    <xf numFmtId="2" fontId="15" fillId="16" borderId="14" xfId="1" applyNumberFormat="1" applyFont="1" applyFill="1" applyBorder="1" applyAlignment="1" applyProtection="1">
      <alignment horizontal="center" vertical="top" wrapText="1"/>
      <protection locked="0"/>
    </xf>
    <xf numFmtId="0" fontId="15" fillId="16" borderId="45" xfId="0" applyNumberFormat="1" applyFont="1" applyFill="1" applyBorder="1" applyAlignment="1" applyProtection="1">
      <alignment horizontal="left" vertical="top" wrapText="1" indent="1"/>
      <protection locked="0"/>
    </xf>
    <xf numFmtId="164" fontId="15" fillId="16" borderId="75" xfId="1" applyNumberFormat="1" applyFont="1" applyFill="1" applyBorder="1" applyAlignment="1" applyProtection="1">
      <alignment horizontal="left" vertical="top" wrapText="1"/>
      <protection locked="0"/>
    </xf>
    <xf numFmtId="164" fontId="15" fillId="16" borderId="48" xfId="1" applyNumberFormat="1" applyFont="1" applyFill="1" applyBorder="1" applyProtection="1">
      <protection locked="0"/>
    </xf>
    <xf numFmtId="164" fontId="15" fillId="16" borderId="46" xfId="1" applyNumberFormat="1" applyFont="1" applyFill="1" applyBorder="1" applyProtection="1">
      <protection locked="0"/>
    </xf>
    <xf numFmtId="164" fontId="15" fillId="16" borderId="76" xfId="1" applyNumberFormat="1" applyFont="1" applyFill="1" applyBorder="1" applyProtection="1">
      <protection locked="0"/>
    </xf>
    <xf numFmtId="164" fontId="15" fillId="16" borderId="95" xfId="1" applyNumberFormat="1" applyFont="1" applyFill="1" applyBorder="1" applyProtection="1">
      <protection locked="0"/>
    </xf>
    <xf numFmtId="164" fontId="15" fillId="16" borderId="75" xfId="1" applyNumberFormat="1" applyFont="1" applyFill="1" applyBorder="1" applyProtection="1">
      <protection locked="0"/>
    </xf>
    <xf numFmtId="164" fontId="15" fillId="16" borderId="2" xfId="1" applyNumberFormat="1" applyFont="1" applyFill="1" applyBorder="1" applyAlignment="1" applyProtection="1">
      <alignment horizontal="center" vertical="top" wrapText="1"/>
      <protection locked="0"/>
    </xf>
    <xf numFmtId="164" fontId="15" fillId="16" borderId="13" xfId="1" applyNumberFormat="1" applyFont="1" applyFill="1" applyBorder="1" applyAlignment="1" applyProtection="1">
      <alignment horizontal="center" vertical="top" wrapText="1"/>
      <protection locked="0"/>
    </xf>
    <xf numFmtId="164" fontId="15" fillId="16" borderId="44" xfId="1" applyNumberFormat="1" applyFont="1" applyFill="1" applyBorder="1" applyAlignment="1" applyProtection="1">
      <alignment horizontal="center" vertical="top" wrapText="1"/>
      <protection locked="0"/>
    </xf>
    <xf numFmtId="164" fontId="15" fillId="16" borderId="1" xfId="1" applyNumberFormat="1" applyFont="1" applyFill="1" applyBorder="1" applyAlignment="1" applyProtection="1">
      <alignment horizontal="center" vertical="top" wrapText="1"/>
      <protection locked="0"/>
    </xf>
    <xf numFmtId="164" fontId="15" fillId="16" borderId="0" xfId="1" applyNumberFormat="1" applyFont="1" applyFill="1" applyBorder="1" applyAlignment="1" applyProtection="1">
      <alignment horizontal="center" vertical="top" wrapText="1"/>
      <protection locked="0"/>
    </xf>
    <xf numFmtId="164" fontId="15" fillId="16" borderId="14" xfId="1" applyNumberFormat="1" applyFont="1" applyFill="1" applyBorder="1" applyAlignment="1" applyProtection="1">
      <alignment horizontal="center" vertical="top" wrapText="1"/>
      <protection locked="0"/>
    </xf>
    <xf numFmtId="164" fontId="15" fillId="16" borderId="76" xfId="1" applyNumberFormat="1" applyFont="1" applyFill="1" applyBorder="1" applyAlignment="1" applyProtection="1">
      <alignment horizontal="left" vertical="top" wrapText="1"/>
      <protection locked="0"/>
    </xf>
    <xf numFmtId="164" fontId="15" fillId="16" borderId="45" xfId="1" applyNumberFormat="1" applyFont="1" applyFill="1" applyBorder="1" applyAlignment="1" applyProtection="1">
      <alignment horizontal="center" vertical="top" wrapText="1"/>
      <protection locked="0"/>
    </xf>
    <xf numFmtId="164" fontId="15" fillId="16" borderId="48" xfId="1" applyNumberFormat="1" applyFont="1" applyFill="1" applyBorder="1" applyAlignment="1" applyProtection="1">
      <alignment horizontal="center" vertical="top" wrapText="1"/>
      <protection locked="0"/>
    </xf>
    <xf numFmtId="164" fontId="15" fillId="16" borderId="46" xfId="1" applyNumberFormat="1" applyFont="1" applyFill="1" applyBorder="1" applyAlignment="1" applyProtection="1">
      <alignment horizontal="center" vertical="top" wrapText="1"/>
      <protection locked="0"/>
    </xf>
    <xf numFmtId="164" fontId="15" fillId="16" borderId="76" xfId="1" applyNumberFormat="1" applyFont="1" applyFill="1" applyBorder="1" applyAlignment="1" applyProtection="1">
      <alignment horizontal="center" vertical="top" wrapText="1"/>
      <protection locked="0"/>
    </xf>
    <xf numFmtId="164" fontId="15" fillId="16" borderId="50" xfId="1" applyNumberFormat="1" applyFont="1" applyFill="1" applyBorder="1" applyAlignment="1" applyProtection="1">
      <alignment horizontal="center" vertical="top" wrapText="1"/>
      <protection locked="0"/>
    </xf>
    <xf numFmtId="164" fontId="15" fillId="16" borderId="49" xfId="1" applyNumberFormat="1" applyFont="1" applyFill="1" applyBorder="1" applyAlignment="1" applyProtection="1">
      <alignment horizontal="center" vertical="top" wrapText="1"/>
      <protection locked="0"/>
    </xf>
    <xf numFmtId="164" fontId="15" fillId="16" borderId="1" xfId="1" applyNumberFormat="1" applyFont="1" applyFill="1" applyBorder="1" applyAlignment="1" applyProtection="1">
      <alignment horizontal="left" vertical="top" wrapText="1"/>
      <protection locked="0"/>
    </xf>
    <xf numFmtId="167" fontId="15" fillId="16" borderId="44" xfId="0" applyNumberFormat="1" applyFont="1" applyFill="1" applyBorder="1" applyAlignment="1" applyProtection="1">
      <alignment horizontal="center" vertical="top" wrapText="1"/>
      <protection locked="0"/>
    </xf>
    <xf numFmtId="167" fontId="15" fillId="16" borderId="1" xfId="0" applyNumberFormat="1" applyFont="1" applyFill="1" applyBorder="1" applyAlignment="1" applyProtection="1">
      <alignment horizontal="center" vertical="top" wrapText="1"/>
      <protection locked="0"/>
    </xf>
    <xf numFmtId="167" fontId="15" fillId="16" borderId="2" xfId="1" applyNumberFormat="1" applyFont="1" applyFill="1" applyBorder="1" applyAlignment="1" applyProtection="1">
      <alignment horizontal="center" vertical="top" wrapText="1"/>
      <protection locked="0"/>
    </xf>
    <xf numFmtId="167" fontId="15" fillId="16" borderId="13" xfId="1" applyNumberFormat="1" applyFont="1" applyFill="1" applyBorder="1" applyAlignment="1" applyProtection="1">
      <alignment horizontal="center" vertical="top" wrapText="1"/>
      <protection locked="0"/>
    </xf>
    <xf numFmtId="167" fontId="15" fillId="16" borderId="44" xfId="1" applyNumberFormat="1" applyFont="1" applyFill="1" applyBorder="1" applyAlignment="1" applyProtection="1">
      <alignment horizontal="center" vertical="top" wrapText="1"/>
      <protection locked="0"/>
    </xf>
    <xf numFmtId="167" fontId="15" fillId="16" borderId="0" xfId="1" applyNumberFormat="1" applyFont="1" applyFill="1" applyBorder="1" applyAlignment="1" applyProtection="1">
      <alignment horizontal="center" vertical="top" wrapText="1"/>
      <protection locked="0"/>
    </xf>
    <xf numFmtId="167" fontId="15" fillId="16" borderId="14" xfId="1" applyNumberFormat="1" applyFont="1" applyFill="1" applyBorder="1" applyAlignment="1" applyProtection="1">
      <alignment horizontal="center" vertical="top" wrapText="1"/>
      <protection locked="0"/>
    </xf>
    <xf numFmtId="173" fontId="17" fillId="16" borderId="1" xfId="0" applyNumberFormat="1" applyFont="1" applyFill="1" applyBorder="1" applyProtection="1">
      <protection locked="0"/>
    </xf>
    <xf numFmtId="0" fontId="20" fillId="16" borderId="0" xfId="0" applyFont="1" applyFill="1" applyProtection="1">
      <protection locked="0"/>
    </xf>
    <xf numFmtId="0" fontId="17" fillId="16" borderId="0" xfId="0" applyNumberFormat="1" applyFont="1" applyFill="1" applyBorder="1" applyAlignment="1" applyProtection="1">
      <alignment horizontal="center"/>
      <protection locked="0"/>
    </xf>
    <xf numFmtId="0" fontId="15" fillId="16" borderId="0" xfId="0" applyNumberFormat="1" applyFont="1" applyFill="1" applyBorder="1" applyAlignment="1" applyProtection="1">
      <alignment horizontal="center"/>
      <protection locked="0"/>
    </xf>
    <xf numFmtId="0" fontId="15" fillId="16" borderId="13" xfId="0" applyNumberFormat="1" applyFont="1" applyFill="1" applyBorder="1" applyAlignment="1" applyProtection="1">
      <alignment horizontal="center"/>
      <protection locked="0"/>
    </xf>
    <xf numFmtId="0" fontId="15" fillId="16" borderId="53" xfId="0" applyNumberFormat="1" applyFont="1" applyFill="1" applyBorder="1" applyAlignment="1" applyProtection="1">
      <alignment horizontal="center"/>
      <protection locked="0"/>
    </xf>
    <xf numFmtId="0" fontId="15" fillId="16" borderId="14" xfId="0" applyNumberFormat="1" applyFont="1" applyFill="1" applyBorder="1" applyAlignment="1" applyProtection="1">
      <alignment horizontal="center"/>
      <protection locked="0"/>
    </xf>
    <xf numFmtId="174" fontId="17" fillId="16" borderId="13" xfId="0" applyNumberFormat="1" applyFont="1" applyFill="1" applyBorder="1" applyAlignment="1" applyProtection="1">
      <protection locked="0"/>
    </xf>
    <xf numFmtId="174" fontId="17" fillId="16" borderId="53" xfId="0" applyNumberFormat="1" applyFont="1" applyFill="1" applyBorder="1" applyAlignment="1" applyProtection="1">
      <protection locked="0"/>
    </xf>
    <xf numFmtId="174" fontId="15" fillId="16" borderId="0" xfId="1" applyNumberFormat="1" applyFont="1" applyFill="1" applyBorder="1" applyAlignment="1" applyProtection="1">
      <protection locked="0"/>
    </xf>
    <xf numFmtId="174" fontId="17" fillId="16" borderId="14" xfId="0" applyNumberFormat="1" applyFont="1" applyFill="1" applyBorder="1" applyAlignment="1" applyProtection="1">
      <protection locked="0"/>
    </xf>
    <xf numFmtId="174" fontId="15" fillId="16" borderId="13" xfId="0" applyNumberFormat="1" applyFont="1" applyFill="1" applyBorder="1" applyAlignment="1" applyProtection="1">
      <protection locked="0"/>
    </xf>
    <xf numFmtId="174" fontId="15" fillId="16" borderId="53" xfId="0" applyNumberFormat="1" applyFont="1" applyFill="1" applyBorder="1" applyAlignment="1" applyProtection="1">
      <protection locked="0"/>
    </xf>
    <xf numFmtId="174" fontId="15" fillId="16" borderId="14" xfId="0" applyNumberFormat="1" applyFont="1" applyFill="1" applyBorder="1" applyAlignment="1" applyProtection="1">
      <protection locked="0"/>
    </xf>
    <xf numFmtId="14" fontId="15" fillId="16" borderId="13" xfId="0" applyNumberFormat="1" applyFont="1" applyFill="1" applyBorder="1" applyAlignment="1" applyProtection="1">
      <alignment horizontal="center"/>
      <protection locked="0"/>
    </xf>
    <xf numFmtId="14" fontId="15" fillId="16" borderId="14" xfId="0" applyNumberFormat="1" applyFont="1" applyFill="1" applyBorder="1" applyAlignment="1" applyProtection="1">
      <alignment horizontal="center"/>
      <protection locked="0"/>
    </xf>
    <xf numFmtId="14" fontId="15" fillId="16" borderId="2" xfId="0" applyNumberFormat="1" applyFont="1" applyFill="1" applyBorder="1" applyAlignment="1" applyProtection="1">
      <alignment horizontal="center"/>
      <protection locked="0"/>
    </xf>
    <xf numFmtId="0" fontId="17" fillId="16" borderId="13" xfId="0" applyNumberFormat="1" applyFont="1" applyFill="1" applyBorder="1" applyAlignment="1" applyProtection="1">
      <alignment horizontal="center"/>
      <protection locked="0"/>
    </xf>
    <xf numFmtId="0" fontId="17" fillId="16" borderId="14" xfId="0" applyNumberFormat="1" applyFont="1" applyFill="1" applyBorder="1" applyAlignment="1" applyProtection="1">
      <alignment horizontal="center"/>
      <protection locked="0"/>
    </xf>
    <xf numFmtId="0" fontId="17" fillId="16" borderId="2" xfId="0" applyNumberFormat="1" applyFont="1" applyFill="1" applyBorder="1" applyAlignment="1" applyProtection="1">
      <alignment horizontal="center"/>
      <protection locked="0"/>
    </xf>
    <xf numFmtId="0" fontId="15" fillId="16" borderId="2" xfId="0" applyNumberFormat="1" applyFont="1" applyFill="1" applyBorder="1" applyAlignment="1" applyProtection="1">
      <alignment horizontal="center"/>
      <protection locked="0"/>
    </xf>
    <xf numFmtId="174" fontId="17" fillId="16" borderId="13" xfId="1" applyNumberFormat="1" applyFont="1" applyFill="1" applyBorder="1" applyAlignment="1" applyProtection="1">
      <protection locked="0"/>
    </xf>
    <xf numFmtId="174" fontId="17" fillId="16" borderId="14" xfId="1" applyNumberFormat="1" applyFont="1" applyFill="1" applyBorder="1" applyAlignment="1" applyProtection="1">
      <protection locked="0"/>
    </xf>
    <xf numFmtId="174" fontId="15" fillId="16" borderId="2" xfId="1" applyNumberFormat="1" applyFont="1" applyFill="1" applyBorder="1" applyAlignment="1" applyProtection="1">
      <protection locked="0"/>
    </xf>
    <xf numFmtId="174" fontId="15" fillId="16" borderId="13" xfId="1" applyNumberFormat="1" applyFont="1" applyFill="1" applyBorder="1" applyAlignment="1" applyProtection="1">
      <protection locked="0"/>
    </xf>
    <xf numFmtId="174" fontId="15" fillId="16" borderId="14" xfId="1" applyNumberFormat="1" applyFont="1" applyFill="1" applyBorder="1" applyAlignment="1" applyProtection="1">
      <protection locked="0"/>
    </xf>
    <xf numFmtId="172" fontId="15" fillId="16" borderId="13" xfId="1" applyNumberFormat="1" applyFont="1" applyFill="1" applyBorder="1" applyProtection="1">
      <protection locked="0"/>
    </xf>
    <xf numFmtId="172" fontId="15" fillId="16" borderId="14" xfId="1" applyNumberFormat="1" applyFont="1" applyFill="1" applyBorder="1" applyProtection="1">
      <protection locked="0"/>
    </xf>
    <xf numFmtId="172" fontId="15" fillId="16" borderId="2" xfId="1" applyNumberFormat="1" applyFont="1" applyFill="1" applyBorder="1" applyProtection="1">
      <protection locked="0"/>
    </xf>
    <xf numFmtId="174" fontId="15" fillId="16" borderId="53" xfId="1" applyNumberFormat="1" applyFont="1" applyFill="1" applyBorder="1" applyAlignment="1" applyProtection="1">
      <protection locked="0"/>
    </xf>
    <xf numFmtId="172" fontId="15" fillId="16" borderId="53" xfId="1" applyNumberFormat="1" applyFont="1" applyFill="1" applyBorder="1" applyProtection="1">
      <protection locked="0"/>
    </xf>
    <xf numFmtId="172" fontId="15" fillId="16" borderId="0" xfId="1" applyNumberFormat="1" applyFont="1" applyFill="1" applyBorder="1" applyProtection="1">
      <protection locked="0"/>
    </xf>
    <xf numFmtId="172" fontId="15" fillId="16" borderId="13" xfId="0" applyNumberFormat="1" applyFont="1" applyFill="1" applyBorder="1" applyProtection="1">
      <protection locked="0"/>
    </xf>
    <xf numFmtId="172" fontId="15" fillId="16" borderId="14" xfId="0" applyNumberFormat="1" applyFont="1" applyFill="1" applyBorder="1" applyProtection="1">
      <protection locked="0"/>
    </xf>
    <xf numFmtId="172" fontId="15" fillId="16" borderId="2" xfId="0" applyNumberFormat="1" applyFont="1" applyFill="1" applyBorder="1" applyProtection="1">
      <protection locked="0"/>
    </xf>
    <xf numFmtId="172" fontId="15" fillId="16" borderId="53" xfId="0" applyNumberFormat="1" applyFont="1" applyFill="1" applyBorder="1" applyProtection="1">
      <protection locked="0"/>
    </xf>
    <xf numFmtId="172" fontId="15" fillId="16" borderId="0" xfId="0" applyNumberFormat="1" applyFont="1" applyFill="1" applyBorder="1" applyProtection="1">
      <protection locked="0"/>
    </xf>
    <xf numFmtId="172" fontId="17" fillId="16" borderId="13" xfId="0" applyNumberFormat="1" applyFont="1" applyFill="1" applyBorder="1" applyProtection="1">
      <protection locked="0"/>
    </xf>
    <xf numFmtId="172" fontId="17" fillId="16" borderId="14" xfId="0" applyNumberFormat="1" applyFont="1" applyFill="1" applyBorder="1" applyProtection="1">
      <protection locked="0"/>
    </xf>
    <xf numFmtId="43" fontId="15" fillId="16" borderId="13" xfId="1" applyFont="1" applyFill="1" applyBorder="1" applyProtection="1">
      <protection locked="0"/>
    </xf>
    <xf numFmtId="43" fontId="15" fillId="16" borderId="14" xfId="1" applyFont="1" applyFill="1" applyBorder="1" applyProtection="1">
      <protection locked="0"/>
    </xf>
    <xf numFmtId="43" fontId="15" fillId="16" borderId="2" xfId="1" applyFont="1" applyFill="1" applyBorder="1" applyProtection="1">
      <protection locked="0"/>
    </xf>
    <xf numFmtId="43" fontId="15" fillId="16" borderId="53" xfId="1" applyFont="1" applyFill="1" applyBorder="1" applyProtection="1">
      <protection locked="0"/>
    </xf>
    <xf numFmtId="43" fontId="15" fillId="16" borderId="0" xfId="1" applyFont="1" applyFill="1" applyBorder="1" applyProtection="1">
      <protection locked="0"/>
    </xf>
    <xf numFmtId="0" fontId="15" fillId="16" borderId="0" xfId="1" applyNumberFormat="1" applyFont="1" applyFill="1" applyBorder="1" applyAlignment="1" applyProtection="1">
      <alignment horizontal="center"/>
      <protection locked="0"/>
    </xf>
    <xf numFmtId="0" fontId="15" fillId="16" borderId="14" xfId="1" applyNumberFormat="1" applyFont="1" applyFill="1" applyBorder="1" applyAlignment="1" applyProtection="1">
      <alignment horizontal="center"/>
      <protection locked="0"/>
    </xf>
    <xf numFmtId="0" fontId="15" fillId="16" borderId="2" xfId="1" applyNumberFormat="1" applyFont="1" applyFill="1" applyBorder="1" applyAlignment="1" applyProtection="1">
      <alignment horizontal="center"/>
      <protection locked="0"/>
    </xf>
    <xf numFmtId="170" fontId="15" fillId="16" borderId="13" xfId="0" applyNumberFormat="1" applyFont="1" applyFill="1" applyBorder="1" applyAlignment="1" applyProtection="1">
      <alignment horizontal="center"/>
      <protection locked="0"/>
    </xf>
    <xf numFmtId="170" fontId="15" fillId="16" borderId="14" xfId="0" applyNumberFormat="1" applyFont="1" applyFill="1" applyBorder="1" applyAlignment="1" applyProtection="1">
      <alignment horizontal="center"/>
      <protection locked="0"/>
    </xf>
    <xf numFmtId="170" fontId="15" fillId="16" borderId="2" xfId="0" applyNumberFormat="1" applyFont="1" applyFill="1" applyBorder="1" applyAlignment="1" applyProtection="1">
      <alignment horizontal="center"/>
      <protection locked="0"/>
    </xf>
    <xf numFmtId="170" fontId="15" fillId="16" borderId="0" xfId="0" applyNumberFormat="1" applyFont="1" applyFill="1" applyBorder="1" applyAlignment="1" applyProtection="1">
      <alignment horizontal="center"/>
      <protection locked="0"/>
    </xf>
    <xf numFmtId="170" fontId="15" fillId="16" borderId="13" xfId="7" applyNumberFormat="1" applyFont="1" applyFill="1" applyBorder="1" applyAlignment="1" applyProtection="1">
      <alignment horizontal="center"/>
      <protection locked="0"/>
    </xf>
    <xf numFmtId="170" fontId="15" fillId="16" borderId="14" xfId="7" applyNumberFormat="1" applyFont="1" applyFill="1" applyBorder="1" applyAlignment="1" applyProtection="1">
      <alignment horizontal="center"/>
      <protection locked="0"/>
    </xf>
    <xf numFmtId="170" fontId="15" fillId="16" borderId="2" xfId="7" applyNumberFormat="1" applyFont="1" applyFill="1" applyBorder="1" applyAlignment="1" applyProtection="1">
      <alignment horizontal="center"/>
      <protection locked="0"/>
    </xf>
    <xf numFmtId="170" fontId="15" fillId="16" borderId="53" xfId="7" applyNumberFormat="1" applyFont="1" applyFill="1" applyBorder="1" applyAlignment="1" applyProtection="1">
      <alignment horizontal="center"/>
      <protection locked="0"/>
    </xf>
    <xf numFmtId="170" fontId="15" fillId="16" borderId="0" xfId="7" applyNumberFormat="1" applyFont="1" applyFill="1" applyBorder="1" applyAlignment="1" applyProtection="1">
      <alignment horizontal="center"/>
      <protection locked="0"/>
    </xf>
    <xf numFmtId="173" fontId="15" fillId="16" borderId="13" xfId="7" applyNumberFormat="1" applyFont="1" applyFill="1" applyBorder="1" applyAlignment="1" applyProtection="1">
      <alignment horizontal="center"/>
      <protection locked="0"/>
    </xf>
    <xf numFmtId="173" fontId="15" fillId="16" borderId="14" xfId="7" applyNumberFormat="1" applyFont="1" applyFill="1" applyBorder="1" applyAlignment="1" applyProtection="1">
      <alignment horizontal="center"/>
      <protection locked="0"/>
    </xf>
    <xf numFmtId="173" fontId="15" fillId="16" borderId="2" xfId="7" applyNumberFormat="1" applyFont="1" applyFill="1" applyBorder="1" applyAlignment="1" applyProtection="1">
      <alignment horizontal="center"/>
      <protection locked="0"/>
    </xf>
    <xf numFmtId="173" fontId="15" fillId="16" borderId="53" xfId="7" applyNumberFormat="1" applyFont="1" applyFill="1" applyBorder="1" applyAlignment="1" applyProtection="1">
      <alignment horizontal="center"/>
      <protection locked="0"/>
    </xf>
    <xf numFmtId="173" fontId="15" fillId="16" borderId="0" xfId="7" applyNumberFormat="1" applyFont="1" applyFill="1" applyBorder="1" applyAlignment="1" applyProtection="1">
      <alignment horizontal="center"/>
      <protection locked="0"/>
    </xf>
    <xf numFmtId="173" fontId="15" fillId="16" borderId="21" xfId="7" applyNumberFormat="1" applyFont="1" applyFill="1" applyBorder="1" applyAlignment="1" applyProtection="1">
      <alignment horizontal="center"/>
      <protection locked="0"/>
    </xf>
    <xf numFmtId="173" fontId="15" fillId="16" borderId="26" xfId="7" applyNumberFormat="1" applyFont="1" applyFill="1" applyBorder="1" applyAlignment="1" applyProtection="1">
      <alignment horizontal="center"/>
      <protection locked="0"/>
    </xf>
    <xf numFmtId="173" fontId="15" fillId="16" borderId="27" xfId="7" applyNumberFormat="1" applyFont="1" applyFill="1" applyBorder="1" applyAlignment="1" applyProtection="1">
      <alignment horizontal="center"/>
      <protection locked="0"/>
    </xf>
    <xf numFmtId="173" fontId="15" fillId="16" borderId="58" xfId="7" applyNumberFormat="1" applyFont="1" applyFill="1" applyBorder="1" applyAlignment="1" applyProtection="1">
      <alignment horizontal="center"/>
      <protection locked="0"/>
    </xf>
    <xf numFmtId="173" fontId="15" fillId="16" borderId="25" xfId="7" applyNumberFormat="1" applyFont="1" applyFill="1" applyBorder="1" applyAlignment="1" applyProtection="1">
      <alignment horizontal="center"/>
      <protection locked="0"/>
    </xf>
    <xf numFmtId="173" fontId="15" fillId="16" borderId="26" xfId="0" applyNumberFormat="1" applyFont="1" applyFill="1" applyBorder="1" applyProtection="1">
      <protection locked="0"/>
    </xf>
    <xf numFmtId="173" fontId="15" fillId="16" borderId="48" xfId="7" applyNumberFormat="1" applyFont="1" applyFill="1" applyBorder="1" applyAlignment="1" applyProtection="1">
      <alignment horizontal="center"/>
      <protection locked="0"/>
    </xf>
    <xf numFmtId="173" fontId="15" fillId="16" borderId="49" xfId="7" applyNumberFormat="1" applyFont="1" applyFill="1" applyBorder="1" applyAlignment="1" applyProtection="1">
      <alignment horizontal="center"/>
      <protection locked="0"/>
    </xf>
    <xf numFmtId="173" fontId="15" fillId="16" borderId="45" xfId="7" applyNumberFormat="1" applyFont="1" applyFill="1" applyBorder="1" applyAlignment="1" applyProtection="1">
      <alignment horizontal="center"/>
      <protection locked="0"/>
    </xf>
    <xf numFmtId="173" fontId="15" fillId="16" borderId="75" xfId="7" applyNumberFormat="1" applyFont="1" applyFill="1" applyBorder="1" applyAlignment="1" applyProtection="1">
      <alignment horizontal="center"/>
      <protection locked="0"/>
    </xf>
    <xf numFmtId="173" fontId="15" fillId="16" borderId="50" xfId="7" applyNumberFormat="1" applyFont="1" applyFill="1" applyBorder="1" applyAlignment="1" applyProtection="1">
      <alignment horizontal="center"/>
      <protection locked="0"/>
    </xf>
    <xf numFmtId="174" fontId="15" fillId="16" borderId="53" xfId="1" applyNumberFormat="1" applyFont="1" applyFill="1" applyBorder="1" applyProtection="1">
      <protection locked="0"/>
    </xf>
    <xf numFmtId="0" fontId="15" fillId="16" borderId="13" xfId="1" applyNumberFormat="1" applyFont="1" applyFill="1" applyBorder="1" applyAlignment="1" applyProtection="1">
      <alignment horizontal="center"/>
      <protection locked="0"/>
    </xf>
    <xf numFmtId="0" fontId="15" fillId="16" borderId="53" xfId="1" applyNumberFormat="1" applyFont="1" applyFill="1" applyBorder="1" applyAlignment="1" applyProtection="1">
      <alignment horizontal="center"/>
      <protection locked="0"/>
    </xf>
    <xf numFmtId="172" fontId="17" fillId="16" borderId="53" xfId="0" applyNumberFormat="1" applyFont="1" applyFill="1" applyBorder="1" applyProtection="1">
      <protection locked="0"/>
    </xf>
    <xf numFmtId="176" fontId="15" fillId="16" borderId="13" xfId="1" applyNumberFormat="1" applyFont="1" applyFill="1" applyBorder="1" applyProtection="1">
      <protection locked="0"/>
    </xf>
    <xf numFmtId="176" fontId="15" fillId="16" borderId="53" xfId="1" applyNumberFormat="1" applyFont="1" applyFill="1" applyBorder="1" applyProtection="1">
      <protection locked="0"/>
    </xf>
    <xf numFmtId="173" fontId="15" fillId="16" borderId="21" xfId="1" applyNumberFormat="1" applyFont="1" applyFill="1" applyBorder="1" applyProtection="1">
      <protection locked="0"/>
    </xf>
    <xf numFmtId="173" fontId="15" fillId="16" borderId="58" xfId="1" applyNumberFormat="1" applyFont="1" applyFill="1" applyBorder="1" applyProtection="1">
      <protection locked="0"/>
    </xf>
    <xf numFmtId="164" fontId="15" fillId="16" borderId="13" xfId="1" applyNumberFormat="1" applyFont="1" applyFill="1" applyBorder="1" applyAlignment="1" applyProtection="1">
      <alignment vertical="top" wrapText="1"/>
      <protection locked="0"/>
    </xf>
    <xf numFmtId="180" fontId="15" fillId="16" borderId="13" xfId="1" applyNumberFormat="1" applyFont="1" applyFill="1" applyBorder="1" applyAlignment="1" applyProtection="1">
      <alignment vertical="top" wrapText="1"/>
      <protection locked="0"/>
    </xf>
    <xf numFmtId="180" fontId="15" fillId="16" borderId="14" xfId="1" applyNumberFormat="1" applyFont="1" applyFill="1" applyBorder="1" applyAlignment="1" applyProtection="1">
      <alignment vertical="top" wrapText="1"/>
      <protection locked="0"/>
    </xf>
    <xf numFmtId="180" fontId="15" fillId="16" borderId="2" xfId="1" applyNumberFormat="1" applyFont="1" applyFill="1" applyBorder="1" applyAlignment="1" applyProtection="1">
      <alignment vertical="top" wrapText="1"/>
      <protection locked="0"/>
    </xf>
    <xf numFmtId="164" fontId="15" fillId="16" borderId="14" xfId="1" applyNumberFormat="1" applyFont="1" applyFill="1" applyBorder="1" applyAlignment="1" applyProtection="1">
      <alignment vertical="top" wrapText="1"/>
      <protection locked="0"/>
    </xf>
    <xf numFmtId="164" fontId="15" fillId="16" borderId="2" xfId="1" applyNumberFormat="1" applyFont="1" applyFill="1" applyBorder="1" applyAlignment="1" applyProtection="1">
      <alignment vertical="top" wrapText="1"/>
      <protection locked="0"/>
    </xf>
    <xf numFmtId="0" fontId="20" fillId="16" borderId="13" xfId="1" applyNumberFormat="1" applyFont="1" applyFill="1" applyBorder="1" applyAlignment="1" applyProtection="1">
      <alignment vertical="top" wrapText="1"/>
      <protection locked="0"/>
    </xf>
    <xf numFmtId="177" fontId="15" fillId="16" borderId="13" xfId="1" applyNumberFormat="1" applyFont="1" applyFill="1" applyBorder="1" applyAlignment="1" applyProtection="1">
      <alignment vertical="top" wrapText="1"/>
      <protection locked="0"/>
    </xf>
    <xf numFmtId="177" fontId="15" fillId="16" borderId="14" xfId="1" applyNumberFormat="1" applyFont="1" applyFill="1" applyBorder="1" applyAlignment="1" applyProtection="1">
      <alignment vertical="top" wrapText="1"/>
      <protection locked="0"/>
    </xf>
    <xf numFmtId="177" fontId="15" fillId="16" borderId="2" xfId="1" applyNumberFormat="1" applyFont="1" applyFill="1" applyBorder="1" applyAlignment="1" applyProtection="1">
      <alignment vertical="top" wrapText="1"/>
      <protection locked="0"/>
    </xf>
    <xf numFmtId="177" fontId="15" fillId="16" borderId="0" xfId="1" applyNumberFormat="1" applyFont="1" applyFill="1" applyBorder="1" applyAlignment="1" applyProtection="1">
      <alignment vertical="top" wrapText="1"/>
      <protection locked="0"/>
    </xf>
    <xf numFmtId="178" fontId="15" fillId="16" borderId="1" xfId="7" applyNumberFormat="1" applyFont="1" applyFill="1" applyBorder="1" applyAlignment="1" applyProtection="1">
      <alignment vertical="top" wrapText="1"/>
      <protection locked="0"/>
    </xf>
    <xf numFmtId="173" fontId="15" fillId="16" borderId="13" xfId="0" applyNumberFormat="1" applyFont="1" applyFill="1" applyBorder="1" applyAlignment="1" applyProtection="1">
      <protection locked="0"/>
    </xf>
    <xf numFmtId="173" fontId="15" fillId="16" borderId="14" xfId="0" applyNumberFormat="1" applyFont="1" applyFill="1" applyBorder="1" applyAlignment="1" applyProtection="1">
      <protection locked="0"/>
    </xf>
    <xf numFmtId="173" fontId="15" fillId="16" borderId="2" xfId="0" applyNumberFormat="1" applyFont="1" applyFill="1" applyBorder="1" applyAlignment="1" applyProtection="1">
      <protection locked="0"/>
    </xf>
    <xf numFmtId="173" fontId="15" fillId="16" borderId="0" xfId="0" applyNumberFormat="1" applyFont="1" applyFill="1" applyBorder="1" applyAlignment="1" applyProtection="1">
      <protection locked="0"/>
    </xf>
    <xf numFmtId="173" fontId="15" fillId="16" borderId="24" xfId="0" applyNumberFormat="1" applyFont="1" applyFill="1" applyBorder="1" applyAlignment="1" applyProtection="1">
      <protection locked="0"/>
    </xf>
    <xf numFmtId="0" fontId="15" fillId="16" borderId="2" xfId="0" applyNumberFormat="1" applyFont="1" applyFill="1" applyBorder="1" applyAlignment="1" applyProtection="1">
      <alignment horizontal="left" indent="1"/>
      <protection locked="0"/>
    </xf>
    <xf numFmtId="0" fontId="15" fillId="16" borderId="44" xfId="0" applyNumberFormat="1" applyFont="1" applyFill="1" applyBorder="1" applyAlignment="1" applyProtection="1">
      <alignment horizontal="center"/>
      <protection locked="0"/>
    </xf>
    <xf numFmtId="179" fontId="15" fillId="16" borderId="53" xfId="0" applyNumberFormat="1" applyFont="1" applyFill="1" applyBorder="1" applyAlignment="1" applyProtection="1">
      <alignment horizontal="center"/>
      <protection locked="0"/>
    </xf>
    <xf numFmtId="173" fontId="15" fillId="16" borderId="77" xfId="0" applyNumberFormat="1" applyFont="1" applyFill="1" applyBorder="1" applyAlignment="1" applyProtection="1">
      <protection locked="0"/>
    </xf>
    <xf numFmtId="0" fontId="15" fillId="16" borderId="2" xfId="0" applyNumberFormat="1" applyFont="1" applyFill="1" applyBorder="1" applyAlignment="1" applyProtection="1">
      <alignment horizontal="left" indent="2"/>
      <protection locked="0"/>
    </xf>
    <xf numFmtId="173" fontId="15" fillId="16" borderId="21" xfId="0" applyNumberFormat="1" applyFont="1" applyFill="1" applyBorder="1" applyAlignment="1" applyProtection="1">
      <protection locked="0"/>
    </xf>
    <xf numFmtId="173" fontId="15" fillId="16" borderId="26" xfId="0" applyNumberFormat="1" applyFont="1" applyFill="1" applyBorder="1" applyAlignment="1" applyProtection="1">
      <protection locked="0"/>
    </xf>
    <xf numFmtId="173" fontId="15" fillId="16" borderId="27" xfId="0" applyNumberFormat="1" applyFont="1" applyFill="1" applyBorder="1" applyAlignment="1" applyProtection="1">
      <protection locked="0"/>
    </xf>
    <xf numFmtId="173" fontId="15" fillId="16" borderId="25" xfId="0" applyNumberFormat="1" applyFont="1" applyFill="1" applyBorder="1" applyAlignment="1" applyProtection="1">
      <protection locked="0"/>
    </xf>
    <xf numFmtId="173" fontId="15" fillId="16" borderId="28" xfId="0" applyNumberFormat="1" applyFont="1" applyFill="1" applyBorder="1" applyAlignment="1" applyProtection="1">
      <protection locked="0"/>
    </xf>
    <xf numFmtId="173" fontId="15" fillId="16" borderId="48" xfId="0" applyNumberFormat="1" applyFont="1" applyFill="1" applyBorder="1" applyAlignment="1" applyProtection="1">
      <protection locked="0"/>
    </xf>
    <xf numFmtId="173" fontId="15" fillId="16" borderId="49" xfId="0" applyNumberFormat="1" applyFont="1" applyFill="1" applyBorder="1" applyAlignment="1" applyProtection="1">
      <protection locked="0"/>
    </xf>
    <xf numFmtId="173" fontId="15" fillId="16" borderId="45" xfId="0" applyNumberFormat="1" applyFont="1" applyFill="1" applyBorder="1" applyAlignment="1" applyProtection="1">
      <protection locked="0"/>
    </xf>
    <xf numFmtId="173" fontId="15" fillId="16" borderId="50" xfId="0" applyNumberFormat="1" applyFont="1" applyFill="1" applyBorder="1" applyAlignment="1" applyProtection="1">
      <protection locked="0"/>
    </xf>
    <xf numFmtId="173" fontId="15" fillId="16" borderId="47" xfId="0" applyNumberFormat="1" applyFont="1" applyFill="1" applyBorder="1" applyAlignment="1" applyProtection="1">
      <protection locked="0"/>
    </xf>
    <xf numFmtId="0" fontId="20" fillId="16" borderId="2" xfId="0" applyNumberFormat="1" applyFont="1" applyFill="1" applyBorder="1" applyAlignment="1" applyProtection="1">
      <alignment horizontal="left" indent="2"/>
      <protection locked="0"/>
    </xf>
    <xf numFmtId="0" fontId="15" fillId="16" borderId="2" xfId="0" applyNumberFormat="1" applyFont="1" applyFill="1" applyBorder="1" applyAlignment="1" applyProtection="1">
      <alignment horizontal="left" wrapText="1" indent="2"/>
      <protection locked="0"/>
    </xf>
    <xf numFmtId="173" fontId="15" fillId="16" borderId="37" xfId="0" applyNumberFormat="1" applyFont="1" applyFill="1" applyBorder="1" applyAlignment="1" applyProtection="1">
      <protection locked="0"/>
    </xf>
    <xf numFmtId="173" fontId="15" fillId="16" borderId="38" xfId="0" applyNumberFormat="1" applyFont="1" applyFill="1" applyBorder="1" applyAlignment="1" applyProtection="1">
      <protection locked="0"/>
    </xf>
    <xf numFmtId="173" fontId="15" fillId="16" borderId="39" xfId="0" applyNumberFormat="1" applyFont="1" applyFill="1" applyBorder="1" applyAlignment="1" applyProtection="1">
      <protection locked="0"/>
    </xf>
    <xf numFmtId="173" fontId="15" fillId="16" borderId="36" xfId="0" applyNumberFormat="1" applyFont="1" applyFill="1" applyBorder="1" applyAlignment="1" applyProtection="1">
      <protection locked="0"/>
    </xf>
    <xf numFmtId="173" fontId="15" fillId="16" borderId="40" xfId="0" applyNumberFormat="1" applyFont="1" applyFill="1" applyBorder="1" applyAlignment="1" applyProtection="1">
      <protection locked="0"/>
    </xf>
    <xf numFmtId="173" fontId="15" fillId="16" borderId="13" xfId="1" applyNumberFormat="1" applyFont="1" applyFill="1" applyBorder="1" applyAlignment="1" applyProtection="1">
      <protection locked="0"/>
    </xf>
    <xf numFmtId="173" fontId="15" fillId="16" borderId="0" xfId="1" applyNumberFormat="1" applyFont="1" applyFill="1" applyBorder="1" applyAlignment="1" applyProtection="1">
      <protection locked="0"/>
    </xf>
    <xf numFmtId="173" fontId="15" fillId="16" borderId="2" xfId="1" applyNumberFormat="1" applyFont="1" applyFill="1" applyBorder="1" applyAlignment="1" applyProtection="1">
      <protection locked="0"/>
    </xf>
    <xf numFmtId="173" fontId="15" fillId="16" borderId="24" xfId="1" applyNumberFormat="1" applyFont="1" applyFill="1" applyBorder="1" applyAlignment="1" applyProtection="1">
      <protection locked="0"/>
    </xf>
    <xf numFmtId="173" fontId="15" fillId="16" borderId="14" xfId="1" applyNumberFormat="1" applyFont="1" applyFill="1" applyBorder="1" applyAlignment="1" applyProtection="1">
      <protection locked="0"/>
    </xf>
    <xf numFmtId="0" fontId="20" fillId="16" borderId="2" xfId="0" applyNumberFormat="1" applyFont="1" applyFill="1" applyBorder="1" applyAlignment="1" applyProtection="1">
      <alignment horizontal="left" indent="1"/>
      <protection locked="0"/>
    </xf>
    <xf numFmtId="0" fontId="17" fillId="16" borderId="2" xfId="0" applyNumberFormat="1" applyFont="1" applyFill="1" applyBorder="1" applyAlignment="1" applyProtection="1">
      <alignment horizontal="left" indent="1"/>
      <protection locked="0"/>
    </xf>
    <xf numFmtId="174" fontId="15" fillId="16" borderId="13" xfId="1" applyNumberFormat="1" applyFont="1" applyFill="1" applyBorder="1" applyAlignment="1" applyProtection="1">
      <alignment horizontal="center"/>
      <protection locked="0"/>
    </xf>
    <xf numFmtId="174" fontId="17" fillId="16" borderId="13" xfId="1" applyNumberFormat="1" applyFont="1" applyFill="1" applyBorder="1" applyProtection="1">
      <protection locked="0"/>
    </xf>
    <xf numFmtId="174" fontId="17" fillId="16" borderId="13" xfId="1" applyNumberFormat="1" applyFont="1" applyFill="1" applyBorder="1" applyAlignment="1" applyProtection="1">
      <alignment horizontal="center"/>
      <protection locked="0"/>
    </xf>
    <xf numFmtId="174" fontId="17" fillId="16" borderId="14" xfId="1" applyNumberFormat="1" applyFont="1" applyFill="1" applyBorder="1" applyAlignment="1" applyProtection="1">
      <alignment horizontal="center"/>
      <protection locked="0"/>
    </xf>
    <xf numFmtId="174" fontId="17" fillId="16" borderId="2" xfId="7" applyNumberFormat="1" applyFont="1" applyFill="1" applyBorder="1" applyAlignment="1" applyProtection="1">
      <alignment horizontal="center"/>
      <protection locked="0"/>
    </xf>
    <xf numFmtId="174" fontId="17" fillId="16" borderId="13" xfId="7" applyNumberFormat="1" applyFont="1" applyFill="1" applyBorder="1" applyAlignment="1" applyProtection="1">
      <alignment horizontal="center"/>
      <protection locked="0"/>
    </xf>
    <xf numFmtId="174" fontId="17" fillId="16" borderId="53" xfId="7" applyNumberFormat="1" applyFont="1" applyFill="1" applyBorder="1" applyAlignment="1" applyProtection="1">
      <alignment horizontal="center"/>
      <protection locked="0"/>
    </xf>
    <xf numFmtId="174" fontId="17" fillId="16" borderId="0" xfId="7" applyNumberFormat="1" applyFont="1" applyFill="1" applyBorder="1" applyAlignment="1" applyProtection="1">
      <alignment horizontal="center"/>
      <protection locked="0"/>
    </xf>
    <xf numFmtId="174" fontId="17" fillId="16" borderId="14" xfId="7" applyNumberFormat="1" applyFont="1" applyFill="1" applyBorder="1" applyAlignment="1" applyProtection="1">
      <alignment horizontal="center"/>
      <protection locked="0"/>
    </xf>
    <xf numFmtId="174" fontId="17" fillId="16" borderId="8" xfId="1" applyNumberFormat="1" applyFont="1" applyFill="1" applyBorder="1" applyProtection="1">
      <protection locked="0"/>
    </xf>
    <xf numFmtId="174" fontId="17" fillId="16" borderId="8" xfId="1" applyNumberFormat="1" applyFont="1" applyFill="1" applyBorder="1" applyAlignment="1" applyProtection="1">
      <alignment horizontal="center"/>
      <protection locked="0"/>
    </xf>
    <xf numFmtId="174" fontId="17" fillId="16" borderId="15" xfId="1" applyNumberFormat="1" applyFont="1" applyFill="1" applyBorder="1" applyAlignment="1" applyProtection="1">
      <alignment horizontal="center"/>
      <protection locked="0"/>
    </xf>
    <xf numFmtId="174" fontId="17" fillId="16" borderId="3" xfId="7" applyNumberFormat="1" applyFont="1" applyFill="1" applyBorder="1" applyAlignment="1" applyProtection="1">
      <alignment horizontal="center"/>
      <protection locked="0"/>
    </xf>
    <xf numFmtId="174" fontId="17" fillId="16" borderId="8" xfId="7" applyNumberFormat="1" applyFont="1" applyFill="1" applyBorder="1" applyAlignment="1" applyProtection="1">
      <alignment horizontal="center"/>
      <protection locked="0"/>
    </xf>
    <xf numFmtId="174" fontId="17" fillId="16" borderId="54" xfId="7" applyNumberFormat="1" applyFont="1" applyFill="1" applyBorder="1" applyAlignment="1" applyProtection="1">
      <alignment horizontal="center"/>
      <protection locked="0"/>
    </xf>
    <xf numFmtId="174" fontId="17" fillId="16" borderId="5" xfId="7" applyNumberFormat="1" applyFont="1" applyFill="1" applyBorder="1" applyAlignment="1" applyProtection="1">
      <alignment horizontal="center"/>
      <protection locked="0"/>
    </xf>
    <xf numFmtId="174" fontId="17" fillId="16" borderId="15" xfId="7" applyNumberFormat="1" applyFont="1" applyFill="1" applyBorder="1" applyAlignment="1" applyProtection="1">
      <alignment horizontal="center"/>
      <protection locked="0"/>
    </xf>
    <xf numFmtId="173" fontId="15" fillId="16" borderId="27" xfId="0" applyNumberFormat="1" applyFont="1" applyFill="1" applyBorder="1" applyProtection="1">
      <protection locked="0"/>
    </xf>
    <xf numFmtId="172" fontId="15" fillId="16" borderId="24" xfId="0" applyNumberFormat="1" applyFont="1" applyFill="1" applyBorder="1" applyProtection="1">
      <protection locked="0"/>
    </xf>
    <xf numFmtId="172" fontId="17" fillId="16" borderId="47" xfId="0" applyNumberFormat="1" applyFont="1" applyFill="1" applyBorder="1" applyProtection="1">
      <protection locked="0"/>
    </xf>
    <xf numFmtId="172" fontId="17" fillId="16" borderId="48" xfId="0" applyNumberFormat="1" applyFont="1" applyFill="1" applyBorder="1" applyProtection="1">
      <protection locked="0"/>
    </xf>
    <xf numFmtId="172" fontId="17" fillId="16" borderId="49" xfId="0" applyNumberFormat="1" applyFont="1" applyFill="1" applyBorder="1" applyProtection="1">
      <protection locked="0"/>
    </xf>
    <xf numFmtId="172" fontId="17" fillId="16" borderId="45" xfId="0" applyNumberFormat="1" applyFont="1" applyFill="1" applyBorder="1" applyProtection="1">
      <protection locked="0"/>
    </xf>
    <xf numFmtId="172" fontId="17" fillId="16" borderId="50" xfId="0" applyNumberFormat="1" applyFont="1" applyFill="1" applyBorder="1" applyProtection="1">
      <protection locked="0"/>
    </xf>
    <xf numFmtId="0" fontId="15" fillId="16" borderId="2" xfId="0" applyNumberFormat="1" applyFont="1" applyFill="1" applyBorder="1" applyAlignment="1" applyProtection="1">
      <protection locked="0"/>
    </xf>
    <xf numFmtId="0" fontId="15" fillId="16" borderId="13" xfId="0" applyNumberFormat="1" applyFont="1" applyFill="1" applyBorder="1" applyAlignment="1" applyProtection="1">
      <protection locked="0"/>
    </xf>
    <xf numFmtId="179" fontId="15" fillId="16" borderId="13" xfId="0" applyNumberFormat="1" applyFont="1" applyFill="1" applyBorder="1" applyAlignment="1" applyProtection="1">
      <alignment horizontal="center"/>
      <protection locked="0"/>
    </xf>
    <xf numFmtId="179" fontId="15" fillId="16" borderId="13" xfId="0" quotePrefix="1" applyNumberFormat="1" applyFont="1" applyFill="1" applyBorder="1" applyAlignment="1" applyProtection="1">
      <alignment horizontal="center"/>
      <protection locked="0"/>
    </xf>
    <xf numFmtId="0" fontId="17" fillId="16" borderId="3" xfId="0" applyNumberFormat="1" applyFont="1" applyFill="1" applyBorder="1" applyAlignment="1" applyProtection="1">
      <protection locked="0"/>
    </xf>
    <xf numFmtId="0" fontId="15" fillId="16" borderId="8" xfId="0" applyNumberFormat="1" applyFont="1" applyFill="1" applyBorder="1" applyAlignment="1" applyProtection="1">
      <alignment horizontal="center"/>
      <protection locked="0"/>
    </xf>
    <xf numFmtId="0" fontId="15" fillId="16" borderId="8" xfId="0" applyNumberFormat="1" applyFont="1" applyFill="1" applyBorder="1" applyAlignment="1" applyProtection="1">
      <protection locked="0"/>
    </xf>
    <xf numFmtId="0" fontId="15" fillId="16" borderId="8" xfId="0" applyFont="1" applyFill="1" applyBorder="1" applyAlignment="1" applyProtection="1">
      <alignment horizontal="center"/>
      <protection locked="0"/>
    </xf>
    <xf numFmtId="173" fontId="17" fillId="16" borderId="15" xfId="0" applyNumberFormat="1" applyFont="1" applyFill="1" applyBorder="1" applyProtection="1">
      <protection locked="0"/>
    </xf>
    <xf numFmtId="173" fontId="17" fillId="16" borderId="13" xfId="0" applyNumberFormat="1" applyFont="1" applyFill="1" applyBorder="1" applyAlignment="1" applyProtection="1">
      <alignment horizontal="center"/>
      <protection locked="0"/>
    </xf>
    <xf numFmtId="173" fontId="17" fillId="16" borderId="0" xfId="0" applyNumberFormat="1" applyFont="1" applyFill="1" applyBorder="1" applyAlignment="1" applyProtection="1">
      <alignment horizontal="center"/>
      <protection locked="0"/>
    </xf>
    <xf numFmtId="173" fontId="17" fillId="16" borderId="2" xfId="0" applyNumberFormat="1" applyFont="1" applyFill="1" applyBorder="1" applyAlignment="1" applyProtection="1">
      <alignment horizontal="center"/>
      <protection locked="0"/>
    </xf>
    <xf numFmtId="173" fontId="17" fillId="16" borderId="14" xfId="0" applyNumberFormat="1" applyFont="1" applyFill="1" applyBorder="1" applyAlignment="1" applyProtection="1">
      <alignment horizontal="center"/>
      <protection locked="0"/>
    </xf>
    <xf numFmtId="173" fontId="15" fillId="16" borderId="45" xfId="0" applyNumberFormat="1" applyFont="1" applyFill="1" applyBorder="1" applyProtection="1">
      <protection locked="0"/>
    </xf>
    <xf numFmtId="0" fontId="17" fillId="16" borderId="2" xfId="0" applyNumberFormat="1" applyFont="1" applyFill="1" applyBorder="1" applyAlignment="1" applyProtection="1">
      <alignment horizontal="left"/>
      <protection locked="0"/>
    </xf>
    <xf numFmtId="0" fontId="20" fillId="16" borderId="13" xfId="0" applyNumberFormat="1" applyFont="1" applyFill="1" applyBorder="1" applyAlignment="1" applyProtection="1">
      <alignment horizontal="center"/>
      <protection locked="0"/>
    </xf>
    <xf numFmtId="0" fontId="20" fillId="16" borderId="0" xfId="0" applyNumberFormat="1" applyFont="1" applyFill="1" applyBorder="1" applyAlignment="1" applyProtection="1">
      <alignment horizontal="center"/>
      <protection locked="0"/>
    </xf>
    <xf numFmtId="0" fontId="20" fillId="16" borderId="53" xfId="0" applyNumberFormat="1" applyFont="1" applyFill="1" applyBorder="1" applyAlignment="1" applyProtection="1">
      <alignment horizontal="center"/>
      <protection locked="0"/>
    </xf>
    <xf numFmtId="0" fontId="15" fillId="16" borderId="13" xfId="0" applyNumberFormat="1" applyFont="1" applyFill="1" applyBorder="1" applyProtection="1">
      <protection locked="0"/>
    </xf>
    <xf numFmtId="0" fontId="15" fillId="16" borderId="2" xfId="0" applyNumberFormat="1" applyFont="1" applyFill="1" applyBorder="1" applyProtection="1">
      <protection locked="0"/>
    </xf>
    <xf numFmtId="0" fontId="17" fillId="16" borderId="2" xfId="0" applyNumberFormat="1" applyFont="1" applyFill="1" applyBorder="1" applyProtection="1">
      <protection locked="0"/>
    </xf>
    <xf numFmtId="0" fontId="17" fillId="16" borderId="0" xfId="1" applyNumberFormat="1" applyFont="1" applyFill="1" applyBorder="1" applyAlignment="1" applyProtection="1">
      <alignment horizontal="center"/>
      <protection locked="0"/>
    </xf>
    <xf numFmtId="173" fontId="17" fillId="16" borderId="44" xfId="0" applyNumberFormat="1" applyFont="1" applyFill="1" applyBorder="1" applyAlignment="1" applyProtection="1">
      <alignment horizontal="center"/>
      <protection locked="0"/>
    </xf>
    <xf numFmtId="0" fontId="40" fillId="16" borderId="53" xfId="0" applyNumberFormat="1" applyFont="1" applyFill="1" applyBorder="1" applyAlignment="1" applyProtection="1">
      <alignment horizontal="center"/>
      <protection locked="0"/>
    </xf>
    <xf numFmtId="173" fontId="15" fillId="16" borderId="44" xfId="1" applyNumberFormat="1" applyFont="1" applyFill="1" applyBorder="1" applyProtection="1">
      <protection locked="0"/>
    </xf>
    <xf numFmtId="0" fontId="17" fillId="16" borderId="45" xfId="0" applyNumberFormat="1" applyFont="1" applyFill="1" applyBorder="1" applyAlignment="1" applyProtection="1">
      <alignment horizontal="left" indent="1"/>
      <protection locked="0"/>
    </xf>
    <xf numFmtId="174" fontId="15" fillId="16" borderId="48" xfId="1" applyNumberFormat="1" applyFont="1" applyFill="1" applyBorder="1" applyAlignment="1" applyProtection="1">
      <alignment horizontal="center"/>
      <protection locked="0"/>
    </xf>
    <xf numFmtId="0" fontId="20" fillId="16" borderId="75" xfId="0" applyNumberFormat="1" applyFont="1" applyFill="1" applyBorder="1" applyAlignment="1" applyProtection="1">
      <alignment horizontal="center"/>
      <protection locked="0"/>
    </xf>
    <xf numFmtId="0" fontId="15" fillId="16" borderId="50" xfId="1" applyNumberFormat="1" applyFont="1" applyFill="1" applyBorder="1" applyAlignment="1" applyProtection="1">
      <alignment horizontal="center"/>
      <protection locked="0"/>
    </xf>
    <xf numFmtId="173" fontId="15" fillId="16" borderId="46" xfId="0" applyNumberFormat="1" applyFont="1" applyFill="1" applyBorder="1" applyProtection="1">
      <protection locked="0"/>
    </xf>
    <xf numFmtId="0" fontId="18" fillId="16" borderId="2" xfId="0" applyNumberFormat="1" applyFont="1" applyFill="1" applyBorder="1" applyProtection="1">
      <protection locked="0"/>
    </xf>
    <xf numFmtId="173" fontId="15" fillId="0" borderId="77" xfId="0" applyNumberFormat="1" applyFont="1" applyFill="1" applyBorder="1"/>
    <xf numFmtId="173" fontId="17" fillId="0" borderId="93" xfId="0" applyNumberFormat="1" applyFont="1" applyBorder="1"/>
    <xf numFmtId="173" fontId="17" fillId="0" borderId="73" xfId="0" applyNumberFormat="1" applyFont="1" applyBorder="1"/>
    <xf numFmtId="173" fontId="17" fillId="0" borderId="79" xfId="0" applyNumberFormat="1" applyFont="1" applyBorder="1"/>
    <xf numFmtId="173" fontId="15" fillId="0" borderId="83" xfId="0" applyNumberFormat="1" applyFont="1" applyBorder="1"/>
    <xf numFmtId="173" fontId="15" fillId="0" borderId="81" xfId="0" applyNumberFormat="1" applyFont="1" applyBorder="1"/>
    <xf numFmtId="173" fontId="17" fillId="0" borderId="77" xfId="0" applyNumberFormat="1" applyFont="1" applyBorder="1" applyAlignment="1">
      <alignment horizontal="center"/>
    </xf>
    <xf numFmtId="0" fontId="15" fillId="0" borderId="0" xfId="0" applyNumberFormat="1" applyFont="1" applyBorder="1" applyProtection="1"/>
    <xf numFmtId="0" fontId="15" fillId="16" borderId="2" xfId="0" applyFont="1" applyFill="1" applyBorder="1" applyAlignment="1">
      <alignment horizontal="left" indent="1"/>
    </xf>
    <xf numFmtId="0" fontId="15" fillId="0" borderId="5" xfId="0" applyFont="1" applyBorder="1" applyAlignment="1">
      <alignment vertical="top"/>
    </xf>
    <xf numFmtId="173" fontId="17" fillId="19" borderId="21" xfId="0" applyNumberFormat="1" applyFont="1" applyFill="1" applyBorder="1"/>
    <xf numFmtId="173" fontId="17" fillId="19" borderId="26" xfId="0" applyNumberFormat="1" applyFont="1" applyFill="1" applyBorder="1"/>
    <xf numFmtId="173" fontId="17" fillId="19" borderId="27" xfId="0" applyNumberFormat="1" applyFont="1" applyFill="1" applyBorder="1"/>
    <xf numFmtId="173" fontId="17" fillId="19" borderId="25" xfId="0" applyNumberFormat="1" applyFont="1" applyFill="1" applyBorder="1"/>
    <xf numFmtId="173" fontId="17" fillId="19" borderId="28" xfId="0" applyNumberFormat="1" applyFont="1" applyFill="1" applyBorder="1"/>
    <xf numFmtId="0" fontId="20" fillId="19" borderId="2" xfId="0" applyFont="1" applyFill="1" applyBorder="1" applyAlignment="1">
      <alignment horizontal="left" wrapText="1" indent="2"/>
    </xf>
    <xf numFmtId="0" fontId="12" fillId="0" borderId="18" xfId="0" applyFont="1" applyFill="1" applyBorder="1" applyAlignment="1">
      <alignment vertical="top"/>
    </xf>
    <xf numFmtId="0" fontId="12" fillId="0" borderId="17" xfId="0" applyFont="1" applyFill="1" applyBorder="1" applyAlignment="1">
      <alignment vertical="top"/>
    </xf>
    <xf numFmtId="0" fontId="17" fillId="0" borderId="65" xfId="0" applyFont="1" applyFill="1" applyBorder="1" applyAlignment="1" applyProtection="1">
      <alignment horizontal="center" vertical="center" wrapText="1"/>
    </xf>
    <xf numFmtId="0" fontId="17" fillId="0" borderId="73" xfId="0" applyFont="1" applyFill="1" applyBorder="1" applyAlignment="1" applyProtection="1">
      <alignment horizontal="center" vertical="center" wrapText="1"/>
    </xf>
    <xf numFmtId="0" fontId="12" fillId="0" borderId="7" xfId="0" applyFont="1" applyFill="1" applyBorder="1" applyAlignment="1">
      <alignment vertical="top"/>
    </xf>
    <xf numFmtId="0" fontId="15" fillId="0" borderId="3" xfId="0" applyFont="1" applyFill="1" applyBorder="1" applyAlignment="1">
      <alignment horizontal="center"/>
    </xf>
    <xf numFmtId="0" fontId="15" fillId="0" borderId="15" xfId="0" applyNumberFormat="1" applyFont="1" applyBorder="1" applyAlignment="1" applyProtection="1">
      <alignment vertical="top" wrapText="1"/>
    </xf>
    <xf numFmtId="173" fontId="15" fillId="0" borderId="17" xfId="0" applyNumberFormat="1" applyFont="1" applyFill="1" applyBorder="1" applyProtection="1"/>
    <xf numFmtId="174" fontId="15" fillId="0" borderId="33" xfId="0" applyNumberFormat="1" applyFont="1" applyFill="1" applyBorder="1" applyProtection="1"/>
    <xf numFmtId="174" fontId="15" fillId="0" borderId="30" xfId="0" applyNumberFormat="1" applyFont="1" applyFill="1" applyBorder="1" applyProtection="1"/>
    <xf numFmtId="174" fontId="15" fillId="0" borderId="32" xfId="0" applyNumberFormat="1" applyFont="1" applyFill="1" applyBorder="1" applyProtection="1"/>
    <xf numFmtId="174" fontId="15" fillId="0" borderId="29" xfId="0" applyNumberFormat="1" applyFont="1" applyFill="1" applyBorder="1" applyProtection="1"/>
    <xf numFmtId="174" fontId="15" fillId="0" borderId="31" xfId="0" applyNumberFormat="1" applyFont="1" applyFill="1" applyBorder="1" applyProtection="1"/>
    <xf numFmtId="174" fontId="15" fillId="16" borderId="77" xfId="0" applyNumberFormat="1" applyFont="1" applyFill="1" applyBorder="1" applyProtection="1">
      <protection locked="0"/>
    </xf>
    <xf numFmtId="174" fontId="15" fillId="0" borderId="79" xfId="0" applyNumberFormat="1" applyFont="1" applyFill="1" applyBorder="1" applyProtection="1"/>
    <xf numFmtId="0" fontId="17" fillId="0" borderId="2" xfId="0" applyFont="1" applyFill="1" applyBorder="1" applyAlignment="1">
      <alignment wrapText="1"/>
    </xf>
    <xf numFmtId="0" fontId="17" fillId="0" borderId="18" xfId="0" applyFont="1" applyBorder="1" applyAlignment="1">
      <alignment vertical="top"/>
    </xf>
    <xf numFmtId="0" fontId="17" fillId="0" borderId="3" xfId="0" applyNumberFormat="1" applyFont="1" applyBorder="1" applyProtection="1"/>
    <xf numFmtId="0" fontId="20" fillId="0" borderId="2" xfId="0" applyNumberFormat="1" applyFont="1" applyFill="1" applyBorder="1" applyAlignment="1" applyProtection="1">
      <alignment vertical="top" wrapText="1"/>
    </xf>
    <xf numFmtId="0" fontId="20" fillId="0" borderId="45" xfId="0" applyNumberFormat="1" applyFont="1" applyFill="1" applyBorder="1" applyAlignment="1" applyProtection="1">
      <alignment vertical="top" wrapText="1"/>
    </xf>
    <xf numFmtId="0" fontId="15" fillId="0" borderId="32" xfId="0" applyFont="1" applyFill="1" applyBorder="1" applyAlignment="1">
      <alignment horizontal="center"/>
    </xf>
    <xf numFmtId="0" fontId="23" fillId="0" borderId="7" xfId="0" applyFont="1" applyFill="1" applyBorder="1" applyAlignment="1">
      <alignment wrapText="1"/>
    </xf>
    <xf numFmtId="0" fontId="15" fillId="0" borderId="17" xfId="0" applyFont="1" applyFill="1" applyBorder="1" applyAlignment="1">
      <alignment horizontal="center"/>
    </xf>
    <xf numFmtId="0" fontId="15" fillId="0" borderId="29" xfId="0" applyFont="1" applyBorder="1"/>
    <xf numFmtId="174" fontId="15" fillId="0" borderId="83" xfId="0" applyNumberFormat="1" applyFont="1" applyFill="1" applyBorder="1" applyProtection="1">
      <protection locked="0"/>
    </xf>
    <xf numFmtId="174" fontId="15" fillId="0" borderId="16" xfId="0" applyNumberFormat="1" applyFont="1" applyFill="1" applyBorder="1" applyProtection="1">
      <protection locked="0"/>
    </xf>
    <xf numFmtId="174" fontId="15" fillId="0" borderId="17" xfId="0" applyNumberFormat="1" applyFont="1" applyFill="1" applyBorder="1" applyProtection="1">
      <protection locked="0"/>
    </xf>
    <xf numFmtId="174" fontId="15" fillId="0" borderId="7" xfId="0" applyNumberFormat="1" applyFont="1" applyFill="1" applyBorder="1" applyProtection="1">
      <protection locked="0"/>
    </xf>
    <xf numFmtId="174" fontId="15" fillId="0" borderId="18" xfId="0" applyNumberFormat="1" applyFont="1" applyFill="1" applyBorder="1" applyProtection="1">
      <protection locked="0"/>
    </xf>
    <xf numFmtId="174" fontId="15" fillId="0" borderId="20" xfId="0" applyNumberFormat="1" applyFont="1" applyFill="1" applyBorder="1" applyProtection="1">
      <protection locked="0"/>
    </xf>
    <xf numFmtId="0" fontId="19" fillId="0" borderId="2" xfId="0" applyNumberFormat="1" applyFont="1" applyFill="1" applyBorder="1" applyProtection="1"/>
    <xf numFmtId="0" fontId="15" fillId="0" borderId="47" xfId="0" applyNumberFormat="1" applyFont="1" applyFill="1" applyBorder="1" applyAlignment="1" applyProtection="1">
      <alignment horizontal="left" indent="1"/>
    </xf>
    <xf numFmtId="0" fontId="15" fillId="0" borderId="45" xfId="0" applyNumberFormat="1" applyFont="1" applyFill="1" applyBorder="1" applyAlignment="1" applyProtection="1">
      <alignment horizontal="left" indent="1"/>
    </xf>
    <xf numFmtId="0" fontId="18" fillId="19" borderId="2" xfId="0" applyFont="1" applyFill="1" applyBorder="1" applyAlignment="1">
      <alignment horizontal="left" wrapText="1" indent="2"/>
    </xf>
    <xf numFmtId="173" fontId="15" fillId="19" borderId="48" xfId="0" applyNumberFormat="1" applyFont="1" applyFill="1" applyBorder="1"/>
    <xf numFmtId="173" fontId="15" fillId="19" borderId="49" xfId="0" applyNumberFormat="1" applyFont="1" applyFill="1" applyBorder="1"/>
    <xf numFmtId="173" fontId="15" fillId="19" borderId="45" xfId="0" applyNumberFormat="1" applyFont="1" applyFill="1" applyBorder="1"/>
    <xf numFmtId="173" fontId="15" fillId="19" borderId="47" xfId="0" applyNumberFormat="1" applyFont="1" applyFill="1" applyBorder="1"/>
    <xf numFmtId="174" fontId="15" fillId="0" borderId="53" xfId="0" applyNumberFormat="1" applyFont="1" applyFill="1" applyBorder="1" applyProtection="1"/>
    <xf numFmtId="174" fontId="15" fillId="0" borderId="48" xfId="0" applyNumberFormat="1" applyFont="1" applyFill="1" applyBorder="1" applyProtection="1"/>
    <xf numFmtId="174" fontId="15" fillId="0" borderId="75" xfId="0" applyNumberFormat="1" applyFont="1" applyFill="1" applyBorder="1" applyProtection="1"/>
    <xf numFmtId="174" fontId="15" fillId="0" borderId="47" xfId="0" applyNumberFormat="1" applyFont="1" applyFill="1" applyBorder="1" applyProtection="1"/>
    <xf numFmtId="173" fontId="17" fillId="0" borderId="38" xfId="0" applyNumberFormat="1" applyFont="1" applyFill="1" applyBorder="1" applyProtection="1"/>
    <xf numFmtId="173" fontId="17" fillId="0" borderId="39" xfId="0" applyNumberFormat="1" applyFont="1" applyFill="1" applyBorder="1" applyProtection="1"/>
    <xf numFmtId="173" fontId="17" fillId="0" borderId="36" xfId="0" applyNumberFormat="1" applyFont="1" applyFill="1" applyBorder="1" applyProtection="1"/>
    <xf numFmtId="174" fontId="15" fillId="0" borderId="49" xfId="0" applyNumberFormat="1" applyFont="1" applyFill="1" applyBorder="1" applyProtection="1"/>
    <xf numFmtId="174" fontId="15" fillId="0" borderId="45" xfId="0" applyNumberFormat="1" applyFont="1" applyFill="1" applyBorder="1" applyProtection="1"/>
    <xf numFmtId="174" fontId="15" fillId="0" borderId="50" xfId="0" applyNumberFormat="1" applyFont="1" applyFill="1" applyBorder="1" applyProtection="1"/>
    <xf numFmtId="0" fontId="19" fillId="0" borderId="24" xfId="0" applyNumberFormat="1" applyFont="1" applyFill="1" applyBorder="1" applyProtection="1"/>
    <xf numFmtId="0" fontId="5" fillId="0" borderId="0" xfId="0" quotePrefix="1" applyFont="1" applyAlignment="1">
      <alignment horizontal="left"/>
    </xf>
    <xf numFmtId="1" fontId="5" fillId="0" borderId="0" xfId="0" applyNumberFormat="1" applyFont="1"/>
    <xf numFmtId="0" fontId="15" fillId="0" borderId="0" xfId="0" applyNumberFormat="1" applyFont="1" applyBorder="1" applyAlignment="1" applyProtection="1">
      <alignment horizontal="left" vertical="center"/>
    </xf>
    <xf numFmtId="0" fontId="5" fillId="0" borderId="0" xfId="0" applyFont="1" applyAlignment="1">
      <alignment horizontal="left"/>
    </xf>
    <xf numFmtId="0" fontId="11" fillId="0" borderId="0" xfId="0" applyFont="1" applyBorder="1"/>
    <xf numFmtId="0" fontId="5" fillId="0" borderId="0" xfId="0" applyFont="1" applyBorder="1" applyAlignment="1">
      <alignment horizontal="left" indent="1"/>
    </xf>
    <xf numFmtId="181" fontId="5" fillId="0" borderId="0" xfId="0" applyNumberFormat="1" applyFont="1" applyAlignment="1">
      <alignment horizontal="left"/>
    </xf>
    <xf numFmtId="0" fontId="5" fillId="0" borderId="0" xfId="0" applyNumberFormat="1" applyFont="1" applyAlignment="1">
      <alignment horizontal="left"/>
    </xf>
    <xf numFmtId="0" fontId="5" fillId="0" borderId="0" xfId="0" applyNumberFormat="1" applyFont="1"/>
    <xf numFmtId="171" fontId="5" fillId="0" borderId="0" xfId="0" applyNumberFormat="1" applyFont="1"/>
    <xf numFmtId="0" fontId="5" fillId="0" borderId="0" xfId="0" applyFont="1" applyFill="1" applyBorder="1" applyAlignment="1">
      <alignment horizontal="left" indent="1"/>
    </xf>
    <xf numFmtId="0" fontId="5" fillId="0" borderId="0" xfId="0" applyFont="1" applyFill="1" applyBorder="1"/>
    <xf numFmtId="0" fontId="5" fillId="0" borderId="0" xfId="0" applyFont="1" applyBorder="1" applyAlignment="1">
      <alignment horizontal="left" vertical="top" wrapText="1" indent="1"/>
    </xf>
    <xf numFmtId="167" fontId="5" fillId="0" borderId="0" xfId="0" applyNumberFormat="1" applyFont="1"/>
    <xf numFmtId="0" fontId="11" fillId="0" borderId="0" xfId="0" applyNumberFormat="1" applyFont="1" applyBorder="1"/>
    <xf numFmtId="0" fontId="5" fillId="0" borderId="0" xfId="0" applyNumberFormat="1" applyFont="1" applyBorder="1" applyAlignment="1">
      <alignment horizontal="left" indent="1"/>
    </xf>
    <xf numFmtId="0" fontId="5" fillId="0" borderId="0" xfId="0" applyNumberFormat="1" applyFont="1" applyFill="1" applyBorder="1" applyAlignment="1">
      <alignment horizontal="left" indent="1"/>
    </xf>
    <xf numFmtId="1" fontId="5" fillId="0" borderId="0" xfId="0" applyNumberFormat="1" applyFont="1" applyAlignment="1">
      <alignment horizontal="left"/>
    </xf>
    <xf numFmtId="0" fontId="5" fillId="0" borderId="0" xfId="0" applyNumberFormat="1" applyFont="1" applyBorder="1"/>
    <xf numFmtId="182" fontId="5" fillId="0" borderId="0" xfId="0" applyNumberFormat="1" applyFont="1"/>
    <xf numFmtId="0" fontId="5" fillId="0" borderId="0" xfId="0" applyNumberFormat="1" applyFont="1" applyFill="1" applyBorder="1"/>
    <xf numFmtId="0" fontId="11" fillId="0" borderId="0" xfId="0" applyNumberFormat="1" applyFont="1" applyBorder="1" applyAlignment="1" applyProtection="1">
      <alignment horizontal="left" wrapText="1"/>
    </xf>
    <xf numFmtId="0" fontId="5" fillId="0" borderId="0" xfId="0" applyNumberFormat="1" applyFont="1" applyBorder="1" applyAlignment="1" applyProtection="1">
      <alignment horizontal="left" wrapText="1" indent="2"/>
    </xf>
    <xf numFmtId="2" fontId="5" fillId="0" borderId="0" xfId="0" applyNumberFormat="1" applyFont="1"/>
    <xf numFmtId="0" fontId="5" fillId="0" borderId="0" xfId="0" applyFont="1" applyBorder="1" applyAlignment="1">
      <alignment horizontal="left"/>
    </xf>
    <xf numFmtId="0" fontId="5" fillId="0" borderId="0" xfId="0" applyNumberFormat="1" applyFont="1" applyBorder="1" applyAlignment="1" applyProtection="1">
      <alignment horizontal="left" wrapText="1" indent="1"/>
    </xf>
    <xf numFmtId="0" fontId="5" fillId="0" borderId="0" xfId="0" applyFont="1" applyBorder="1" applyAlignment="1" applyProtection="1">
      <alignment horizontal="left" indent="2"/>
    </xf>
    <xf numFmtId="0" fontId="5" fillId="0" borderId="0" xfId="0" applyFont="1" applyFill="1" applyBorder="1" applyAlignment="1">
      <alignment horizontal="left"/>
    </xf>
    <xf numFmtId="0" fontId="5" fillId="0" borderId="0" xfId="0" applyNumberFormat="1" applyFont="1" applyFill="1" applyBorder="1" applyAlignment="1" applyProtection="1">
      <alignment horizontal="left" indent="2"/>
    </xf>
    <xf numFmtId="0" fontId="5" fillId="0" borderId="0" xfId="0" applyNumberFormat="1" applyFont="1" applyFill="1" applyBorder="1" applyAlignment="1" applyProtection="1">
      <alignment horizontal="left" indent="1"/>
    </xf>
    <xf numFmtId="177"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wrapText="1" indent="2"/>
    </xf>
    <xf numFmtId="0" fontId="5" fillId="0" borderId="0" xfId="0" applyNumberFormat="1" applyFont="1" applyBorder="1" applyAlignment="1" applyProtection="1">
      <alignment horizontal="left" vertical="top" wrapText="1" indent="2"/>
    </xf>
    <xf numFmtId="183" fontId="5" fillId="0" borderId="0" xfId="0" applyNumberFormat="1" applyFont="1"/>
    <xf numFmtId="0"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5" fillId="0" borderId="0" xfId="0" applyNumberFormat="1" applyFont="1" applyFill="1" applyBorder="1" applyAlignment="1" applyProtection="1">
      <alignment horizontal="left" vertical="center"/>
    </xf>
    <xf numFmtId="0" fontId="15" fillId="0" borderId="0" xfId="0" applyFont="1" applyBorder="1" applyAlignment="1">
      <alignment horizontal="left"/>
    </xf>
    <xf numFmtId="0" fontId="15" fillId="0" borderId="0" xfId="0" applyFont="1" applyFill="1" applyBorder="1" applyAlignment="1">
      <alignment horizontal="left"/>
    </xf>
    <xf numFmtId="0" fontId="25" fillId="0" borderId="0" xfId="0" applyNumberFormat="1" applyFont="1" applyProtection="1"/>
    <xf numFmtId="0" fontId="25" fillId="0" borderId="0" xfId="0" applyFont="1" applyAlignment="1" applyProtection="1">
      <alignment vertical="center"/>
    </xf>
    <xf numFmtId="0" fontId="20" fillId="16" borderId="23" xfId="0" applyFont="1" applyFill="1" applyBorder="1" applyAlignment="1" applyProtection="1">
      <alignment horizontal="left" wrapText="1" indent="1"/>
    </xf>
    <xf numFmtId="178" fontId="15" fillId="16" borderId="1" xfId="7" applyNumberFormat="1" applyFont="1" applyFill="1" applyBorder="1" applyAlignment="1" applyProtection="1">
      <alignment vertical="top" wrapText="1"/>
    </xf>
    <xf numFmtId="0" fontId="15" fillId="16" borderId="2" xfId="0" applyNumberFormat="1" applyFont="1" applyFill="1" applyBorder="1" applyAlignment="1" applyProtection="1">
      <alignment horizontal="left" indent="2"/>
    </xf>
    <xf numFmtId="0" fontId="20" fillId="16" borderId="2" xfId="0" applyNumberFormat="1" applyFont="1" applyFill="1" applyBorder="1" applyAlignment="1" applyProtection="1">
      <alignment horizontal="left" indent="2"/>
    </xf>
    <xf numFmtId="0" fontId="15" fillId="16" borderId="2" xfId="0" applyNumberFormat="1" applyFont="1" applyFill="1" applyBorder="1" applyAlignment="1" applyProtection="1">
      <alignment horizontal="left" wrapText="1" indent="2"/>
    </xf>
    <xf numFmtId="0" fontId="20" fillId="16" borderId="2" xfId="0" applyNumberFormat="1" applyFont="1" applyFill="1" applyBorder="1" applyAlignment="1" applyProtection="1">
      <alignment horizontal="left" indent="1"/>
    </xf>
    <xf numFmtId="49" fontId="0" fillId="0" borderId="0" xfId="0" applyNumberFormat="1"/>
    <xf numFmtId="49" fontId="29" fillId="0" borderId="5" xfId="0" applyNumberFormat="1" applyFont="1" applyFill="1" applyBorder="1" applyAlignment="1" applyProtection="1">
      <alignment horizontal="left"/>
    </xf>
    <xf numFmtId="49" fontId="10" fillId="0" borderId="15" xfId="0" applyNumberFormat="1" applyFont="1" applyBorder="1" applyProtection="1">
      <protection hidden="1"/>
    </xf>
    <xf numFmtId="49" fontId="10" fillId="0" borderId="0" xfId="0" applyNumberFormat="1" applyFont="1" applyProtection="1">
      <protection hidden="1"/>
    </xf>
    <xf numFmtId="49" fontId="10" fillId="0" borderId="0" xfId="0" applyNumberFormat="1" applyFont="1" applyBorder="1" applyProtection="1">
      <protection hidden="1"/>
    </xf>
    <xf numFmtId="49" fontId="10" fillId="0" borderId="14" xfId="0" applyNumberFormat="1" applyFont="1" applyBorder="1" applyProtection="1">
      <protection hidden="1"/>
    </xf>
    <xf numFmtId="49" fontId="34" fillId="0" borderId="0" xfId="0" applyNumberFormat="1" applyFont="1" applyBorder="1" applyProtection="1">
      <protection hidden="1"/>
    </xf>
    <xf numFmtId="49" fontId="33" fillId="0" borderId="14" xfId="0" applyNumberFormat="1" applyFont="1" applyBorder="1" applyProtection="1">
      <protection hidden="1"/>
    </xf>
    <xf numFmtId="49" fontId="12" fillId="0" borderId="96" xfId="0" applyNumberFormat="1" applyFont="1" applyBorder="1" applyAlignment="1" applyProtection="1">
      <alignment horizontal="left" vertical="top" wrapText="1"/>
    </xf>
    <xf numFmtId="49" fontId="10" fillId="0" borderId="0" xfId="0" applyNumberFormat="1" applyFont="1" applyBorder="1" applyAlignment="1" applyProtection="1">
      <alignment horizontal="left" vertical="center"/>
    </xf>
    <xf numFmtId="49" fontId="10" fillId="0" borderId="0" xfId="0" applyNumberFormat="1" applyFont="1" applyBorder="1" applyAlignment="1" applyProtection="1">
      <alignment horizontal="center" vertical="center" wrapText="1"/>
    </xf>
    <xf numFmtId="49" fontId="12" fillId="0" borderId="3" xfId="0" applyNumberFormat="1" applyFont="1" applyFill="1" applyBorder="1" applyAlignment="1" applyProtection="1">
      <alignment horizontal="left" vertical="top" wrapText="1"/>
    </xf>
    <xf numFmtId="49" fontId="12" fillId="0" borderId="15" xfId="0" applyNumberFormat="1" applyFont="1" applyFill="1" applyBorder="1" applyAlignment="1" applyProtection="1">
      <alignment horizontal="justify" vertical="center" wrapText="1"/>
      <protection locked="0"/>
    </xf>
    <xf numFmtId="49" fontId="12" fillId="0" borderId="7" xfId="0" applyNumberFormat="1" applyFont="1" applyBorder="1" applyAlignment="1">
      <alignment vertical="center"/>
    </xf>
    <xf numFmtId="49" fontId="10" fillId="16" borderId="17" xfId="0" applyNumberFormat="1" applyFont="1" applyFill="1" applyBorder="1" applyAlignment="1" applyProtection="1">
      <alignment vertical="center"/>
      <protection locked="0"/>
    </xf>
    <xf numFmtId="49" fontId="20" fillId="0" borderId="0" xfId="3" applyNumberFormat="1" applyFont="1" applyAlignment="1" applyProtection="1"/>
    <xf numFmtId="49" fontId="10" fillId="0" borderId="0" xfId="0" applyNumberFormat="1" applyFont="1" applyBorder="1" applyAlignment="1">
      <alignment vertical="center"/>
    </xf>
    <xf numFmtId="49" fontId="10" fillId="0" borderId="3" xfId="0" applyNumberFormat="1" applyFont="1" applyBorder="1" applyAlignment="1">
      <alignment vertical="center"/>
    </xf>
    <xf numFmtId="49" fontId="10" fillId="0" borderId="15" xfId="0" applyNumberFormat="1" applyFont="1" applyBorder="1" applyAlignment="1">
      <alignment vertical="center"/>
    </xf>
    <xf numFmtId="49" fontId="12" fillId="0" borderId="2" xfId="0" applyNumberFormat="1" applyFont="1" applyFill="1" applyBorder="1" applyAlignment="1" applyProtection="1">
      <alignment horizontal="justify" vertical="center" wrapText="1"/>
    </xf>
    <xf numFmtId="49" fontId="12" fillId="0" borderId="14" xfId="0" applyNumberFormat="1" applyFont="1" applyFill="1" applyBorder="1" applyAlignment="1" applyProtection="1">
      <alignment horizontal="justify" vertical="center" wrapText="1"/>
    </xf>
    <xf numFmtId="49" fontId="12" fillId="0" borderId="0" xfId="0" applyNumberFormat="1" applyFont="1" applyBorder="1" applyAlignment="1" applyProtection="1">
      <alignment horizontal="justify" vertical="top" wrapText="1"/>
    </xf>
    <xf numFmtId="49" fontId="12" fillId="0" borderId="3" xfId="0" applyNumberFormat="1" applyFont="1" applyFill="1" applyBorder="1" applyAlignment="1" applyProtection="1">
      <alignment horizontal="justify" vertical="center" wrapText="1"/>
    </xf>
    <xf numFmtId="49" fontId="12" fillId="0" borderId="15" xfId="0" applyNumberFormat="1" applyFont="1" applyFill="1" applyBorder="1" applyAlignment="1" applyProtection="1">
      <alignment horizontal="justify" vertical="center" wrapText="1"/>
    </xf>
    <xf numFmtId="49" fontId="12" fillId="0" borderId="2" xfId="0" applyNumberFormat="1" applyFont="1" applyFill="1" applyBorder="1" applyAlignment="1" applyProtection="1">
      <alignment horizontal="left" vertical="top" wrapText="1"/>
    </xf>
    <xf numFmtId="49" fontId="12" fillId="16" borderId="14" xfId="0" applyNumberFormat="1" applyFont="1" applyFill="1" applyBorder="1" applyAlignment="1" applyProtection="1">
      <alignment horizontal="justify" vertical="top" wrapText="1"/>
      <protection locked="0"/>
    </xf>
    <xf numFmtId="49" fontId="10" fillId="0" borderId="0" xfId="3" applyNumberFormat="1" applyFont="1" applyBorder="1" applyAlignment="1" applyProtection="1"/>
    <xf numFmtId="49" fontId="12" fillId="0" borderId="0" xfId="0" applyNumberFormat="1" applyFont="1" applyFill="1" applyBorder="1" applyAlignment="1" applyProtection="1">
      <alignment horizontal="left" vertical="top" wrapText="1"/>
      <protection locked="0"/>
    </xf>
    <xf numFmtId="49" fontId="12" fillId="0" borderId="3" xfId="0" applyNumberFormat="1" applyFont="1" applyFill="1" applyBorder="1" applyAlignment="1" applyProtection="1">
      <alignment horizontal="justify" vertical="top" wrapText="1"/>
    </xf>
    <xf numFmtId="49" fontId="12" fillId="0" borderId="15" xfId="0" applyNumberFormat="1" applyFont="1" applyBorder="1" applyAlignment="1" applyProtection="1">
      <alignment horizontal="justify" vertical="top" wrapText="1"/>
    </xf>
    <xf numFmtId="49" fontId="12" fillId="16" borderId="14" xfId="0" applyNumberFormat="1" applyFont="1" applyFill="1" applyBorder="1" applyAlignment="1" applyProtection="1">
      <alignment horizontal="left" vertical="top" wrapText="1"/>
      <protection locked="0"/>
    </xf>
    <xf numFmtId="49" fontId="12" fillId="0" borderId="0" xfId="0" applyNumberFormat="1" applyFont="1" applyFill="1" applyBorder="1" applyAlignment="1" applyProtection="1">
      <alignment horizontal="justify" vertical="top" wrapText="1"/>
    </xf>
    <xf numFmtId="49" fontId="10" fillId="0" borderId="3" xfId="0" applyNumberFormat="1" applyFont="1" applyBorder="1" applyAlignment="1" applyProtection="1">
      <alignment horizontal="justify" vertical="top" wrapText="1"/>
    </xf>
    <xf numFmtId="49" fontId="10" fillId="0" borderId="15" xfId="0" applyNumberFormat="1" applyFont="1" applyBorder="1" applyAlignment="1" applyProtection="1">
      <alignment horizontal="justify" vertical="top" wrapText="1"/>
    </xf>
    <xf numFmtId="49" fontId="10" fillId="0" borderId="0" xfId="0" applyNumberFormat="1" applyFont="1" applyAlignment="1" applyProtection="1">
      <alignment vertical="center"/>
      <protection hidden="1"/>
    </xf>
    <xf numFmtId="49" fontId="12" fillId="0" borderId="96" xfId="0" applyNumberFormat="1" applyFont="1" applyBorder="1" applyAlignment="1" applyProtection="1">
      <alignment horizontal="justify" wrapText="1"/>
    </xf>
    <xf numFmtId="49" fontId="10" fillId="0" borderId="97" xfId="0" applyNumberFormat="1" applyFont="1" applyBorder="1" applyAlignment="1" applyProtection="1">
      <alignment horizontal="justify" wrapText="1"/>
    </xf>
    <xf numFmtId="49" fontId="10" fillId="0" borderId="60" xfId="0" applyNumberFormat="1" applyFont="1" applyBorder="1" applyAlignment="1" applyProtection="1">
      <alignment horizontal="justify" wrapText="1"/>
    </xf>
    <xf numFmtId="49" fontId="10" fillId="16" borderId="22" xfId="0" applyNumberFormat="1" applyFont="1" applyFill="1" applyBorder="1" applyAlignment="1" applyProtection="1">
      <alignment horizontal="justify" wrapText="1"/>
      <protection locked="0"/>
    </xf>
    <xf numFmtId="49" fontId="10" fillId="0" borderId="7" xfId="0" applyNumberFormat="1" applyFont="1" applyBorder="1" applyAlignment="1" applyProtection="1">
      <alignment horizontal="justify" wrapText="1"/>
    </xf>
    <xf numFmtId="49" fontId="10" fillId="16" borderId="17" xfId="0" applyNumberFormat="1" applyFont="1" applyFill="1" applyBorder="1" applyAlignment="1" applyProtection="1">
      <alignment horizontal="justify" wrapText="1"/>
      <protection locked="0"/>
    </xf>
    <xf numFmtId="49" fontId="10" fillId="0" borderId="3" xfId="0" applyNumberFormat="1" applyFont="1" applyFill="1" applyBorder="1" applyAlignment="1" applyProtection="1">
      <alignment horizontal="justify" wrapText="1"/>
    </xf>
    <xf numFmtId="49" fontId="10" fillId="0" borderId="15" xfId="0" applyNumberFormat="1" applyFont="1" applyFill="1" applyBorder="1" applyAlignment="1" applyProtection="1">
      <alignment horizontal="justify" wrapText="1"/>
      <protection locked="0"/>
    </xf>
    <xf numFmtId="49" fontId="12" fillId="0" borderId="60" xfId="0" applyNumberFormat="1" applyFont="1" applyBorder="1" applyAlignment="1" applyProtection="1">
      <alignment horizontal="justify" wrapText="1"/>
    </xf>
    <xf numFmtId="49" fontId="10" fillId="0" borderId="22" xfId="0" applyNumberFormat="1" applyFont="1" applyBorder="1" applyAlignment="1" applyProtection="1">
      <alignment horizontal="justify" wrapText="1"/>
    </xf>
    <xf numFmtId="49" fontId="10" fillId="0" borderId="22" xfId="0" applyNumberFormat="1" applyFont="1" applyFill="1" applyBorder="1" applyAlignment="1" applyProtection="1">
      <alignment horizontal="justify" wrapText="1"/>
    </xf>
    <xf numFmtId="49" fontId="10" fillId="0" borderId="2" xfId="0" applyNumberFormat="1" applyFont="1" applyBorder="1" applyAlignment="1" applyProtection="1">
      <alignment horizontal="justify" wrapText="1"/>
    </xf>
    <xf numFmtId="49" fontId="10" fillId="16" borderId="14" xfId="0" applyNumberFormat="1" applyFont="1" applyFill="1" applyBorder="1" applyAlignment="1" applyProtection="1">
      <alignment horizontal="justify" wrapText="1"/>
      <protection locked="0"/>
    </xf>
    <xf numFmtId="49" fontId="39" fillId="16" borderId="17" xfId="2" applyNumberFormat="1" applyFont="1" applyFill="1" applyBorder="1" applyAlignment="1" applyProtection="1">
      <alignment horizontal="justify" wrapText="1"/>
      <protection locked="0"/>
    </xf>
    <xf numFmtId="49" fontId="12" fillId="0" borderId="60" xfId="0" applyNumberFormat="1" applyFont="1" applyBorder="1" applyAlignment="1" applyProtection="1">
      <alignment horizontal="left"/>
    </xf>
    <xf numFmtId="49" fontId="10" fillId="0" borderId="0" xfId="0" applyNumberFormat="1" applyFont="1" applyFill="1" applyBorder="1" applyAlignment="1" applyProtection="1">
      <alignment horizontal="justify" wrapText="1"/>
    </xf>
    <xf numFmtId="49" fontId="10" fillId="0" borderId="0" xfId="0" applyNumberFormat="1" applyFont="1" applyFill="1" applyBorder="1" applyAlignment="1" applyProtection="1">
      <alignment horizontal="justify" wrapText="1"/>
      <protection locked="0"/>
    </xf>
    <xf numFmtId="49" fontId="10" fillId="0" borderId="0" xfId="0" applyNumberFormat="1" applyFont="1" applyProtection="1"/>
    <xf numFmtId="49" fontId="20" fillId="0" borderId="0" xfId="0" applyNumberFormat="1" applyFont="1" applyProtection="1"/>
    <xf numFmtId="49" fontId="10" fillId="0" borderId="0" xfId="3" applyNumberFormat="1" applyFont="1" applyAlignment="1" applyProtection="1">
      <protection hidden="1"/>
    </xf>
    <xf numFmtId="49" fontId="39" fillId="0" borderId="0" xfId="3" applyNumberFormat="1" applyFont="1" applyAlignment="1" applyProtection="1">
      <protection hidden="1"/>
    </xf>
    <xf numFmtId="49" fontId="39" fillId="0" borderId="0" xfId="3" applyNumberFormat="1" applyFont="1" applyAlignment="1" applyProtection="1">
      <protection locked="0" hidden="1"/>
    </xf>
    <xf numFmtId="49" fontId="10" fillId="0" borderId="0" xfId="0" applyNumberFormat="1" applyFont="1" applyProtection="1">
      <protection locked="0" hidden="1"/>
    </xf>
    <xf numFmtId="0" fontId="20" fillId="0" borderId="24" xfId="0" applyNumberFormat="1" applyFont="1" applyFill="1" applyBorder="1" applyAlignment="1">
      <alignment horizontal="left" indent="3"/>
    </xf>
    <xf numFmtId="0" fontId="15" fillId="0" borderId="24" xfId="0" applyNumberFormat="1" applyFont="1" applyBorder="1" applyAlignment="1">
      <alignment horizontal="left" indent="3"/>
    </xf>
    <xf numFmtId="0" fontId="15" fillId="0" borderId="2" xfId="0" applyFont="1" applyBorder="1" applyAlignment="1">
      <alignment horizontal="left" wrapText="1"/>
    </xf>
    <xf numFmtId="0" fontId="15" fillId="0" borderId="13" xfId="0" applyFont="1" applyBorder="1" applyAlignment="1">
      <alignment horizontal="center" wrapText="1"/>
    </xf>
    <xf numFmtId="173" fontId="17" fillId="16" borderId="13" xfId="0" applyNumberFormat="1" applyFont="1" applyFill="1" applyBorder="1" applyAlignment="1" applyProtection="1">
      <alignment wrapText="1"/>
      <protection locked="0"/>
    </xf>
    <xf numFmtId="173" fontId="17" fillId="0" borderId="1" xfId="0" applyNumberFormat="1" applyFont="1" applyBorder="1" applyAlignment="1">
      <alignment wrapText="1"/>
    </xf>
    <xf numFmtId="0" fontId="15" fillId="0" borderId="0" xfId="0" applyFont="1" applyAlignment="1">
      <alignment wrapText="1"/>
    </xf>
    <xf numFmtId="173" fontId="15" fillId="16" borderId="13" xfId="0" applyNumberFormat="1" applyFont="1" applyFill="1" applyBorder="1" applyAlignment="1" applyProtection="1">
      <alignment wrapText="1"/>
      <protection locked="0"/>
    </xf>
    <xf numFmtId="0" fontId="17" fillId="0" borderId="5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5" fillId="0" borderId="2" xfId="0" applyNumberFormat="1" applyFont="1" applyFill="1" applyBorder="1" applyAlignment="1">
      <alignment horizontal="left" wrapText="1" indent="1"/>
    </xf>
    <xf numFmtId="173" fontId="15" fillId="0" borderId="0" xfId="0" applyNumberFormat="1" applyFont="1" applyFill="1" applyBorder="1" applyAlignment="1" applyProtection="1">
      <protection locked="0"/>
    </xf>
    <xf numFmtId="0" fontId="17" fillId="0" borderId="24" xfId="0" applyNumberFormat="1" applyFont="1" applyFill="1" applyBorder="1" applyAlignment="1">
      <alignment horizontal="left" indent="2"/>
    </xf>
    <xf numFmtId="173" fontId="18" fillId="0" borderId="21" xfId="0" applyNumberFormat="1" applyFont="1" applyFill="1" applyBorder="1" applyProtection="1"/>
    <xf numFmtId="173" fontId="18" fillId="0" borderId="26" xfId="0" applyNumberFormat="1" applyFont="1" applyFill="1" applyBorder="1" applyProtection="1"/>
    <xf numFmtId="173" fontId="18" fillId="0" borderId="27" xfId="0" applyNumberFormat="1" applyFont="1" applyFill="1" applyBorder="1" applyProtection="1"/>
    <xf numFmtId="173" fontId="18" fillId="0" borderId="25" xfId="0" applyNumberFormat="1" applyFont="1" applyFill="1" applyBorder="1" applyProtection="1"/>
    <xf numFmtId="173" fontId="18" fillId="0" borderId="28" xfId="0" applyNumberFormat="1" applyFont="1" applyFill="1" applyBorder="1" applyProtection="1"/>
    <xf numFmtId="173" fontId="18" fillId="0" borderId="21" xfId="0" applyNumberFormat="1" applyFont="1" applyFill="1" applyBorder="1"/>
    <xf numFmtId="173" fontId="18" fillId="0" borderId="26" xfId="0" applyNumberFormat="1" applyFont="1" applyFill="1" applyBorder="1"/>
    <xf numFmtId="173" fontId="18" fillId="0" borderId="27" xfId="0" applyNumberFormat="1" applyFont="1" applyFill="1" applyBorder="1"/>
    <xf numFmtId="173" fontId="18" fillId="0" borderId="25" xfId="0" applyNumberFormat="1" applyFont="1" applyFill="1" applyBorder="1"/>
    <xf numFmtId="173" fontId="18" fillId="0" borderId="28" xfId="0" applyNumberFormat="1" applyFont="1" applyFill="1" applyBorder="1"/>
    <xf numFmtId="0" fontId="17" fillId="0" borderId="24" xfId="0" applyNumberFormat="1" applyFont="1" applyBorder="1" applyAlignment="1">
      <alignment horizontal="left" indent="2"/>
    </xf>
    <xf numFmtId="0" fontId="17" fillId="0" borderId="52" xfId="0" applyFont="1" applyBorder="1" applyAlignment="1">
      <alignment horizontal="center"/>
    </xf>
    <xf numFmtId="173" fontId="17" fillId="0" borderId="54" xfId="0" applyNumberFormat="1" applyFont="1" applyBorder="1"/>
    <xf numFmtId="173" fontId="15" fillId="0" borderId="53" xfId="1" applyNumberFormat="1" applyFont="1" applyFill="1" applyBorder="1"/>
    <xf numFmtId="173" fontId="17" fillId="0" borderId="54" xfId="0" applyNumberFormat="1" applyFont="1" applyFill="1" applyBorder="1"/>
    <xf numFmtId="17" fontId="5" fillId="16" borderId="18" xfId="0" quotePrefix="1" applyNumberFormat="1" applyFont="1" applyFill="1" applyBorder="1" applyProtection="1">
      <protection locked="0"/>
    </xf>
    <xf numFmtId="0" fontId="5" fillId="16" borderId="0" xfId="0" quotePrefix="1" applyFont="1" applyFill="1" applyBorder="1" applyProtection="1">
      <protection locked="0"/>
    </xf>
    <xf numFmtId="0" fontId="5" fillId="16" borderId="0" xfId="0" applyFont="1" applyFill="1" applyAlignment="1" applyProtection="1">
      <alignment wrapText="1"/>
      <protection locked="0"/>
    </xf>
    <xf numFmtId="49" fontId="12" fillId="16" borderId="97" xfId="0" applyNumberFormat="1" applyFont="1" applyFill="1" applyBorder="1" applyAlignment="1" applyProtection="1">
      <alignment horizontal="justify" vertical="center" wrapText="1"/>
      <protection locked="0"/>
    </xf>
    <xf numFmtId="173" fontId="17" fillId="0" borderId="28" xfId="0" applyNumberFormat="1" applyFont="1" applyBorder="1" applyAlignment="1">
      <alignment vertical="center"/>
    </xf>
    <xf numFmtId="0" fontId="17" fillId="0" borderId="24" xfId="0" applyFont="1" applyBorder="1" applyAlignment="1">
      <alignment horizontal="left" indent="2"/>
    </xf>
    <xf numFmtId="173" fontId="17" fillId="0" borderId="48" xfId="0" applyNumberFormat="1" applyFont="1" applyFill="1" applyBorder="1" applyProtection="1"/>
    <xf numFmtId="173" fontId="17" fillId="0" borderId="49" xfId="0" applyNumberFormat="1" applyFont="1" applyFill="1" applyBorder="1" applyProtection="1"/>
    <xf numFmtId="173" fontId="17" fillId="0" borderId="45" xfId="0" applyNumberFormat="1" applyFont="1" applyFill="1" applyBorder="1" applyProtection="1"/>
    <xf numFmtId="173" fontId="17" fillId="0" borderId="50" xfId="0" applyNumberFormat="1" applyFont="1" applyFill="1" applyBorder="1" applyProtection="1"/>
    <xf numFmtId="173" fontId="17" fillId="0" borderId="47" xfId="0" applyNumberFormat="1" applyFont="1" applyFill="1" applyBorder="1" applyProtection="1"/>
    <xf numFmtId="173" fontId="15" fillId="0" borderId="0" xfId="0" applyNumberFormat="1" applyFont="1" applyFill="1" applyBorder="1" applyAlignment="1"/>
    <xf numFmtId="173" fontId="15" fillId="16" borderId="44" xfId="0" applyNumberFormat="1" applyFont="1" applyFill="1" applyBorder="1" applyAlignment="1" applyProtection="1">
      <protection locked="0"/>
    </xf>
    <xf numFmtId="173" fontId="15" fillId="16" borderId="53" xfId="0" applyNumberFormat="1" applyFont="1" applyFill="1" applyBorder="1" applyAlignment="1" applyProtection="1">
      <protection locked="0"/>
    </xf>
    <xf numFmtId="0" fontId="17" fillId="0" borderId="20" xfId="0" applyFont="1" applyFill="1" applyBorder="1" applyAlignment="1">
      <alignment horizontal="left" vertical="center"/>
    </xf>
    <xf numFmtId="0" fontId="20" fillId="0" borderId="43" xfId="0" applyNumberFormat="1" applyFont="1" applyFill="1" applyBorder="1" applyAlignment="1">
      <alignment horizontal="center"/>
    </xf>
    <xf numFmtId="0" fontId="20" fillId="0" borderId="44" xfId="0" applyNumberFormat="1" applyFont="1" applyFill="1" applyBorder="1" applyAlignment="1" applyProtection="1">
      <alignment horizontal="center"/>
    </xf>
    <xf numFmtId="0" fontId="20" fillId="0" borderId="44" xfId="0" applyNumberFormat="1" applyFont="1" applyFill="1" applyBorder="1" applyAlignment="1">
      <alignment horizontal="center"/>
    </xf>
    <xf numFmtId="0" fontId="17" fillId="0" borderId="38" xfId="0" applyNumberFormat="1" applyFont="1" applyBorder="1"/>
    <xf numFmtId="0" fontId="17" fillId="0" borderId="0" xfId="0" applyFont="1" applyAlignment="1">
      <alignment horizontal="center" vertical="center"/>
    </xf>
    <xf numFmtId="0" fontId="15" fillId="0" borderId="0" xfId="0" applyFont="1" applyAlignment="1">
      <alignment horizontal="center" vertical="center"/>
    </xf>
    <xf numFmtId="0" fontId="20" fillId="0" borderId="21" xfId="0" applyNumberFormat="1" applyFont="1" applyFill="1" applyBorder="1" applyAlignment="1">
      <alignment horizontal="center"/>
    </xf>
    <xf numFmtId="0" fontId="17" fillId="0" borderId="43" xfId="0" applyFont="1" applyFill="1" applyBorder="1" applyAlignment="1">
      <alignment horizontal="center" wrapText="1"/>
    </xf>
    <xf numFmtId="0" fontId="40" fillId="16" borderId="13" xfId="0" applyNumberFormat="1" applyFont="1" applyFill="1" applyBorder="1" applyAlignment="1" applyProtection="1">
      <alignment horizontal="center"/>
      <protection locked="0"/>
    </xf>
    <xf numFmtId="0" fontId="20" fillId="16" borderId="48" xfId="0" applyNumberFormat="1" applyFont="1" applyFill="1" applyBorder="1" applyAlignment="1" applyProtection="1">
      <alignment horizontal="center"/>
      <protection locked="0"/>
    </xf>
    <xf numFmtId="0" fontId="15" fillId="16" borderId="45" xfId="0" applyNumberFormat="1" applyFont="1" applyFill="1" applyBorder="1" applyAlignment="1" applyProtection="1">
      <alignment horizontal="left" indent="1"/>
      <protection locked="0"/>
    </xf>
    <xf numFmtId="174" fontId="17" fillId="16" borderId="48" xfId="1" applyNumberFormat="1" applyFont="1" applyFill="1" applyBorder="1" applyAlignment="1" applyProtection="1">
      <alignment horizontal="center"/>
      <protection locked="0"/>
    </xf>
    <xf numFmtId="0" fontId="15" fillId="16" borderId="48" xfId="0" applyNumberFormat="1" applyFont="1" applyFill="1" applyBorder="1" applyProtection="1">
      <protection locked="0"/>
    </xf>
    <xf numFmtId="0" fontId="15" fillId="20" borderId="2" xfId="0" applyFont="1" applyFill="1" applyBorder="1" applyAlignment="1">
      <alignment horizontal="left" vertical="top" wrapText="1" indent="1"/>
    </xf>
    <xf numFmtId="173" fontId="15" fillId="0" borderId="77" xfId="0" applyNumberFormat="1" applyFont="1" applyFill="1" applyBorder="1" applyProtection="1"/>
    <xf numFmtId="173" fontId="17" fillId="0" borderId="1" xfId="0" applyNumberFormat="1" applyFont="1" applyFill="1" applyBorder="1" applyProtection="1"/>
    <xf numFmtId="172" fontId="15" fillId="0" borderId="24" xfId="0" applyNumberFormat="1" applyFont="1" applyFill="1" applyBorder="1" applyProtection="1"/>
    <xf numFmtId="172" fontId="15" fillId="0" borderId="13" xfId="0" applyNumberFormat="1" applyFont="1" applyFill="1" applyBorder="1" applyProtection="1"/>
    <xf numFmtId="172" fontId="15" fillId="0" borderId="14" xfId="0" applyNumberFormat="1" applyFont="1" applyFill="1" applyBorder="1" applyProtection="1"/>
    <xf numFmtId="172" fontId="15" fillId="0" borderId="2" xfId="0" applyNumberFormat="1" applyFont="1" applyFill="1" applyBorder="1" applyProtection="1"/>
    <xf numFmtId="172" fontId="15" fillId="0" borderId="0" xfId="0" applyNumberFormat="1" applyFont="1" applyFill="1" applyBorder="1" applyProtection="1"/>
    <xf numFmtId="0" fontId="15" fillId="21" borderId="0" xfId="0" applyFont="1" applyFill="1" applyBorder="1"/>
    <xf numFmtId="0" fontId="20" fillId="0" borderId="0" xfId="0" applyFont="1" applyFill="1" applyBorder="1"/>
    <xf numFmtId="0" fontId="15" fillId="0" borderId="2" xfId="0" applyFont="1" applyFill="1" applyBorder="1" applyAlignment="1">
      <alignment horizontal="left" vertical="top" wrapText="1" indent="1"/>
    </xf>
    <xf numFmtId="167" fontId="15" fillId="16" borderId="13" xfId="0" applyNumberFormat="1" applyFont="1" applyFill="1" applyBorder="1" applyAlignment="1" applyProtection="1">
      <alignment horizontal="right"/>
      <protection locked="0"/>
    </xf>
    <xf numFmtId="167" fontId="15" fillId="16" borderId="53" xfId="0" applyNumberFormat="1" applyFont="1" applyFill="1" applyBorder="1" applyAlignment="1" applyProtection="1">
      <alignment horizontal="right"/>
      <protection locked="0"/>
    </xf>
    <xf numFmtId="167" fontId="15" fillId="16" borderId="77" xfId="0" applyNumberFormat="1" applyFont="1" applyFill="1" applyBorder="1" applyAlignment="1" applyProtection="1">
      <alignment horizontal="right"/>
      <protection locked="0"/>
    </xf>
    <xf numFmtId="167" fontId="15" fillId="16" borderId="14" xfId="0" applyNumberFormat="1" applyFont="1" applyFill="1" applyBorder="1" applyAlignment="1" applyProtection="1">
      <alignment horizontal="right"/>
      <protection locked="0"/>
    </xf>
    <xf numFmtId="167" fontId="15" fillId="16" borderId="0" xfId="0" applyNumberFormat="1" applyFont="1" applyFill="1" applyBorder="1" applyAlignment="1" applyProtection="1">
      <alignment horizontal="right"/>
      <protection locked="0"/>
    </xf>
    <xf numFmtId="0" fontId="15" fillId="23" borderId="2" xfId="0" applyNumberFormat="1" applyFont="1" applyFill="1" applyBorder="1" applyAlignment="1">
      <alignment horizontal="left" indent="1"/>
    </xf>
    <xf numFmtId="0" fontId="15" fillId="0" borderId="2" xfId="0" applyFont="1" applyFill="1" applyBorder="1" applyAlignment="1">
      <alignment horizontal="left" wrapText="1" indent="2"/>
    </xf>
    <xf numFmtId="0" fontId="15" fillId="23" borderId="2" xfId="0" applyFont="1" applyFill="1" applyBorder="1" applyAlignment="1">
      <alignment horizontal="left" indent="1"/>
    </xf>
    <xf numFmtId="0" fontId="15" fillId="23" borderId="1" xfId="0" applyNumberFormat="1" applyFont="1" applyFill="1" applyBorder="1" applyAlignment="1">
      <alignment horizontal="left" wrapText="1" indent="1"/>
    </xf>
    <xf numFmtId="0" fontId="15" fillId="23" borderId="2" xfId="0" applyFont="1" applyFill="1" applyBorder="1" applyAlignment="1">
      <alignment horizontal="left" wrapText="1" indent="2"/>
    </xf>
    <xf numFmtId="0" fontId="20" fillId="0" borderId="2" xfId="0" applyFont="1" applyFill="1" applyBorder="1" applyAlignment="1" applyProtection="1">
      <alignment horizontal="left" indent="1"/>
    </xf>
    <xf numFmtId="173" fontId="17" fillId="0" borderId="13" xfId="0" applyNumberFormat="1" applyFont="1" applyFill="1" applyBorder="1" applyProtection="1">
      <protection locked="0"/>
    </xf>
    <xf numFmtId="173" fontId="17" fillId="0" borderId="14" xfId="0" applyNumberFormat="1" applyFont="1" applyFill="1" applyBorder="1" applyProtection="1">
      <protection locked="0"/>
    </xf>
    <xf numFmtId="173" fontId="17" fillId="0" borderId="2" xfId="0" applyNumberFormat="1" applyFont="1" applyFill="1" applyBorder="1" applyProtection="1">
      <protection locked="0"/>
    </xf>
    <xf numFmtId="173" fontId="17" fillId="0" borderId="24" xfId="0" applyNumberFormat="1" applyFont="1" applyFill="1" applyBorder="1" applyProtection="1">
      <protection locked="0"/>
    </xf>
    <xf numFmtId="0" fontId="20" fillId="0" borderId="2" xfId="0" applyFont="1" applyBorder="1" applyAlignment="1" applyProtection="1">
      <alignment horizontal="left" indent="1"/>
    </xf>
    <xf numFmtId="0" fontId="15" fillId="0" borderId="2" xfId="0" applyFont="1" applyFill="1" applyBorder="1" applyAlignment="1" applyProtection="1">
      <alignment horizontal="left" indent="2"/>
    </xf>
    <xf numFmtId="0" fontId="15" fillId="0" borderId="24" xfId="9" applyFont="1" applyBorder="1" applyAlignment="1">
      <alignment horizontal="left" indent="1"/>
    </xf>
    <xf numFmtId="0" fontId="15" fillId="0" borderId="0" xfId="0" applyFont="1" applyFill="1" applyBorder="1" applyAlignment="1" applyProtection="1">
      <alignment horizontal="center"/>
    </xf>
    <xf numFmtId="0" fontId="12" fillId="0" borderId="0" xfId="0" applyFont="1" applyFill="1" applyBorder="1" applyAlignment="1" applyProtection="1">
      <alignment horizontal="left"/>
    </xf>
    <xf numFmtId="0" fontId="15" fillId="23" borderId="2" xfId="0" applyNumberFormat="1" applyFont="1" applyFill="1" applyBorder="1" applyAlignment="1">
      <alignment horizontal="left" wrapText="1" indent="1"/>
    </xf>
    <xf numFmtId="0" fontId="19" fillId="23" borderId="2" xfId="0" applyFont="1" applyFill="1" applyBorder="1"/>
    <xf numFmtId="0" fontId="20" fillId="23" borderId="2" xfId="0" applyFont="1" applyFill="1" applyBorder="1" applyAlignment="1" applyProtection="1">
      <alignment horizontal="left" indent="1"/>
      <protection locked="0"/>
    </xf>
    <xf numFmtId="0" fontId="18" fillId="23" borderId="2" xfId="0" applyFont="1" applyFill="1" applyBorder="1" applyAlignment="1">
      <alignment horizontal="right" indent="1"/>
    </xf>
    <xf numFmtId="0" fontId="17" fillId="23" borderId="2" xfId="0" applyFont="1" applyFill="1" applyBorder="1" applyAlignment="1">
      <alignment horizontal="left" indent="1"/>
    </xf>
    <xf numFmtId="0" fontId="15" fillId="23" borderId="2" xfId="0" applyFont="1" applyFill="1" applyBorder="1" applyAlignment="1">
      <alignment horizontal="left" indent="2"/>
    </xf>
    <xf numFmtId="0" fontId="17" fillId="23" borderId="2" xfId="0" applyFont="1" applyFill="1" applyBorder="1" applyAlignment="1"/>
    <xf numFmtId="0" fontId="15" fillId="23" borderId="2" xfId="0" applyFont="1" applyFill="1" applyBorder="1"/>
    <xf numFmtId="0" fontId="15" fillId="23" borderId="2" xfId="0" applyFont="1" applyFill="1" applyBorder="1" applyAlignment="1" applyProtection="1">
      <alignment horizontal="left" indent="1"/>
      <protection locked="0"/>
    </xf>
    <xf numFmtId="0" fontId="17" fillId="23" borderId="3" xfId="0" applyFont="1" applyFill="1" applyBorder="1"/>
    <xf numFmtId="0" fontId="15" fillId="23" borderId="2" xfId="0" applyFont="1" applyFill="1" applyBorder="1" applyAlignment="1">
      <alignment horizontal="left" wrapText="1" indent="1"/>
    </xf>
    <xf numFmtId="0" fontId="17" fillId="10" borderId="4" xfId="0" applyFont="1" applyFill="1" applyBorder="1" applyAlignment="1" applyProtection="1">
      <alignment vertical="top" wrapText="1"/>
      <protection locked="0"/>
    </xf>
    <xf numFmtId="0" fontId="15" fillId="5" borderId="4" xfId="10" applyFont="1" applyFill="1" applyBorder="1" applyAlignment="1" applyProtection="1">
      <alignment horizontal="left" vertical="top" wrapText="1"/>
      <protection locked="0"/>
    </xf>
    <xf numFmtId="0" fontId="15" fillId="24" borderId="4" xfId="0" applyFont="1" applyFill="1" applyBorder="1" applyAlignment="1" applyProtection="1">
      <alignment vertical="top" wrapText="1"/>
      <protection locked="0"/>
    </xf>
    <xf numFmtId="0" fontId="15" fillId="5" borderId="4" xfId="10" applyFont="1" applyFill="1" applyBorder="1" applyAlignment="1" applyProtection="1">
      <alignment horizontal="left" vertical="top"/>
      <protection locked="0"/>
    </xf>
    <xf numFmtId="0" fontId="15" fillId="5" borderId="1" xfId="10" applyFont="1" applyFill="1" applyBorder="1" applyAlignment="1" applyProtection="1">
      <alignment horizontal="left" vertical="top" wrapText="1"/>
      <protection locked="0"/>
    </xf>
    <xf numFmtId="0" fontId="15" fillId="5" borderId="4" xfId="10" applyFont="1" applyFill="1" applyBorder="1" applyAlignment="1" applyProtection="1">
      <alignment horizontal="center" vertical="top" wrapText="1"/>
      <protection locked="0"/>
    </xf>
    <xf numFmtId="0" fontId="15" fillId="16" borderId="23" xfId="0" applyFont="1" applyFill="1" applyBorder="1" applyAlignment="1" applyProtection="1">
      <alignment horizontal="left" vertical="top" wrapText="1"/>
      <protection locked="0"/>
    </xf>
    <xf numFmtId="0" fontId="15" fillId="16" borderId="6" xfId="0" applyFont="1" applyFill="1" applyBorder="1" applyAlignment="1" applyProtection="1">
      <alignment horizontal="left" vertical="top" wrapText="1"/>
      <protection locked="0"/>
    </xf>
    <xf numFmtId="0" fontId="15" fillId="16" borderId="23" xfId="0" applyFont="1" applyFill="1" applyBorder="1" applyAlignment="1" applyProtection="1">
      <alignment horizontal="center" vertical="top" wrapText="1"/>
      <protection locked="0"/>
    </xf>
    <xf numFmtId="0" fontId="15" fillId="5" borderId="1" xfId="10" applyFont="1" applyFill="1" applyBorder="1" applyAlignment="1" applyProtection="1">
      <alignment horizontal="center" vertical="top" wrapText="1"/>
      <protection locked="0"/>
    </xf>
    <xf numFmtId="167" fontId="15" fillId="16" borderId="14" xfId="11" applyNumberFormat="1" applyFont="1" applyFill="1" applyBorder="1" applyAlignment="1" applyProtection="1">
      <alignment horizontal="center" vertical="top" wrapText="1"/>
      <protection locked="0"/>
    </xf>
    <xf numFmtId="167" fontId="15" fillId="16" borderId="1" xfId="11" applyNumberFormat="1" applyFont="1" applyFill="1" applyBorder="1" applyAlignment="1" applyProtection="1">
      <alignment horizontal="center" vertical="top" wrapText="1"/>
      <protection locked="0"/>
    </xf>
    <xf numFmtId="167" fontId="15" fillId="16" borderId="6" xfId="11" applyNumberFormat="1" applyFont="1" applyFill="1" applyBorder="1" applyAlignment="1" applyProtection="1">
      <alignment horizontal="center" vertical="top" wrapText="1"/>
      <protection locked="0"/>
    </xf>
    <xf numFmtId="1" fontId="15" fillId="16" borderId="23" xfId="11" applyNumberFormat="1" applyFont="1" applyFill="1" applyBorder="1" applyAlignment="1" applyProtection="1">
      <alignment horizontal="center" vertical="top" wrapText="1"/>
      <protection locked="0"/>
    </xf>
    <xf numFmtId="1" fontId="15" fillId="16" borderId="23" xfId="12" applyNumberFormat="1" applyFont="1" applyFill="1" applyBorder="1" applyAlignment="1" applyProtection="1">
      <alignment horizontal="center" vertical="top" wrapText="1"/>
      <protection locked="0"/>
    </xf>
    <xf numFmtId="167" fontId="15" fillId="16" borderId="23" xfId="11" applyNumberFormat="1" applyFont="1" applyFill="1" applyBorder="1" applyAlignment="1" applyProtection="1">
      <alignment horizontal="center" vertical="top" wrapText="1"/>
      <protection locked="0"/>
    </xf>
    <xf numFmtId="2" fontId="48" fillId="16" borderId="23" xfId="11" applyNumberFormat="1" applyFont="1" applyFill="1" applyBorder="1" applyAlignment="1" applyProtection="1">
      <alignment horizontal="center" vertical="top" wrapText="1"/>
      <protection locked="0"/>
    </xf>
    <xf numFmtId="167" fontId="48" fillId="16" borderId="23" xfId="11" applyNumberFormat="1" applyFont="1" applyFill="1" applyBorder="1" applyAlignment="1" applyProtection="1">
      <alignment horizontal="center" vertical="top" wrapText="1"/>
      <protection locked="0"/>
    </xf>
    <xf numFmtId="9" fontId="15" fillId="5" borderId="4" xfId="10" applyNumberFormat="1" applyFont="1" applyFill="1" applyBorder="1" applyAlignment="1" applyProtection="1">
      <alignment horizontal="center" vertical="top" wrapText="1"/>
      <protection locked="0"/>
    </xf>
    <xf numFmtId="1" fontId="15" fillId="16" borderId="4" xfId="12" applyNumberFormat="1" applyFont="1" applyFill="1" applyBorder="1" applyAlignment="1" applyProtection="1">
      <alignment horizontal="center" vertical="top" wrapText="1"/>
      <protection locked="0"/>
    </xf>
    <xf numFmtId="167" fontId="15" fillId="16" borderId="19" xfId="11" applyNumberFormat="1" applyFont="1" applyFill="1" applyBorder="1" applyAlignment="1" applyProtection="1">
      <alignment horizontal="center" vertical="top" wrapText="1"/>
      <protection locked="0"/>
    </xf>
    <xf numFmtId="167" fontId="48" fillId="16" borderId="19" xfId="11" applyNumberFormat="1" applyFont="1" applyFill="1" applyBorder="1" applyAlignment="1" applyProtection="1">
      <alignment horizontal="center" vertical="top" wrapText="1"/>
      <protection locked="0"/>
    </xf>
    <xf numFmtId="0" fontId="15" fillId="16" borderId="23" xfId="13" applyFont="1" applyFill="1" applyBorder="1" applyAlignment="1" applyProtection="1">
      <alignment horizontal="center" vertical="top" wrapText="1"/>
      <protection locked="0"/>
    </xf>
    <xf numFmtId="0" fontId="15" fillId="16" borderId="22" xfId="14" applyFont="1" applyFill="1" applyBorder="1" applyAlignment="1" applyProtection="1">
      <alignment horizontal="center" vertical="top" wrapText="1"/>
      <protection locked="0"/>
    </xf>
    <xf numFmtId="16" fontId="15" fillId="16" borderId="6" xfId="13" applyNumberFormat="1" applyFont="1" applyFill="1" applyBorder="1" applyAlignment="1" applyProtection="1">
      <alignment horizontal="center" vertical="top" wrapText="1"/>
      <protection locked="0"/>
    </xf>
    <xf numFmtId="16" fontId="15" fillId="16" borderId="6" xfId="14" applyNumberFormat="1" applyFont="1" applyFill="1" applyBorder="1" applyAlignment="1" applyProtection="1">
      <alignment horizontal="center" vertical="top" wrapText="1"/>
      <protection locked="0"/>
    </xf>
    <xf numFmtId="0" fontId="15" fillId="16" borderId="17" xfId="14" applyFont="1" applyFill="1" applyBorder="1" applyAlignment="1" applyProtection="1">
      <alignment horizontal="center" vertical="top" wrapText="1"/>
      <protection locked="0"/>
    </xf>
    <xf numFmtId="0" fontId="54" fillId="0" borderId="0" xfId="0" applyFont="1" applyFill="1" applyBorder="1"/>
    <xf numFmtId="0" fontId="15" fillId="0" borderId="0" xfId="10" applyFont="1" applyFill="1" applyBorder="1" applyAlignment="1" applyProtection="1">
      <alignment horizontal="center" vertical="top" wrapText="1"/>
      <protection locked="0"/>
    </xf>
    <xf numFmtId="184" fontId="15" fillId="0" borderId="0" xfId="15" applyNumberFormat="1" applyFont="1" applyFill="1" applyBorder="1" applyAlignment="1" applyProtection="1">
      <alignment horizontal="center" vertical="top" wrapText="1"/>
      <protection locked="0"/>
    </xf>
    <xf numFmtId="184" fontId="48" fillId="0" borderId="0" xfId="15" applyNumberFormat="1" applyFont="1" applyFill="1" applyBorder="1" applyAlignment="1" applyProtection="1">
      <alignment horizontal="center" vertical="top" wrapText="1"/>
      <protection locked="0"/>
    </xf>
    <xf numFmtId="0" fontId="54" fillId="0" borderId="0" xfId="0" applyFont="1" applyFill="1" applyBorder="1" applyAlignment="1">
      <alignment wrapText="1"/>
    </xf>
    <xf numFmtId="0" fontId="15" fillId="5" borderId="0" xfId="10" applyFont="1" applyFill="1" applyBorder="1" applyAlignment="1" applyProtection="1">
      <alignment horizontal="left" vertical="top"/>
      <protection locked="0"/>
    </xf>
    <xf numFmtId="9" fontId="15" fillId="16" borderId="22" xfId="14" applyNumberFormat="1" applyFont="1" applyFill="1" applyBorder="1" applyAlignment="1" applyProtection="1">
      <alignment horizontal="center" vertical="top" wrapText="1"/>
      <protection locked="0"/>
    </xf>
    <xf numFmtId="0" fontId="55" fillId="0" borderId="0" xfId="0" applyFont="1"/>
    <xf numFmtId="0" fontId="15" fillId="16" borderId="14" xfId="14" applyFont="1" applyFill="1" applyBorder="1" applyAlignment="1" applyProtection="1">
      <alignment horizontal="center" vertical="top" wrapText="1"/>
      <protection locked="0"/>
    </xf>
    <xf numFmtId="0" fontId="17" fillId="16" borderId="1" xfId="0" applyFont="1" applyFill="1" applyBorder="1" applyAlignment="1" applyProtection="1">
      <alignment horizontal="left" vertical="top" wrapText="1"/>
      <protection locked="0"/>
    </xf>
    <xf numFmtId="167" fontId="48" fillId="16" borderId="1" xfId="11" applyNumberFormat="1" applyFont="1" applyFill="1" applyBorder="1" applyAlignment="1" applyProtection="1">
      <alignment horizontal="center" vertical="top" wrapText="1"/>
      <protection locked="0"/>
    </xf>
    <xf numFmtId="171" fontId="15" fillId="16" borderId="23" xfId="12" applyNumberFormat="1" applyFont="1" applyFill="1" applyBorder="1" applyAlignment="1" applyProtection="1">
      <alignment horizontal="center" vertical="top" wrapText="1"/>
      <protection locked="0"/>
    </xf>
    <xf numFmtId="171" fontId="15" fillId="20" borderId="23" xfId="12" applyNumberFormat="1" applyFont="1" applyFill="1" applyBorder="1" applyAlignment="1" applyProtection="1">
      <alignment horizontal="center" vertical="top" wrapText="1"/>
      <protection locked="0"/>
    </xf>
    <xf numFmtId="9" fontId="15" fillId="16" borderId="23" xfId="11" applyNumberFormat="1" applyFont="1" applyFill="1" applyBorder="1" applyAlignment="1" applyProtection="1">
      <alignment horizontal="center" vertical="top" wrapText="1"/>
      <protection locked="0"/>
    </xf>
    <xf numFmtId="9" fontId="15" fillId="16" borderId="23" xfId="12" applyFont="1" applyFill="1" applyBorder="1" applyAlignment="1" applyProtection="1">
      <alignment horizontal="center" vertical="top" wrapText="1"/>
      <protection locked="0"/>
    </xf>
    <xf numFmtId="184" fontId="15" fillId="16" borderId="23" xfId="15" applyNumberFormat="1" applyFont="1" applyFill="1" applyBorder="1" applyAlignment="1" applyProtection="1">
      <alignment horizontal="center" vertical="top" wrapText="1"/>
      <protection locked="0"/>
    </xf>
    <xf numFmtId="0" fontId="15" fillId="5" borderId="0" xfId="10" applyFont="1" applyFill="1" applyBorder="1" applyAlignment="1" applyProtection="1">
      <alignment horizontal="left" vertical="top" wrapText="1"/>
      <protection locked="0"/>
    </xf>
    <xf numFmtId="184" fontId="15" fillId="16" borderId="1" xfId="15" applyNumberFormat="1" applyFont="1" applyFill="1" applyBorder="1" applyAlignment="1" applyProtection="1">
      <alignment horizontal="center" vertical="top" wrapText="1"/>
      <protection locked="0"/>
    </xf>
    <xf numFmtId="1" fontId="15" fillId="16" borderId="1" xfId="12" applyNumberFormat="1" applyFont="1" applyFill="1" applyBorder="1" applyAlignment="1" applyProtection="1">
      <alignment horizontal="center" vertical="top" wrapText="1"/>
      <protection locked="0"/>
    </xf>
    <xf numFmtId="167" fontId="15" fillId="16" borderId="23" xfId="12" applyNumberFormat="1" applyFont="1" applyFill="1" applyBorder="1" applyAlignment="1" applyProtection="1">
      <alignment horizontal="center" vertical="top" wrapText="1"/>
      <protection locked="0"/>
    </xf>
    <xf numFmtId="171" fontId="15" fillId="16" borderId="23" xfId="11" applyNumberFormat="1" applyFont="1" applyFill="1" applyBorder="1" applyAlignment="1" applyProtection="1">
      <alignment horizontal="center" vertical="top" wrapText="1"/>
      <protection locked="0"/>
    </xf>
    <xf numFmtId="0" fontId="54" fillId="0" borderId="0" xfId="0" applyFont="1" applyAlignment="1">
      <alignment wrapText="1"/>
    </xf>
    <xf numFmtId="0" fontId="15" fillId="16" borderId="4" xfId="0" applyFont="1" applyFill="1" applyBorder="1" applyAlignment="1" applyProtection="1">
      <alignment horizontal="left" wrapText="1"/>
      <protection locked="0"/>
    </xf>
    <xf numFmtId="1" fontId="15" fillId="16" borderId="1" xfId="11" applyNumberFormat="1" applyFont="1" applyFill="1" applyBorder="1" applyAlignment="1" applyProtection="1">
      <alignment horizontal="center" vertical="top" wrapText="1"/>
      <protection locked="0"/>
    </xf>
    <xf numFmtId="1" fontId="15" fillId="16" borderId="23" xfId="14" applyNumberFormat="1" applyFont="1" applyFill="1" applyBorder="1" applyAlignment="1" applyProtection="1">
      <alignment horizontal="center" vertical="top" wrapText="1"/>
      <protection locked="0"/>
    </xf>
    <xf numFmtId="0" fontId="15" fillId="5" borderId="23" xfId="10" applyFont="1" applyFill="1" applyBorder="1" applyAlignment="1" applyProtection="1">
      <alignment horizontal="center" vertical="top" wrapText="1"/>
      <protection locked="0"/>
    </xf>
    <xf numFmtId="0" fontId="5" fillId="0" borderId="0" xfId="0" applyFont="1" applyAlignment="1">
      <alignment wrapText="1"/>
    </xf>
    <xf numFmtId="1" fontId="48" fillId="16" borderId="23" xfId="14" applyNumberFormat="1" applyFont="1" applyFill="1" applyBorder="1" applyAlignment="1" applyProtection="1">
      <alignment horizontal="center" vertical="top" wrapText="1"/>
      <protection locked="0"/>
    </xf>
    <xf numFmtId="0" fontId="5" fillId="0" borderId="0" xfId="0" applyFont="1" applyAlignment="1">
      <alignment horizontal="left" vertical="top" wrapText="1" indent="1"/>
    </xf>
    <xf numFmtId="167" fontId="15" fillId="16" borderId="4" xfId="11" applyNumberFormat="1" applyFont="1" applyFill="1" applyBorder="1" applyAlignment="1" applyProtection="1">
      <alignment horizontal="center" vertical="top" wrapText="1"/>
      <protection locked="0"/>
    </xf>
    <xf numFmtId="0" fontId="20" fillId="16" borderId="3" xfId="0" applyFont="1" applyFill="1" applyBorder="1" applyAlignment="1" applyProtection="1">
      <alignment horizontal="left" wrapText="1"/>
      <protection locked="0"/>
    </xf>
    <xf numFmtId="0" fontId="20" fillId="16" borderId="23" xfId="0" applyFont="1" applyFill="1" applyBorder="1" applyAlignment="1" applyProtection="1">
      <alignment horizontal="left" wrapText="1"/>
      <protection locked="0"/>
    </xf>
    <xf numFmtId="0" fontId="56" fillId="0" borderId="23" xfId="0" applyFont="1" applyBorder="1" applyAlignment="1">
      <alignment wrapText="1"/>
    </xf>
    <xf numFmtId="0" fontId="17" fillId="10" borderId="3" xfId="0" applyFont="1" applyFill="1" applyBorder="1" applyAlignment="1" applyProtection="1">
      <alignment vertical="top"/>
      <protection locked="0"/>
    </xf>
    <xf numFmtId="16" fontId="15" fillId="16" borderId="23" xfId="12" applyNumberFormat="1" applyFont="1" applyFill="1" applyBorder="1" applyAlignment="1" applyProtection="1">
      <alignment horizontal="center" vertical="top" wrapText="1"/>
      <protection locked="0"/>
    </xf>
    <xf numFmtId="9" fontId="15" fillId="16" borderId="23" xfId="12" applyNumberFormat="1" applyFont="1" applyFill="1" applyBorder="1" applyAlignment="1" applyProtection="1">
      <alignment horizontal="center" vertical="top" wrapText="1"/>
      <protection locked="0"/>
    </xf>
    <xf numFmtId="16" fontId="15" fillId="16" borderId="4" xfId="12" applyNumberFormat="1" applyFont="1" applyFill="1" applyBorder="1" applyAlignment="1" applyProtection="1">
      <alignment horizontal="center" vertical="top" wrapText="1"/>
      <protection locked="0"/>
    </xf>
    <xf numFmtId="9" fontId="15" fillId="16" borderId="4" xfId="12" applyNumberFormat="1" applyFont="1" applyFill="1" applyBorder="1" applyAlignment="1" applyProtection="1">
      <alignment horizontal="center" vertical="top" wrapText="1"/>
      <protection locked="0"/>
    </xf>
    <xf numFmtId="0" fontId="57" fillId="10" borderId="4" xfId="0" applyFont="1" applyFill="1" applyBorder="1" applyAlignment="1" applyProtection="1">
      <alignment vertical="top" wrapText="1"/>
      <protection locked="0"/>
    </xf>
    <xf numFmtId="0" fontId="15" fillId="5" borderId="4" xfId="10" applyFont="1" applyFill="1" applyBorder="1" applyAlignment="1" applyProtection="1">
      <alignment horizontal="left" wrapText="1"/>
      <protection locked="0"/>
    </xf>
    <xf numFmtId="9" fontId="15" fillId="16" borderId="22" xfId="14" applyNumberFormat="1" applyFont="1" applyFill="1" applyBorder="1" applyAlignment="1">
      <alignment horizontal="center" vertical="top" wrapText="1"/>
    </xf>
    <xf numFmtId="0" fontId="15" fillId="5" borderId="14" xfId="10" applyFont="1" applyFill="1" applyBorder="1" applyAlignment="1" applyProtection="1">
      <alignment horizontal="center" vertical="top" wrapText="1"/>
      <protection locked="0"/>
    </xf>
    <xf numFmtId="3" fontId="15" fillId="16" borderId="22" xfId="13" applyNumberFormat="1" applyFont="1" applyFill="1" applyBorder="1" applyAlignment="1">
      <alignment horizontal="center" vertical="top" wrapText="1"/>
    </xf>
    <xf numFmtId="0" fontId="15" fillId="5" borderId="0" xfId="10" applyFont="1" applyFill="1" applyBorder="1" applyAlignment="1" applyProtection="1">
      <alignment horizontal="left" wrapText="1"/>
      <protection locked="0"/>
    </xf>
    <xf numFmtId="0" fontId="15" fillId="16" borderId="22" xfId="14" applyFont="1" applyFill="1" applyBorder="1" applyAlignment="1">
      <alignment horizontal="center" vertical="top" wrapText="1"/>
    </xf>
    <xf numFmtId="185" fontId="15" fillId="16" borderId="23" xfId="13" applyNumberFormat="1" applyFont="1" applyFill="1" applyBorder="1" applyAlignment="1">
      <alignment horizontal="left" vertical="top" wrapText="1" indent="2"/>
    </xf>
    <xf numFmtId="4" fontId="15" fillId="16" borderId="23" xfId="13" applyNumberFormat="1" applyFont="1" applyFill="1" applyBorder="1" applyAlignment="1">
      <alignment horizontal="center" vertical="top" wrapText="1"/>
    </xf>
    <xf numFmtId="185" fontId="15" fillId="16" borderId="23" xfId="13" applyNumberFormat="1" applyFont="1" applyFill="1" applyBorder="1" applyAlignment="1">
      <alignment horizontal="center" vertical="top" wrapText="1"/>
    </xf>
    <xf numFmtId="167" fontId="15" fillId="16" borderId="22" xfId="14" applyNumberFormat="1" applyFont="1" applyFill="1" applyBorder="1" applyAlignment="1">
      <alignment horizontal="center" vertical="top" wrapText="1"/>
    </xf>
    <xf numFmtId="9" fontId="15" fillId="16" borderId="23" xfId="14" applyNumberFormat="1" applyFont="1" applyFill="1" applyBorder="1" applyAlignment="1">
      <alignment horizontal="center" vertical="top" wrapText="1"/>
    </xf>
    <xf numFmtId="0" fontId="54" fillId="0" borderId="0" xfId="0" applyFont="1"/>
    <xf numFmtId="1" fontId="15" fillId="16" borderId="23" xfId="14" applyNumberFormat="1" applyFont="1" applyFill="1" applyBorder="1" applyAlignment="1">
      <alignment horizontal="center" vertical="top" wrapText="1"/>
    </xf>
    <xf numFmtId="0" fontId="56" fillId="0" borderId="105" xfId="0" applyFont="1" applyBorder="1" applyAlignment="1">
      <alignment vertical="center"/>
    </xf>
    <xf numFmtId="9" fontId="15" fillId="16" borderId="4" xfId="14" applyNumberFormat="1" applyFont="1" applyFill="1" applyBorder="1" applyAlignment="1">
      <alignment horizontal="center" vertical="top" wrapText="1"/>
    </xf>
    <xf numFmtId="0" fontId="56" fillId="0" borderId="0" xfId="0" applyFont="1" applyAlignment="1">
      <alignment horizontal="left" vertical="center" wrapText="1" indent="1"/>
    </xf>
    <xf numFmtId="16" fontId="15" fillId="16" borderId="23" xfId="14" applyNumberFormat="1" applyFont="1" applyFill="1" applyBorder="1" applyAlignment="1">
      <alignment horizontal="center" vertical="top" wrapText="1"/>
    </xf>
    <xf numFmtId="0" fontId="15" fillId="16" borderId="23" xfId="14" applyFont="1" applyFill="1" applyBorder="1" applyAlignment="1">
      <alignment horizontal="center" vertical="top" wrapText="1"/>
    </xf>
    <xf numFmtId="10" fontId="15" fillId="16" borderId="22" xfId="14" applyNumberFormat="1" applyFont="1" applyFill="1" applyBorder="1" applyAlignment="1">
      <alignment horizontal="center" vertical="top" wrapText="1"/>
    </xf>
    <xf numFmtId="0" fontId="15" fillId="16" borderId="4" xfId="14" applyFont="1" applyFill="1" applyBorder="1" applyAlignment="1">
      <alignment horizontal="center" vertical="top" wrapText="1"/>
    </xf>
    <xf numFmtId="0" fontId="15" fillId="5" borderId="23" xfId="10" applyFont="1" applyFill="1" applyBorder="1" applyAlignment="1" applyProtection="1">
      <alignment horizontal="left" wrapText="1"/>
      <protection locked="0"/>
    </xf>
    <xf numFmtId="0" fontId="15" fillId="16" borderId="23" xfId="12" applyNumberFormat="1" applyFont="1" applyFill="1" applyBorder="1" applyAlignment="1" applyProtection="1">
      <alignment horizontal="center" vertical="top" wrapText="1"/>
      <protection locked="0"/>
    </xf>
    <xf numFmtId="0" fontId="20" fillId="16" borderId="2" xfId="0" applyFont="1" applyFill="1" applyBorder="1" applyAlignment="1" applyProtection="1">
      <alignment horizontal="left" indent="1"/>
      <protection locked="0"/>
    </xf>
    <xf numFmtId="0" fontId="15" fillId="16" borderId="2" xfId="0" applyFont="1" applyFill="1" applyBorder="1" applyAlignment="1" applyProtection="1">
      <alignment horizontal="left" indent="1"/>
      <protection locked="0"/>
    </xf>
    <xf numFmtId="173" fontId="15" fillId="5" borderId="24" xfId="0" applyNumberFormat="1" applyFont="1" applyFill="1" applyBorder="1" applyAlignment="1" applyProtection="1">
      <alignment horizontal="right"/>
      <protection locked="0"/>
    </xf>
    <xf numFmtId="164" fontId="15" fillId="16" borderId="13" xfId="1" applyNumberFormat="1" applyFont="1" applyFill="1" applyBorder="1" applyAlignment="1" applyProtection="1">
      <alignment horizontal="left" vertical="top" wrapText="1"/>
      <protection locked="0"/>
    </xf>
    <xf numFmtId="0" fontId="20" fillId="5" borderId="2" xfId="0" applyNumberFormat="1" applyFont="1" applyFill="1" applyBorder="1" applyAlignment="1" applyProtection="1">
      <alignment horizontal="left"/>
      <protection locked="0"/>
    </xf>
    <xf numFmtId="0" fontId="15" fillId="5" borderId="13" xfId="0" applyNumberFormat="1" applyFont="1" applyFill="1" applyBorder="1" applyAlignment="1" applyProtection="1">
      <alignment horizontal="left"/>
      <protection locked="0"/>
    </xf>
    <xf numFmtId="174" fontId="15" fillId="5" borderId="13" xfId="16" applyNumberFormat="1" applyFont="1" applyFill="1" applyBorder="1" applyAlignment="1" applyProtection="1">
      <alignment horizontal="center"/>
      <protection locked="0"/>
    </xf>
    <xf numFmtId="174" fontId="15" fillId="16" borderId="13" xfId="17" applyNumberFormat="1" applyFont="1" applyFill="1" applyBorder="1" applyAlignment="1" applyProtection="1">
      <alignment horizontal="center"/>
      <protection locked="0"/>
    </xf>
    <xf numFmtId="0" fontId="20" fillId="16" borderId="13" xfId="0" applyNumberFormat="1" applyFont="1" applyFill="1" applyBorder="1" applyAlignment="1" applyProtection="1">
      <protection locked="0"/>
    </xf>
    <xf numFmtId="174" fontId="15" fillId="5" borderId="13" xfId="16" applyNumberFormat="1" applyFont="1" applyFill="1" applyBorder="1" applyAlignment="1" applyProtection="1">
      <protection locked="0"/>
    </xf>
    <xf numFmtId="0" fontId="20" fillId="5" borderId="13" xfId="0" applyNumberFormat="1" applyFont="1" applyFill="1" applyBorder="1" applyAlignment="1" applyProtection="1">
      <protection locked="0"/>
    </xf>
    <xf numFmtId="0" fontId="20" fillId="5" borderId="0" xfId="0" applyNumberFormat="1" applyFont="1" applyFill="1" applyBorder="1" applyAlignment="1" applyProtection="1">
      <protection locked="0"/>
    </xf>
    <xf numFmtId="0" fontId="20" fillId="5" borderId="44" xfId="0" applyNumberFormat="1" applyFont="1" applyFill="1" applyBorder="1" applyAlignment="1" applyProtection="1">
      <protection locked="0"/>
    </xf>
    <xf numFmtId="0" fontId="20" fillId="5" borderId="13" xfId="0" applyNumberFormat="1" applyFont="1" applyFill="1" applyBorder="1" applyAlignment="1" applyProtection="1">
      <alignment horizontal="center"/>
      <protection locked="0"/>
    </xf>
    <xf numFmtId="0" fontId="20" fillId="5" borderId="53" xfId="0" applyNumberFormat="1" applyFont="1" applyFill="1" applyBorder="1" applyAlignment="1" applyProtection="1">
      <alignment horizontal="center"/>
      <protection locked="0"/>
    </xf>
    <xf numFmtId="186" fontId="48" fillId="16" borderId="13" xfId="1" applyNumberFormat="1" applyFont="1" applyFill="1" applyBorder="1" applyAlignment="1" applyProtection="1">
      <alignment horizontal="left" vertical="top" wrapText="1"/>
      <protection locked="0"/>
    </xf>
    <xf numFmtId="187" fontId="48" fillId="16" borderId="13" xfId="1" applyNumberFormat="1" applyFont="1" applyFill="1" applyBorder="1" applyAlignment="1" applyProtection="1">
      <alignment horizontal="left" vertical="center" wrapText="1"/>
      <protection locked="0"/>
    </xf>
    <xf numFmtId="187" fontId="48" fillId="16" borderId="13" xfId="1" applyNumberFormat="1" applyFont="1" applyFill="1" applyBorder="1" applyAlignment="1" applyProtection="1">
      <alignment horizontal="left" vertical="top" wrapText="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24" xfId="18" applyNumberFormat="1" applyFont="1" applyFill="1" applyBorder="1" applyProtection="1">
      <protection locked="0"/>
    </xf>
    <xf numFmtId="173" fontId="15" fillId="16" borderId="5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4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4" xfId="18" applyNumberFormat="1" applyFont="1" applyFill="1" applyBorder="1" applyProtection="1">
      <protection locked="0"/>
    </xf>
    <xf numFmtId="173" fontId="15" fillId="16" borderId="13" xfId="23" applyNumberFormat="1" applyFont="1" applyFill="1" applyBorder="1" applyProtection="1">
      <protection locked="0"/>
    </xf>
    <xf numFmtId="173" fontId="15" fillId="16" borderId="14" xfId="23"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4" xfId="18" applyNumberFormat="1" applyFont="1" applyFill="1" applyBorder="1" applyProtection="1">
      <protection locked="0"/>
    </xf>
    <xf numFmtId="173" fontId="15" fillId="16" borderId="13" xfId="23" applyNumberFormat="1" applyFont="1" applyFill="1" applyBorder="1" applyProtection="1">
      <protection locked="0"/>
    </xf>
    <xf numFmtId="173" fontId="15" fillId="16" borderId="14" xfId="23"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14" xfId="18" applyNumberFormat="1" applyFont="1" applyFill="1" applyBorder="1" applyProtection="1">
      <protection locked="0"/>
    </xf>
    <xf numFmtId="173" fontId="15" fillId="16" borderId="13" xfId="23" applyNumberFormat="1" applyFont="1" applyFill="1" applyBorder="1" applyProtection="1">
      <protection locked="0"/>
    </xf>
    <xf numFmtId="173" fontId="15" fillId="16" borderId="14" xfId="23" applyNumberFormat="1" applyFont="1" applyFill="1" applyBorder="1" applyProtection="1">
      <protection locked="0"/>
    </xf>
    <xf numFmtId="173" fontId="17" fillId="16" borderId="13" xfId="18" applyNumberFormat="1" applyFont="1" applyFill="1" applyBorder="1" applyProtection="1">
      <protection locked="0"/>
    </xf>
    <xf numFmtId="173" fontId="17" fillId="16" borderId="14" xfId="18" applyNumberFormat="1" applyFont="1" applyFill="1" applyBorder="1" applyProtection="1">
      <protection locked="0"/>
    </xf>
    <xf numFmtId="173" fontId="15" fillId="16" borderId="13" xfId="18" applyNumberFormat="1" applyFont="1" applyFill="1" applyBorder="1" applyProtection="1">
      <protection locked="0"/>
    </xf>
    <xf numFmtId="173" fontId="15" fillId="16" borderId="0" xfId="18" applyNumberFormat="1" applyFont="1" applyFill="1" applyBorder="1" applyProtection="1">
      <protection locked="0"/>
    </xf>
    <xf numFmtId="173" fontId="15" fillId="16" borderId="13" xfId="23" applyNumberFormat="1" applyFont="1" applyFill="1" applyBorder="1" applyProtection="1">
      <protection locked="0"/>
    </xf>
    <xf numFmtId="173" fontId="15" fillId="16" borderId="0" xfId="23" applyNumberFormat="1" applyFont="1" applyFill="1" applyBorder="1" applyProtection="1">
      <protection locked="0"/>
    </xf>
    <xf numFmtId="173" fontId="15" fillId="16" borderId="13" xfId="18" applyNumberFormat="1" applyFont="1" applyFill="1" applyBorder="1" applyProtection="1">
      <protection locked="0"/>
    </xf>
    <xf numFmtId="173" fontId="15" fillId="16" borderId="0" xfId="18" applyNumberFormat="1" applyFont="1" applyFill="1" applyBorder="1" applyProtection="1">
      <protection locked="0"/>
    </xf>
    <xf numFmtId="0" fontId="8" fillId="14" borderId="60" xfId="0" applyFont="1" applyFill="1" applyBorder="1" applyAlignment="1" applyProtection="1">
      <alignment horizontal="left"/>
    </xf>
    <xf numFmtId="0" fontId="8" fillId="14" borderId="74" xfId="0" applyFont="1" applyFill="1" applyBorder="1" applyAlignment="1" applyProtection="1">
      <alignment horizontal="left"/>
    </xf>
    <xf numFmtId="0" fontId="8" fillId="14" borderId="22" xfId="0" applyFont="1" applyFill="1" applyBorder="1" applyAlignment="1" applyProtection="1">
      <alignment horizontal="left"/>
    </xf>
    <xf numFmtId="0" fontId="8" fillId="15" borderId="60" xfId="0" applyFont="1" applyFill="1" applyBorder="1" applyAlignment="1" applyProtection="1">
      <alignment horizontal="left"/>
    </xf>
    <xf numFmtId="0" fontId="8" fillId="15" borderId="22" xfId="0" applyFont="1" applyFill="1" applyBorder="1" applyAlignment="1" applyProtection="1">
      <alignment horizontal="left"/>
    </xf>
    <xf numFmtId="0" fontId="8" fillId="7" borderId="60" xfId="0" applyFont="1" applyFill="1" applyBorder="1" applyAlignment="1" applyProtection="1">
      <alignment horizontal="center"/>
    </xf>
    <xf numFmtId="0" fontId="8" fillId="7" borderId="22" xfId="0" applyFont="1" applyFill="1" applyBorder="1" applyAlignment="1" applyProtection="1">
      <alignment horizontal="center"/>
    </xf>
    <xf numFmtId="0" fontId="8" fillId="8" borderId="60" xfId="0" applyFont="1" applyFill="1" applyBorder="1" applyAlignment="1" applyProtection="1">
      <alignment horizontal="center"/>
    </xf>
    <xf numFmtId="0" fontId="8" fillId="8" borderId="22" xfId="0" applyFont="1" applyFill="1" applyBorder="1" applyAlignment="1" applyProtection="1">
      <alignment horizontal="center"/>
    </xf>
    <xf numFmtId="0" fontId="8" fillId="15" borderId="74" xfId="0" applyFont="1" applyFill="1" applyBorder="1" applyAlignment="1" applyProtection="1">
      <alignment horizontal="left"/>
    </xf>
    <xf numFmtId="49" fontId="12" fillId="0" borderId="0" xfId="0" applyNumberFormat="1" applyFont="1" applyBorder="1" applyAlignment="1" applyProtection="1">
      <alignment horizontal="justify" vertical="top" wrapText="1"/>
    </xf>
    <xf numFmtId="49" fontId="34" fillId="0" borderId="98" xfId="0" applyNumberFormat="1" applyFont="1" applyBorder="1" applyAlignment="1" applyProtection="1">
      <alignment horizontal="justify" vertical="center" wrapText="1"/>
    </xf>
    <xf numFmtId="49" fontId="33" fillId="0" borderId="98" xfId="0" applyNumberFormat="1" applyFont="1" applyBorder="1" applyAlignment="1">
      <alignment horizontal="justify" vertical="center" wrapText="1"/>
    </xf>
    <xf numFmtId="49" fontId="34" fillId="0" borderId="99" xfId="0" applyNumberFormat="1" applyFont="1" applyBorder="1" applyAlignment="1" applyProtection="1">
      <alignment horizontal="justify" vertical="center"/>
    </xf>
    <xf numFmtId="49" fontId="10" fillId="0" borderId="100" xfId="0" applyNumberFormat="1" applyFont="1" applyBorder="1" applyAlignment="1">
      <alignment horizontal="justify" vertical="center"/>
    </xf>
    <xf numFmtId="49" fontId="20" fillId="0" borderId="0" xfId="0" applyNumberFormat="1" applyFont="1" applyBorder="1" applyAlignment="1" applyProtection="1">
      <alignment horizontal="left" vertical="top" wrapText="1"/>
    </xf>
    <xf numFmtId="49" fontId="10" fillId="0" borderId="0" xfId="0" applyNumberFormat="1" applyFont="1" applyBorder="1" applyAlignment="1" applyProtection="1">
      <alignment horizontal="left" vertical="top" wrapText="1"/>
    </xf>
    <xf numFmtId="49" fontId="10" fillId="0" borderId="0" xfId="0" applyNumberFormat="1" applyFont="1" applyBorder="1" applyAlignment="1" applyProtection="1">
      <alignment horizontal="justify" vertical="top" wrapText="1"/>
    </xf>
    <xf numFmtId="49" fontId="12" fillId="0" borderId="60" xfId="0" applyNumberFormat="1" applyFont="1" applyBorder="1" applyAlignment="1" applyProtection="1">
      <alignment horizontal="justify" wrapText="1"/>
    </xf>
    <xf numFmtId="49" fontId="10" fillId="0" borderId="22" xfId="0" applyNumberFormat="1" applyFont="1" applyBorder="1" applyAlignment="1">
      <alignment horizontal="justify" wrapText="1"/>
    </xf>
    <xf numFmtId="49" fontId="12" fillId="0" borderId="101" xfId="0" applyNumberFormat="1" applyFont="1" applyBorder="1" applyAlignment="1" applyProtection="1">
      <alignment horizontal="justify" wrapText="1"/>
    </xf>
    <xf numFmtId="49" fontId="10" fillId="0" borderId="102" xfId="0" applyNumberFormat="1" applyFont="1" applyBorder="1" applyAlignment="1">
      <alignment horizontal="justify" wrapText="1"/>
    </xf>
    <xf numFmtId="49" fontId="12" fillId="0" borderId="99" xfId="0" applyNumberFormat="1" applyFont="1" applyBorder="1" applyAlignment="1" applyProtection="1">
      <alignment horizontal="justify" vertical="center" wrapText="1"/>
    </xf>
    <xf numFmtId="49" fontId="10" fillId="0" borderId="100" xfId="0" applyNumberFormat="1" applyFont="1" applyBorder="1" applyAlignment="1">
      <alignment horizontal="justify" vertical="center" wrapText="1"/>
    </xf>
    <xf numFmtId="49" fontId="12" fillId="0" borderId="103" xfId="0" applyNumberFormat="1" applyFont="1" applyBorder="1" applyAlignment="1" applyProtection="1">
      <alignment horizontal="justify" vertical="center" wrapText="1"/>
    </xf>
    <xf numFmtId="49" fontId="10" fillId="0" borderId="104" xfId="0" applyNumberFormat="1" applyFont="1" applyBorder="1" applyAlignment="1">
      <alignment horizontal="justify" vertical="center" wrapText="1"/>
    </xf>
    <xf numFmtId="49" fontId="12" fillId="0" borderId="0" xfId="0" applyNumberFormat="1" applyFont="1" applyFill="1" applyBorder="1" applyAlignment="1" applyProtection="1">
      <alignment horizontal="justify" wrapText="1"/>
    </xf>
    <xf numFmtId="49" fontId="10" fillId="0" borderId="0" xfId="0" applyNumberFormat="1" applyFont="1" applyFill="1" applyBorder="1" applyAlignment="1">
      <alignment horizontal="justify" wrapText="1"/>
    </xf>
    <xf numFmtId="49" fontId="34" fillId="0" borderId="103" xfId="0" applyNumberFormat="1" applyFont="1" applyBorder="1" applyAlignment="1" applyProtection="1">
      <alignment horizontal="justify" vertical="center" wrapText="1"/>
    </xf>
    <xf numFmtId="49" fontId="33" fillId="0" borderId="104" xfId="0" applyNumberFormat="1" applyFont="1" applyBorder="1" applyAlignment="1">
      <alignment horizontal="justify"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2" fillId="0" borderId="5" xfId="0" applyFont="1" applyFill="1" applyBorder="1" applyAlignment="1">
      <alignment horizontal="left"/>
    </xf>
    <xf numFmtId="0" fontId="25" fillId="0" borderId="5" xfId="0" applyFont="1" applyBorder="1" applyAlignment="1"/>
    <xf numFmtId="0" fontId="20" fillId="0" borderId="0" xfId="0" applyFont="1" applyFill="1" applyBorder="1" applyAlignment="1" applyProtection="1">
      <alignment horizontal="left" vertical="top" wrapText="1"/>
    </xf>
    <xf numFmtId="0" fontId="17" fillId="0" borderId="11" xfId="0" applyFont="1" applyFill="1" applyBorder="1" applyAlignment="1">
      <alignment horizontal="center" vertical="center"/>
    </xf>
    <xf numFmtId="0" fontId="17" fillId="0" borderId="72"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9"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9"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7" fillId="13" borderId="60" xfId="0" applyFont="1" applyFill="1" applyBorder="1" applyAlignment="1">
      <alignment horizontal="center" vertical="center" wrapText="1"/>
    </xf>
    <xf numFmtId="0" fontId="25" fillId="0" borderId="74" xfId="0" applyFont="1" applyBorder="1"/>
    <xf numFmtId="0" fontId="25" fillId="0" borderId="22" xfId="0" applyFont="1" applyBorder="1"/>
    <xf numFmtId="0" fontId="17" fillId="13" borderId="74" xfId="0" applyFont="1" applyFill="1" applyBorder="1" applyAlignment="1">
      <alignment horizontal="center" vertical="center" wrapText="1"/>
    </xf>
    <xf numFmtId="0" fontId="17" fillId="13" borderId="22" xfId="0" applyFont="1" applyFill="1" applyBorder="1" applyAlignment="1">
      <alignment horizontal="center" vertical="center" wrapText="1"/>
    </xf>
    <xf numFmtId="0" fontId="20" fillId="0" borderId="0" xfId="0" applyFont="1" applyFill="1" applyBorder="1" applyAlignment="1" applyProtection="1">
      <alignment horizontal="left"/>
    </xf>
    <xf numFmtId="0" fontId="20" fillId="0" borderId="0" xfId="0" quotePrefix="1" applyFont="1" applyBorder="1" applyAlignment="1" applyProtection="1">
      <alignment horizontal="left" wrapText="1"/>
    </xf>
    <xf numFmtId="0" fontId="20" fillId="0" borderId="0" xfId="0" applyFont="1" applyBorder="1" applyAlignment="1" applyProtection="1">
      <alignment horizontal="left" wrapText="1"/>
    </xf>
    <xf numFmtId="0" fontId="17" fillId="0" borderId="9" xfId="0" quotePrefix="1"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11"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7"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6" xfId="0" applyFont="1" applyFill="1" applyBorder="1" applyAlignment="1" applyProtection="1">
      <alignment horizontal="center" vertical="top" wrapText="1"/>
    </xf>
    <xf numFmtId="0" fontId="17" fillId="0" borderId="8" xfId="0" applyFont="1" applyFill="1" applyBorder="1" applyAlignment="1" applyProtection="1">
      <alignment horizontal="center" vertical="top" wrapText="1"/>
    </xf>
    <xf numFmtId="0" fontId="17" fillId="0" borderId="6"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8" xfId="0" applyFont="1" applyFill="1" applyBorder="1" applyAlignment="1">
      <alignment horizontal="center" vertical="center"/>
    </xf>
    <xf numFmtId="0" fontId="17" fillId="0" borderId="52"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0" fillId="0" borderId="0" xfId="0" applyFont="1" applyBorder="1" applyAlignment="1">
      <alignment horizontal="left" vertical="top" wrapText="1"/>
    </xf>
    <xf numFmtId="0" fontId="15" fillId="0" borderId="28" xfId="0" applyFont="1" applyBorder="1" applyAlignment="1">
      <alignment horizontal="left" vertical="center" wrapText="1" indent="1"/>
    </xf>
    <xf numFmtId="0" fontId="15" fillId="0" borderId="24" xfId="0" applyFont="1" applyBorder="1" applyAlignment="1">
      <alignment horizontal="left" vertical="center" wrapText="1" indent="1"/>
    </xf>
    <xf numFmtId="0" fontId="15" fillId="0" borderId="47" xfId="0" applyFont="1" applyBorder="1" applyAlignment="1">
      <alignment horizontal="left" vertical="center" wrapText="1" indent="1"/>
    </xf>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173" fontId="12" fillId="22" borderId="23" xfId="0" applyNumberFormat="1" applyFont="1" applyFill="1" applyBorder="1" applyAlignment="1" applyProtection="1">
      <alignment horizontal="center" vertical="center"/>
      <protection locked="0"/>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5" fillId="0" borderId="6" xfId="0" applyFont="1" applyFill="1" applyBorder="1" applyAlignment="1">
      <alignment horizontal="center" wrapText="1"/>
    </xf>
    <xf numFmtId="0" fontId="15" fillId="0" borderId="4" xfId="0" applyFont="1" applyFill="1" applyBorder="1" applyAlignment="1">
      <alignment horizontal="center" wrapText="1"/>
    </xf>
    <xf numFmtId="0" fontId="12" fillId="22" borderId="17" xfId="0" applyFont="1" applyFill="1" applyBorder="1" applyAlignment="1">
      <alignment horizontal="center" vertical="center"/>
    </xf>
    <xf numFmtId="0" fontId="12" fillId="22" borderId="15" xfId="0" applyFont="1" applyFill="1" applyBorder="1" applyAlignment="1">
      <alignment horizontal="center" vertical="center"/>
    </xf>
    <xf numFmtId="0" fontId="17" fillId="0" borderId="43"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0"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0" xfId="0" applyNumberFormat="1" applyFont="1" applyFill="1" applyBorder="1" applyAlignment="1" applyProtection="1">
      <alignment horizontal="center" vertical="center" wrapText="1"/>
      <protection locked="0"/>
    </xf>
    <xf numFmtId="0" fontId="17" fillId="0" borderId="0" xfId="0" applyNumberFormat="1"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xf>
    <xf numFmtId="0" fontId="17" fillId="0" borderId="41"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16"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7" fillId="0" borderId="52" xfId="0" applyFont="1" applyFill="1" applyBorder="1" applyAlignment="1" applyProtection="1">
      <alignment horizontal="center" vertical="center" wrapText="1"/>
    </xf>
    <xf numFmtId="0" fontId="17" fillId="0" borderId="5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wrapText="1"/>
      <protection locked="0"/>
    </xf>
    <xf numFmtId="0" fontId="17" fillId="0" borderId="25" xfId="0" applyFont="1" applyFill="1" applyBorder="1" applyAlignment="1">
      <alignment horizontal="center" vertical="top" wrapText="1"/>
    </xf>
    <xf numFmtId="0" fontId="17" fillId="0" borderId="26" xfId="0" applyFont="1" applyFill="1" applyBorder="1" applyAlignment="1">
      <alignment horizontal="center" vertical="top" wrapText="1"/>
    </xf>
    <xf numFmtId="0" fontId="17" fillId="0" borderId="16"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0" xfId="0" applyNumberFormat="1" applyFont="1" applyBorder="1" applyAlignment="1" applyProtection="1">
      <alignment wrapText="1"/>
    </xf>
    <xf numFmtId="0" fontId="25" fillId="0" borderId="0" xfId="0" applyFont="1" applyAlignment="1" applyProtection="1">
      <alignment wrapText="1"/>
    </xf>
    <xf numFmtId="0" fontId="17" fillId="0" borderId="1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0" xfId="0" applyFont="1" applyFill="1" applyBorder="1" applyAlignment="1">
      <alignment horizontal="center" vertical="center" wrapText="1"/>
    </xf>
  </cellXfs>
  <cellStyles count="25">
    <cellStyle name="Comma" xfId="1" builtinId="3"/>
    <cellStyle name="Comma 2" xfId="17"/>
    <cellStyle name="Comma 3" xfId="19"/>
    <cellStyle name="Comma 4" xfId="23"/>
    <cellStyle name="Comma_B Schedule Municipal Adjustments Budget - 23 March 2009 cb" xfId="16"/>
    <cellStyle name="Currency 8" xfId="15"/>
    <cellStyle name="Hyperlink" xfId="2" builtinId="8"/>
    <cellStyle name="Hyperlink_AppA_Muncde_2010" xfId="3"/>
    <cellStyle name="Hyperlink_Bills" xfId="4"/>
    <cellStyle name="Normal" xfId="0" builtinId="0"/>
    <cellStyle name="Normal 138" xfId="13"/>
    <cellStyle name="Normal 146" xfId="14"/>
    <cellStyle name="Normal 2" xfId="18"/>
    <cellStyle name="Normal 2 2" xfId="9"/>
    <cellStyle name="Normal 2 2 2" xfId="20"/>
    <cellStyle name="Normal 2 2 3" xfId="24"/>
    <cellStyle name="Normal 3" xfId="10"/>
    <cellStyle name="Normal 4" xfId="5"/>
    <cellStyle name="Normal 4 2" xfId="21"/>
    <cellStyle name="Normal_Final cover - LG Reporting" xfId="6"/>
    <cellStyle name="Percent" xfId="7" builtinId="5"/>
    <cellStyle name="Percent 10 2" xfId="8"/>
    <cellStyle name="Percent 10 2 2" xfId="22"/>
    <cellStyle name="Percent 6" xfId="11"/>
    <cellStyle name="Percent 9" xfId="12"/>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0.xml"/><Relationship Id="rId42" Type="http://schemas.openxmlformats.org/officeDocument/2006/relationships/worksheet" Target="worksheets/sheet41.xml"/><Relationship Id="rId47" Type="http://schemas.openxmlformats.org/officeDocument/2006/relationships/worksheet" Target="worksheets/sheet46.xml"/><Relationship Id="rId63" Type="http://schemas.openxmlformats.org/officeDocument/2006/relationships/worksheet" Target="worksheets/sheet62.xml"/><Relationship Id="rId6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0.xml"/><Relationship Id="rId19" Type="http://schemas.openxmlformats.org/officeDocument/2006/relationships/worksheet" Target="worksheets/sheet18.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10" Type="http://schemas.openxmlformats.org/officeDocument/2006/relationships/worksheet" Target="worksheets/sheet10.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7.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004333920"/>
        <c:axId val="-1004346976"/>
      </c:barChart>
      <c:catAx>
        <c:axId val="-10043339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346976"/>
        <c:crosses val="autoZero"/>
        <c:auto val="1"/>
        <c:lblAlgn val="ctr"/>
        <c:lblOffset val="100"/>
        <c:noMultiLvlLbl val="0"/>
      </c:catAx>
      <c:valAx>
        <c:axId val="-100434697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3339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val="0"/>
</file>

<file path=xl/ctrlProps/ctrlProp2.xml><?xml version="1.0" encoding="utf-8"?>
<formControlPr xmlns="http://schemas.microsoft.com/office/spreadsheetml/2009/9/main" objectType="Drop" dropLines="2" dropStyle="combo" dx="26" fmlaLink="MuniType" fmlaRange="$X$8:$X$9" noThreeD="1" sel="2" val="0"/>
</file>

<file path=xl/ctrlProps/ctrlProp3.xml><?xml version="1.0" encoding="utf-8"?>
<formControlPr xmlns="http://schemas.microsoft.com/office/spreadsheetml/2009/9/main" objectType="Drop" dropLines="6" dropStyle="combo" dx="26" fmlaLink="$X$33" fmlaRange="$X$17:$X$31" noThreeD="1" sel="13" val="9"/>
</file>

<file path=xl/ctrlProps/ctrlProp4.xml><?xml version="1.0" encoding="utf-8"?>
<formControlPr xmlns="http://schemas.microsoft.com/office/spreadsheetml/2009/9/main" objectType="Drop" dropLines="10" dropStyle="combo" dx="26" fmlaLink="'Lookup and lists'!$B$27" fmlaRange="'Lookup and lists'!$B$29:$C$307" noThreeD="1" sel="131" val="12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169" name="Group 316">
          <a:extLst>
            <a:ext uri="{FF2B5EF4-FFF2-40B4-BE49-F238E27FC236}">
              <a16:creationId xmlns:a16="http://schemas.microsoft.com/office/drawing/2014/main" xmlns="" id="{00000000-0008-0000-0000-000091040000}"/>
            </a:ext>
          </a:extLst>
        </xdr:cNvPr>
        <xdr:cNvGrpSpPr>
          <a:grpSpLocks/>
        </xdr:cNvGrpSpPr>
      </xdr:nvGrpSpPr>
      <xdr:grpSpPr bwMode="auto">
        <a:xfrm>
          <a:off x="0" y="0"/>
          <a:ext cx="7536180" cy="6406515"/>
          <a:chOff x="0" y="0"/>
          <a:chExt cx="791" cy="672"/>
        </a:xfrm>
      </xdr:grpSpPr>
      <xdr:grpSp>
        <xdr:nvGrpSpPr>
          <xdr:cNvPr id="1171" name="Group 11">
            <a:extLst>
              <a:ext uri="{FF2B5EF4-FFF2-40B4-BE49-F238E27FC236}">
                <a16:creationId xmlns:a16="http://schemas.microsoft.com/office/drawing/2014/main" xmlns="" id="{00000000-0008-0000-0000-000093040000}"/>
              </a:ext>
            </a:extLst>
          </xdr:cNvPr>
          <xdr:cNvGrpSpPr>
            <a:grpSpLocks/>
          </xdr:cNvGrpSpPr>
        </xdr:nvGrpSpPr>
        <xdr:grpSpPr bwMode="auto">
          <a:xfrm>
            <a:off x="0" y="0"/>
            <a:ext cx="791" cy="672"/>
            <a:chOff x="0" y="0"/>
            <a:chExt cx="791" cy="672"/>
          </a:xfrm>
        </xdr:grpSpPr>
        <xdr:grpSp>
          <xdr:nvGrpSpPr>
            <xdr:cNvPr id="1173" name="Group 12">
              <a:extLst>
                <a:ext uri="{FF2B5EF4-FFF2-40B4-BE49-F238E27FC236}">
                  <a16:creationId xmlns:a16="http://schemas.microsoft.com/office/drawing/2014/main" xmlns="" id="{00000000-0008-0000-0000-000095040000}"/>
                </a:ext>
              </a:extLst>
            </xdr:cNvPr>
            <xdr:cNvGrpSpPr>
              <a:grpSpLocks/>
            </xdr:cNvGrpSpPr>
          </xdr:nvGrpSpPr>
          <xdr:grpSpPr bwMode="auto">
            <a:xfrm>
              <a:off x="0" y="0"/>
              <a:ext cx="791" cy="672"/>
              <a:chOff x="12" y="17"/>
              <a:chExt cx="791" cy="672"/>
            </a:xfrm>
          </xdr:grpSpPr>
          <xdr:pic>
            <xdr:nvPicPr>
              <xdr:cNvPr id="1175" name="Picture 13" descr="Untitled-1 copy">
                <a:extLst>
                  <a:ext uri="{FF2B5EF4-FFF2-40B4-BE49-F238E27FC236}">
                    <a16:creationId xmlns:a16="http://schemas.microsoft.com/office/drawing/2014/main" xmlns="" id="{00000000-0008-0000-00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6" name="Picture 14" descr="1 copy">
                <a:extLst>
                  <a:ext uri="{FF2B5EF4-FFF2-40B4-BE49-F238E27FC236}">
                    <a16:creationId xmlns:a16="http://schemas.microsoft.com/office/drawing/2014/main" xmlns="" id="{00000000-0008-0000-0000-00009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7" name="Group 15">
                <a:extLst>
                  <a:ext uri="{FF2B5EF4-FFF2-40B4-BE49-F238E27FC236}">
                    <a16:creationId xmlns:a16="http://schemas.microsoft.com/office/drawing/2014/main" xmlns="" id="{00000000-0008-0000-0000-000099040000}"/>
                  </a:ext>
                </a:extLst>
              </xdr:cNvPr>
              <xdr:cNvGrpSpPr>
                <a:grpSpLocks/>
              </xdr:cNvGrpSpPr>
            </xdr:nvGrpSpPr>
            <xdr:grpSpPr bwMode="auto">
              <a:xfrm>
                <a:off x="416" y="255"/>
                <a:ext cx="367" cy="413"/>
                <a:chOff x="416" y="255"/>
                <a:chExt cx="367" cy="413"/>
              </a:xfrm>
            </xdr:grpSpPr>
            <xdr:pic>
              <xdr:nvPicPr>
                <xdr:cNvPr id="1182" name="Picture 48" descr="Untitled-4-2">
                  <a:extLst>
                    <a:ext uri="{FF2B5EF4-FFF2-40B4-BE49-F238E27FC236}">
                      <a16:creationId xmlns:a16="http://schemas.microsoft.com/office/drawing/2014/main" xmlns="" id="{00000000-0008-0000-0000-00009E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 name="Group 17">
                  <a:extLst>
                    <a:ext uri="{FF2B5EF4-FFF2-40B4-BE49-F238E27FC236}">
                      <a16:creationId xmlns:a16="http://schemas.microsoft.com/office/drawing/2014/main" xmlns="" id="{00000000-0008-0000-0000-00009F040000}"/>
                    </a:ext>
                  </a:extLst>
                </xdr:cNvPr>
                <xdr:cNvGrpSpPr>
                  <a:grpSpLocks/>
                </xdr:cNvGrpSpPr>
              </xdr:nvGrpSpPr>
              <xdr:grpSpPr bwMode="auto">
                <a:xfrm>
                  <a:off x="432" y="264"/>
                  <a:ext cx="286" cy="128"/>
                  <a:chOff x="426" y="263"/>
                  <a:chExt cx="290" cy="130"/>
                </a:xfrm>
              </xdr:grpSpPr>
              <xdr:pic>
                <xdr:nvPicPr>
                  <xdr:cNvPr id="1185" name="Picture 52" descr="Letter Head">
                    <a:extLst>
                      <a:ext uri="{FF2B5EF4-FFF2-40B4-BE49-F238E27FC236}">
                        <a16:creationId xmlns:a16="http://schemas.microsoft.com/office/drawing/2014/main" xmlns="" id="{00000000-0008-0000-0000-0000A1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6" name="Line 53">
                    <a:extLst>
                      <a:ext uri="{FF2B5EF4-FFF2-40B4-BE49-F238E27FC236}">
                        <a16:creationId xmlns:a16="http://schemas.microsoft.com/office/drawing/2014/main" xmlns="" id="{00000000-0008-0000-0000-0000A2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xmlns=""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78" name="Group 21">
                <a:extLst>
                  <a:ext uri="{FF2B5EF4-FFF2-40B4-BE49-F238E27FC236}">
                    <a16:creationId xmlns:a16="http://schemas.microsoft.com/office/drawing/2014/main" xmlns="" id="{00000000-0008-0000-0000-00009A040000}"/>
                  </a:ext>
                </a:extLst>
              </xdr:cNvPr>
              <xdr:cNvGrpSpPr>
                <a:grpSpLocks/>
              </xdr:cNvGrpSpPr>
            </xdr:nvGrpSpPr>
            <xdr:grpSpPr bwMode="auto">
              <a:xfrm>
                <a:off x="76" y="364"/>
                <a:ext cx="289" cy="256"/>
                <a:chOff x="76" y="364"/>
                <a:chExt cx="289" cy="256"/>
              </a:xfrm>
            </xdr:grpSpPr>
            <xdr:pic>
              <xdr:nvPicPr>
                <xdr:cNvPr id="1179" name="Picture 22" descr="J1c">
                  <a:extLst>
                    <a:ext uri="{FF2B5EF4-FFF2-40B4-BE49-F238E27FC236}">
                      <a16:creationId xmlns:a16="http://schemas.microsoft.com/office/drawing/2014/main" xmlns="" id="{00000000-0008-0000-0000-00009B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0" name="Picture 23" descr="J1a">
                  <a:extLst>
                    <a:ext uri="{FF2B5EF4-FFF2-40B4-BE49-F238E27FC236}">
                      <a16:creationId xmlns:a16="http://schemas.microsoft.com/office/drawing/2014/main" xmlns="" id="{00000000-0008-0000-0000-00009C04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 name="Picture 24" descr="J1b">
                  <a:extLst>
                    <a:ext uri="{FF2B5EF4-FFF2-40B4-BE49-F238E27FC236}">
                      <a16:creationId xmlns:a16="http://schemas.microsoft.com/office/drawing/2014/main" xmlns="" id="{00000000-0008-0000-0000-00009D0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74" name="Picture 25" descr="A1 light">
              <a:extLst>
                <a:ext uri="{FF2B5EF4-FFF2-40B4-BE49-F238E27FC236}">
                  <a16:creationId xmlns:a16="http://schemas.microsoft.com/office/drawing/2014/main" xmlns="" id="{00000000-0008-0000-0000-00009604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xmlns="" id="{00000000-0008-0000-00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a:ext uri="{FF2B5EF4-FFF2-40B4-BE49-F238E27FC236}">
              <a16:creationId xmlns:a16="http://schemas.microsoft.com/office/drawing/2014/main" xmlns=""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411480</xdr:colOff>
      <xdr:row>46</xdr:row>
      <xdr:rowOff>60960</xdr:rowOff>
    </xdr:to>
    <xdr:pic>
      <xdr:nvPicPr>
        <xdr:cNvPr id="268910" name="Picture 3" descr="Untitled-1 copy">
          <a:extLst>
            <a:ext uri="{FF2B5EF4-FFF2-40B4-BE49-F238E27FC236}">
              <a16:creationId xmlns:a16="http://schemas.microsoft.com/office/drawing/2014/main" xmlns="" id="{00000000-0008-0000-0100-00006E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911" name="Picture 4" descr="1 copy">
          <a:extLst>
            <a:ext uri="{FF2B5EF4-FFF2-40B4-BE49-F238E27FC236}">
              <a16:creationId xmlns:a16="http://schemas.microsoft.com/office/drawing/2014/main" xmlns="" id="{00000000-0008-0000-0100-00006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a:ext uri="{FF2B5EF4-FFF2-40B4-BE49-F238E27FC236}">
              <a16:creationId xmlns:a16="http://schemas.microsoft.com/office/drawing/2014/main" xmlns=""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a:ext uri="{FF2B5EF4-FFF2-40B4-BE49-F238E27FC236}">
              <a16:creationId xmlns:a16="http://schemas.microsoft.com/office/drawing/2014/main" xmlns=""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a:ext uri="{FF2B5EF4-FFF2-40B4-BE49-F238E27FC236}">
              <a16:creationId xmlns:a16="http://schemas.microsoft.com/office/drawing/2014/main" xmlns=""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xmlns=""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xmlns=""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a:ext uri="{FF2B5EF4-FFF2-40B4-BE49-F238E27FC236}">
              <a16:creationId xmlns:a16="http://schemas.microsoft.com/office/drawing/2014/main" xmlns=""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xmlns=""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a:ext uri="{FF2B5EF4-FFF2-40B4-BE49-F238E27FC236}">
              <a16:creationId xmlns:a16="http://schemas.microsoft.com/office/drawing/2014/main" xmlns=""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xmlns=""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a:ext uri="{FF2B5EF4-FFF2-40B4-BE49-F238E27FC236}">
              <a16:creationId xmlns:a16="http://schemas.microsoft.com/office/drawing/2014/main" xmlns=""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a:ext uri="{FF2B5EF4-FFF2-40B4-BE49-F238E27FC236}">
              <a16:creationId xmlns:a16="http://schemas.microsoft.com/office/drawing/2014/main" xmlns=""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a:ext uri="{FF2B5EF4-FFF2-40B4-BE49-F238E27FC236}">
              <a16:creationId xmlns:a16="http://schemas.microsoft.com/office/drawing/2014/main" xmlns=""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a:ext uri="{FF2B5EF4-FFF2-40B4-BE49-F238E27FC236}">
              <a16:creationId xmlns:a16="http://schemas.microsoft.com/office/drawing/2014/main" xmlns="" id="{00000000-0008-0000-01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a:ext uri="{FF2B5EF4-FFF2-40B4-BE49-F238E27FC236}">
              <a16:creationId xmlns:a16="http://schemas.microsoft.com/office/drawing/2014/main" xmlns="" id="{00000000-0008-0000-01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xmlns=""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xmlns=""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95250</xdr:rowOff>
        </xdr:from>
        <xdr:to>
          <xdr:col>6</xdr:col>
          <xdr:colOff>552450</xdr:colOff>
          <xdr:row>16</xdr:row>
          <xdr:rowOff>123825</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xmlns=""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449580</xdr:colOff>
          <xdr:row>17</xdr:row>
          <xdr:rowOff>22860</xdr:rowOff>
        </xdr:to>
        <xdr:pic>
          <xdr:nvPicPr>
            <xdr:cNvPr id="268926" name="TextBox2">
              <a:extLst>
                <a:ext uri="{FF2B5EF4-FFF2-40B4-BE49-F238E27FC236}">
                  <a16:creationId xmlns:a16="http://schemas.microsoft.com/office/drawing/2014/main" xmlns="" id="{00000000-0008-0000-0100-00007E1A0400}"/>
                </a:ext>
              </a:extLst>
            </xdr:cNvPr>
            <xdr:cNvPicPr preferRelativeResize="0">
              <a:picLocks noChangeArrowheads="1" noChangeShapeType="1"/>
              <a:extLst>
                <a:ext uri="{84589F7E-364E-4C9E-8A38-B11213B215E9}">
                  <a14:cameraTool cellRange="FinYear" spid="_x0000_s333866"/>
                </a:ext>
              </a:extLst>
            </xdr:cNvPicPr>
          </xdr:nvPicPr>
          <xdr:blipFill>
            <a:blip xmlns:r="http://schemas.openxmlformats.org/officeDocument/2006/relationships" r:embed="rId3">
              <a:grayscl/>
              <a:biLevel thresh="50000"/>
            </a:blip>
            <a:srcRect/>
            <a:stretch>
              <a:fillRect/>
            </a:stretch>
          </xdr:blipFill>
          <xdr:spPr bwMode="auto">
            <a:xfrm>
              <a:off x="5913120" y="2537460"/>
              <a:ext cx="107442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xmlns=""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123825</xdr:rowOff>
        </xdr:from>
        <xdr:to>
          <xdr:col>7</xdr:col>
          <xdr:colOff>142875</xdr:colOff>
          <xdr:row>10</xdr:row>
          <xdr:rowOff>152400</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xmlns=""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xmlns=""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123825</xdr:rowOff>
        </xdr:from>
        <xdr:to>
          <xdr:col>10</xdr:col>
          <xdr:colOff>495300</xdr:colOff>
          <xdr:row>10</xdr:row>
          <xdr:rowOff>152400</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xmlns=""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36</xdr:row>
          <xdr:rowOff>142875</xdr:rowOff>
        </xdr:from>
        <xdr:to>
          <xdr:col>4</xdr:col>
          <xdr:colOff>523875</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xmlns=""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34</xdr:row>
          <xdr:rowOff>142875</xdr:rowOff>
        </xdr:from>
        <xdr:to>
          <xdr:col>4</xdr:col>
          <xdr:colOff>523875</xdr:colOff>
          <xdr:row>36</xdr:row>
          <xdr:rowOff>57150</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xmlns=""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41</xdr:row>
          <xdr:rowOff>142875</xdr:rowOff>
        </xdr:from>
        <xdr:to>
          <xdr:col>4</xdr:col>
          <xdr:colOff>571500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xmlns=""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447675</xdr:colOff>
          <xdr:row>5</xdr:row>
          <xdr:rowOff>133350</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xmlns=""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373380</xdr:colOff>
      <xdr:row>28</xdr:row>
      <xdr:rowOff>22860</xdr:rowOff>
    </xdr:from>
    <xdr:to>
      <xdr:col>12</xdr:col>
      <xdr:colOff>251460</xdr:colOff>
      <xdr:row>45</xdr:row>
      <xdr:rowOff>91440</xdr:rowOff>
    </xdr:to>
    <xdr:pic>
      <xdr:nvPicPr>
        <xdr:cNvPr id="268927" name="Picture 4" descr="1 copy">
          <a:extLst>
            <a:ext uri="{FF2B5EF4-FFF2-40B4-BE49-F238E27FC236}">
              <a16:creationId xmlns:a16="http://schemas.microsoft.com/office/drawing/2014/main" xmlns="" id="{00000000-0008-0000-0100-00007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a:ext uri="{FF2B5EF4-FFF2-40B4-BE49-F238E27FC236}">
              <a16:creationId xmlns:a16="http://schemas.microsoft.com/office/drawing/2014/main" xmlns="" id="{00000000-0008-0000-01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xmlns="" id="{00000000-0008-0000-01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xmlns="" id="{00000000-0008-0000-01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xmlns="" id="{00000000-0008-0000-01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xmlns="" id="{00000000-0008-0000-01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xmlns="" id="{00000000-0008-0000-01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a:ext uri="{FF2B5EF4-FFF2-40B4-BE49-F238E27FC236}">
              <a16:creationId xmlns:a16="http://schemas.microsoft.com/office/drawing/2014/main" xmlns=""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314325</xdr:colOff>
          <xdr:row>2</xdr:row>
          <xdr:rowOff>19050</xdr:rowOff>
        </xdr:from>
        <xdr:to>
          <xdr:col>4</xdr:col>
          <xdr:colOff>2047875</xdr:colOff>
          <xdr:row>4</xdr:row>
          <xdr:rowOff>19050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xmlns=""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a:ext uri="{FF2B5EF4-FFF2-40B4-BE49-F238E27FC236}">
              <a16:creationId xmlns:a16="http://schemas.microsoft.com/office/drawing/2014/main" xmlns=""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xmlns=""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xmlns=""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72" name="Text Box 18">
          <a:extLst>
            <a:ext uri="{FF2B5EF4-FFF2-40B4-BE49-F238E27FC236}">
              <a16:creationId xmlns:a16="http://schemas.microsoft.com/office/drawing/2014/main" xmlns="" id="{00000000-0008-0000-0400-000024200400}"/>
            </a:ext>
          </a:extLst>
        </xdr:cNvPr>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340" cy="6083420"/>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a:ext uri="{FF2B5EF4-FFF2-40B4-BE49-F238E27FC236}">
              <a16:creationId xmlns:a16="http://schemas.microsoft.com/office/drawing/2014/main" xmlns=""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a:ext uri="{FF2B5EF4-FFF2-40B4-BE49-F238E27FC236}">
              <a16:creationId xmlns:a16="http://schemas.microsoft.com/office/drawing/2014/main" xmlns=""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83D1676\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habang.TZANEEN/Desktop/2019%202020%20Budgets/2019%202020%20Final%20Budget%20to%20NT,%20PT%20and%20COGHSTA/2.%20%20%20%20b)2019%202020%20Budget%20(Final)%20budget%20supporting%20tables%20A1%20Schedule%20%20mSCOA%20vs%206%203%20%2030%20Jan%202019%20TZANEEN%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D5" t="str">
            <v>371 387</v>
          </cell>
        </row>
        <row r="48">
          <cell r="G48">
            <v>5.8000000000000003E-2</v>
          </cell>
          <cell r="H48">
            <v>6.6000000000000003E-2</v>
          </cell>
          <cell r="I48">
            <v>6.4000000000000001E-2</v>
          </cell>
          <cell r="J48">
            <v>5.2999999999999999E-2</v>
          </cell>
        </row>
        <row r="49">
          <cell r="G49">
            <v>6.7500000000000004E-2</v>
          </cell>
          <cell r="H49">
            <v>6.7500000000000004E-2</v>
          </cell>
          <cell r="I49">
            <v>6.7500000000000004E-2</v>
          </cell>
          <cell r="J49">
            <v>6.7500000000000004E-2</v>
          </cell>
        </row>
        <row r="50">
          <cell r="G50" t="str">
            <v>variable</v>
          </cell>
          <cell r="H50" t="str">
            <v>variable</v>
          </cell>
          <cell r="I50" t="str">
            <v>variable</v>
          </cell>
          <cell r="J50" t="str">
            <v>variable</v>
          </cell>
        </row>
        <row r="51">
          <cell r="G51">
            <v>5.8000000000000003E-2</v>
          </cell>
          <cell r="H51">
            <v>7.5999999999999998E-2</v>
          </cell>
          <cell r="I51">
            <v>7.3999999999999996E-2</v>
          </cell>
          <cell r="J51">
            <v>7.0000000000000007E-2</v>
          </cell>
        </row>
        <row r="52">
          <cell r="G52">
            <v>0.122</v>
          </cell>
          <cell r="H52">
            <v>8.6400000000000005E-2</v>
          </cell>
          <cell r="I52">
            <v>1.8800000000000001E-2</v>
          </cell>
          <cell r="J52">
            <v>6.8400000000000002E-2</v>
          </cell>
        </row>
        <row r="53">
          <cell r="G53">
            <v>0.06</v>
          </cell>
          <cell r="H53">
            <v>6.6000000000000003E-2</v>
          </cell>
          <cell r="I53">
            <v>6.4000000000000001E-2</v>
          </cell>
          <cell r="J53">
            <v>5.2999999999999999E-2</v>
          </cell>
        </row>
      </sheetData>
      <sheetData sheetId="29" refreshError="1"/>
      <sheetData sheetId="30" refreshError="1">
        <row r="6">
          <cell r="D6" t="str">
            <v>1/7/2013</v>
          </cell>
          <cell r="E6" t="str">
            <v>1/7/2017</v>
          </cell>
        </row>
        <row r="10">
          <cell r="D10" t="str">
            <v>No</v>
          </cell>
          <cell r="E10" t="str">
            <v>No</v>
          </cell>
        </row>
        <row r="17">
          <cell r="D17">
            <v>0</v>
          </cell>
          <cell r="E17">
            <v>6</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5">
          <cell r="F5">
            <v>69</v>
          </cell>
        </row>
        <row r="10">
          <cell r="F10">
            <v>98</v>
          </cell>
          <cell r="G10">
            <v>57</v>
          </cell>
          <cell r="H10">
            <v>0</v>
          </cell>
        </row>
        <row r="20">
          <cell r="F20">
            <v>93</v>
          </cell>
          <cell r="G20">
            <v>57</v>
          </cell>
          <cell r="H20">
            <v>0</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34" zoomScaleNormal="100" zoomScaleSheetLayoutView="90" workbookViewId="0"/>
  </sheetViews>
  <sheetFormatPr defaultColWidth="8" defaultRowHeight="12.75"/>
  <cols>
    <col min="1" max="16384" width="8" style="1207"/>
  </cols>
  <sheetData>
    <row r="1" spans="1:1">
      <c r="A1" s="1568"/>
    </row>
  </sheetData>
  <phoneticPr fontId="27"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topLeftCell="S34" zoomScaleNormal="100" zoomScaleSheetLayoutView="90" workbookViewId="0">
      <selection activeCell="Z3" sqref="Z3"/>
    </sheetView>
  </sheetViews>
  <sheetFormatPr defaultColWidth="8.7109375" defaultRowHeight="12.75"/>
  <cols>
    <col min="1" max="18" width="8.7109375" customWidth="1"/>
    <col min="19" max="21" width="9.140625" style="1327" customWidth="1"/>
    <col min="22" max="22" width="17.7109375" style="1327" customWidth="1"/>
    <col min="23" max="23" width="18.42578125" style="1328" customWidth="1"/>
    <col min="24" max="24" width="9.42578125" style="1328" customWidth="1"/>
    <col min="25" max="25" width="12.7109375" style="1328" customWidth="1"/>
    <col min="26" max="26" width="9.140625" style="1327" customWidth="1"/>
    <col min="27" max="27" width="13" style="1327" customWidth="1"/>
    <col min="28" max="28" width="24.7109375" style="1327" customWidth="1"/>
    <col min="29" max="36" width="9.140625" style="1327" customWidth="1"/>
  </cols>
  <sheetData>
    <row r="2" spans="4:29">
      <c r="D2">
        <v>2020</v>
      </c>
    </row>
    <row r="4" spans="4:29">
      <c r="X4" s="1329" t="s">
        <v>364</v>
      </c>
    </row>
    <row r="5" spans="4:29">
      <c r="X5" s="1329" t="s">
        <v>709</v>
      </c>
    </row>
    <row r="6" spans="4:29">
      <c r="AB6" s="1333"/>
      <c r="AC6" s="1260"/>
    </row>
    <row r="7" spans="4:29">
      <c r="W7" s="1329" t="s">
        <v>763</v>
      </c>
      <c r="AB7" s="1333"/>
      <c r="AC7" s="1262"/>
    </row>
    <row r="8" spans="4:29">
      <c r="X8" s="1329" t="s">
        <v>231</v>
      </c>
      <c r="AB8" s="1333"/>
      <c r="AC8" s="1260"/>
    </row>
    <row r="9" spans="4:29">
      <c r="X9" s="1329" t="s">
        <v>1566</v>
      </c>
      <c r="AB9" s="1333"/>
      <c r="AC9" s="1260"/>
    </row>
    <row r="10" spans="4:29">
      <c r="AB10" s="1333"/>
      <c r="AC10" s="1260"/>
    </row>
    <row r="11" spans="4:29">
      <c r="AB11" s="1333"/>
      <c r="AC11" s="1260"/>
    </row>
    <row r="12" spans="4:29">
      <c r="AB12" s="1333"/>
      <c r="AC12" s="1260"/>
    </row>
    <row r="13" spans="4:29">
      <c r="AB13" s="1333"/>
      <c r="AC13" s="1262"/>
    </row>
    <row r="14" spans="4:29">
      <c r="AB14" s="1333"/>
      <c r="AC14" s="1260"/>
    </row>
    <row r="15" spans="4:29">
      <c r="AB15" s="1333"/>
      <c r="AC15" s="1253"/>
    </row>
    <row r="16" spans="4:29">
      <c r="AB16" s="1333"/>
      <c r="AC16" s="1253"/>
    </row>
    <row r="17" spans="23:29">
      <c r="W17" s="1329" t="s">
        <v>762</v>
      </c>
      <c r="X17" s="1329">
        <v>2008</v>
      </c>
      <c r="AB17" s="1333"/>
      <c r="AC17" s="1253"/>
    </row>
    <row r="18" spans="23:29">
      <c r="X18" s="1329">
        <v>2009</v>
      </c>
      <c r="AB18" s="1333"/>
      <c r="AC18" s="1253"/>
    </row>
    <row r="19" spans="23:29">
      <c r="X19" s="1329">
        <v>2010</v>
      </c>
      <c r="AB19" s="1333"/>
      <c r="AC19" s="1253"/>
    </row>
    <row r="20" spans="23:29">
      <c r="X20" s="1329">
        <v>2011</v>
      </c>
      <c r="AB20" s="1333"/>
      <c r="AC20" s="1253"/>
    </row>
    <row r="21" spans="23:29">
      <c r="X21" s="1329">
        <v>2012</v>
      </c>
      <c r="AB21" s="1333"/>
      <c r="AC21" s="1253"/>
    </row>
    <row r="22" spans="23:29">
      <c r="X22" s="1329">
        <v>2013</v>
      </c>
      <c r="AB22" s="1333"/>
      <c r="AC22" s="1253"/>
    </row>
    <row r="23" spans="23:29">
      <c r="X23" s="1329">
        <v>2014</v>
      </c>
      <c r="AB23" s="1333"/>
      <c r="AC23" s="1253"/>
    </row>
    <row r="24" spans="23:29">
      <c r="X24" s="1329">
        <v>2015</v>
      </c>
      <c r="AB24" s="1333"/>
      <c r="AC24" s="1253"/>
    </row>
    <row r="25" spans="23:29">
      <c r="X25" s="1329">
        <v>2016</v>
      </c>
      <c r="AB25" s="1333"/>
      <c r="AC25" s="1253"/>
    </row>
    <row r="26" spans="23:29">
      <c r="X26" s="1329">
        <v>2017</v>
      </c>
      <c r="AB26" s="1333"/>
      <c r="AC26" s="1253"/>
    </row>
    <row r="27" spans="23:29">
      <c r="X27" s="1329">
        <v>2018</v>
      </c>
      <c r="AB27" s="1333"/>
      <c r="AC27" s="1253"/>
    </row>
    <row r="28" spans="23:29">
      <c r="X28" s="1329">
        <v>2019</v>
      </c>
      <c r="AB28" s="1333"/>
      <c r="AC28" s="1253"/>
    </row>
    <row r="29" spans="23:29">
      <c r="X29" s="1329">
        <v>2020</v>
      </c>
      <c r="AB29" s="1333"/>
      <c r="AC29" s="1253"/>
    </row>
    <row r="30" spans="23:29">
      <c r="X30" s="1329">
        <v>2021</v>
      </c>
      <c r="AB30" s="1333"/>
      <c r="AC30" s="1253"/>
    </row>
    <row r="31" spans="23:29">
      <c r="X31" s="1329">
        <v>2022</v>
      </c>
      <c r="AB31" s="1333"/>
      <c r="AC31" s="1253"/>
    </row>
    <row r="32" spans="23:29">
      <c r="AB32" s="1333"/>
      <c r="AC32" s="1253"/>
    </row>
    <row r="33" spans="15:29">
      <c r="W33" s="1329" t="s">
        <v>1567</v>
      </c>
      <c r="X33" s="1328">
        <v>13</v>
      </c>
      <c r="AB33" s="1333"/>
      <c r="AC33" s="1259"/>
    </row>
    <row r="34" spans="15:29">
      <c r="W34" s="1329" t="s">
        <v>1565</v>
      </c>
      <c r="X34" s="1330">
        <f>INDEX(X17:X31,X33,1)</f>
        <v>2020</v>
      </c>
      <c r="AB34" s="1333"/>
      <c r="AC34" s="1266"/>
    </row>
    <row r="35" spans="15:29">
      <c r="AB35" s="1333"/>
      <c r="AC35" s="1266"/>
    </row>
    <row r="36" spans="15:29">
      <c r="W36" s="1329" t="s">
        <v>1568</v>
      </c>
      <c r="X36" s="1331" t="str">
        <f>MTREF&amp;"/"&amp;RIGHT(MTREF,2)+1</f>
        <v>2020/21</v>
      </c>
      <c r="AB36" s="1333"/>
      <c r="AC36" s="1253"/>
    </row>
    <row r="37" spans="15:29">
      <c r="O37" s="1493"/>
      <c r="AB37" s="1333"/>
      <c r="AC37" s="1253"/>
    </row>
    <row r="38" spans="15:29">
      <c r="O38" s="1493"/>
      <c r="AB38" s="1333"/>
      <c r="AC38" s="1253"/>
    </row>
    <row r="39" spans="15:29">
      <c r="O39" s="1493"/>
      <c r="AB39" s="1333"/>
      <c r="AC39" s="1253"/>
    </row>
    <row r="40" spans="15:29">
      <c r="O40" s="1494"/>
      <c r="AB40" s="1333"/>
      <c r="AC40" s="1253"/>
    </row>
    <row r="41" spans="15:29">
      <c r="AB41" s="1333"/>
      <c r="AC41" s="1253"/>
    </row>
    <row r="42" spans="15:29">
      <c r="AB42" s="1333"/>
      <c r="AC42" s="1253"/>
    </row>
    <row r="43" spans="15:29">
      <c r="AB43" s="1333"/>
      <c r="AC43" s="1253"/>
    </row>
    <row r="44" spans="15:29">
      <c r="AB44" s="1333"/>
      <c r="AC44" s="1253"/>
    </row>
    <row r="45" spans="15:29">
      <c r="AB45" s="1333"/>
      <c r="AC45" s="1253"/>
    </row>
    <row r="46" spans="15:29">
      <c r="AB46" s="1333"/>
      <c r="AC46" s="1253"/>
    </row>
    <row r="47" spans="15:29">
      <c r="AB47" s="1333"/>
      <c r="AC47" s="1253"/>
    </row>
    <row r="48" spans="15:29">
      <c r="AB48" s="1333"/>
      <c r="AC48" s="1253"/>
    </row>
    <row r="49" spans="28:29">
      <c r="AB49" s="1333"/>
      <c r="AC49" s="1253"/>
    </row>
    <row r="50" spans="28:29">
      <c r="AB50" s="1333"/>
      <c r="AC50" s="1253"/>
    </row>
    <row r="51" spans="28:29">
      <c r="AB51" s="1333"/>
      <c r="AC51" s="1253"/>
    </row>
    <row r="52" spans="28:29">
      <c r="AB52" s="1333"/>
      <c r="AC52" s="1253"/>
    </row>
    <row r="53" spans="28:29">
      <c r="AB53" s="1333"/>
      <c r="AC53" s="1253"/>
    </row>
    <row r="54" spans="28:29">
      <c r="AB54" s="1333"/>
      <c r="AC54" s="1253"/>
    </row>
    <row r="55" spans="28:29">
      <c r="AB55" s="1333"/>
      <c r="AC55" s="1253"/>
    </row>
    <row r="56" spans="28:29">
      <c r="AB56" s="1333"/>
      <c r="AC56" s="1253"/>
    </row>
    <row r="57" spans="28:29">
      <c r="AB57" s="1333"/>
      <c r="AC57" s="1253"/>
    </row>
    <row r="58" spans="28:29">
      <c r="AB58" s="1333"/>
      <c r="AC58" s="1253"/>
    </row>
    <row r="59" spans="28:29">
      <c r="AB59" s="1333"/>
      <c r="AC59" s="1253"/>
    </row>
    <row r="60" spans="28:29">
      <c r="AB60" s="1333"/>
      <c r="AC60" s="1253"/>
    </row>
    <row r="61" spans="28:29">
      <c r="AB61" s="1333"/>
      <c r="AC61" s="1253"/>
    </row>
    <row r="62" spans="28:29">
      <c r="AB62" s="1333"/>
      <c r="AC62" s="1253"/>
    </row>
    <row r="63" spans="28:29">
      <c r="AB63" s="1333"/>
      <c r="AC63" s="1253"/>
    </row>
    <row r="64" spans="28:29">
      <c r="AB64" s="1333"/>
      <c r="AC64" s="1253"/>
    </row>
    <row r="65" spans="28:29">
      <c r="AB65" s="1333"/>
      <c r="AC65" s="1253"/>
    </row>
    <row r="66" spans="28:29">
      <c r="AB66" s="1333"/>
      <c r="AC66" s="1253"/>
    </row>
    <row r="67" spans="28:29">
      <c r="AB67" s="1333"/>
      <c r="AC67" s="1253"/>
    </row>
    <row r="68" spans="28:29">
      <c r="AB68" s="1333"/>
      <c r="AC68" s="1253"/>
    </row>
    <row r="69" spans="28:29">
      <c r="AB69" s="1333"/>
      <c r="AC69" s="1253"/>
    </row>
    <row r="70" spans="28:29">
      <c r="AB70" s="1333"/>
      <c r="AC70" s="1253"/>
    </row>
    <row r="71" spans="28:29">
      <c r="AB71" s="1333"/>
      <c r="AC71" s="1253"/>
    </row>
    <row r="72" spans="28:29">
      <c r="AB72" s="1333"/>
      <c r="AC72" s="1253"/>
    </row>
    <row r="73" spans="28:29">
      <c r="AB73" s="1333"/>
      <c r="AC73" s="1253"/>
    </row>
    <row r="74" spans="28:29">
      <c r="AB74" s="1333"/>
      <c r="AC74" s="1253"/>
    </row>
    <row r="75" spans="28:29">
      <c r="AB75" s="1333"/>
      <c r="AC75" s="1253"/>
    </row>
    <row r="76" spans="28:29">
      <c r="AB76" s="1333"/>
      <c r="AC76" s="1253"/>
    </row>
    <row r="77" spans="28:29">
      <c r="AB77" s="1333"/>
      <c r="AC77" s="1253"/>
    </row>
    <row r="78" spans="28:29">
      <c r="AB78" s="1333"/>
      <c r="AC78" s="1253"/>
    </row>
    <row r="79" spans="28:29">
      <c r="AB79" s="1333"/>
      <c r="AC79" s="1253"/>
    </row>
    <row r="80" spans="28:29">
      <c r="AB80" s="1333"/>
      <c r="AC80" s="1253"/>
    </row>
    <row r="81" spans="28:29">
      <c r="AB81" s="1333"/>
      <c r="AC81" s="1253"/>
    </row>
    <row r="82" spans="28:29">
      <c r="AB82" s="1333"/>
      <c r="AC82" s="1253"/>
    </row>
    <row r="83" spans="28:29">
      <c r="AB83" s="1333"/>
      <c r="AC83" s="1253"/>
    </row>
    <row r="84" spans="28:29">
      <c r="AB84" s="1333"/>
      <c r="AC84" s="1253"/>
    </row>
    <row r="85" spans="28:29">
      <c r="AB85" s="1333"/>
      <c r="AC85" s="1253"/>
    </row>
    <row r="86" spans="28:29">
      <c r="AB86" s="1333"/>
      <c r="AC86" s="1253"/>
    </row>
    <row r="87" spans="28:29">
      <c r="AB87" s="1333"/>
      <c r="AC87" s="1253"/>
    </row>
    <row r="88" spans="28:29">
      <c r="AB88" s="1333"/>
      <c r="AC88" s="1253"/>
    </row>
    <row r="89" spans="28:29">
      <c r="AB89" s="1333"/>
      <c r="AC89" s="1253"/>
    </row>
    <row r="90" spans="28:29">
      <c r="AB90" s="1333"/>
      <c r="AC90" s="1253"/>
    </row>
    <row r="91" spans="28:29">
      <c r="AB91" s="1333"/>
      <c r="AC91" s="1253"/>
    </row>
    <row r="92" spans="28:29">
      <c r="AB92" s="1333"/>
      <c r="AC92" s="1253"/>
    </row>
    <row r="93" spans="28:29">
      <c r="AB93" s="1333"/>
      <c r="AC93" s="1253"/>
    </row>
    <row r="94" spans="28:29">
      <c r="AB94" s="1333"/>
      <c r="AC94" s="1253"/>
    </row>
    <row r="95" spans="28:29">
      <c r="AB95" s="1333"/>
      <c r="AC95" s="1253"/>
    </row>
    <row r="96" spans="28:29">
      <c r="AB96" s="1333"/>
      <c r="AC96" s="1253"/>
    </row>
    <row r="97" spans="28:29">
      <c r="AB97" s="1333"/>
      <c r="AC97" s="1253"/>
    </row>
    <row r="98" spans="28:29">
      <c r="AB98" s="1333"/>
      <c r="AC98" s="1253"/>
    </row>
    <row r="99" spans="28:29">
      <c r="AB99" s="1333"/>
      <c r="AC99" s="1253"/>
    </row>
    <row r="100" spans="28:29">
      <c r="AB100" s="1333"/>
      <c r="AC100" s="1253"/>
    </row>
    <row r="101" spans="28:29">
      <c r="AB101" s="1333"/>
      <c r="AC101" s="1253"/>
    </row>
    <row r="102" spans="28:29">
      <c r="AB102" s="1333"/>
      <c r="AC102" s="1253"/>
    </row>
    <row r="103" spans="28:29">
      <c r="AB103" s="1333"/>
      <c r="AC103" s="1253"/>
    </row>
    <row r="104" spans="28:29">
      <c r="AB104" s="1333"/>
      <c r="AC104" s="1253"/>
    </row>
    <row r="105" spans="28:29">
      <c r="AB105" s="1333"/>
      <c r="AC105" s="1253"/>
    </row>
    <row r="106" spans="28:29">
      <c r="AB106" s="1333"/>
      <c r="AC106" s="1253"/>
    </row>
    <row r="107" spans="28:29">
      <c r="AB107" s="1333"/>
      <c r="AC107" s="1253"/>
    </row>
    <row r="108" spans="28:29">
      <c r="AB108" s="1333"/>
      <c r="AC108" s="1253"/>
    </row>
    <row r="109" spans="28:29">
      <c r="AB109" s="1333"/>
      <c r="AC109" s="1253"/>
    </row>
    <row r="110" spans="28:29">
      <c r="AB110" s="1333"/>
      <c r="AC110" s="1253"/>
    </row>
    <row r="111" spans="28:29">
      <c r="AB111" s="1333"/>
      <c r="AC111" s="1253"/>
    </row>
    <row r="112" spans="28:29">
      <c r="AB112" s="1333"/>
      <c r="AC112" s="1253"/>
    </row>
    <row r="113" spans="28:29">
      <c r="AB113" s="1333"/>
      <c r="AC113" s="1253"/>
    </row>
    <row r="114" spans="28:29">
      <c r="AB114" s="1333"/>
      <c r="AC114" s="1253"/>
    </row>
    <row r="115" spans="28:29">
      <c r="AB115" s="1333"/>
      <c r="AC115" s="1253"/>
    </row>
    <row r="116" spans="28:29">
      <c r="AB116" s="1333"/>
      <c r="AC116" s="1253"/>
    </row>
    <row r="117" spans="28:29">
      <c r="AB117" s="1333"/>
      <c r="AC117" s="1253"/>
    </row>
    <row r="118" spans="28:29">
      <c r="AB118" s="1333"/>
      <c r="AC118" s="1253"/>
    </row>
    <row r="119" spans="28:29">
      <c r="AB119" s="1333"/>
      <c r="AC119" s="1253"/>
    </row>
    <row r="120" spans="28:29">
      <c r="AB120" s="1333"/>
      <c r="AC120" s="1253"/>
    </row>
    <row r="121" spans="28:29">
      <c r="AB121" s="1333"/>
      <c r="AC121" s="1253"/>
    </row>
    <row r="122" spans="28:29">
      <c r="AB122" s="1333"/>
      <c r="AC122" s="1253"/>
    </row>
    <row r="123" spans="28:29">
      <c r="AB123" s="1333"/>
      <c r="AC123" s="1253"/>
    </row>
    <row r="124" spans="28:29">
      <c r="AB124" s="1333"/>
      <c r="AC124" s="1253"/>
    </row>
    <row r="125" spans="28:29">
      <c r="AB125" s="1333"/>
      <c r="AC125" s="1253"/>
    </row>
    <row r="126" spans="28:29">
      <c r="AB126" s="1333"/>
      <c r="AC126" s="1253"/>
    </row>
    <row r="127" spans="28:29">
      <c r="AB127" s="1333"/>
      <c r="AC127" s="1253"/>
    </row>
    <row r="128" spans="28:29">
      <c r="AB128" s="1333"/>
      <c r="AC128" s="1253"/>
    </row>
    <row r="129" spans="28:29">
      <c r="AB129" s="1333"/>
      <c r="AC129" s="1253"/>
    </row>
    <row r="130" spans="28:29">
      <c r="AB130" s="1333"/>
      <c r="AC130" s="1253"/>
    </row>
    <row r="131" spans="28:29">
      <c r="AB131" s="1333"/>
      <c r="AC131" s="1253"/>
    </row>
    <row r="132" spans="28:29">
      <c r="AB132" s="1333"/>
      <c r="AC132" s="1253"/>
    </row>
    <row r="133" spans="28:29">
      <c r="AB133" s="1333"/>
      <c r="AC133" s="1253"/>
    </row>
    <row r="134" spans="28:29">
      <c r="AB134" s="1333"/>
      <c r="AC134" s="1253"/>
    </row>
    <row r="135" spans="28:29">
      <c r="AB135" s="1333"/>
      <c r="AC135" s="1253"/>
    </row>
    <row r="136" spans="28:29">
      <c r="AB136" s="1333"/>
      <c r="AC136" s="1253"/>
    </row>
    <row r="137" spans="28:29">
      <c r="AB137" s="1333"/>
      <c r="AC137" s="1253"/>
    </row>
    <row r="138" spans="28:29">
      <c r="AB138" s="1333"/>
      <c r="AC138" s="1253"/>
    </row>
    <row r="139" spans="28:29">
      <c r="AB139" s="1333"/>
      <c r="AC139" s="1253"/>
    </row>
    <row r="140" spans="28:29">
      <c r="AB140" s="1333"/>
      <c r="AC140" s="1253"/>
    </row>
    <row r="141" spans="28:29">
      <c r="AB141" s="1333"/>
      <c r="AC141" s="1253"/>
    </row>
    <row r="142" spans="28:29">
      <c r="AB142" s="1333"/>
      <c r="AC142" s="1253"/>
    </row>
    <row r="143" spans="28:29">
      <c r="AB143" s="1333"/>
      <c r="AC143" s="1253"/>
    </row>
    <row r="144" spans="28:29">
      <c r="AB144" s="1333"/>
      <c r="AC144" s="1253"/>
    </row>
    <row r="145" spans="28:29">
      <c r="AB145" s="1333"/>
      <c r="AC145" s="1253"/>
    </row>
    <row r="146" spans="28:29">
      <c r="AB146" s="1333"/>
      <c r="AC146" s="1253"/>
    </row>
    <row r="147" spans="28:29">
      <c r="AB147" s="1333"/>
      <c r="AC147" s="1253"/>
    </row>
    <row r="148" spans="28:29">
      <c r="AB148" s="1333"/>
      <c r="AC148" s="1253"/>
    </row>
    <row r="149" spans="28:29">
      <c r="AB149" s="1333"/>
      <c r="AC149" s="1253"/>
    </row>
    <row r="150" spans="28:29">
      <c r="AB150" s="1333"/>
      <c r="AC150" s="1253"/>
    </row>
    <row r="151" spans="28:29">
      <c r="AB151" s="1333"/>
      <c r="AC151" s="1253"/>
    </row>
    <row r="152" spans="28:29">
      <c r="AB152" s="1333"/>
      <c r="AC152" s="1253"/>
    </row>
    <row r="153" spans="28:29">
      <c r="AB153" s="1333"/>
      <c r="AC153" s="1253"/>
    </row>
    <row r="154" spans="28:29">
      <c r="AB154" s="1333"/>
      <c r="AC154" s="1253"/>
    </row>
    <row r="155" spans="28:29">
      <c r="AB155" s="1333"/>
      <c r="AC155" s="1253"/>
    </row>
    <row r="156" spans="28:29">
      <c r="AB156" s="1333"/>
      <c r="AC156" s="1253"/>
    </row>
    <row r="157" spans="28:29">
      <c r="AB157" s="1333"/>
      <c r="AC157" s="1253"/>
    </row>
    <row r="158" spans="28:29">
      <c r="AB158" s="1333"/>
      <c r="AC158" s="1253"/>
    </row>
    <row r="159" spans="28:29">
      <c r="AB159" s="1333"/>
      <c r="AC159" s="1253"/>
    </row>
    <row r="160" spans="28:29">
      <c r="AB160" s="1333"/>
      <c r="AC160" s="1253"/>
    </row>
    <row r="161" spans="28:29">
      <c r="AB161" s="1333"/>
      <c r="AC161" s="1253"/>
    </row>
    <row r="162" spans="28:29">
      <c r="AB162" s="1333"/>
      <c r="AC162" s="1253"/>
    </row>
    <row r="163" spans="28:29">
      <c r="AB163" s="1333"/>
      <c r="AC163" s="1253"/>
    </row>
    <row r="164" spans="28:29">
      <c r="AB164" s="1333"/>
      <c r="AC164" s="1253"/>
    </row>
    <row r="165" spans="28:29">
      <c r="AB165" s="1333"/>
      <c r="AC165" s="1253"/>
    </row>
    <row r="166" spans="28:29">
      <c r="AB166" s="1333"/>
      <c r="AC166" s="1253"/>
    </row>
    <row r="167" spans="28:29">
      <c r="AB167" s="1333"/>
      <c r="AC167" s="1253"/>
    </row>
    <row r="168" spans="28:29">
      <c r="AB168" s="1333"/>
      <c r="AC168" s="1253"/>
    </row>
    <row r="169" spans="28:29">
      <c r="AB169" s="1333"/>
      <c r="AC169" s="1253"/>
    </row>
    <row r="170" spans="28:29">
      <c r="AB170" s="1333"/>
      <c r="AC170" s="1253"/>
    </row>
    <row r="171" spans="28:29">
      <c r="AB171" s="1333"/>
      <c r="AC171" s="1253"/>
    </row>
    <row r="172" spans="28:29">
      <c r="AB172" s="1333"/>
      <c r="AC172" s="1253"/>
    </row>
    <row r="173" spans="28:29">
      <c r="AB173" s="1333"/>
      <c r="AC173" s="1253"/>
    </row>
    <row r="174" spans="28:29">
      <c r="AB174" s="1333"/>
      <c r="AC174" s="1253"/>
    </row>
    <row r="175" spans="28:29">
      <c r="AB175" s="1333"/>
      <c r="AC175" s="1253"/>
    </row>
    <row r="176" spans="28:29">
      <c r="AB176" s="1333"/>
      <c r="AC176" s="1253"/>
    </row>
    <row r="177" spans="28:29">
      <c r="AB177" s="1333"/>
      <c r="AC177" s="1253"/>
    </row>
    <row r="178" spans="28:29">
      <c r="AB178" s="1333"/>
      <c r="AC178" s="1253"/>
    </row>
    <row r="179" spans="28:29">
      <c r="AB179" s="1333"/>
      <c r="AC179" s="1253"/>
    </row>
    <row r="180" spans="28:29">
      <c r="AB180" s="1333"/>
      <c r="AC180" s="1253"/>
    </row>
    <row r="181" spans="28:29">
      <c r="AB181" s="1333"/>
      <c r="AC181" s="1253"/>
    </row>
    <row r="182" spans="28:29">
      <c r="AB182" s="1333"/>
      <c r="AC182" s="1253"/>
    </row>
    <row r="183" spans="28:29">
      <c r="AB183" s="1333"/>
      <c r="AC183" s="1253"/>
    </row>
    <row r="184" spans="28:29">
      <c r="AB184" s="1333"/>
      <c r="AC184" s="1253"/>
    </row>
    <row r="185" spans="28:29">
      <c r="AB185" s="1333"/>
      <c r="AC185" s="1253"/>
    </row>
    <row r="186" spans="28:29">
      <c r="AB186" s="1333"/>
      <c r="AC186" s="1253"/>
    </row>
    <row r="187" spans="28:29">
      <c r="AB187" s="1333"/>
      <c r="AC187" s="1253"/>
    </row>
    <row r="188" spans="28:29">
      <c r="AB188" s="1333"/>
      <c r="AC188" s="1253"/>
    </row>
    <row r="189" spans="28:29">
      <c r="AB189" s="1333"/>
      <c r="AC189" s="1253"/>
    </row>
    <row r="190" spans="28:29">
      <c r="AB190" s="1333"/>
      <c r="AC190" s="1253"/>
    </row>
    <row r="191" spans="28:29">
      <c r="AB191" s="1333"/>
      <c r="AC191" s="1253"/>
    </row>
    <row r="192" spans="28:29">
      <c r="AB192" s="1333"/>
      <c r="AC192" s="1253"/>
    </row>
    <row r="193" spans="28:29">
      <c r="AB193" s="1333"/>
      <c r="AC193" s="1253"/>
    </row>
    <row r="194" spans="28:29">
      <c r="AB194" s="1333"/>
      <c r="AC194" s="1253"/>
    </row>
    <row r="195" spans="28:29">
      <c r="AB195" s="1333"/>
      <c r="AC195" s="1253"/>
    </row>
    <row r="196" spans="28:29">
      <c r="AB196" s="1333"/>
      <c r="AC196" s="1253"/>
    </row>
    <row r="197" spans="28:29">
      <c r="AB197" s="1333"/>
      <c r="AC197" s="1253"/>
    </row>
    <row r="198" spans="28:29">
      <c r="AB198" s="1333"/>
      <c r="AC198" s="1253"/>
    </row>
    <row r="199" spans="28:29">
      <c r="AB199" s="1333"/>
      <c r="AC199" s="1253"/>
    </row>
    <row r="200" spans="28:29">
      <c r="AB200" s="1333"/>
      <c r="AC200" s="1253"/>
    </row>
    <row r="201" spans="28:29">
      <c r="AB201" s="1333"/>
      <c r="AC201" s="1253"/>
    </row>
    <row r="202" spans="28:29">
      <c r="AB202" s="1333"/>
      <c r="AC202" s="1253"/>
    </row>
    <row r="203" spans="28:29">
      <c r="AB203" s="1333"/>
      <c r="AC203" s="1253"/>
    </row>
    <row r="204" spans="28:29">
      <c r="AB204" s="1333"/>
      <c r="AC204" s="1253"/>
    </row>
    <row r="205" spans="28:29">
      <c r="AB205" s="1333"/>
      <c r="AC205" s="1253"/>
    </row>
    <row r="206" spans="28:29">
      <c r="AB206" s="1333"/>
      <c r="AC206" s="1253"/>
    </row>
    <row r="207" spans="28:29">
      <c r="AB207" s="1333"/>
      <c r="AC207" s="1253"/>
    </row>
    <row r="208" spans="28:29">
      <c r="AB208" s="1333"/>
      <c r="AC208" s="1253"/>
    </row>
    <row r="209" spans="28:29">
      <c r="AB209" s="1333"/>
      <c r="AC209" s="1253"/>
    </row>
    <row r="210" spans="28:29">
      <c r="AB210" s="1333"/>
      <c r="AC210" s="1253"/>
    </row>
    <row r="211" spans="28:29">
      <c r="AB211" s="1333"/>
      <c r="AC211" s="1253"/>
    </row>
    <row r="212" spans="28:29">
      <c r="AB212" s="1333"/>
      <c r="AC212" s="1253"/>
    </row>
    <row r="213" spans="28:29">
      <c r="AB213" s="1333"/>
      <c r="AC213" s="1253"/>
    </row>
    <row r="214" spans="28:29">
      <c r="AB214" s="1333"/>
      <c r="AC214" s="1253"/>
    </row>
    <row r="215" spans="28:29">
      <c r="AB215" s="1333"/>
      <c r="AC215" s="1253"/>
    </row>
    <row r="216" spans="28:29">
      <c r="AB216" s="1333"/>
      <c r="AC216" s="1253"/>
    </row>
    <row r="217" spans="28:29">
      <c r="AB217" s="1333"/>
      <c r="AC217" s="1253"/>
    </row>
    <row r="218" spans="28:29">
      <c r="AB218" s="1333"/>
      <c r="AC218" s="1253"/>
    </row>
    <row r="219" spans="28:29">
      <c r="AB219" s="1333"/>
      <c r="AC219" s="1253"/>
    </row>
    <row r="220" spans="28:29">
      <c r="AB220" s="1333"/>
      <c r="AC220" s="1253"/>
    </row>
    <row r="221" spans="28:29">
      <c r="AB221" s="1333"/>
      <c r="AC221" s="1253"/>
    </row>
    <row r="222" spans="28:29">
      <c r="AB222" s="1333"/>
      <c r="AC222" s="1253"/>
    </row>
    <row r="223" spans="28:29">
      <c r="AB223" s="1333"/>
      <c r="AC223" s="1253"/>
    </row>
    <row r="224" spans="28:29">
      <c r="AB224" s="1333"/>
      <c r="AC224" s="1253"/>
    </row>
    <row r="225" spans="28:29">
      <c r="AB225" s="1333"/>
      <c r="AC225" s="1253"/>
    </row>
    <row r="226" spans="28:29">
      <c r="AB226" s="1333"/>
      <c r="AC226" s="1253"/>
    </row>
    <row r="227" spans="28:29">
      <c r="AB227" s="1333"/>
      <c r="AC227" s="1253"/>
    </row>
    <row r="228" spans="28:29">
      <c r="AB228" s="1333"/>
      <c r="AC228" s="1253"/>
    </row>
    <row r="229" spans="28:29">
      <c r="AB229" s="1333"/>
      <c r="AC229" s="1253"/>
    </row>
    <row r="230" spans="28:29">
      <c r="AB230" s="1333"/>
      <c r="AC230" s="1253"/>
    </row>
    <row r="231" spans="28:29">
      <c r="AB231" s="1333"/>
      <c r="AC231" s="1253"/>
    </row>
    <row r="232" spans="28:29">
      <c r="AB232" s="1333"/>
      <c r="AC232" s="1253"/>
    </row>
    <row r="233" spans="28:29">
      <c r="AB233" s="1333"/>
      <c r="AC233" s="1253"/>
    </row>
    <row r="234" spans="28:29">
      <c r="AB234" s="1333"/>
      <c r="AC234" s="1253"/>
    </row>
    <row r="235" spans="28:29">
      <c r="AB235" s="1333"/>
      <c r="AC235" s="1253"/>
    </row>
    <row r="236" spans="28:29">
      <c r="AB236" s="1333"/>
      <c r="AC236" s="1253"/>
    </row>
    <row r="237" spans="28:29">
      <c r="AB237" s="1333"/>
      <c r="AC237" s="1253"/>
    </row>
    <row r="238" spans="28:29">
      <c r="AB238" s="1333"/>
      <c r="AC238" s="1253"/>
    </row>
    <row r="239" spans="28:29">
      <c r="AB239" s="1333"/>
      <c r="AC239" s="1253"/>
    </row>
    <row r="240" spans="28:29">
      <c r="AB240" s="1333"/>
      <c r="AC240" s="1253"/>
    </row>
    <row r="241" spans="28:29">
      <c r="AB241" s="1333"/>
      <c r="AC241" s="1253"/>
    </row>
    <row r="242" spans="28:29">
      <c r="AB242" s="1333"/>
      <c r="AC242" s="1253"/>
    </row>
    <row r="243" spans="28:29">
      <c r="AB243" s="1333"/>
      <c r="AC243" s="1253"/>
    </row>
    <row r="244" spans="28:29">
      <c r="AB244" s="1333"/>
      <c r="AC244" s="1253"/>
    </row>
    <row r="245" spans="28:29">
      <c r="AB245" s="1333"/>
      <c r="AC245" s="1253"/>
    </row>
    <row r="246" spans="28:29">
      <c r="AB246" s="1333"/>
      <c r="AC246" s="1253"/>
    </row>
    <row r="247" spans="28:29">
      <c r="AB247" s="1333"/>
      <c r="AC247" s="1253"/>
    </row>
    <row r="248" spans="28:29">
      <c r="AB248" s="1333"/>
      <c r="AC248" s="1253"/>
    </row>
    <row r="249" spans="28:29">
      <c r="AB249" s="1333"/>
      <c r="AC249" s="1253"/>
    </row>
    <row r="250" spans="28:29">
      <c r="AB250" s="1333"/>
      <c r="AC250" s="1253"/>
    </row>
    <row r="251" spans="28:29">
      <c r="AB251" s="1333"/>
      <c r="AC251" s="1253"/>
    </row>
    <row r="252" spans="28:29">
      <c r="AB252" s="1333"/>
      <c r="AC252" s="1253"/>
    </row>
    <row r="253" spans="28:29">
      <c r="AB253" s="1333"/>
      <c r="AC253" s="1253"/>
    </row>
    <row r="254" spans="28:29">
      <c r="AB254" s="1333"/>
      <c r="AC254" s="1253"/>
    </row>
    <row r="255" spans="28:29">
      <c r="AB255" s="1333"/>
      <c r="AC255" s="1253"/>
    </row>
    <row r="256" spans="28:29">
      <c r="AB256" s="1333"/>
      <c r="AC256" s="1253"/>
    </row>
    <row r="257" spans="28:29">
      <c r="AB257" s="1333"/>
      <c r="AC257" s="1253"/>
    </row>
    <row r="258" spans="28:29">
      <c r="AB258" s="1333"/>
      <c r="AC258" s="1253"/>
    </row>
    <row r="259" spans="28:29">
      <c r="AB259" s="1333"/>
      <c r="AC259" s="1253"/>
    </row>
    <row r="260" spans="28:29">
      <c r="AB260" s="1333"/>
      <c r="AC260" s="1253"/>
    </row>
    <row r="261" spans="28:29">
      <c r="AB261" s="1333"/>
      <c r="AC261" s="1253"/>
    </row>
    <row r="262" spans="28:29">
      <c r="AB262" s="1333"/>
      <c r="AC262" s="1253"/>
    </row>
    <row r="263" spans="28:29">
      <c r="AB263" s="1333"/>
      <c r="AC263" s="1253"/>
    </row>
    <row r="264" spans="28:29">
      <c r="AB264" s="1333"/>
      <c r="AC264" s="1253"/>
    </row>
    <row r="265" spans="28:29">
      <c r="AB265" s="1333"/>
      <c r="AC265" s="1253"/>
    </row>
    <row r="266" spans="28:29">
      <c r="AB266" s="1333"/>
      <c r="AC266" s="1253"/>
    </row>
    <row r="267" spans="28:29">
      <c r="AB267" s="1333"/>
      <c r="AC267" s="1253"/>
    </row>
    <row r="268" spans="28:29">
      <c r="AB268" s="1333"/>
      <c r="AC268" s="1253"/>
    </row>
    <row r="269" spans="28:29">
      <c r="AB269" s="1333"/>
      <c r="AC269" s="1253"/>
    </row>
    <row r="270" spans="28:29">
      <c r="AB270" s="1333"/>
      <c r="AC270" s="1253"/>
    </row>
    <row r="271" spans="28:29">
      <c r="AB271" s="1333"/>
      <c r="AC271" s="1253"/>
    </row>
    <row r="272" spans="28:29">
      <c r="AB272" s="1333"/>
      <c r="AC272" s="1253"/>
    </row>
    <row r="273" spans="28:29">
      <c r="AB273" s="1333"/>
      <c r="AC273" s="1253"/>
    </row>
    <row r="274" spans="28:29">
      <c r="AB274" s="1333"/>
      <c r="AC274" s="1253"/>
    </row>
    <row r="275" spans="28:29">
      <c r="AB275" s="1333"/>
      <c r="AC275" s="1253"/>
    </row>
    <row r="276" spans="28:29">
      <c r="AB276" s="1333"/>
      <c r="AC276" s="1253"/>
    </row>
    <row r="277" spans="28:29">
      <c r="AB277" s="1333"/>
      <c r="AC277" s="1253"/>
    </row>
    <row r="278" spans="28:29">
      <c r="AB278" s="1333"/>
      <c r="AC278" s="1253"/>
    </row>
    <row r="279" spans="28:29">
      <c r="AB279" s="1333"/>
      <c r="AC279" s="1253"/>
    </row>
    <row r="280" spans="28:29">
      <c r="AB280" s="1333"/>
      <c r="AC280" s="1253"/>
    </row>
    <row r="281" spans="28:29">
      <c r="AB281" s="1333"/>
      <c r="AC281" s="1253"/>
    </row>
    <row r="282" spans="28:29">
      <c r="AB282" s="1333"/>
      <c r="AC282" s="1253"/>
    </row>
    <row r="283" spans="28:29">
      <c r="AB283" s="1333"/>
      <c r="AC283" s="1253"/>
    </row>
    <row r="284" spans="28:29">
      <c r="AB284" s="1333"/>
      <c r="AC284" s="1253"/>
    </row>
    <row r="285" spans="28:29">
      <c r="AB285" s="1333"/>
      <c r="AC285" s="1253"/>
    </row>
    <row r="286" spans="28:29">
      <c r="AB286" s="1333"/>
      <c r="AC286" s="1253"/>
    </row>
    <row r="287" spans="28:29">
      <c r="AB287" s="1333"/>
      <c r="AC287" s="1253"/>
    </row>
    <row r="288" spans="28:29">
      <c r="AB288" s="1333"/>
      <c r="AC288" s="1253"/>
    </row>
  </sheetData>
  <dataConsolidate/>
  <phoneticPr fontId="5"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3946" r:id="rId3" name="TextBox3">
          <controlPr defaultSize="0" autoLine="0" linkedCell="Contacts!B71" r:id="rId4">
            <anchor moveWithCells="1">
              <from>
                <xdr:col>5</xdr:col>
                <xdr:colOff>152400</xdr:colOff>
                <xdr:row>7</xdr:row>
                <xdr:rowOff>38100</xdr:rowOff>
              </from>
              <to>
                <xdr:col>10</xdr:col>
                <xdr:colOff>38100</xdr:colOff>
                <xdr:row>8</xdr:row>
                <xdr:rowOff>66675</xdr:rowOff>
              </to>
            </anchor>
          </controlPr>
        </control>
      </mc:Choice>
      <mc:Fallback>
        <control shapeId="123946" r:id="rId3" name="TextBox3"/>
      </mc:Fallback>
    </mc:AlternateContent>
    <mc:AlternateContent xmlns:mc="http://schemas.openxmlformats.org/markup-compatibility/2006">
      <mc:Choice Requires="x14">
        <control shapeId="123947" r:id="rId5" name="TextBox4">
          <controlPr defaultSize="0" autoLine="0" linkedCell="Contacts!B72" r:id="rId6">
            <anchor moveWithCells="1">
              <from>
                <xdr:col>5</xdr:col>
                <xdr:colOff>142875</xdr:colOff>
                <xdr:row>9</xdr:row>
                <xdr:rowOff>123825</xdr:rowOff>
              </from>
              <to>
                <xdr:col>7</xdr:col>
                <xdr:colOff>142875</xdr:colOff>
                <xdr:row>10</xdr:row>
                <xdr:rowOff>152400</xdr:rowOff>
              </to>
            </anchor>
          </controlPr>
        </control>
      </mc:Choice>
      <mc:Fallback>
        <control shapeId="123947" r:id="rId5" name="TextBox4"/>
      </mc:Fallback>
    </mc:AlternateContent>
    <mc:AlternateContent xmlns:mc="http://schemas.openxmlformats.org/markup-compatibility/2006">
      <mc:Choice Requires="x14">
        <control shapeId="123948" r:id="rId7" name="TextBox5">
          <controlPr defaultSize="0" autoLine="0" linkedCell="Contacts!B75" r:id="rId8">
            <anchor moveWithCells="1">
              <from>
                <xdr:col>5</xdr:col>
                <xdr:colOff>180975</xdr:colOff>
                <xdr:row>12</xdr:row>
                <xdr:rowOff>19050</xdr:rowOff>
              </from>
              <to>
                <xdr:col>10</xdr:col>
                <xdr:colOff>66675</xdr:colOff>
                <xdr:row>13</xdr:row>
                <xdr:rowOff>47625</xdr:rowOff>
              </to>
            </anchor>
          </controlPr>
        </control>
      </mc:Choice>
      <mc:Fallback>
        <control shapeId="123948" r:id="rId7" name="TextBox5"/>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19050</xdr:colOff>
                <xdr:row>9</xdr:row>
                <xdr:rowOff>123825</xdr:rowOff>
              </from>
              <to>
                <xdr:col>10</xdr:col>
                <xdr:colOff>495300</xdr:colOff>
                <xdr:row>10</xdr:row>
                <xdr:rowOff>152400</xdr:rowOff>
              </to>
            </anchor>
          </controlPr>
        </control>
      </mc:Choice>
      <mc:Fallback>
        <control shapeId="123950" r:id="rId9" name="TextBox6"/>
      </mc:Fallback>
    </mc:AlternateContent>
    <mc:AlternateContent xmlns:mc="http://schemas.openxmlformats.org/markup-compatibility/2006">
      <mc:Choice Requires="x14">
        <control shapeId="124039" r:id="rId11" name="ToggleReferenceColumns">
          <controlPr defaultSize="0" autoLine="0" r:id="rId12">
            <anchor moveWithCells="1">
              <from>
                <xdr:col>1</xdr:col>
                <xdr:colOff>447675</xdr:colOff>
                <xdr:row>36</xdr:row>
                <xdr:rowOff>142875</xdr:rowOff>
              </from>
              <to>
                <xdr:col>4</xdr:col>
                <xdr:colOff>523875</xdr:colOff>
                <xdr:row>38</xdr:row>
                <xdr:rowOff>57150</xdr:rowOff>
              </to>
            </anchor>
          </controlPr>
        </control>
      </mc:Choice>
      <mc:Fallback>
        <control shapeId="124039" r:id="rId11" name="ToggleReferenceColumns"/>
      </mc:Fallback>
    </mc:AlternateContent>
    <mc:AlternateContent xmlns:mc="http://schemas.openxmlformats.org/markup-compatibility/2006">
      <mc:Choice Requires="x14">
        <control shapeId="124040" r:id="rId13" name="TogglePreAuditColums">
          <controlPr defaultSize="0" autoLine="0" r:id="rId14">
            <anchor moveWithCells="1">
              <from>
                <xdr:col>1</xdr:col>
                <xdr:colOff>447675</xdr:colOff>
                <xdr:row>34</xdr:row>
                <xdr:rowOff>142875</xdr:rowOff>
              </from>
              <to>
                <xdr:col>4</xdr:col>
                <xdr:colOff>523875</xdr:colOff>
                <xdr:row>36</xdr:row>
                <xdr:rowOff>57150</xdr:rowOff>
              </to>
            </anchor>
          </controlPr>
        </control>
      </mc:Choice>
      <mc:Fallback>
        <control shapeId="124040" r:id="rId13" name="TogglePreAuditColums"/>
      </mc:Fallback>
    </mc:AlternateContent>
    <mc:AlternateContent xmlns:mc="http://schemas.openxmlformats.org/markup-compatibility/2006">
      <mc:Choice Requires="x14">
        <control shapeId="124042" r:id="rId15" name="ToggleHiddenColumns">
          <controlPr defaultSize="0" autoLine="0" r:id="rId16">
            <anchor moveWithCells="1">
              <from>
                <xdr:col>1</xdr:col>
                <xdr:colOff>495300</xdr:colOff>
                <xdr:row>41</xdr:row>
                <xdr:rowOff>142875</xdr:rowOff>
              </from>
              <to>
                <xdr:col>4</xdr:col>
                <xdr:colOff>571500</xdr:colOff>
                <xdr:row>43</xdr:row>
                <xdr:rowOff>76200</xdr:rowOff>
              </to>
            </anchor>
          </controlPr>
        </control>
      </mc:Choice>
      <mc:Fallback>
        <control shapeId="124042" r:id="rId15" name="ToggleHiddenColumns"/>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95250</xdr:rowOff>
              </from>
              <to>
                <xdr:col>6</xdr:col>
                <xdr:colOff>552450</xdr:colOff>
                <xdr:row>16</xdr:row>
                <xdr:rowOff>123825</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104775</xdr:rowOff>
              </from>
              <to>
                <xdr:col>9</xdr:col>
                <xdr:colOff>447675</xdr:colOff>
                <xdr:row>5</xdr:row>
                <xdr:rowOff>133350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40625" defaultRowHeight="11.25"/>
  <cols>
    <col min="1" max="1" width="23.140625" style="1209" customWidth="1"/>
    <col min="2" max="2" width="92.140625" style="1208" customWidth="1"/>
    <col min="3" max="3" width="17.42578125" style="1208" customWidth="1"/>
    <col min="4" max="4" width="10.42578125" style="1208" bestFit="1" customWidth="1"/>
    <col min="5" max="5" width="87.7109375" style="1208" customWidth="1"/>
    <col min="6" max="6" width="78.140625" style="1208" customWidth="1"/>
    <col min="7" max="10" width="9.140625" style="1209"/>
    <col min="11" max="16384" width="9.140625" style="1208"/>
  </cols>
  <sheetData>
    <row r="1" spans="1:4">
      <c r="A1" s="2809" t="s">
        <v>843</v>
      </c>
      <c r="B1" s="2810"/>
      <c r="C1" s="2810"/>
      <c r="D1" s="2811"/>
    </row>
    <row r="2" spans="1:4">
      <c r="A2" s="1940" t="s">
        <v>642</v>
      </c>
      <c r="B2" s="2551" t="str">
        <f>HLOOKUP(MTREF,Headings,2)</f>
        <v>2018/19</v>
      </c>
      <c r="C2" s="1941" t="s">
        <v>105</v>
      </c>
      <c r="D2" s="1942"/>
    </row>
    <row r="3" spans="1:4">
      <c r="A3" s="1943" t="s">
        <v>344</v>
      </c>
      <c r="B3" s="2552" t="str">
        <f>HLOOKUP(MTREF,Headings,3)</f>
        <v>2017/18</v>
      </c>
      <c r="C3" s="1944" t="s">
        <v>106</v>
      </c>
      <c r="D3" s="1945"/>
    </row>
    <row r="4" spans="1:4">
      <c r="A4" s="1943" t="s">
        <v>694</v>
      </c>
      <c r="B4" s="2552" t="str">
        <f>HLOOKUP(MTREF,Headings,4)</f>
        <v>2016/17</v>
      </c>
      <c r="C4" s="1944" t="s">
        <v>107</v>
      </c>
      <c r="D4" s="1945"/>
    </row>
    <row r="5" spans="1:4">
      <c r="A5" s="1943" t="s">
        <v>1415</v>
      </c>
      <c r="B5" s="1944" t="str">
        <f>HLOOKUP(MTREF,Headings,5)</f>
        <v>Current Year 2019/20</v>
      </c>
      <c r="C5" s="1944" t="s">
        <v>765</v>
      </c>
      <c r="D5" s="1945"/>
    </row>
    <row r="6" spans="1:4">
      <c r="A6" s="1943" t="s">
        <v>669</v>
      </c>
      <c r="B6" s="2552" t="str">
        <f>HLOOKUP(MTREF,Headings,6)</f>
        <v>2019/20</v>
      </c>
      <c r="C6" s="1944" t="s">
        <v>765</v>
      </c>
      <c r="D6" s="1945"/>
    </row>
    <row r="7" spans="1:4">
      <c r="A7" s="1943" t="s">
        <v>1416</v>
      </c>
      <c r="B7" s="1944" t="str">
        <f>HLOOKUP(MTREF,Headings,7)</f>
        <v>2020/21 Medium Term Revenue &amp; Expenditure Framework</v>
      </c>
      <c r="C7" s="1944" t="s">
        <v>766</v>
      </c>
      <c r="D7" s="1945"/>
    </row>
    <row r="8" spans="1:4">
      <c r="A8" s="1292" t="s">
        <v>1417</v>
      </c>
      <c r="B8" s="1293" t="s">
        <v>474</v>
      </c>
      <c r="C8" s="1293" t="s">
        <v>767</v>
      </c>
      <c r="D8" s="1212"/>
    </row>
    <row r="9" spans="1:4">
      <c r="A9" s="1292" t="s">
        <v>1418</v>
      </c>
      <c r="B9" s="1293" t="s">
        <v>927</v>
      </c>
      <c r="C9" s="1211"/>
      <c r="D9" s="1212"/>
    </row>
    <row r="10" spans="1:4">
      <c r="A10" s="1292" t="s">
        <v>269</v>
      </c>
      <c r="B10" s="1293" t="s">
        <v>270</v>
      </c>
      <c r="C10" s="1211"/>
      <c r="D10" s="1212"/>
    </row>
    <row r="11" spans="1:4">
      <c r="A11" s="1292" t="s">
        <v>573</v>
      </c>
      <c r="B11" s="1293" t="s">
        <v>574</v>
      </c>
      <c r="C11" s="1211"/>
      <c r="D11" s="1212"/>
    </row>
    <row r="12" spans="1:4">
      <c r="A12" s="1292" t="s">
        <v>1419</v>
      </c>
      <c r="B12" s="1293" t="s">
        <v>397</v>
      </c>
      <c r="C12" s="1211"/>
      <c r="D12" s="1212"/>
    </row>
    <row r="13" spans="1:4">
      <c r="A13" s="1292" t="s">
        <v>1420</v>
      </c>
      <c r="B13" s="1293" t="s">
        <v>1561</v>
      </c>
      <c r="C13" s="1211"/>
      <c r="D13" s="1212"/>
    </row>
    <row r="14" spans="1:4">
      <c r="A14" s="1292" t="s">
        <v>1421</v>
      </c>
      <c r="B14" s="1293" t="s">
        <v>1562</v>
      </c>
      <c r="C14" s="1211"/>
      <c r="D14" s="1212"/>
    </row>
    <row r="15" spans="1:4">
      <c r="A15" s="1943" t="s">
        <v>1422</v>
      </c>
      <c r="B15" s="1944" t="str">
        <f>HLOOKUP(MTREF,Headings,8)</f>
        <v>Budget Year 2020/21</v>
      </c>
      <c r="C15" s="1944" t="s">
        <v>768</v>
      </c>
      <c r="D15" s="1294" t="s">
        <v>1480</v>
      </c>
    </row>
    <row r="16" spans="1:4">
      <c r="A16" s="1943" t="s">
        <v>1423</v>
      </c>
      <c r="B16" s="1944" t="str">
        <f>HLOOKUP(MTREF,Headings,9)</f>
        <v>Budget Year +1 2021/22</v>
      </c>
      <c r="C16" s="1944" t="s">
        <v>769</v>
      </c>
      <c r="D16" s="1294" t="s">
        <v>1481</v>
      </c>
    </row>
    <row r="17" spans="1:4">
      <c r="A17" s="1943" t="s">
        <v>1428</v>
      </c>
      <c r="B17" s="1944" t="str">
        <f>HLOOKUP(MTREF,Headings,10)</f>
        <v>Budget Year +2 2022/23</v>
      </c>
      <c r="C17" s="1944" t="s">
        <v>770</v>
      </c>
      <c r="D17" s="1294" t="s">
        <v>1482</v>
      </c>
    </row>
    <row r="18" spans="1:4">
      <c r="A18" s="1943" t="s">
        <v>1429</v>
      </c>
      <c r="B18" s="1944" t="str">
        <f>HLOOKUP(MTREF,Headings,11)</f>
        <v>Forecast 2023/24</v>
      </c>
      <c r="C18" s="1944" t="s">
        <v>964</v>
      </c>
      <c r="D18" s="1294" t="s">
        <v>1483</v>
      </c>
    </row>
    <row r="19" spans="1:4">
      <c r="A19" s="1943" t="s">
        <v>1430</v>
      </c>
      <c r="B19" s="1944" t="str">
        <f>HLOOKUP(MTREF,Headings,12)</f>
        <v>Forecast 2024/25</v>
      </c>
      <c r="C19" s="1944" t="s">
        <v>965</v>
      </c>
      <c r="D19" s="1294" t="s">
        <v>1484</v>
      </c>
    </row>
    <row r="20" spans="1:4">
      <c r="A20" s="1943" t="s">
        <v>1431</v>
      </c>
      <c r="B20" s="1944" t="str">
        <f>HLOOKUP(MTREF,Headings,13)</f>
        <v>Forecast 2025/26</v>
      </c>
      <c r="C20" s="1944" t="s">
        <v>965</v>
      </c>
      <c r="D20" s="1294" t="s">
        <v>1485</v>
      </c>
    </row>
    <row r="21" spans="1:4">
      <c r="A21" s="1943" t="s">
        <v>1432</v>
      </c>
      <c r="B21" s="1944" t="str">
        <f>HLOOKUP(MTREF,Headings,14)</f>
        <v>Forecast 2026/27</v>
      </c>
      <c r="C21" s="1944" t="s">
        <v>965</v>
      </c>
      <c r="D21" s="1294" t="s">
        <v>1486</v>
      </c>
    </row>
    <row r="22" spans="1:4">
      <c r="A22" s="1943" t="s">
        <v>1433</v>
      </c>
      <c r="B22" s="1944" t="str">
        <f>HLOOKUP(MTREF,Headings,15)</f>
        <v>Forecast 2027/28</v>
      </c>
      <c r="C22" s="1944" t="s">
        <v>965</v>
      </c>
      <c r="D22" s="1294" t="s">
        <v>1487</v>
      </c>
    </row>
    <row r="23" spans="1:4">
      <c r="A23" s="1943" t="s">
        <v>1434</v>
      </c>
      <c r="B23" s="1944" t="str">
        <f>HLOOKUP(MTREF,Headings,16)</f>
        <v>Forecast 2028/29</v>
      </c>
      <c r="C23" s="1944" t="s">
        <v>965</v>
      </c>
      <c r="D23" s="1294" t="s">
        <v>1488</v>
      </c>
    </row>
    <row r="24" spans="1:4">
      <c r="A24" s="1943" t="s">
        <v>1435</v>
      </c>
      <c r="B24" s="1944" t="str">
        <f>HLOOKUP(MTREF,Headings,17)</f>
        <v>Forecast 2029/30</v>
      </c>
      <c r="C24" s="1944" t="s">
        <v>965</v>
      </c>
      <c r="D24" s="1294" t="s">
        <v>557</v>
      </c>
    </row>
    <row r="25" spans="1:4">
      <c r="A25" s="1943" t="s">
        <v>1436</v>
      </c>
      <c r="B25" s="1944" t="str">
        <f>HLOOKUP(MTREF,Headings,18)</f>
        <v>Forecast 2030/31</v>
      </c>
      <c r="C25" s="1944" t="s">
        <v>965</v>
      </c>
      <c r="D25" s="1294" t="s">
        <v>558</v>
      </c>
    </row>
    <row r="26" spans="1:4">
      <c r="A26" s="1943" t="s">
        <v>1437</v>
      </c>
      <c r="B26" s="1944" t="str">
        <f>HLOOKUP(MTREF,Headings,19)</f>
        <v>Forecast 2031/32</v>
      </c>
      <c r="C26" s="1944" t="s">
        <v>965</v>
      </c>
      <c r="D26" s="1294" t="s">
        <v>559</v>
      </c>
    </row>
    <row r="27" spans="1:4">
      <c r="A27" s="1943" t="s">
        <v>1438</v>
      </c>
      <c r="B27" s="1944" t="str">
        <f>HLOOKUP(MTREF,Headings,20)</f>
        <v>Forecast 2032/33</v>
      </c>
      <c r="C27" s="1944" t="s">
        <v>965</v>
      </c>
      <c r="D27" s="1294" t="s">
        <v>560</v>
      </c>
    </row>
    <row r="28" spans="1:4">
      <c r="A28" s="1943" t="s">
        <v>1439</v>
      </c>
      <c r="B28" s="1944" t="str">
        <f>HLOOKUP(MTREF,Headings,21)</f>
        <v>Forecast 2033/34</v>
      </c>
      <c r="C28" s="1944" t="s">
        <v>965</v>
      </c>
      <c r="D28" s="1294" t="s">
        <v>561</v>
      </c>
    </row>
    <row r="29" spans="1:4">
      <c r="A29" s="1943" t="s">
        <v>1440</v>
      </c>
      <c r="B29" s="1944" t="str">
        <f>HLOOKUP(MTREF,Headings,22)</f>
        <v>Forecast 2034/35</v>
      </c>
      <c r="C29" s="1944" t="s">
        <v>965</v>
      </c>
      <c r="D29" s="1294" t="s">
        <v>562</v>
      </c>
    </row>
    <row r="30" spans="1:4">
      <c r="A30" s="1292" t="s">
        <v>946</v>
      </c>
      <c r="B30" s="1293" t="s">
        <v>662</v>
      </c>
      <c r="C30" s="1211"/>
      <c r="D30" s="1213"/>
    </row>
    <row r="31" spans="1:4">
      <c r="A31" s="1292" t="s">
        <v>892</v>
      </c>
      <c r="B31" s="1211"/>
      <c r="C31" s="1211"/>
      <c r="D31" s="1213"/>
    </row>
    <row r="32" spans="1:4">
      <c r="A32" s="1292" t="s">
        <v>695</v>
      </c>
      <c r="B32" s="1293" t="s">
        <v>696</v>
      </c>
      <c r="C32" s="1211"/>
      <c r="D32" s="1213"/>
    </row>
    <row r="33" spans="1:4">
      <c r="A33" s="1292" t="s">
        <v>697</v>
      </c>
      <c r="B33" s="1293" t="s">
        <v>365</v>
      </c>
      <c r="C33" s="1211"/>
      <c r="D33" s="1213"/>
    </row>
    <row r="34" spans="1:4">
      <c r="A34" s="1292" t="s">
        <v>851</v>
      </c>
      <c r="B34" s="1293" t="s">
        <v>852</v>
      </c>
      <c r="C34" s="1211"/>
      <c r="D34" s="1213"/>
    </row>
    <row r="35" spans="1:4">
      <c r="A35" s="1292" t="s">
        <v>795</v>
      </c>
      <c r="B35" s="1293" t="s">
        <v>771</v>
      </c>
      <c r="C35" s="1211"/>
      <c r="D35" s="1294" t="s">
        <v>796</v>
      </c>
    </row>
    <row r="36" spans="1:4">
      <c r="A36" s="1943" t="s">
        <v>1500</v>
      </c>
      <c r="B36" s="1944" t="str">
        <f>HLOOKUP(MTREF,Headings,23)</f>
        <v>Annual target 2020/21</v>
      </c>
      <c r="C36" s="1944"/>
      <c r="D36" s="1213"/>
    </row>
    <row r="37" spans="1:4">
      <c r="A37" s="1943" t="s">
        <v>1501</v>
      </c>
      <c r="B37" s="1944" t="str">
        <f>HLOOKUP(MTREF,Headings,24)</f>
        <v>Revised target 2020/21</v>
      </c>
      <c r="C37" s="1944"/>
      <c r="D37" s="1213"/>
    </row>
    <row r="38" spans="1:4">
      <c r="A38" s="1292" t="s">
        <v>1502</v>
      </c>
      <c r="B38" s="1293" t="s">
        <v>547</v>
      </c>
      <c r="C38" s="1211"/>
      <c r="D38" s="1213"/>
    </row>
    <row r="39" spans="1:4">
      <c r="A39" s="1292" t="s">
        <v>1503</v>
      </c>
      <c r="B39" s="1293" t="s">
        <v>548</v>
      </c>
      <c r="C39" s="1211"/>
      <c r="D39" s="1213"/>
    </row>
    <row r="40" spans="1:4">
      <c r="A40" s="1292" t="s">
        <v>1504</v>
      </c>
      <c r="B40" s="1293" t="s">
        <v>549</v>
      </c>
      <c r="C40" s="1211"/>
      <c r="D40" s="1213"/>
    </row>
    <row r="41" spans="1:4">
      <c r="A41" s="1292" t="s">
        <v>1505</v>
      </c>
      <c r="B41" s="1293" t="s">
        <v>545</v>
      </c>
      <c r="C41" s="1211"/>
      <c r="D41" s="1213"/>
    </row>
    <row r="42" spans="1:4">
      <c r="A42" s="1292" t="s">
        <v>546</v>
      </c>
      <c r="B42" s="1293" t="s">
        <v>1327</v>
      </c>
      <c r="C42" s="1211"/>
      <c r="D42" s="1213"/>
    </row>
    <row r="43" spans="1:4">
      <c r="A43" s="1292" t="s">
        <v>298</v>
      </c>
      <c r="B43" s="1293" t="s">
        <v>664</v>
      </c>
      <c r="C43" s="1211"/>
      <c r="D43" s="1213"/>
    </row>
    <row r="44" spans="1:4">
      <c r="A44" s="1292" t="s">
        <v>299</v>
      </c>
      <c r="B44" s="1293" t="s">
        <v>665</v>
      </c>
      <c r="C44" s="1211"/>
      <c r="D44" s="1213"/>
    </row>
    <row r="45" spans="1:4">
      <c r="A45" s="1292" t="s">
        <v>300</v>
      </c>
      <c r="B45" s="1293" t="s">
        <v>1136</v>
      </c>
      <c r="C45" s="1211"/>
      <c r="D45" s="1213"/>
    </row>
    <row r="46" spans="1:4">
      <c r="A46" s="1292" t="s">
        <v>1135</v>
      </c>
      <c r="B46" s="1293" t="s">
        <v>1182</v>
      </c>
      <c r="C46" s="1211"/>
      <c r="D46" s="1213"/>
    </row>
    <row r="47" spans="1:4">
      <c r="A47" s="1292" t="s">
        <v>1137</v>
      </c>
      <c r="B47" s="1295" t="s">
        <v>78</v>
      </c>
      <c r="C47" s="1211"/>
      <c r="D47" s="1213"/>
    </row>
    <row r="48" spans="1:4">
      <c r="A48" s="1292" t="s">
        <v>1138</v>
      </c>
      <c r="B48" s="1295" t="s">
        <v>80</v>
      </c>
      <c r="C48" s="1211"/>
      <c r="D48" s="1213"/>
    </row>
    <row r="49" spans="1:4">
      <c r="A49" s="1292" t="s">
        <v>1139</v>
      </c>
      <c r="B49" s="1295" t="s">
        <v>1055</v>
      </c>
      <c r="C49" s="1211"/>
      <c r="D49" s="1213"/>
    </row>
    <row r="50" spans="1:4">
      <c r="A50" s="1292" t="s">
        <v>79</v>
      </c>
      <c r="B50" s="1295" t="str">
        <f>Head3&amp;" Summary"</f>
        <v>2020/21 Medium Term Revenue &amp; Expenditure Framework Summary</v>
      </c>
      <c r="C50" s="1211"/>
      <c r="D50" s="1213"/>
    </row>
    <row r="51" spans="1:4">
      <c r="A51" s="1292" t="s">
        <v>551</v>
      </c>
      <c r="B51" s="1295" t="s">
        <v>553</v>
      </c>
      <c r="C51" s="1211"/>
      <c r="D51" s="1213"/>
    </row>
    <row r="52" spans="1:4">
      <c r="A52" s="1292" t="s">
        <v>552</v>
      </c>
      <c r="B52" s="1295" t="s">
        <v>2010</v>
      </c>
      <c r="C52" s="1211"/>
      <c r="D52" s="1213"/>
    </row>
    <row r="53" spans="1:4">
      <c r="A53" s="1292" t="s">
        <v>1346</v>
      </c>
      <c r="B53" s="1296" t="s">
        <v>1347</v>
      </c>
      <c r="C53" s="1215"/>
      <c r="D53" s="1213"/>
    </row>
    <row r="54" spans="1:4">
      <c r="A54" s="1292" t="s">
        <v>846</v>
      </c>
      <c r="B54" s="1295" t="s">
        <v>1449</v>
      </c>
      <c r="C54" s="1211"/>
      <c r="D54" s="1213"/>
    </row>
    <row r="55" spans="1:4">
      <c r="A55" s="1292" t="s">
        <v>336</v>
      </c>
      <c r="B55" s="1295" t="s">
        <v>753</v>
      </c>
      <c r="C55" s="1211"/>
      <c r="D55" s="1213"/>
    </row>
    <row r="56" spans="1:4">
      <c r="A56" s="1292" t="s">
        <v>1189</v>
      </c>
      <c r="B56" s="1214"/>
      <c r="C56" s="1211"/>
      <c r="D56" s="1213"/>
    </row>
    <row r="57" spans="1:4">
      <c r="A57" s="1292" t="s">
        <v>1190</v>
      </c>
      <c r="B57" s="1295" t="s">
        <v>519</v>
      </c>
      <c r="C57" s="1211"/>
      <c r="D57" s="1213"/>
    </row>
    <row r="58" spans="1:4">
      <c r="A58" s="1292" t="s">
        <v>514</v>
      </c>
      <c r="B58" s="1295" t="s">
        <v>518</v>
      </c>
      <c r="C58" s="1211"/>
      <c r="D58" s="1213"/>
    </row>
    <row r="59" spans="1:4">
      <c r="A59" s="1292" t="s">
        <v>515</v>
      </c>
      <c r="B59" s="1295" t="s">
        <v>396</v>
      </c>
      <c r="C59" s="1211"/>
      <c r="D59" s="1213"/>
    </row>
    <row r="60" spans="1:4">
      <c r="A60" s="1292" t="s">
        <v>516</v>
      </c>
      <c r="B60" s="1295" t="s">
        <v>520</v>
      </c>
      <c r="C60" s="1211"/>
      <c r="D60" s="1213"/>
    </row>
    <row r="61" spans="1:4">
      <c r="A61" s="1292" t="s">
        <v>517</v>
      </c>
      <c r="B61" s="1295" t="s">
        <v>402</v>
      </c>
      <c r="C61" s="1211"/>
      <c r="D61" s="1213"/>
    </row>
    <row r="62" spans="1:4">
      <c r="A62" s="1292" t="s">
        <v>1314</v>
      </c>
      <c r="B62" s="1295" t="s">
        <v>395</v>
      </c>
      <c r="C62" s="1211"/>
      <c r="D62" s="1213"/>
    </row>
    <row r="63" spans="1:4">
      <c r="A63" s="1292" t="s">
        <v>1463</v>
      </c>
      <c r="B63" s="1295" t="s">
        <v>1464</v>
      </c>
      <c r="C63" s="1211"/>
      <c r="D63" s="1213"/>
    </row>
    <row r="64" spans="1:4">
      <c r="A64" s="1292" t="s">
        <v>415</v>
      </c>
      <c r="B64" s="1295" t="s">
        <v>413</v>
      </c>
      <c r="C64" s="1211"/>
      <c r="D64" s="1213"/>
    </row>
    <row r="65" spans="1:4">
      <c r="A65" s="1292" t="s">
        <v>416</v>
      </c>
      <c r="B65" s="1295" t="s">
        <v>414</v>
      </c>
      <c r="C65" s="1211"/>
      <c r="D65" s="1213"/>
    </row>
    <row r="66" spans="1:4">
      <c r="A66" s="1292" t="s">
        <v>417</v>
      </c>
      <c r="B66" s="1295" t="s">
        <v>419</v>
      </c>
      <c r="C66" s="1211"/>
      <c r="D66" s="1213"/>
    </row>
    <row r="67" spans="1:4">
      <c r="A67" s="1292" t="s">
        <v>418</v>
      </c>
      <c r="B67" s="1295" t="s">
        <v>690</v>
      </c>
      <c r="C67" s="1211"/>
      <c r="D67" s="1213"/>
    </row>
    <row r="68" spans="1:4">
      <c r="A68" s="1292" t="s">
        <v>691</v>
      </c>
      <c r="B68" s="1295" t="s">
        <v>804</v>
      </c>
      <c r="C68" s="1211"/>
      <c r="D68" s="1213"/>
    </row>
    <row r="69" spans="1:4">
      <c r="A69" s="1292" t="s">
        <v>692</v>
      </c>
      <c r="B69" s="1295" t="s">
        <v>1100</v>
      </c>
      <c r="C69" s="1211"/>
      <c r="D69" s="1213"/>
    </row>
    <row r="70" spans="1:4">
      <c r="A70" s="1292" t="s">
        <v>1295</v>
      </c>
      <c r="B70" s="1295" t="s">
        <v>1294</v>
      </c>
      <c r="C70" s="1211"/>
      <c r="D70" s="1213"/>
    </row>
    <row r="71" spans="1:4">
      <c r="A71" s="1292" t="s">
        <v>1296</v>
      </c>
      <c r="B71" s="1295" t="s">
        <v>1088</v>
      </c>
      <c r="C71" s="1211"/>
      <c r="D71" s="1294" t="s">
        <v>1509</v>
      </c>
    </row>
    <row r="72" spans="1:4">
      <c r="A72" s="1292" t="s">
        <v>1297</v>
      </c>
      <c r="B72" s="1295" t="s">
        <v>1089</v>
      </c>
      <c r="C72" s="1211"/>
      <c r="D72" s="1294" t="s">
        <v>1510</v>
      </c>
    </row>
    <row r="73" spans="1:4">
      <c r="A73" s="1292" t="s">
        <v>1298</v>
      </c>
      <c r="B73" s="1295" t="s">
        <v>1090</v>
      </c>
      <c r="C73" s="1211"/>
      <c r="D73" s="1294" t="s">
        <v>1511</v>
      </c>
    </row>
    <row r="74" spans="1:4">
      <c r="A74" s="1292" t="s">
        <v>1299</v>
      </c>
      <c r="B74" s="1295" t="s">
        <v>1091</v>
      </c>
      <c r="C74" s="1211"/>
      <c r="D74" s="1294" t="s">
        <v>1512</v>
      </c>
    </row>
    <row r="75" spans="1:4">
      <c r="A75" s="1292" t="s">
        <v>1300</v>
      </c>
      <c r="B75" s="1295" t="s">
        <v>1092</v>
      </c>
      <c r="C75" s="1211"/>
      <c r="D75" s="1294" t="s">
        <v>1513</v>
      </c>
    </row>
    <row r="76" spans="1:4">
      <c r="A76" s="1292" t="s">
        <v>1144</v>
      </c>
      <c r="B76" s="1295" t="s">
        <v>1093</v>
      </c>
      <c r="C76" s="1211"/>
      <c r="D76" s="1294" t="s">
        <v>1514</v>
      </c>
    </row>
    <row r="77" spans="1:4">
      <c r="A77" s="1292" t="s">
        <v>1145</v>
      </c>
      <c r="B77" s="1295" t="s">
        <v>1094</v>
      </c>
      <c r="C77" s="1211"/>
      <c r="D77" s="1294" t="s">
        <v>1515</v>
      </c>
    </row>
    <row r="78" spans="1:4">
      <c r="A78" s="1292" t="s">
        <v>1146</v>
      </c>
      <c r="B78" s="1295" t="s">
        <v>1095</v>
      </c>
      <c r="C78" s="1211"/>
      <c r="D78" s="1294" t="s">
        <v>1516</v>
      </c>
    </row>
    <row r="79" spans="1:4">
      <c r="A79" s="1292" t="s">
        <v>1147</v>
      </c>
      <c r="B79" s="1295" t="s">
        <v>1096</v>
      </c>
      <c r="C79" s="1211"/>
      <c r="D79" s="1294" t="s">
        <v>1517</v>
      </c>
    </row>
    <row r="80" spans="1:4">
      <c r="A80" s="1292" t="s">
        <v>1148</v>
      </c>
      <c r="B80" s="1295" t="s">
        <v>918</v>
      </c>
      <c r="C80" s="1211"/>
      <c r="D80" s="1294" t="s">
        <v>1154</v>
      </c>
    </row>
    <row r="81" spans="1:4">
      <c r="A81" s="1292" t="s">
        <v>1149</v>
      </c>
      <c r="B81" s="1295" t="s">
        <v>919</v>
      </c>
      <c r="C81" s="1211"/>
      <c r="D81" s="1294" t="s">
        <v>1155</v>
      </c>
    </row>
    <row r="82" spans="1:4">
      <c r="A82" s="1292" t="s">
        <v>1150</v>
      </c>
      <c r="B82" s="1295" t="s">
        <v>920</v>
      </c>
      <c r="C82" s="1211"/>
      <c r="D82" s="1294" t="s">
        <v>1156</v>
      </c>
    </row>
    <row r="83" spans="1:4">
      <c r="A83" s="1292" t="s">
        <v>1151</v>
      </c>
      <c r="B83" s="1295" t="s">
        <v>921</v>
      </c>
      <c r="C83" s="1211"/>
      <c r="D83" s="1294" t="s">
        <v>1157</v>
      </c>
    </row>
    <row r="84" spans="1:4">
      <c r="A84" s="1292" t="s">
        <v>1508</v>
      </c>
      <c r="B84" s="1295" t="s">
        <v>1571</v>
      </c>
      <c r="C84" s="1211"/>
      <c r="D84" s="1294" t="s">
        <v>1158</v>
      </c>
    </row>
    <row r="85" spans="1:4">
      <c r="A85" s="1216"/>
      <c r="B85" s="1217"/>
      <c r="C85" s="1218"/>
      <c r="D85" s="1219"/>
    </row>
    <row r="86" spans="1:4">
      <c r="A86" s="1220"/>
      <c r="B86" s="1218"/>
      <c r="C86" s="1211"/>
      <c r="D86" s="1221"/>
    </row>
    <row r="87" spans="1:4">
      <c r="A87" s="2812" t="s">
        <v>957</v>
      </c>
      <c r="B87" s="2813"/>
      <c r="C87" s="1222"/>
    </row>
    <row r="88" spans="1:4">
      <c r="A88" s="1297" t="s">
        <v>425</v>
      </c>
      <c r="B88" s="1298" t="s">
        <v>426</v>
      </c>
      <c r="C88" s="1211"/>
    </row>
    <row r="89" spans="1:4">
      <c r="A89" s="1224"/>
      <c r="B89" s="1299" t="s">
        <v>618</v>
      </c>
      <c r="C89" s="1211"/>
    </row>
    <row r="90" spans="1:4">
      <c r="A90" s="1220"/>
      <c r="B90" s="1300" t="s">
        <v>619</v>
      </c>
      <c r="C90" s="1211"/>
    </row>
    <row r="92" spans="1:4">
      <c r="A92" s="2812" t="s">
        <v>370</v>
      </c>
      <c r="B92" s="2818"/>
      <c r="C92" s="2818"/>
      <c r="D92" s="2813"/>
    </row>
    <row r="93" spans="1:4">
      <c r="A93" s="1946" t="s">
        <v>693</v>
      </c>
      <c r="B93" s="2553" t="str">
        <f>'Lookup and lists'!B28</f>
        <v>LIM333 Greater Tzaneen</v>
      </c>
      <c r="C93" s="1947"/>
      <c r="D93" s="1209"/>
    </row>
    <row r="94" spans="1:4">
      <c r="A94" s="1946" t="s">
        <v>760</v>
      </c>
      <c r="B94" s="1948">
        <v>1</v>
      </c>
      <c r="C94" s="1947" t="s">
        <v>761</v>
      </c>
      <c r="D94" s="1301">
        <v>2</v>
      </c>
    </row>
    <row r="95" spans="1:4">
      <c r="A95" s="1302" t="str">
        <f>IF((MuniEntities=1)*(MuniType=2),"YES","NO")</f>
        <v>YES</v>
      </c>
      <c r="B95" s="1011" t="s">
        <v>895</v>
      </c>
      <c r="D95" s="1209"/>
    </row>
    <row r="96" spans="1:4">
      <c r="A96" s="1301" t="s">
        <v>1462</v>
      </c>
      <c r="B96" s="1011" t="s">
        <v>1291</v>
      </c>
      <c r="D96" s="1301" t="s">
        <v>1341</v>
      </c>
    </row>
    <row r="97" spans="1:6">
      <c r="A97" s="1301" t="s">
        <v>1101</v>
      </c>
      <c r="B97" s="1011" t="s">
        <v>1292</v>
      </c>
      <c r="D97" s="1301" t="s">
        <v>1103</v>
      </c>
    </row>
    <row r="98" spans="1:6">
      <c r="A98" s="1301" t="s">
        <v>1102</v>
      </c>
      <c r="B98" s="1011" t="s">
        <v>1293</v>
      </c>
      <c r="D98" s="1301" t="s">
        <v>1104</v>
      </c>
    </row>
    <row r="99" spans="1:6">
      <c r="A99" s="2816" t="s">
        <v>958</v>
      </c>
      <c r="B99" s="2817"/>
      <c r="C99" s="1303" t="s">
        <v>1187</v>
      </c>
      <c r="D99" s="1304" t="s">
        <v>1186</v>
      </c>
      <c r="E99" s="1303" t="s">
        <v>1164</v>
      </c>
      <c r="F99" s="1304" t="s">
        <v>1164</v>
      </c>
    </row>
    <row r="100" spans="1:6">
      <c r="A100" s="1224"/>
      <c r="B100" s="1305" t="str">
        <f t="shared" ref="B100:B109" si="0">IF(Consolques="YES",E100,F100)</f>
        <v>Table A1 Consolidated Budget Summary</v>
      </c>
      <c r="C100" s="1223"/>
      <c r="D100" s="1292" t="s">
        <v>1581</v>
      </c>
      <c r="E100" s="1011" t="str">
        <f>D100&amp;"Consolidated Budget Summary"</f>
        <v>Table A1 Consolidated Budget Summary</v>
      </c>
      <c r="F100" s="1011" t="str">
        <f>D100&amp;"Budget Summary"</f>
        <v>Table A1 Budget Summary</v>
      </c>
    </row>
    <row r="101" spans="1:6">
      <c r="A101" s="1224"/>
      <c r="B101" s="1305" t="str">
        <f t="shared" si="0"/>
        <v>Table A2 Consolidated Budgeted Financial Performance (revenue and expenditure by functional classification)</v>
      </c>
      <c r="C101" s="1299" t="s">
        <v>542</v>
      </c>
      <c r="D101" s="1292" t="s">
        <v>1582</v>
      </c>
      <c r="E101" s="1011" t="str">
        <f>D101&amp;"Consolidated Budgeted Financial Performance (revenue and expenditure by functional classification)"</f>
        <v>Table A2 Consolidated Budgeted Financial Performance (revenue and expenditure by functional classification)</v>
      </c>
      <c r="F101" s="1011" t="str">
        <f>D101&amp;"Budgeted Financial Performance (revenue and expenditure by functional classification)"</f>
        <v>Table A2 Budgeted Financial Performance (revenue and expenditure by functional classification)</v>
      </c>
    </row>
    <row r="102" spans="1:6">
      <c r="A102" s="1224"/>
      <c r="B102" s="1305" t="str">
        <f t="shared" si="0"/>
        <v>Table A3 Consolidated Budgeted Financial Performance (revenue and expenditure by municipal vote)</v>
      </c>
      <c r="C102" s="1212"/>
      <c r="D102" s="1292" t="s">
        <v>1583</v>
      </c>
      <c r="E102" s="1011" t="str">
        <f>D102&amp;"Consolidated Budgeted Financial Performance (revenue and expenditure by municipal vote)"</f>
        <v>Table A3 Consolidated Budgeted Financial Performance (revenue and expenditure by municipal vote)</v>
      </c>
      <c r="F102" s="1011" t="str">
        <f>D102&amp;"Budgeted Financial Performance (revenue and expenditure by municipal vote)"</f>
        <v>Table A3 Budgeted Financial Performance (revenue and expenditure by municipal vote)</v>
      </c>
    </row>
    <row r="103" spans="1:6">
      <c r="A103" s="1224"/>
      <c r="B103" s="1305" t="str">
        <f t="shared" si="0"/>
        <v>Table A4 Consolidated Budgeted Financial Performance (revenue and expenditure)</v>
      </c>
      <c r="C103" s="1299" t="s">
        <v>541</v>
      </c>
      <c r="D103" s="1292" t="s">
        <v>1584</v>
      </c>
      <c r="E103" s="1011" t="str">
        <f>D103&amp;"Consolidated Budgeted Financial Performance (revenue and expenditure)"</f>
        <v>Table A4 Consolidated Budgeted Financial Performance (revenue and expenditure)</v>
      </c>
      <c r="F103" s="1011" t="str">
        <f>D103&amp;"Budgeted Financial Performance (revenue and expenditure)"</f>
        <v>Table A4 Budgeted Financial Performance (revenue and expenditure)</v>
      </c>
    </row>
    <row r="104" spans="1:6">
      <c r="A104" s="1224"/>
      <c r="B104" s="1293" t="str">
        <f t="shared" si="0"/>
        <v>Table A5 Consolidated Budgeted Capital Expenditure by vote, functional classification and funding</v>
      </c>
      <c r="C104" s="1299" t="s">
        <v>544</v>
      </c>
      <c r="D104" s="1292" t="s">
        <v>1585</v>
      </c>
      <c r="E104" s="1011" t="str">
        <f>D104&amp;"Consolidated Budgeted Capital Expenditure by vote, functional classification and funding"</f>
        <v>Table A5 Consolidated Budgeted Capital Expenditure by vote, functional classification and funding</v>
      </c>
      <c r="F104" s="1011" t="str">
        <f>D104&amp;"Budgeted Capital Expenditure by vote, functional classification and funding"</f>
        <v>Table A5 Budgeted Capital Expenditure by vote, functional classification and funding</v>
      </c>
    </row>
    <row r="105" spans="1:6">
      <c r="A105" s="1224"/>
      <c r="B105" s="1293" t="str">
        <f t="shared" si="0"/>
        <v>Table A6 Consolidated Budgeted Financial Position</v>
      </c>
      <c r="C105" s="1212"/>
      <c r="D105" s="1292" t="s">
        <v>1586</v>
      </c>
      <c r="E105" s="1011" t="str">
        <f>D105&amp;"Consolidated Budgeted Financial Position"</f>
        <v>Table A6 Consolidated Budgeted Financial Position</v>
      </c>
      <c r="F105" s="1011" t="str">
        <f>D105&amp;"Budgeted Financial Position"</f>
        <v>Table A6 Budgeted Financial Position</v>
      </c>
    </row>
    <row r="106" spans="1:6">
      <c r="A106" s="1224"/>
      <c r="B106" s="1293" t="str">
        <f t="shared" si="0"/>
        <v>Table A7 Consolidated Budgeted Cash Flows</v>
      </c>
      <c r="C106" s="1212"/>
      <c r="D106" s="1292" t="s">
        <v>1587</v>
      </c>
      <c r="E106" s="1011" t="str">
        <f>D106&amp;"Consolidated Budgeted Cash Flows"</f>
        <v>Table A7 Consolidated Budgeted Cash Flows</v>
      </c>
      <c r="F106" s="1011" t="str">
        <f>D106&amp;"Budgeted Cash Flows"</f>
        <v>Table A7 Budgeted Cash Flows</v>
      </c>
    </row>
    <row r="107" spans="1:6">
      <c r="A107" s="1224"/>
      <c r="B107" s="1293" t="str">
        <f t="shared" si="0"/>
        <v>Table A8 Consolidated Cash backed reserves/accumulated surplus reconciliation</v>
      </c>
      <c r="C107" s="1212"/>
      <c r="D107" s="1292" t="s">
        <v>1588</v>
      </c>
      <c r="E107" s="1306" t="str">
        <f>D107&amp;"Consolidated Cash backed reserves/accumulated surplus reconciliation"</f>
        <v>Table A8 Consolidated Cash backed reserves/accumulated surplus reconciliation</v>
      </c>
      <c r="F107" s="1306" t="str">
        <f>D107&amp;"Cash backed reserves/accumulated surplus reconciliation"</f>
        <v>Table A8 Cash backed reserves/accumulated surplus reconciliation</v>
      </c>
    </row>
    <row r="108" spans="1:6">
      <c r="A108" s="1224"/>
      <c r="B108" s="1293" t="str">
        <f t="shared" si="0"/>
        <v>Table A9 Consolidated Asset Management</v>
      </c>
      <c r="C108" s="1212"/>
      <c r="D108" s="1292" t="s">
        <v>1589</v>
      </c>
      <c r="E108" s="1011" t="str">
        <f>D108&amp;"Consolidated Asset Management"</f>
        <v>Table A9 Consolidated Asset Management</v>
      </c>
      <c r="F108" s="1011" t="str">
        <f>D108&amp;"Asset Management"</f>
        <v>Table A9 Asset Management</v>
      </c>
    </row>
    <row r="109" spans="1:6">
      <c r="A109" s="1224"/>
      <c r="B109" s="1307" t="str">
        <f t="shared" si="0"/>
        <v>Table A10 Consolidated basic service delivery measurement</v>
      </c>
      <c r="C109" s="1225"/>
      <c r="D109" s="1308" t="s">
        <v>1590</v>
      </c>
      <c r="E109" s="1011" t="str">
        <f>D109&amp;"Consolidated basic service delivery measurement"</f>
        <v>Table A10 Consolidated basic service delivery measurement</v>
      </c>
      <c r="F109" s="1011" t="str">
        <f>D109&amp;"Basic service delivery measurement"</f>
        <v>Table A10 Basic service delivery measurement</v>
      </c>
    </row>
    <row r="110" spans="1:6">
      <c r="A110" s="2814" t="s">
        <v>1205</v>
      </c>
      <c r="B110" s="2815"/>
      <c r="C110" s="1309" t="str">
        <f>$C$99</f>
        <v>Chart x-ref</v>
      </c>
      <c r="D110" s="1309" t="str">
        <f>$D$99</f>
        <v>Sch/Tab/Ch</v>
      </c>
    </row>
    <row r="111" spans="1:6">
      <c r="A111" s="1310" t="s">
        <v>1206</v>
      </c>
      <c r="B111" s="1311" t="str">
        <f>A111&amp;" Supportinging detail to 'Budgeted Financial Performance'"</f>
        <v>Supporting Table SA1 Supportinging detail to 'Budgeted Financial Performance'</v>
      </c>
      <c r="C111" s="1226"/>
      <c r="D111" s="1226"/>
      <c r="E111" s="1211"/>
      <c r="F111" s="1211"/>
    </row>
    <row r="112" spans="1:6">
      <c r="A112" s="1292" t="s">
        <v>1207</v>
      </c>
      <c r="B112" s="1293" t="str">
        <f>IF(Consolques="YES",E112,F112)</f>
        <v>Supporting Table SA2 Consolidated Matrix Financial Performance Budget (revenue source/expenditure type &amp; dept.)</v>
      </c>
      <c r="C112" s="1213"/>
      <c r="D112" s="1213"/>
      <c r="E112" s="1293" t="str">
        <f>A112&amp;"Consolidated Matrix Financial Performance Budget (revenue source/expenditure type &amp; dept.)"</f>
        <v>Supporting Table SA2 Consolidated Matrix Financial Performance Budget (revenue source/expenditure type &amp; dept.)</v>
      </c>
      <c r="F112" s="1293" t="str">
        <f>A112&amp;"Matrix Financial Performance Budget (revenue source/expenditure type and dept.)"</f>
        <v>Supporting Table SA2 Matrix Financial Performance Budget (revenue source/expenditure type and dept.)</v>
      </c>
    </row>
    <row r="113" spans="1:6">
      <c r="A113" s="1292" t="s">
        <v>1208</v>
      </c>
      <c r="B113" s="1293" t="str">
        <f>A113&amp;"Supportinging detail to 'Budgeted Financial Position'"</f>
        <v>Supporting Table SA3 Supportinging detail to 'Budgeted Financial Position'</v>
      </c>
      <c r="C113" s="1213"/>
      <c r="D113" s="1213"/>
      <c r="E113" s="1211"/>
      <c r="F113" s="1211"/>
    </row>
    <row r="114" spans="1:6">
      <c r="A114" s="1292" t="s">
        <v>1209</v>
      </c>
      <c r="B114" s="1293" t="str">
        <f>A114&amp;"Reconciliation of IDP strategic objectives and budget (revenue)"</f>
        <v>Supporting Table SA4 Reconciliation of IDP strategic objectives and budget (revenue)</v>
      </c>
      <c r="C114" s="1294" t="s">
        <v>1174</v>
      </c>
      <c r="D114" s="1213"/>
      <c r="E114" s="1211"/>
      <c r="F114" s="1211"/>
    </row>
    <row r="115" spans="1:6">
      <c r="A115" s="1292" t="s">
        <v>34</v>
      </c>
      <c r="B115" s="1293" t="str">
        <f>A115&amp;"Reconciliation of IDP strategic objectives and budget (operating expenditure)"</f>
        <v>Supporting Table SA5 Reconciliation of IDP strategic objectives and budget (operating expenditure)</v>
      </c>
      <c r="C115" s="1294" t="s">
        <v>1175</v>
      </c>
      <c r="D115" s="1213"/>
      <c r="E115" s="1211"/>
      <c r="F115" s="1211"/>
    </row>
    <row r="116" spans="1:6">
      <c r="A116" s="1292" t="s">
        <v>35</v>
      </c>
      <c r="B116" s="1293" t="str">
        <f>A116&amp;"Reconciliation of IDP strategic objectives and budget (capital expenditure)"</f>
        <v>Supporting Table SA6 Reconciliation of IDP strategic objectives and budget (capital expenditure)</v>
      </c>
      <c r="C116" s="1294" t="s">
        <v>1176</v>
      </c>
      <c r="D116" s="1213"/>
      <c r="E116" s="1211"/>
      <c r="F116" s="1211"/>
    </row>
    <row r="117" spans="1:6">
      <c r="A117" s="1292" t="s">
        <v>36</v>
      </c>
      <c r="B117" s="1293" t="str">
        <f>A117&amp;" Measureable performance objectives"</f>
        <v>Supporting Table SA7 Measureable performance objectives</v>
      </c>
      <c r="C117" s="1213"/>
      <c r="D117" s="1213"/>
      <c r="E117" s="1211"/>
      <c r="F117" s="1211"/>
    </row>
    <row r="118" spans="1:6">
      <c r="A118" s="1292" t="s">
        <v>37</v>
      </c>
      <c r="B118" s="1293" t="str">
        <f>A118&amp;" Performance indicators and benchmarks"</f>
        <v>Supporting Table SA8 Performance indicators and benchmarks</v>
      </c>
      <c r="C118" s="1294" t="s">
        <v>543</v>
      </c>
      <c r="D118" s="1213"/>
      <c r="E118" s="1211"/>
      <c r="F118" s="1211"/>
    </row>
    <row r="119" spans="1:6">
      <c r="A119" s="1292" t="s">
        <v>38</v>
      </c>
      <c r="B119" s="1293" t="str">
        <f>A119&amp;" Social, economic and demographic statistics and assumptions"</f>
        <v>Supporting Table SA9 Social, economic and demographic statistics and assumptions</v>
      </c>
      <c r="C119" s="1213"/>
      <c r="D119" s="1213"/>
      <c r="E119" s="1211"/>
      <c r="F119" s="1211"/>
    </row>
    <row r="120" spans="1:6">
      <c r="A120" s="1292" t="s">
        <v>861</v>
      </c>
      <c r="B120" s="1293" t="str">
        <f>A120&amp;" Funding measurement"</f>
        <v>Supporting Table SA10 Funding measurement</v>
      </c>
      <c r="C120" s="1294" t="s">
        <v>1177</v>
      </c>
      <c r="D120" s="1213"/>
      <c r="E120" s="1211"/>
      <c r="F120" s="1211"/>
    </row>
    <row r="121" spans="1:6">
      <c r="A121" s="1292" t="s">
        <v>862</v>
      </c>
      <c r="B121" s="1305" t="str">
        <f>A121&amp;" Property rates summary"</f>
        <v>Supporting Table SA11 Property rates summary</v>
      </c>
      <c r="C121" s="1213"/>
      <c r="D121" s="1213"/>
      <c r="E121" s="1211"/>
      <c r="F121" s="1211"/>
    </row>
    <row r="122" spans="1:6">
      <c r="A122" s="1292" t="s">
        <v>1797</v>
      </c>
      <c r="B122" s="1305" t="str">
        <f>A122&amp;" Property rates by category (current year)"</f>
        <v>Supporting Table SA12a Property rates by category (current year)</v>
      </c>
      <c r="C122" s="1213"/>
      <c r="D122" s="1213"/>
      <c r="E122" s="1211"/>
      <c r="F122" s="1211"/>
    </row>
    <row r="123" spans="1:6">
      <c r="A123" s="1292" t="s">
        <v>1798</v>
      </c>
      <c r="B123" s="1305" t="str">
        <f>A123&amp;" Property rates by category (budget year)"</f>
        <v>Supporting Table SA12b Property rates by category (budget year)</v>
      </c>
      <c r="C123" s="1213"/>
      <c r="D123" s="1213"/>
      <c r="E123" s="1211"/>
      <c r="F123" s="1211"/>
    </row>
    <row r="124" spans="1:6">
      <c r="A124" s="1292" t="s">
        <v>2003</v>
      </c>
      <c r="B124" s="1305" t="str">
        <f>A124&amp;" Service Tariffs by category"</f>
        <v>Supporting Table SA13a Service Tariffs by category</v>
      </c>
      <c r="C124" s="1213"/>
      <c r="D124" s="1213"/>
      <c r="E124" s="1211"/>
      <c r="F124" s="1211"/>
    </row>
    <row r="125" spans="1:6">
      <c r="A125" s="1292" t="s">
        <v>2004</v>
      </c>
      <c r="B125" s="1305" t="str">
        <f>A125&amp;" Service Tariffs by category - explanatory"</f>
        <v>Supporting Table SA13b Service Tariffs by category - explanatory</v>
      </c>
      <c r="C125" s="1213"/>
      <c r="D125" s="1213"/>
      <c r="E125" s="1211"/>
      <c r="F125" s="1211"/>
    </row>
    <row r="126" spans="1:6">
      <c r="A126" s="1292" t="s">
        <v>863</v>
      </c>
      <c r="B126" s="1305" t="str">
        <f>A126&amp;" Household bills"</f>
        <v>Supporting Table SA14 Household bills</v>
      </c>
      <c r="C126" s="1213"/>
      <c r="D126" s="1213"/>
      <c r="E126" s="1211"/>
      <c r="F126" s="1211"/>
    </row>
    <row r="127" spans="1:6">
      <c r="A127" s="1292" t="s">
        <v>864</v>
      </c>
      <c r="B127" s="1293" t="str">
        <f>A127&amp;" Investment particulars by type"</f>
        <v>Supporting Table SA15 Investment particulars by type</v>
      </c>
      <c r="C127" s="1213"/>
      <c r="D127" s="1213"/>
      <c r="E127" s="1211"/>
      <c r="F127" s="1211"/>
    </row>
    <row r="128" spans="1:6">
      <c r="A128" s="1292" t="s">
        <v>865</v>
      </c>
      <c r="B128" s="1293" t="str">
        <f>A128&amp;" Investment particulars by maturity"</f>
        <v>Supporting Table SA16 Investment particulars by maturity</v>
      </c>
      <c r="C128" s="1213"/>
      <c r="D128" s="1213"/>
      <c r="E128" s="1211"/>
      <c r="F128" s="1211"/>
    </row>
    <row r="129" spans="1:6">
      <c r="A129" s="1292" t="s">
        <v>866</v>
      </c>
      <c r="B129" s="1293" t="str">
        <f>A129&amp;" Borrowing"</f>
        <v>Supporting Table SA17 Borrowing</v>
      </c>
      <c r="C129" s="1213"/>
      <c r="D129" s="1227"/>
      <c r="E129" s="1211"/>
      <c r="F129" s="1211"/>
    </row>
    <row r="130" spans="1:6">
      <c r="A130" s="1292" t="s">
        <v>867</v>
      </c>
      <c r="B130" s="1293" t="str">
        <f>A130&amp;" Transfers and grant receipts"</f>
        <v>Supporting Table SA18 Transfers and grant receipts</v>
      </c>
      <c r="C130" s="1213"/>
      <c r="D130" s="1213"/>
      <c r="E130" s="1211"/>
      <c r="F130" s="1211"/>
    </row>
    <row r="131" spans="1:6">
      <c r="A131" s="1292" t="s">
        <v>868</v>
      </c>
      <c r="B131" s="1293" t="str">
        <f>A131&amp;" Expenditure on transfers and grant programme"</f>
        <v>Supporting Table SA19 Expenditure on transfers and grant programme</v>
      </c>
      <c r="C131" s="1213"/>
      <c r="D131" s="1213"/>
      <c r="E131" s="1211"/>
      <c r="F131" s="1211"/>
    </row>
    <row r="132" spans="1:6">
      <c r="A132" s="1292" t="s">
        <v>869</v>
      </c>
      <c r="B132" s="1293" t="str">
        <f>A132&amp;" Reconciliation of transfers, grant receipts and unspent funds"</f>
        <v>Supporting Table SA20 Reconciliation of transfers, grant receipts and unspent funds</v>
      </c>
      <c r="C132" s="1213"/>
      <c r="D132" s="1213"/>
      <c r="E132" s="1211"/>
      <c r="F132" s="1211"/>
    </row>
    <row r="133" spans="1:6">
      <c r="A133" s="1292" t="s">
        <v>870</v>
      </c>
      <c r="B133" s="1293" t="str">
        <f>A133&amp;" Transfers and grants made by the municipality"</f>
        <v>Supporting Table SA21 Transfers and grants made by the municipality</v>
      </c>
      <c r="C133" s="1213"/>
      <c r="D133" s="1213"/>
      <c r="E133" s="1211"/>
      <c r="F133" s="1211"/>
    </row>
    <row r="134" spans="1:6">
      <c r="A134" s="1292" t="s">
        <v>871</v>
      </c>
      <c r="B134" s="1293" t="str">
        <f>A134&amp;" Summary councillor and staff benefits"</f>
        <v>Supporting Table SA22 Summary councillor and staff benefits</v>
      </c>
      <c r="C134" s="1213"/>
      <c r="D134" s="1227"/>
      <c r="E134" s="1211"/>
      <c r="F134" s="1211"/>
    </row>
    <row r="135" spans="1:6">
      <c r="A135" s="1292" t="s">
        <v>872</v>
      </c>
      <c r="B135" s="1293" t="str">
        <f>A135&amp;" Salaries, allowances &amp; benefits (political office bearers/councillors/senior managers)"</f>
        <v>Supporting Table SA23 Salaries, allowances &amp; benefits (political office bearers/councillors/senior managers)</v>
      </c>
      <c r="C135" s="1213"/>
      <c r="D135" s="1227"/>
      <c r="E135" s="1211"/>
      <c r="F135" s="1211"/>
    </row>
    <row r="136" spans="1:6">
      <c r="A136" s="1292" t="s">
        <v>873</v>
      </c>
      <c r="B136" s="1293" t="str">
        <f>A136&amp;" Summary of personnel numbers"</f>
        <v>Supporting Table SA24 Summary of personnel numbers</v>
      </c>
      <c r="C136" s="1213"/>
      <c r="D136" s="1213"/>
      <c r="E136" s="1211"/>
      <c r="F136" s="1211"/>
    </row>
    <row r="137" spans="1:6">
      <c r="A137" s="1292" t="s">
        <v>874</v>
      </c>
      <c r="B137" s="1305" t="str">
        <f t="shared" ref="B137:B143" si="1">IF(Consolques="YES",E137,F137)</f>
        <v>Supporting Table SA25 Consolidated budgeted monthly revenue and expenditure</v>
      </c>
      <c r="C137" s="1213"/>
      <c r="D137" s="1213"/>
      <c r="E137" s="1293" t="str">
        <f>A137&amp;" Consolidated budgeted monthly revenue and expenditure"</f>
        <v>Supporting Table SA25 Consolidated budgeted monthly revenue and expenditure</v>
      </c>
      <c r="F137" s="1293" t="str">
        <f>A137&amp;" Budgeted monthly revenue and expenditure"</f>
        <v>Supporting Table SA25 Budgeted monthly revenue and expenditure</v>
      </c>
    </row>
    <row r="138" spans="1:6">
      <c r="A138" s="1292" t="s">
        <v>875</v>
      </c>
      <c r="B138" s="1305" t="str">
        <f t="shared" si="1"/>
        <v>Supporting Table SA26 Consolidated budgeted monthly revenue and expenditure (municipal vote)</v>
      </c>
      <c r="C138" s="1213"/>
      <c r="D138" s="1213"/>
      <c r="E138" s="1293" t="str">
        <f>A138&amp;" Consolidated budgeted monthly revenue and expenditure (municipal vote)"</f>
        <v>Supporting Table SA26 Consolidated budgeted monthly revenue and expenditure (municipal vote)</v>
      </c>
      <c r="F138" s="1293" t="str">
        <f>A138&amp;" Budgeted monthly revenue and expenditure (municipal vote)"</f>
        <v>Supporting Table SA26 Budgeted monthly revenue and expenditure (municipal vote)</v>
      </c>
    </row>
    <row r="139" spans="1:6">
      <c r="A139" s="1292" t="s">
        <v>876</v>
      </c>
      <c r="B139" s="1305" t="str">
        <f t="shared" si="1"/>
        <v>Supporting Table SA27 Consolidated budgeted monthly revenue and expenditure (functional classification)</v>
      </c>
      <c r="C139" s="1213"/>
      <c r="D139" s="1213"/>
      <c r="E139" s="1293" t="str">
        <f>A139&amp;" Consolidated budgeted monthly revenue and expenditure (functional classification)"</f>
        <v>Supporting Table SA27 Consolidated budgeted monthly revenue and expenditure (functional classification)</v>
      </c>
      <c r="F139" s="1293" t="str">
        <f>A139&amp;" Budgeted monthly revenue and expenditure (functional classification)"</f>
        <v>Supporting Table SA27 Budgeted monthly revenue and expenditure (functional classification)</v>
      </c>
    </row>
    <row r="140" spans="1:6">
      <c r="A140" s="1292" t="s">
        <v>877</v>
      </c>
      <c r="B140" s="1305" t="str">
        <f t="shared" si="1"/>
        <v>Supporting Table SA28 Consolidated budgeted monthly capital expenditure (municipal vote)</v>
      </c>
      <c r="C140" s="1213"/>
      <c r="D140" s="1213"/>
      <c r="E140" s="1293" t="str">
        <f>A140&amp;" Consolidated budgeted monthly capital expenditure (municipal vote)"</f>
        <v>Supporting Table SA28 Consolidated budgeted monthly capital expenditure (municipal vote)</v>
      </c>
      <c r="F140" s="1293" t="str">
        <f>A140&amp;" Budgeted monthly capital expenditure (municipal vote)"</f>
        <v>Supporting Table SA28 Budgeted monthly capital expenditure (municipal vote)</v>
      </c>
    </row>
    <row r="141" spans="1:6">
      <c r="A141" s="1292" t="s">
        <v>878</v>
      </c>
      <c r="B141" s="1305" t="str">
        <f t="shared" si="1"/>
        <v>Supporting Table SA29 Consolidated budgeted monthly capital expenditure (functional classification)</v>
      </c>
      <c r="C141" s="1213"/>
      <c r="D141" s="1213"/>
      <c r="E141" s="1293" t="str">
        <f>A141&amp;" Consolidated budgeted monthly capital expenditure (functional classification)"</f>
        <v>Supporting Table SA29 Consolidated budgeted monthly capital expenditure (functional classification)</v>
      </c>
      <c r="F141" s="1293" t="str">
        <f>A141&amp;" Budgeted monthly capital expenditure (functional classification)"</f>
        <v>Supporting Table SA29 Budgeted monthly capital expenditure (functional classification)</v>
      </c>
    </row>
    <row r="142" spans="1:6">
      <c r="A142" s="1292" t="s">
        <v>879</v>
      </c>
      <c r="B142" s="1305" t="str">
        <f t="shared" si="1"/>
        <v>Supporting Table SA30 Consolidated budgeted monthly cash flow</v>
      </c>
      <c r="C142" s="1213"/>
      <c r="D142" s="1213"/>
      <c r="E142" s="1293" t="str">
        <f>A142&amp;" Consolidated budgeted monthly cash flow"</f>
        <v>Supporting Table SA30 Consolidated budgeted monthly cash flow</v>
      </c>
      <c r="F142" s="1293" t="str">
        <f>A142&amp;" Budgeted monthly cash flow"</f>
        <v>Supporting Table SA30 Budgeted monthly cash flow</v>
      </c>
    </row>
    <row r="143" spans="1:6">
      <c r="A143" s="1292" t="s">
        <v>880</v>
      </c>
      <c r="B143" s="1293" t="str">
        <f t="shared" si="1"/>
        <v>Supporting Table SA31 Aggregated entity budget</v>
      </c>
      <c r="C143" s="1213"/>
      <c r="D143" s="1213"/>
      <c r="E143" s="1293" t="str">
        <f>A143&amp;" Aggregated entity budget"</f>
        <v>Supporting Table SA31 Aggregated entity budget</v>
      </c>
      <c r="F143" s="1293" t="s">
        <v>896</v>
      </c>
    </row>
    <row r="144" spans="1:6">
      <c r="A144" s="1292" t="s">
        <v>881</v>
      </c>
      <c r="B144" s="1293" t="str">
        <f>A144&amp;" List of external mechanisms"</f>
        <v>Supporting Table SA32 List of external mechanisms</v>
      </c>
      <c r="C144" s="1213"/>
      <c r="D144" s="1213"/>
      <c r="E144" s="1211"/>
      <c r="F144" s="1211"/>
    </row>
    <row r="145" spans="1:6">
      <c r="A145" s="1292" t="s">
        <v>882</v>
      </c>
      <c r="B145" s="1293" t="str">
        <f>A145&amp;" Contracts having future budgetary implications"</f>
        <v>Supporting Table SA33 Contracts having future budgetary implications</v>
      </c>
      <c r="C145" s="1213"/>
      <c r="D145" s="1213"/>
      <c r="E145" s="1211"/>
      <c r="F145" s="1211"/>
    </row>
    <row r="146" spans="1:6">
      <c r="A146" s="1292" t="s">
        <v>1456</v>
      </c>
      <c r="B146" s="1293" t="str">
        <f t="shared" ref="B146:B153" si="2">IF(Consolques="YES",E146,F146)</f>
        <v>Supporting Table SA34a Consolidated capital expenditure on new assets by asset class</v>
      </c>
      <c r="C146" s="1213"/>
      <c r="D146" s="1213"/>
      <c r="E146" s="1293" t="str">
        <f>A146&amp;" Consolidated capital expenditure on new assets by asset class"</f>
        <v>Supporting Table SA34a Consolidated capital expenditure on new assets by asset class</v>
      </c>
      <c r="F146" s="1293" t="str">
        <f>A146&amp;" Capital expenditure on new assets by asset class"</f>
        <v>Supporting Table SA34a Capital expenditure on new assets by asset class</v>
      </c>
    </row>
    <row r="147" spans="1:6">
      <c r="A147" s="1292" t="s">
        <v>1457</v>
      </c>
      <c r="B147" s="1293" t="str">
        <f t="shared" si="2"/>
        <v>Supporting Table SA34b Consolidated capital expenditure on the renewal of existing assets by asset class</v>
      </c>
      <c r="C147" s="1213"/>
      <c r="D147" s="1213"/>
      <c r="E147" s="1293" t="str">
        <f>A147&amp;" Consolidated capital expenditure on the renewal of existing assets by asset class"</f>
        <v>Supporting Table SA34b Consolidated capital expenditure on the renewal of existing assets by asset class</v>
      </c>
      <c r="F147" s="1293" t="str">
        <f>A147&amp;" Capital expenditure on the renewal of existing assets by asset class"</f>
        <v>Supporting Table SA34b Capital expenditure on the renewal of existing assets by asset class</v>
      </c>
    </row>
    <row r="148" spans="1:6">
      <c r="A148" s="1292" t="s">
        <v>1458</v>
      </c>
      <c r="B148" s="1293" t="str">
        <f t="shared" si="2"/>
        <v>Supporting Table SA34c Consolidated repairs and maintenance by asset class</v>
      </c>
      <c r="C148" s="1213"/>
      <c r="D148" s="1213"/>
      <c r="E148" s="1293" t="str">
        <f>A148&amp;" Consolidated repairs and maintenance by asset class"</f>
        <v>Supporting Table SA34c Consolidated repairs and maintenance by asset class</v>
      </c>
      <c r="F148" s="1293" t="str">
        <f>A148&amp;" Repairs and maintenance expenditure by asset class"</f>
        <v>Supporting Table SA34c Repairs and maintenance expenditure by asset class</v>
      </c>
    </row>
    <row r="149" spans="1:6">
      <c r="A149" s="1292" t="s">
        <v>1794</v>
      </c>
      <c r="B149" s="1293" t="str">
        <f>IF(Consolques="YES",E149,F149)</f>
        <v>Supporting Table SA34d Consolidated Depreciation by asset class</v>
      </c>
      <c r="C149" s="1213"/>
      <c r="D149" s="1213"/>
      <c r="E149" s="1293" t="str">
        <f>A149&amp;" Consolidated Depreciation by asset class"</f>
        <v>Supporting Table SA34d Consolidated Depreciation by asset class</v>
      </c>
      <c r="F149" s="1293" t="str">
        <f>A149&amp;" Depreciation by asset class"</f>
        <v>Supporting Table SA34d Depreciation by asset class</v>
      </c>
    </row>
    <row r="150" spans="1:6">
      <c r="A150" s="1292" t="s">
        <v>2370</v>
      </c>
      <c r="B150" s="1293" t="str">
        <f>IF(Consolques="YES",E150,F150)</f>
        <v>Supporting Table SA34e Consolidated capital expenditure on the upgrading of existing assets by asset class</v>
      </c>
      <c r="C150" s="1213"/>
      <c r="D150" s="1213"/>
      <c r="E150" s="1293" t="str">
        <f>A150&amp;" Consolidated capital expenditure on the upgrading of existing assets by asset class"</f>
        <v>Supporting Table SA34e Consolidated capital expenditure on the upgrading of existing assets by asset class</v>
      </c>
      <c r="F150" s="1293" t="str">
        <f>A150&amp;" Capital expenditure on the upgrading of existing assets by asset class"</f>
        <v>Supporting Table SA34e Capital expenditure on the upgrading of existing assets by asset class</v>
      </c>
    </row>
    <row r="151" spans="1:6">
      <c r="A151" s="1292" t="s">
        <v>883</v>
      </c>
      <c r="B151" s="1293" t="str">
        <f t="shared" si="2"/>
        <v>Supporting Table SA35 Consolidated future financial implications of the capital budget</v>
      </c>
      <c r="C151" s="1213"/>
      <c r="D151" s="1213"/>
      <c r="E151" s="1293" t="str">
        <f>A151&amp;" Consolidated future financial implications of the capital budget"</f>
        <v>Supporting Table SA35 Consolidated future financial implications of the capital budget</v>
      </c>
      <c r="F151" s="1293" t="str">
        <f>A151&amp; " Future financial implications of the capital budget"</f>
        <v>Supporting Table SA35 Future financial implications of the capital budget</v>
      </c>
    </row>
    <row r="152" spans="1:6">
      <c r="A152" s="1292" t="s">
        <v>884</v>
      </c>
      <c r="B152" s="1293" t="str">
        <f t="shared" si="2"/>
        <v>Supporting Table SA36 Consolidated detailed capital budget</v>
      </c>
      <c r="C152" s="1213"/>
      <c r="D152" s="1213"/>
      <c r="E152" s="1293" t="str">
        <f>A152&amp;" Consolidated detailed capital budget"</f>
        <v>Supporting Table SA36 Consolidated detailed capital budget</v>
      </c>
      <c r="F152" s="1293" t="str">
        <f>A152&amp; " Detailed capital budget"</f>
        <v>Supporting Table SA36 Detailed capital budget</v>
      </c>
    </row>
    <row r="153" spans="1:6">
      <c r="A153" s="1292" t="s">
        <v>885</v>
      </c>
      <c r="B153" s="1307" t="str">
        <f t="shared" si="2"/>
        <v>Supporting Table SA37 Consolidated projects delayed from previous financial year/s</v>
      </c>
      <c r="C153" s="1219"/>
      <c r="D153" s="1210"/>
      <c r="E153" s="1293" t="str">
        <f>A153&amp;" Consolidated projects delayed from previous financial year/s"</f>
        <v>Supporting Table SA37 Consolidated projects delayed from previous financial year/s</v>
      </c>
      <c r="F153" s="1293" t="str">
        <f>A153&amp; " Projects delayed from previous financial year/s"</f>
        <v>Supporting Table SA37 Projects delayed from previous financial year/s</v>
      </c>
    </row>
    <row r="154" spans="1:6">
      <c r="A154" s="1292" t="s">
        <v>2472</v>
      </c>
      <c r="B154" s="1293" t="str">
        <f>IF(Consolques="YES",E154,F154)</f>
        <v>Supporting Table SA38 Consolidated detailed operational projects</v>
      </c>
      <c r="C154" s="1213"/>
      <c r="D154" s="1213"/>
      <c r="E154" s="1293" t="str">
        <f>A154&amp;" Consolidated detailed operational projects"</f>
        <v>Supporting Table SA38 Consolidated detailed operational projects</v>
      </c>
      <c r="F154" s="1293" t="str">
        <f>A154&amp; " Detailed operational projects"</f>
        <v>Supporting Table SA38 Detailed operational projects</v>
      </c>
    </row>
    <row r="155" spans="1:6">
      <c r="A155" s="1315"/>
      <c r="B155" s="1307"/>
      <c r="C155" s="1219"/>
      <c r="D155" s="1210"/>
      <c r="E155" s="1293"/>
      <c r="F155" s="1293"/>
    </row>
    <row r="156" spans="1:6">
      <c r="A156" s="1312" t="s">
        <v>935</v>
      </c>
      <c r="B156" s="1313" t="s">
        <v>1188</v>
      </c>
      <c r="C156" s="1314" t="s">
        <v>960</v>
      </c>
      <c r="D156" s="1216"/>
    </row>
    <row r="157" spans="1:6">
      <c r="A157" s="1315" t="s">
        <v>1591</v>
      </c>
      <c r="B157" s="1316" t="str">
        <f>A157&amp;"Revenue by Municipal Vote"</f>
        <v>Chart A1 Revenue by Municipal Vote</v>
      </c>
      <c r="C157" s="1226"/>
      <c r="D157" s="1228"/>
    </row>
    <row r="158" spans="1:6">
      <c r="A158" s="1315" t="s">
        <v>1592</v>
      </c>
      <c r="B158" s="1317" t="str">
        <f>A158&amp;"Expenditure by Municipal Vote"</f>
        <v>Chart A2 Expenditure by Municipal Vote</v>
      </c>
      <c r="C158" s="1213"/>
      <c r="D158" s="1221"/>
    </row>
    <row r="159" spans="1:6">
      <c r="A159" s="1315" t="s">
        <v>1593</v>
      </c>
      <c r="B159" s="1317" t="str">
        <f>A159&amp;"Revenue by Standard Classification"</f>
        <v>Chart A3 Revenue by Standard Classification</v>
      </c>
      <c r="C159" s="1294" t="s">
        <v>959</v>
      </c>
      <c r="D159" s="1211"/>
    </row>
    <row r="160" spans="1:6">
      <c r="A160" s="1315" t="s">
        <v>1594</v>
      </c>
      <c r="B160" s="1317" t="str">
        <f>A160&amp;"Expenditure by Standard Classification"</f>
        <v>Chart A4 Expenditure by Standard Classification</v>
      </c>
      <c r="C160" s="1294" t="s">
        <v>959</v>
      </c>
      <c r="D160" s="1211"/>
    </row>
    <row r="161" spans="1:4">
      <c r="A161" s="1315" t="s">
        <v>1595</v>
      </c>
      <c r="B161" s="1317" t="str">
        <f>A161&amp;"Revenue by Major Source (refer 'Minor' source for 'Other Revenue' allocation"</f>
        <v>Chart A5 Revenue by Major Source (refer 'Minor' source for 'Other Revenue' allocation</v>
      </c>
      <c r="C161" s="1294" t="s">
        <v>961</v>
      </c>
      <c r="D161" s="1211"/>
    </row>
    <row r="162" spans="1:4">
      <c r="A162" s="1315" t="s">
        <v>1596</v>
      </c>
      <c r="B162" s="1317" t="str">
        <f>A162&amp;"Revenue by Minor Source (Other)"</f>
        <v>Chart A6 Revenue by Minor Source (Other)</v>
      </c>
      <c r="C162" s="1294" t="s">
        <v>961</v>
      </c>
      <c r="D162" s="1211"/>
    </row>
    <row r="163" spans="1:4">
      <c r="A163" s="1315" t="s">
        <v>1597</v>
      </c>
      <c r="B163" s="1317" t="str">
        <f>A163&amp;"Expenditure by Major Type"</f>
        <v>Chart A7 Expenditure by Major Type</v>
      </c>
      <c r="C163" s="1294" t="s">
        <v>961</v>
      </c>
      <c r="D163" s="1211"/>
    </row>
    <row r="164" spans="1:4">
      <c r="A164" s="1315" t="s">
        <v>1598</v>
      </c>
      <c r="B164" s="1317" t="str">
        <f>A164&amp;"Expenditure by Minor Type (Other)"</f>
        <v>Chart A8 Expenditure by Minor Type (Other)</v>
      </c>
      <c r="C164" s="1294" t="s">
        <v>961</v>
      </c>
      <c r="D164" s="1211"/>
    </row>
    <row r="165" spans="1:4">
      <c r="A165" s="1315" t="s">
        <v>1599</v>
      </c>
      <c r="B165" s="1317" t="str">
        <f>A165&amp;"Capital Expenditure by Municipal Vote/Appropriation (Major)"</f>
        <v>Chart A9 Capital Expenditure by Municipal Vote/Appropriation (Major)</v>
      </c>
      <c r="C165" s="1294" t="s">
        <v>962</v>
      </c>
      <c r="D165" s="1211"/>
    </row>
    <row r="166" spans="1:4">
      <c r="A166" s="1315" t="s">
        <v>1600</v>
      </c>
      <c r="B166" s="1317" t="str">
        <f>A166&amp;"Capital Expenditure by Municipal Vote/Appropriation (Minor)"</f>
        <v>Chart A10 Capital Expenditure by Municipal Vote/Appropriation (Minor)</v>
      </c>
      <c r="C166" s="1294" t="s">
        <v>962</v>
      </c>
      <c r="D166" s="1211"/>
    </row>
    <row r="167" spans="1:4">
      <c r="A167" s="1315" t="s">
        <v>1601</v>
      </c>
      <c r="B167" s="1317" t="str">
        <f>A166&amp;"Capital Expenditure by Standard Classification"</f>
        <v>Chart A10 Capital Expenditure by Standard Classification</v>
      </c>
      <c r="C167" s="1294" t="s">
        <v>962</v>
      </c>
      <c r="D167" s="1211"/>
    </row>
    <row r="168" spans="1:4">
      <c r="A168" s="1315" t="s">
        <v>1602</v>
      </c>
      <c r="B168" s="1317" t="str">
        <f>A168&amp;"Capital expenditure performance trend"</f>
        <v>Chart A12 Capital expenditure performance trend</v>
      </c>
      <c r="C168" s="1294" t="s">
        <v>962</v>
      </c>
      <c r="D168" s="1211"/>
    </row>
    <row r="169" spans="1:4">
      <c r="A169" s="1315" t="s">
        <v>1603</v>
      </c>
      <c r="B169" s="1317" t="str">
        <f>A169&amp;"Capital funding by Source"</f>
        <v>Chart A13 Capital funding by Source</v>
      </c>
      <c r="C169" s="1294" t="s">
        <v>962</v>
      </c>
      <c r="D169" s="1211"/>
    </row>
    <row r="170" spans="1:4">
      <c r="A170" s="1315" t="s">
        <v>1604</v>
      </c>
      <c r="B170" s="1317" t="str">
        <f>A170&amp;"Cash flow trend"</f>
        <v>Chart A14 Cash flow trend</v>
      </c>
      <c r="C170" s="1294" t="s">
        <v>963</v>
      </c>
      <c r="D170" s="1211"/>
    </row>
    <row r="171" spans="1:4">
      <c r="A171" s="1315" t="s">
        <v>1605</v>
      </c>
      <c r="B171" s="1317" t="str">
        <f>A171&amp;"IDP Strategic Objective - Revenue"</f>
        <v>Chart A15 IDP Strategic Objective - Revenue</v>
      </c>
      <c r="C171" s="1294" t="s">
        <v>265</v>
      </c>
      <c r="D171" s="1211"/>
    </row>
    <row r="172" spans="1:4">
      <c r="A172" s="1315" t="s">
        <v>1606</v>
      </c>
      <c r="B172" s="1317" t="str">
        <f>A172&amp;"IDP Strategic Objective - Expenditure"</f>
        <v>Chart A16 IDP Strategic Objective - Expenditure</v>
      </c>
      <c r="C172" s="1294" t="s">
        <v>266</v>
      </c>
      <c r="D172" s="1211"/>
    </row>
    <row r="173" spans="1:4">
      <c r="A173" s="1315" t="s">
        <v>1607</v>
      </c>
      <c r="B173" s="1317" t="str">
        <f>A173&amp;"IDP Strategic Objective - Capital Expenditure"</f>
        <v>Chart A17 IDP Strategic Objective - Capital Expenditure</v>
      </c>
      <c r="C173" s="1294" t="s">
        <v>267</v>
      </c>
    </row>
    <row r="174" spans="1:4">
      <c r="A174" s="1315" t="s">
        <v>1608</v>
      </c>
      <c r="B174" s="1317" t="str">
        <f>A174&amp;"Debt (borrowing to Total Revenue)"</f>
        <v>Chart A18 Debt (borrowing to Total Revenue)</v>
      </c>
      <c r="C174" s="1294" t="s">
        <v>268</v>
      </c>
    </row>
    <row r="175" spans="1:4">
      <c r="A175" s="1315" t="s">
        <v>1609</v>
      </c>
      <c r="B175" s="1317" t="str">
        <f>A175&amp;"Debtors' trend analysis"</f>
        <v>Chart A19 Debtors' trend analysis</v>
      </c>
      <c r="C175" s="1294" t="s">
        <v>268</v>
      </c>
    </row>
    <row r="176" spans="1:4">
      <c r="A176" s="1315" t="s">
        <v>1610</v>
      </c>
      <c r="B176" s="1317" t="str">
        <f>A176&amp;"Distribution losses"</f>
        <v>Chart A20 Distribution losses</v>
      </c>
      <c r="C176" s="1294" t="s">
        <v>268</v>
      </c>
    </row>
    <row r="177" spans="1:5">
      <c r="A177" s="1315" t="s">
        <v>1611</v>
      </c>
      <c r="B177" s="1317" t="str">
        <f>A177&amp;"Borrowed funding of capital expenditure"</f>
        <v>Chart A21 Borrowed funding of capital expenditure</v>
      </c>
      <c r="C177" s="1294" t="s">
        <v>268</v>
      </c>
    </row>
    <row r="178" spans="1:5">
      <c r="A178" s="1315" t="s">
        <v>1612</v>
      </c>
      <c r="B178" s="1317" t="str">
        <f>A178&amp;"Expenditure analysis (% of Revenue)"</f>
        <v>Chart A22 Expenditure analysis (% of Revenue)</v>
      </c>
      <c r="C178" s="1294" t="s">
        <v>268</v>
      </c>
    </row>
    <row r="179" spans="1:5">
      <c r="A179" s="1308" t="s">
        <v>1613</v>
      </c>
      <c r="B179" s="1318" t="str">
        <f>A179&amp;"Increases in service charges"</f>
        <v>Chart A23 Increases in service charges</v>
      </c>
      <c r="C179" s="1319" t="s">
        <v>540</v>
      </c>
    </row>
    <row r="180" spans="1:5">
      <c r="A180" s="1208"/>
    </row>
    <row r="181" spans="1:5">
      <c r="A181" s="1208"/>
    </row>
    <row r="182" spans="1:5">
      <c r="A182" s="1208"/>
    </row>
    <row r="183" spans="1:5">
      <c r="D183" s="1221"/>
      <c r="E183" s="1211"/>
    </row>
  </sheetData>
  <mergeCells count="5">
    <mergeCell ref="A1:D1"/>
    <mergeCell ref="A87:B87"/>
    <mergeCell ref="A110:B110"/>
    <mergeCell ref="A99:B99"/>
    <mergeCell ref="A92:D9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314325</xdr:colOff>
                    <xdr:row>2</xdr:row>
                    <xdr:rowOff>19050</xdr:rowOff>
                  </from>
                  <to>
                    <xdr:col>4</xdr:col>
                    <xdr:colOff>2047875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ColWidth="9.140625" defaultRowHeight="11.25"/>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c r="A1" s="862" t="s">
        <v>662</v>
      </c>
      <c r="B1" s="863">
        <v>2007</v>
      </c>
      <c r="C1" s="863">
        <v>2008</v>
      </c>
      <c r="D1" s="863">
        <v>2009</v>
      </c>
      <c r="E1" s="868">
        <v>2010</v>
      </c>
      <c r="F1" s="868">
        <v>2011</v>
      </c>
      <c r="G1" s="863">
        <v>2012</v>
      </c>
      <c r="H1" s="868">
        <v>2013</v>
      </c>
      <c r="I1" s="868">
        <v>2014</v>
      </c>
      <c r="J1" s="868">
        <v>2015</v>
      </c>
      <c r="K1" s="868">
        <v>2016</v>
      </c>
      <c r="L1" s="868">
        <v>2017</v>
      </c>
      <c r="M1" s="868">
        <v>2018</v>
      </c>
      <c r="N1" s="868">
        <v>2019</v>
      </c>
      <c r="O1" s="868">
        <v>2020</v>
      </c>
      <c r="P1" s="869"/>
      <c r="Q1" s="872" t="s">
        <v>133</v>
      </c>
      <c r="R1" s="873"/>
      <c r="S1" s="873"/>
      <c r="T1" s="873"/>
      <c r="U1" s="873"/>
      <c r="V1" s="873"/>
      <c r="W1" s="873"/>
      <c r="X1" s="873"/>
      <c r="Y1" s="999" t="s">
        <v>1397</v>
      </c>
      <c r="Z1" s="999" t="s">
        <v>1398</v>
      </c>
      <c r="AA1" s="999" t="s">
        <v>1400</v>
      </c>
      <c r="AB1" s="999" t="s">
        <v>1399</v>
      </c>
      <c r="AC1" s="999" t="s">
        <v>1081</v>
      </c>
    </row>
    <row r="2" spans="1:30">
      <c r="A2" s="6" t="str">
        <f>'Template names'!C2</f>
        <v>Prior year -1</v>
      </c>
      <c r="B2" s="5" t="s">
        <v>924</v>
      </c>
      <c r="C2" s="5" t="s">
        <v>1128</v>
      </c>
      <c r="D2" s="5" t="s">
        <v>967</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364</v>
      </c>
      <c r="R2" s="871" t="s">
        <v>134</v>
      </c>
      <c r="S2" s="871" t="s">
        <v>135</v>
      </c>
      <c r="T2" s="4" t="s">
        <v>137</v>
      </c>
      <c r="U2" s="8" t="s">
        <v>141</v>
      </c>
      <c r="V2" s="4" t="s">
        <v>364</v>
      </c>
      <c r="W2" s="11" t="s">
        <v>952</v>
      </c>
      <c r="X2" s="11" t="s">
        <v>1472</v>
      </c>
      <c r="Z2" s="1" t="s">
        <v>1687</v>
      </c>
      <c r="AA2" s="1" t="s">
        <v>1688</v>
      </c>
      <c r="AB2" s="1" t="s">
        <v>1683</v>
      </c>
      <c r="AC2" s="1" t="s">
        <v>1676</v>
      </c>
    </row>
    <row r="3" spans="1:30">
      <c r="A3" s="6" t="str">
        <f>'Template names'!C3</f>
        <v>Prior year -2</v>
      </c>
      <c r="B3" s="5" t="s">
        <v>925</v>
      </c>
      <c r="C3" s="5" t="s">
        <v>924</v>
      </c>
      <c r="D3" s="5" t="s">
        <v>1128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709</v>
      </c>
      <c r="R3" s="4">
        <v>1</v>
      </c>
      <c r="S3" s="4">
        <v>4</v>
      </c>
      <c r="T3" s="4" t="s">
        <v>138</v>
      </c>
      <c r="U3" s="8" t="s">
        <v>139</v>
      </c>
      <c r="V3" s="12" t="s">
        <v>709</v>
      </c>
      <c r="W3" s="12" t="s">
        <v>1469</v>
      </c>
      <c r="X3" s="12" t="s">
        <v>1473</v>
      </c>
      <c r="Z3" s="1" t="s">
        <v>1686</v>
      </c>
      <c r="AA3" s="1" t="s">
        <v>1689</v>
      </c>
      <c r="AB3" s="1" t="s">
        <v>1682</v>
      </c>
      <c r="AC3" s="1" t="s">
        <v>1677</v>
      </c>
    </row>
    <row r="4" spans="1:30">
      <c r="A4" s="6" t="str">
        <f>'Template names'!C4</f>
        <v>Prior year -3</v>
      </c>
      <c r="B4" s="5" t="s">
        <v>926</v>
      </c>
      <c r="C4" s="5" t="s">
        <v>925</v>
      </c>
      <c r="D4" s="5" t="s">
        <v>924</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245</v>
      </c>
      <c r="U4" s="9" t="s">
        <v>245</v>
      </c>
      <c r="V4" s="13"/>
      <c r="Z4" s="1" t="s">
        <v>1685</v>
      </c>
      <c r="AA4" s="1" t="s">
        <v>1493</v>
      </c>
      <c r="AB4" s="1" t="s">
        <v>1671</v>
      </c>
      <c r="AC4" s="1" t="s">
        <v>1557</v>
      </c>
    </row>
    <row r="5" spans="1:30">
      <c r="A5" s="6" t="str">
        <f>'Template names'!C5</f>
        <v>Year in which budget is being prepared</v>
      </c>
      <c r="B5" s="5" t="s">
        <v>343</v>
      </c>
      <c r="C5" s="5" t="s">
        <v>966</v>
      </c>
      <c r="D5" s="5" t="s">
        <v>974</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1684</v>
      </c>
      <c r="AA5" s="1" t="s">
        <v>1681</v>
      </c>
      <c r="AB5" s="1" t="s">
        <v>1673</v>
      </c>
      <c r="AC5" s="1" t="s">
        <v>1678</v>
      </c>
    </row>
    <row r="6" spans="1:30">
      <c r="A6" s="6" t="str">
        <f>'Template names'!C6</f>
        <v>Year in which budget is being prepared</v>
      </c>
      <c r="B6" s="5" t="s">
        <v>1128</v>
      </c>
      <c r="C6" s="5" t="s">
        <v>967</v>
      </c>
      <c r="D6" s="5" t="s">
        <v>975</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0" t="s">
        <v>951</v>
      </c>
      <c r="Z6" s="2" t="s">
        <v>1664</v>
      </c>
      <c r="AB6" s="1" t="s">
        <v>1672</v>
      </c>
      <c r="AC6" s="1" t="s">
        <v>1679</v>
      </c>
    </row>
    <row r="7" spans="1:30">
      <c r="A7" s="6" t="str">
        <f>'Template names'!C7</f>
        <v>MTREF name</v>
      </c>
      <c r="B7" s="5" t="s">
        <v>687</v>
      </c>
      <c r="C7" s="5" t="s">
        <v>688</v>
      </c>
      <c r="D7" s="5" t="s">
        <v>689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136</v>
      </c>
      <c r="Z7" s="2" t="s">
        <v>1665</v>
      </c>
      <c r="AB7" s="1" t="s">
        <v>1669</v>
      </c>
      <c r="AC7" s="1" t="s">
        <v>1680</v>
      </c>
    </row>
    <row r="8" spans="1:30">
      <c r="A8" s="6" t="str">
        <f>'Template names'!C15</f>
        <v>1st year of MTREF</v>
      </c>
      <c r="B8" s="5" t="s">
        <v>1425</v>
      </c>
      <c r="C8" s="5" t="s">
        <v>968</v>
      </c>
      <c r="D8" s="5" t="s">
        <v>976</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950</v>
      </c>
      <c r="Z8" s="2" t="s">
        <v>1666</v>
      </c>
      <c r="AB8" s="1" t="s">
        <v>1670</v>
      </c>
      <c r="AC8" s="1" t="s">
        <v>1681</v>
      </c>
    </row>
    <row r="9" spans="1:30">
      <c r="A9" s="6" t="str">
        <f>'Template names'!C16</f>
        <v>2nd year of MTREF</v>
      </c>
      <c r="B9" s="5" t="s">
        <v>1426</v>
      </c>
      <c r="C9" s="5" t="s">
        <v>969</v>
      </c>
      <c r="D9" s="5" t="s">
        <v>1199</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1667</v>
      </c>
    </row>
    <row r="10" spans="1:30">
      <c r="A10" s="6" t="str">
        <f>'Template names'!C17</f>
        <v>3rd year of MTREF</v>
      </c>
      <c r="B10" s="5" t="s">
        <v>1427</v>
      </c>
      <c r="C10" s="5" t="s">
        <v>970</v>
      </c>
      <c r="D10" s="5" t="s">
        <v>1200</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1668</v>
      </c>
    </row>
    <row r="11" spans="1:30">
      <c r="A11" s="6" t="str">
        <f>'Template names'!C18</f>
        <v>1st yr of long term forecast</v>
      </c>
      <c r="B11" s="5" t="s">
        <v>1489</v>
      </c>
      <c r="C11" s="5" t="s">
        <v>1490</v>
      </c>
      <c r="D11" s="5" t="s">
        <v>1491</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1674</v>
      </c>
    </row>
    <row r="12" spans="1:30">
      <c r="A12" s="6" t="str">
        <f>'Template names'!C19</f>
        <v>Next yr of long term forecast</v>
      </c>
      <c r="B12" s="5" t="s">
        <v>1490</v>
      </c>
      <c r="C12" s="5" t="s">
        <v>1491</v>
      </c>
      <c r="D12" s="5" t="s">
        <v>1492</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1675</v>
      </c>
    </row>
    <row r="13" spans="1:30">
      <c r="A13" s="6" t="str">
        <f>'Template names'!C20</f>
        <v>Next yr of long term forecast</v>
      </c>
      <c r="B13" s="5" t="s">
        <v>1491</v>
      </c>
      <c r="C13" s="5" t="s">
        <v>1492</v>
      </c>
      <c r="D13" s="5" t="s">
        <v>788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c r="A14" s="6" t="str">
        <f>'Template names'!C21</f>
        <v>Next yr of long term forecast</v>
      </c>
      <c r="B14" s="5" t="s">
        <v>1492</v>
      </c>
      <c r="C14" s="5" t="s">
        <v>788</v>
      </c>
      <c r="D14" s="5" t="s">
        <v>789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9" t="s">
        <v>1736</v>
      </c>
      <c r="AA14" s="999" t="s">
        <v>2475</v>
      </c>
      <c r="AB14" s="999" t="s">
        <v>1737</v>
      </c>
      <c r="AC14" s="999" t="s">
        <v>2492</v>
      </c>
      <c r="AD14" s="999" t="s">
        <v>2506</v>
      </c>
    </row>
    <row r="15" spans="1:30">
      <c r="A15" s="6" t="str">
        <f>'Template names'!C22</f>
        <v>Next yr of long term forecast</v>
      </c>
      <c r="B15" s="5" t="s">
        <v>788</v>
      </c>
      <c r="C15" s="5" t="s">
        <v>789</v>
      </c>
      <c r="D15" s="5" t="s">
        <v>790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c r="A16" s="6" t="str">
        <f>'Template names'!C23</f>
        <v>Next yr of long term forecast</v>
      </c>
      <c r="B16" s="5" t="s">
        <v>789</v>
      </c>
      <c r="C16" s="5" t="s">
        <v>790</v>
      </c>
      <c r="D16" s="5" t="s">
        <v>791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2245</v>
      </c>
      <c r="AA16" s="2" t="s">
        <v>464</v>
      </c>
      <c r="AB16" s="2" t="s">
        <v>632</v>
      </c>
      <c r="AC16" s="2" t="s">
        <v>2502</v>
      </c>
      <c r="AD16" s="2" t="s">
        <v>2507</v>
      </c>
    </row>
    <row r="17" spans="1:30">
      <c r="A17" s="6" t="str">
        <f>'Template names'!C24</f>
        <v>Next yr of long term forecast</v>
      </c>
      <c r="B17" s="5" t="s">
        <v>790</v>
      </c>
      <c r="C17" s="5" t="s">
        <v>791</v>
      </c>
      <c r="D17" s="5" t="s">
        <v>1359</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2249</v>
      </c>
      <c r="AA17" s="2" t="s">
        <v>465</v>
      </c>
      <c r="AB17" s="2" t="s">
        <v>2246</v>
      </c>
      <c r="AC17" s="2" t="s">
        <v>2503</v>
      </c>
      <c r="AD17" s="2" t="s">
        <v>2508</v>
      </c>
    </row>
    <row r="18" spans="1:30">
      <c r="A18" s="6" t="str">
        <f>'Template names'!C25</f>
        <v>Next yr of long term forecast</v>
      </c>
      <c r="B18" s="5" t="s">
        <v>791</v>
      </c>
      <c r="C18" s="5" t="s">
        <v>1359</v>
      </c>
      <c r="D18" s="5" t="s">
        <v>1358</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2294</v>
      </c>
      <c r="AA18" s="2" t="s">
        <v>21</v>
      </c>
      <c r="AB18" s="2" t="s">
        <v>2247</v>
      </c>
      <c r="AC18" s="2" t="s">
        <v>2504</v>
      </c>
      <c r="AD18" s="2" t="s">
        <v>2509</v>
      </c>
    </row>
    <row r="19" spans="1:30">
      <c r="A19" s="6" t="str">
        <f>'Template names'!C26</f>
        <v>Next yr of long term forecast</v>
      </c>
      <c r="B19" s="5" t="s">
        <v>1359</v>
      </c>
      <c r="C19" s="5" t="s">
        <v>1358</v>
      </c>
      <c r="D19" s="5" t="s">
        <v>792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2295</v>
      </c>
      <c r="AA19" s="2" t="s">
        <v>22</v>
      </c>
      <c r="AB19" s="2" t="s">
        <v>2248</v>
      </c>
      <c r="AC19" s="2" t="s">
        <v>2505</v>
      </c>
      <c r="AD19" s="2" t="s">
        <v>2510</v>
      </c>
    </row>
    <row r="20" spans="1:30">
      <c r="A20" s="6" t="str">
        <f>'Template names'!C27</f>
        <v>Next yr of long term forecast</v>
      </c>
      <c r="B20" s="5" t="s">
        <v>1358</v>
      </c>
      <c r="C20" s="5" t="s">
        <v>792</v>
      </c>
      <c r="D20" s="5" t="s">
        <v>1424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2296</v>
      </c>
      <c r="AA20" s="2" t="s">
        <v>115</v>
      </c>
      <c r="AB20" s="2" t="s">
        <v>2250</v>
      </c>
      <c r="AD20" s="2" t="s">
        <v>2511</v>
      </c>
    </row>
    <row r="21" spans="1:30">
      <c r="A21" s="6" t="str">
        <f>'Template names'!C28</f>
        <v>Next yr of long term forecast</v>
      </c>
      <c r="B21" s="5" t="s">
        <v>792</v>
      </c>
      <c r="C21" s="5" t="s">
        <v>1424</v>
      </c>
      <c r="D21" s="5" t="s">
        <v>971</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2274</v>
      </c>
      <c r="AA21" s="2" t="s">
        <v>23</v>
      </c>
      <c r="AB21" s="2" t="s">
        <v>2251</v>
      </c>
      <c r="AD21" s="2" t="s">
        <v>2512</v>
      </c>
    </row>
    <row r="22" spans="1:30">
      <c r="A22" s="6" t="str">
        <f>'Template names'!C29</f>
        <v>Next yr of long term forecast</v>
      </c>
      <c r="B22" s="5" t="s">
        <v>1424</v>
      </c>
      <c r="C22" s="5" t="s">
        <v>971</v>
      </c>
      <c r="D22" s="5" t="s">
        <v>1201</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2290</v>
      </c>
      <c r="AA22" s="2" t="s">
        <v>24</v>
      </c>
      <c r="AB22" s="2" t="s">
        <v>2252</v>
      </c>
      <c r="AD22" s="2" t="s">
        <v>2513</v>
      </c>
    </row>
    <row r="23" spans="1:30">
      <c r="A23" s="6" t="s">
        <v>1204</v>
      </c>
      <c r="B23" s="5" t="s">
        <v>1506</v>
      </c>
      <c r="C23" s="5" t="s">
        <v>972</v>
      </c>
      <c r="D23" s="5" t="s">
        <v>1202</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2285</v>
      </c>
      <c r="AA23" s="2" t="s">
        <v>25</v>
      </c>
      <c r="AB23" s="2" t="s">
        <v>2253</v>
      </c>
      <c r="AD23" s="2" t="s">
        <v>2514</v>
      </c>
    </row>
    <row r="24" spans="1:30">
      <c r="A24" s="7" t="str">
        <f>A23</f>
        <v>Adjustments Budget</v>
      </c>
      <c r="B24" s="10" t="s">
        <v>1507</v>
      </c>
      <c r="C24" s="10" t="s">
        <v>973</v>
      </c>
      <c r="D24" s="10" t="s">
        <v>1203</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2281</v>
      </c>
      <c r="AA24" s="2" t="s">
        <v>26</v>
      </c>
      <c r="AB24" s="2" t="s">
        <v>2254</v>
      </c>
      <c r="AD24" s="2" t="s">
        <v>2515</v>
      </c>
    </row>
    <row r="25" spans="1:30" ht="18">
      <c r="A25" s="864" t="s">
        <v>469</v>
      </c>
      <c r="Z25" s="2" t="s">
        <v>2298</v>
      </c>
      <c r="AA25" s="2" t="s">
        <v>948</v>
      </c>
      <c r="AB25" s="2" t="s">
        <v>2255</v>
      </c>
      <c r="AD25" s="2" t="s">
        <v>2516</v>
      </c>
    </row>
    <row r="26" spans="1:30">
      <c r="Z26" s="2" t="s">
        <v>2316</v>
      </c>
      <c r="AA26" s="2" t="s">
        <v>271</v>
      </c>
      <c r="AB26" s="2" t="s">
        <v>2256</v>
      </c>
      <c r="AD26" s="2" t="s">
        <v>2517</v>
      </c>
    </row>
    <row r="27" spans="1:30" ht="12.75">
      <c r="A27" s="1327" t="s">
        <v>76</v>
      </c>
      <c r="B27" s="1327">
        <v>131</v>
      </c>
      <c r="C27" s="1327"/>
      <c r="D27" s="1327"/>
      <c r="Z27" s="2" t="s">
        <v>835</v>
      </c>
      <c r="AA27" s="2" t="s">
        <v>116</v>
      </c>
      <c r="AB27" s="2" t="s">
        <v>2257</v>
      </c>
      <c r="AD27" s="2" t="s">
        <v>2518</v>
      </c>
    </row>
    <row r="28" spans="1:30" ht="12.75">
      <c r="A28" s="1327" t="s">
        <v>75</v>
      </c>
      <c r="B28" s="1327" t="str">
        <f>INDEX(B29:B307,B27,1)</f>
        <v>LIM333 Greater Tzaneen</v>
      </c>
      <c r="C28" s="1327"/>
      <c r="D28" s="1327"/>
      <c r="Z28" s="2" t="s">
        <v>2353</v>
      </c>
      <c r="AA28" s="2" t="s">
        <v>2</v>
      </c>
      <c r="AB28" s="2" t="s">
        <v>2258</v>
      </c>
      <c r="AD28" s="2" t="s">
        <v>2519</v>
      </c>
    </row>
    <row r="29" spans="1:30" ht="12.75">
      <c r="A29" s="1327"/>
      <c r="B29" s="1327" t="s">
        <v>74</v>
      </c>
      <c r="C29" s="1327" t="s">
        <v>635</v>
      </c>
      <c r="D29" s="1327"/>
      <c r="Z29" s="2" t="s">
        <v>2356</v>
      </c>
      <c r="AA29" s="2" t="s">
        <v>1395</v>
      </c>
      <c r="AB29" s="2" t="s">
        <v>2259</v>
      </c>
      <c r="AD29" s="2" t="s">
        <v>2520</v>
      </c>
    </row>
    <row r="30" spans="1:30" ht="12.75">
      <c r="A30" s="1327"/>
      <c r="B30" s="1340" t="s">
        <v>1983</v>
      </c>
      <c r="C30" s="2457" t="s">
        <v>97</v>
      </c>
      <c r="D30" s="1327"/>
      <c r="Z30" s="2" t="s">
        <v>2324</v>
      </c>
      <c r="AA30" s="2" t="s">
        <v>434</v>
      </c>
      <c r="AB30" s="2" t="s">
        <v>2260</v>
      </c>
    </row>
    <row r="31" spans="1:30" ht="12.75">
      <c r="A31" s="1327"/>
      <c r="B31" s="1340" t="s">
        <v>1984</v>
      </c>
      <c r="C31" s="2458" t="s">
        <v>97</v>
      </c>
      <c r="D31" s="1327"/>
      <c r="Z31" s="2" t="s">
        <v>1493</v>
      </c>
      <c r="AA31" s="2" t="s">
        <v>1</v>
      </c>
      <c r="AB31" s="2" t="s">
        <v>2248</v>
      </c>
    </row>
    <row r="32" spans="1:30" ht="12.75">
      <c r="A32" s="1327"/>
      <c r="B32" s="1340" t="s">
        <v>2529</v>
      </c>
      <c r="C32" s="2457" t="s">
        <v>97</v>
      </c>
      <c r="D32" s="1327"/>
      <c r="Z32" s="2" t="s">
        <v>2337</v>
      </c>
      <c r="AA32" s="2" t="s">
        <v>288</v>
      </c>
      <c r="AB32" s="2" t="s">
        <v>2261</v>
      </c>
    </row>
    <row r="33" spans="1:28" ht="12.75">
      <c r="A33" s="1327"/>
      <c r="B33" s="1340" t="s">
        <v>1044</v>
      </c>
      <c r="C33" s="2457" t="s">
        <v>97</v>
      </c>
      <c r="D33" s="1327"/>
      <c r="Z33" s="2" t="s">
        <v>2338</v>
      </c>
      <c r="AA33" s="2" t="s">
        <v>0</v>
      </c>
      <c r="AB33" s="2" t="s">
        <v>2262</v>
      </c>
    </row>
    <row r="34" spans="1:28" ht="12.75">
      <c r="A34" s="1327"/>
      <c r="B34" s="1340" t="s">
        <v>1045</v>
      </c>
      <c r="C34" s="2457" t="s">
        <v>97</v>
      </c>
      <c r="D34" s="1327"/>
      <c r="Z34" s="2" t="s">
        <v>2339</v>
      </c>
      <c r="AA34" s="2" t="s">
        <v>1396</v>
      </c>
      <c r="AB34" s="2" t="s">
        <v>2263</v>
      </c>
    </row>
    <row r="35" spans="1:28" ht="12.75">
      <c r="A35" s="1327"/>
      <c r="B35" s="1340" t="s">
        <v>1046</v>
      </c>
      <c r="C35" s="2457" t="s">
        <v>97</v>
      </c>
      <c r="D35" s="1327"/>
      <c r="Z35" s="2" t="s">
        <v>2347</v>
      </c>
      <c r="AA35" s="2" t="s">
        <v>832</v>
      </c>
      <c r="AB35" s="2" t="s">
        <v>2264</v>
      </c>
    </row>
    <row r="36" spans="1:28" ht="12.75">
      <c r="A36" s="1327"/>
      <c r="B36" s="1340" t="s">
        <v>1047</v>
      </c>
      <c r="C36" s="2457" t="s">
        <v>97</v>
      </c>
      <c r="D36" s="1327"/>
      <c r="Z36" s="2" t="s">
        <v>2348</v>
      </c>
      <c r="AA36" s="2" t="s">
        <v>1340</v>
      </c>
      <c r="AB36" s="2" t="s">
        <v>2265</v>
      </c>
    </row>
    <row r="37" spans="1:28" ht="12.75">
      <c r="A37" s="1327"/>
      <c r="B37" s="1340" t="s">
        <v>1048</v>
      </c>
      <c r="C37" s="2458" t="s">
        <v>97</v>
      </c>
      <c r="D37" s="1327"/>
      <c r="Z37" s="2" t="s">
        <v>2349</v>
      </c>
      <c r="AA37" s="2" t="s">
        <v>1123</v>
      </c>
      <c r="AB37" s="2" t="s">
        <v>2266</v>
      </c>
    </row>
    <row r="38" spans="1:28" ht="12.75">
      <c r="A38" s="1327"/>
      <c r="B38" s="1340" t="s">
        <v>1653</v>
      </c>
      <c r="C38" s="2457" t="s">
        <v>97</v>
      </c>
      <c r="D38" s="1327"/>
      <c r="Z38" s="2" t="s">
        <v>2350</v>
      </c>
      <c r="AA38" s="2" t="s">
        <v>622</v>
      </c>
      <c r="AB38" s="2" t="s">
        <v>2267</v>
      </c>
    </row>
    <row r="39" spans="1:28" ht="12.75">
      <c r="A39" s="1327"/>
      <c r="B39" s="1340" t="s">
        <v>2023</v>
      </c>
      <c r="C39" s="1413" t="s">
        <v>97</v>
      </c>
      <c r="D39" s="1327"/>
      <c r="Z39" s="2" t="s">
        <v>2485</v>
      </c>
      <c r="AA39" s="2" t="s">
        <v>432</v>
      </c>
      <c r="AB39" s="2" t="s">
        <v>2268</v>
      </c>
    </row>
    <row r="40" spans="1:28" ht="12.75">
      <c r="A40" s="1327"/>
      <c r="B40" s="1340" t="s">
        <v>1049</v>
      </c>
      <c r="C40" s="1413" t="s">
        <v>97</v>
      </c>
      <c r="D40" s="1327"/>
      <c r="Z40" s="2" t="s">
        <v>2351</v>
      </c>
      <c r="AA40" s="2" t="s">
        <v>27</v>
      </c>
      <c r="AB40" s="2" t="s">
        <v>2269</v>
      </c>
    </row>
    <row r="41" spans="1:28" ht="12.75">
      <c r="A41" s="1327"/>
      <c r="B41" s="1340" t="s">
        <v>1050</v>
      </c>
      <c r="C41" s="1414" t="s">
        <v>97</v>
      </c>
      <c r="D41" s="1327"/>
      <c r="AA41" s="2" t="s">
        <v>1097</v>
      </c>
      <c r="AB41" s="2" t="s">
        <v>2248</v>
      </c>
    </row>
    <row r="42" spans="1:28" ht="12.75">
      <c r="A42" s="1327"/>
      <c r="B42" s="1340" t="s">
        <v>1051</v>
      </c>
      <c r="C42" s="1414" t="s">
        <v>97</v>
      </c>
      <c r="D42" s="1327"/>
      <c r="AA42" s="2" t="s">
        <v>433</v>
      </c>
      <c r="AB42" s="2" t="s">
        <v>2270</v>
      </c>
    </row>
    <row r="43" spans="1:28" ht="12.75">
      <c r="A43" s="1327"/>
      <c r="B43" s="1340" t="s">
        <v>1052</v>
      </c>
      <c r="C43" s="1414" t="s">
        <v>97</v>
      </c>
      <c r="D43" s="1327"/>
      <c r="AA43" s="2" t="s">
        <v>536</v>
      </c>
      <c r="AB43" s="2" t="s">
        <v>25</v>
      </c>
    </row>
    <row r="44" spans="1:28" ht="12.75">
      <c r="A44" s="1327"/>
      <c r="B44" s="1340" t="s">
        <v>1053</v>
      </c>
      <c r="C44" s="1414" t="s">
        <v>97</v>
      </c>
      <c r="D44" s="1327"/>
      <c r="AA44" s="2" t="s">
        <v>1739</v>
      </c>
      <c r="AB44" s="2" t="s">
        <v>2271</v>
      </c>
    </row>
    <row r="45" spans="1:28" ht="12.75">
      <c r="A45" s="1327"/>
      <c r="B45" s="1358" t="s">
        <v>2229</v>
      </c>
      <c r="C45" s="1414" t="s">
        <v>97</v>
      </c>
      <c r="D45" s="1327"/>
      <c r="AA45" s="2" t="s">
        <v>1740</v>
      </c>
      <c r="AB45" s="2" t="s">
        <v>2272</v>
      </c>
    </row>
    <row r="46" spans="1:28" ht="12.75">
      <c r="A46" s="1327"/>
      <c r="B46" s="1340" t="s">
        <v>1531</v>
      </c>
      <c r="C46" s="1414" t="s">
        <v>97</v>
      </c>
      <c r="D46" s="1327"/>
      <c r="AA46" s="2" t="s">
        <v>1741</v>
      </c>
      <c r="AB46" s="2" t="s">
        <v>2273</v>
      </c>
    </row>
    <row r="47" spans="1:28" ht="12.75">
      <c r="A47" s="1327"/>
      <c r="B47" s="1340" t="s">
        <v>1054</v>
      </c>
      <c r="C47" s="1414" t="s">
        <v>97</v>
      </c>
      <c r="D47" s="1327"/>
      <c r="AA47" s="2" t="s">
        <v>1742</v>
      </c>
      <c r="AB47" s="2" t="s">
        <v>2248</v>
      </c>
    </row>
    <row r="48" spans="1:28" ht="12.75">
      <c r="A48" s="1327"/>
      <c r="B48" s="1340" t="s">
        <v>157</v>
      </c>
      <c r="C48" s="1414" t="s">
        <v>97</v>
      </c>
      <c r="D48" s="1327"/>
      <c r="AA48" s="2" t="s">
        <v>1085</v>
      </c>
      <c r="AB48" s="2" t="s">
        <v>2275</v>
      </c>
    </row>
    <row r="49" spans="1:28" ht="12.75">
      <c r="A49" s="1327"/>
      <c r="B49" s="1340" t="s">
        <v>2230</v>
      </c>
      <c r="C49" s="1414" t="s">
        <v>97</v>
      </c>
      <c r="D49" s="1327"/>
      <c r="AA49" s="2" t="s">
        <v>537</v>
      </c>
      <c r="AB49" s="2" t="s">
        <v>2276</v>
      </c>
    </row>
    <row r="50" spans="1:28" ht="12.75">
      <c r="A50" s="1327"/>
      <c r="B50" s="1340" t="s">
        <v>158</v>
      </c>
      <c r="C50" s="1414" t="s">
        <v>97</v>
      </c>
      <c r="D50" s="1327"/>
      <c r="AA50" s="2" t="s">
        <v>538</v>
      </c>
      <c r="AB50" s="2" t="s">
        <v>2277</v>
      </c>
    </row>
    <row r="51" spans="1:28" ht="12.75">
      <c r="A51" s="1327"/>
      <c r="B51" s="1340" t="s">
        <v>159</v>
      </c>
      <c r="C51" s="1413" t="s">
        <v>97</v>
      </c>
      <c r="D51" s="1327"/>
      <c r="AA51" s="2" t="s">
        <v>1086</v>
      </c>
      <c r="AB51" s="2" t="s">
        <v>2278</v>
      </c>
    </row>
    <row r="52" spans="1:28" ht="12.75">
      <c r="A52" s="1327"/>
      <c r="B52" s="1358" t="s">
        <v>2231</v>
      </c>
      <c r="C52" s="1413" t="s">
        <v>97</v>
      </c>
      <c r="D52" s="1327"/>
      <c r="AA52" s="2" t="s">
        <v>1087</v>
      </c>
      <c r="AB52" s="2" t="s">
        <v>2279</v>
      </c>
    </row>
    <row r="53" spans="1:28" ht="12.75">
      <c r="A53" s="1327"/>
      <c r="B53" s="1340" t="s">
        <v>1518</v>
      </c>
      <c r="C53" s="1413" t="s">
        <v>97</v>
      </c>
      <c r="D53" s="1327"/>
      <c r="AA53" s="2" t="s">
        <v>1339</v>
      </c>
      <c r="AB53" s="2" t="s">
        <v>2280</v>
      </c>
    </row>
    <row r="54" spans="1:28" ht="12.75">
      <c r="A54" s="1327"/>
      <c r="B54" s="1340" t="s">
        <v>160</v>
      </c>
      <c r="C54" s="1413" t="s">
        <v>97</v>
      </c>
      <c r="D54" s="1327"/>
      <c r="AA54" s="2" t="s">
        <v>273</v>
      </c>
      <c r="AB54" s="2" t="s">
        <v>2248</v>
      </c>
    </row>
    <row r="55" spans="1:28" ht="12.75">
      <c r="A55" s="1327"/>
      <c r="B55" s="1340" t="s">
        <v>161</v>
      </c>
      <c r="C55" s="1413" t="s">
        <v>97</v>
      </c>
      <c r="D55" s="1327"/>
      <c r="AA55" s="2" t="s">
        <v>272</v>
      </c>
      <c r="AB55" s="2" t="s">
        <v>2291</v>
      </c>
    </row>
    <row r="56" spans="1:28" ht="12.75">
      <c r="A56" s="1327"/>
      <c r="B56" s="1358" t="s">
        <v>2232</v>
      </c>
      <c r="C56" s="1413" t="s">
        <v>97</v>
      </c>
      <c r="D56" s="1327"/>
      <c r="AA56" s="2" t="s">
        <v>539</v>
      </c>
      <c r="AB56" s="2" t="s">
        <v>2292</v>
      </c>
    </row>
    <row r="57" spans="1:28" ht="12.75">
      <c r="A57" s="1327"/>
      <c r="B57" s="1340" t="s">
        <v>1650</v>
      </c>
      <c r="C57" s="1413" t="s">
        <v>97</v>
      </c>
      <c r="D57" s="1327"/>
      <c r="AA57" s="2" t="s">
        <v>841</v>
      </c>
      <c r="AB57" s="2" t="s">
        <v>2293</v>
      </c>
    </row>
    <row r="58" spans="1:28" ht="12.75">
      <c r="A58" s="1327"/>
      <c r="B58" s="1340" t="s">
        <v>1534</v>
      </c>
      <c r="C58" s="1266" t="s">
        <v>97</v>
      </c>
      <c r="D58" s="1327"/>
      <c r="AA58" s="2" t="s">
        <v>245</v>
      </c>
      <c r="AB58" s="2" t="s">
        <v>2250</v>
      </c>
    </row>
    <row r="59" spans="1:28" ht="12.75">
      <c r="A59" s="1327"/>
      <c r="B59" s="1340" t="s">
        <v>734</v>
      </c>
      <c r="C59" s="1266" t="s">
        <v>97</v>
      </c>
      <c r="D59" s="1327"/>
      <c r="AB59" s="2" t="s">
        <v>2251</v>
      </c>
    </row>
    <row r="60" spans="1:28" ht="12.75">
      <c r="A60" s="1327"/>
      <c r="B60" s="1340" t="s">
        <v>735</v>
      </c>
      <c r="C60" s="1413" t="s">
        <v>97</v>
      </c>
      <c r="D60" s="1327"/>
      <c r="Z60" s="999" t="s">
        <v>1981</v>
      </c>
      <c r="AA60" s="999"/>
      <c r="AB60" s="2" t="s">
        <v>2252</v>
      </c>
    </row>
    <row r="61" spans="1:28" ht="12.75">
      <c r="A61" s="1327"/>
      <c r="B61" s="1340" t="s">
        <v>736</v>
      </c>
      <c r="C61" s="1413" t="s">
        <v>97</v>
      </c>
      <c r="D61" s="1327"/>
      <c r="Z61" s="1642" t="s">
        <v>1809</v>
      </c>
      <c r="AA61" s="1642" t="s">
        <v>1810</v>
      </c>
      <c r="AB61" s="2" t="s">
        <v>2257</v>
      </c>
    </row>
    <row r="62" spans="1:28" ht="12.75">
      <c r="A62" s="1327"/>
      <c r="B62" s="1340" t="s">
        <v>737</v>
      </c>
      <c r="C62" s="1413" t="s">
        <v>97</v>
      </c>
      <c r="D62" s="1327"/>
      <c r="Z62" s="1643" t="s">
        <v>364</v>
      </c>
      <c r="AA62" s="1643" t="s">
        <v>1808</v>
      </c>
      <c r="AB62" s="2" t="s">
        <v>2260</v>
      </c>
    </row>
    <row r="63" spans="1:28" ht="12.75">
      <c r="A63" s="1327"/>
      <c r="B63" s="1340" t="s">
        <v>1520</v>
      </c>
      <c r="C63" s="1413" t="s">
        <v>97</v>
      </c>
      <c r="D63" s="1327"/>
      <c r="Z63" s="1643" t="s">
        <v>709</v>
      </c>
      <c r="AA63" s="1643" t="s">
        <v>1469</v>
      </c>
      <c r="AB63" s="2" t="s">
        <v>2248</v>
      </c>
    </row>
    <row r="64" spans="1:28" ht="12.75">
      <c r="A64" s="1327"/>
      <c r="B64" s="1340" t="s">
        <v>1535</v>
      </c>
      <c r="C64" s="1414" t="s">
        <v>97</v>
      </c>
      <c r="D64" s="1327"/>
      <c r="AB64" s="2" t="s">
        <v>2286</v>
      </c>
    </row>
    <row r="65" spans="1:28" ht="12.75">
      <c r="A65" s="1327"/>
      <c r="B65" s="1340" t="s">
        <v>1536</v>
      </c>
      <c r="C65" s="1413" t="s">
        <v>97</v>
      </c>
      <c r="D65" s="1327"/>
      <c r="AB65" s="2" t="s">
        <v>2287</v>
      </c>
    </row>
    <row r="66" spans="1:28" ht="12.75">
      <c r="A66" s="1327"/>
      <c r="B66" s="1340" t="s">
        <v>1715</v>
      </c>
      <c r="C66" s="1413" t="s">
        <v>97</v>
      </c>
      <c r="D66" s="1327"/>
      <c r="Z66" s="999" t="s">
        <v>1982</v>
      </c>
      <c r="AB66" s="2" t="s">
        <v>2288</v>
      </c>
    </row>
    <row r="67" spans="1:28" ht="12.75">
      <c r="A67" s="1327"/>
      <c r="B67" s="1340" t="s">
        <v>1716</v>
      </c>
      <c r="C67" s="1413" t="s">
        <v>97</v>
      </c>
      <c r="D67" s="1327"/>
      <c r="Z67" s="2" t="s">
        <v>364</v>
      </c>
      <c r="AB67" s="2" t="s">
        <v>2289</v>
      </c>
    </row>
    <row r="68" spans="1:28" ht="12.75">
      <c r="A68" s="1327"/>
      <c r="B68" s="1340" t="s">
        <v>420</v>
      </c>
      <c r="C68" s="1413" t="s">
        <v>97</v>
      </c>
      <c r="D68" s="1327"/>
      <c r="Z68" s="2" t="s">
        <v>709</v>
      </c>
      <c r="AB68" s="2" t="s">
        <v>2248</v>
      </c>
    </row>
    <row r="69" spans="1:28" ht="12.75">
      <c r="A69" s="1327"/>
      <c r="B69" s="1340" t="s">
        <v>1985</v>
      </c>
      <c r="C69" s="1413" t="s">
        <v>1522</v>
      </c>
      <c r="D69" s="1327"/>
      <c r="AB69" s="2" t="s">
        <v>2282</v>
      </c>
    </row>
    <row r="70" spans="1:28" ht="12.75">
      <c r="A70" s="1327"/>
      <c r="B70" s="1340" t="s">
        <v>738</v>
      </c>
      <c r="C70" s="1413" t="s">
        <v>1522</v>
      </c>
      <c r="D70" s="1327"/>
      <c r="AB70" s="2" t="s">
        <v>2283</v>
      </c>
    </row>
    <row r="71" spans="1:28" ht="12.75">
      <c r="A71" s="1327"/>
      <c r="B71" s="1340" t="s">
        <v>739</v>
      </c>
      <c r="C71" s="1413" t="s">
        <v>1522</v>
      </c>
      <c r="D71" s="1327"/>
      <c r="AB71" s="2" t="s">
        <v>2284</v>
      </c>
    </row>
    <row r="72" spans="1:28" ht="12.75">
      <c r="A72" s="1327"/>
      <c r="B72" s="1340" t="s">
        <v>740</v>
      </c>
      <c r="C72" s="1413" t="s">
        <v>1522</v>
      </c>
      <c r="D72" s="1327"/>
      <c r="AB72" s="2" t="s">
        <v>2248</v>
      </c>
    </row>
    <row r="73" spans="1:28" ht="12.75">
      <c r="A73" s="1327"/>
      <c r="B73" s="1340" t="s">
        <v>1521</v>
      </c>
      <c r="C73" s="1413" t="s">
        <v>1522</v>
      </c>
      <c r="D73" s="1327"/>
      <c r="AB73" s="2" t="s">
        <v>2299</v>
      </c>
    </row>
    <row r="74" spans="1:28" ht="12.75">
      <c r="A74" s="1327"/>
      <c r="B74" s="1340" t="s">
        <v>741</v>
      </c>
      <c r="C74" s="1413" t="s">
        <v>1522</v>
      </c>
      <c r="D74" s="1327"/>
      <c r="AB74" s="2" t="s">
        <v>2300</v>
      </c>
    </row>
    <row r="75" spans="1:28" ht="12.75">
      <c r="A75" s="1327"/>
      <c r="B75" s="1340" t="s">
        <v>742</v>
      </c>
      <c r="C75" s="1413" t="s">
        <v>1522</v>
      </c>
      <c r="D75" s="1327"/>
      <c r="AB75" s="2" t="s">
        <v>2301</v>
      </c>
    </row>
    <row r="76" spans="1:28" ht="12.75">
      <c r="A76" s="1327"/>
      <c r="B76" s="1340" t="s">
        <v>743</v>
      </c>
      <c r="C76" s="1413" t="s">
        <v>1522</v>
      </c>
      <c r="D76" s="1327"/>
      <c r="AB76" s="2" t="s">
        <v>2302</v>
      </c>
    </row>
    <row r="77" spans="1:28" ht="12.75">
      <c r="A77" s="1327"/>
      <c r="B77" s="1340" t="s">
        <v>744</v>
      </c>
      <c r="C77" s="1413" t="s">
        <v>1522</v>
      </c>
      <c r="D77" s="1327"/>
      <c r="AB77" s="2" t="s">
        <v>2303</v>
      </c>
    </row>
    <row r="78" spans="1:28" ht="12.75">
      <c r="A78" s="1327"/>
      <c r="B78" s="1340" t="s">
        <v>745</v>
      </c>
      <c r="C78" s="1413" t="s">
        <v>1522</v>
      </c>
      <c r="D78" s="1327"/>
      <c r="AB78" s="2" t="s">
        <v>2304</v>
      </c>
    </row>
    <row r="79" spans="1:28" ht="12.75">
      <c r="A79" s="1327"/>
      <c r="B79" s="1340" t="s">
        <v>1525</v>
      </c>
      <c r="C79" s="1413" t="s">
        <v>1522</v>
      </c>
      <c r="D79" s="1327"/>
      <c r="AB79" s="2" t="s">
        <v>2305</v>
      </c>
    </row>
    <row r="80" spans="1:28" ht="12.75">
      <c r="A80" s="1327"/>
      <c r="B80" s="1340" t="s">
        <v>746</v>
      </c>
      <c r="C80" s="1413" t="s">
        <v>1522</v>
      </c>
      <c r="D80" s="1327"/>
      <c r="AB80" s="2" t="s">
        <v>2306</v>
      </c>
    </row>
    <row r="81" spans="1:28" ht="12.75">
      <c r="A81" s="1327"/>
      <c r="B81" s="1340" t="s">
        <v>747</v>
      </c>
      <c r="C81" s="1413" t="s">
        <v>1522</v>
      </c>
      <c r="D81" s="1327"/>
      <c r="AB81" s="2" t="s">
        <v>2307</v>
      </c>
    </row>
    <row r="82" spans="1:28" ht="12.75">
      <c r="A82" s="1327"/>
      <c r="B82" s="1340" t="s">
        <v>748</v>
      </c>
      <c r="C82" s="1413" t="s">
        <v>1522</v>
      </c>
      <c r="D82" s="1327"/>
      <c r="AB82" s="2" t="s">
        <v>288</v>
      </c>
    </row>
    <row r="83" spans="1:28" ht="12.75">
      <c r="A83" s="1327"/>
      <c r="B83" s="1340" t="s">
        <v>1537</v>
      </c>
      <c r="C83" s="1413" t="s">
        <v>1522</v>
      </c>
      <c r="D83" s="1327"/>
      <c r="AB83" s="2" t="s">
        <v>2308</v>
      </c>
    </row>
    <row r="84" spans="1:28" ht="12.75">
      <c r="A84" s="1327"/>
      <c r="B84" s="1340" t="s">
        <v>749</v>
      </c>
      <c r="C84" s="1413" t="s">
        <v>1522</v>
      </c>
      <c r="D84" s="1327"/>
      <c r="AB84" s="2" t="s">
        <v>1452</v>
      </c>
    </row>
    <row r="85" spans="1:28" ht="12.75">
      <c r="A85" s="1327"/>
      <c r="B85" s="1340" t="s">
        <v>1717</v>
      </c>
      <c r="C85" s="1413" t="s">
        <v>1522</v>
      </c>
      <c r="D85" s="1327"/>
      <c r="AB85" s="2" t="s">
        <v>2309</v>
      </c>
    </row>
    <row r="86" spans="1:28" ht="12.75">
      <c r="A86" s="1327"/>
      <c r="B86" s="1340" t="s">
        <v>1527</v>
      </c>
      <c r="C86" s="1413" t="s">
        <v>1522</v>
      </c>
      <c r="D86" s="1327"/>
      <c r="AB86" s="2" t="s">
        <v>2310</v>
      </c>
    </row>
    <row r="87" spans="1:28" ht="12.75">
      <c r="A87" s="1327"/>
      <c r="B87" s="1340" t="s">
        <v>750</v>
      </c>
      <c r="C87" s="1413" t="s">
        <v>1522</v>
      </c>
      <c r="D87" s="1327"/>
      <c r="AB87" s="2" t="s">
        <v>2311</v>
      </c>
    </row>
    <row r="88" spans="1:28" ht="12.75">
      <c r="A88" s="1327"/>
      <c r="B88" s="1340" t="s">
        <v>751</v>
      </c>
      <c r="C88" s="1413" t="s">
        <v>1522</v>
      </c>
      <c r="D88" s="1327"/>
      <c r="AB88" s="2" t="s">
        <v>2312</v>
      </c>
    </row>
    <row r="89" spans="1:28" ht="12.75">
      <c r="A89" s="1327"/>
      <c r="B89" s="1340" t="s">
        <v>775</v>
      </c>
      <c r="C89" s="1413" t="s">
        <v>1522</v>
      </c>
      <c r="D89" s="1327"/>
      <c r="AB89" s="2" t="s">
        <v>1087</v>
      </c>
    </row>
    <row r="90" spans="1:28" ht="12.75">
      <c r="A90" s="1327"/>
      <c r="B90" s="1340" t="s">
        <v>776</v>
      </c>
      <c r="C90" s="1413" t="s">
        <v>1522</v>
      </c>
      <c r="D90" s="1327"/>
      <c r="AB90" s="2" t="s">
        <v>2313</v>
      </c>
    </row>
    <row r="91" spans="1:28" ht="12.75">
      <c r="A91" s="1327"/>
      <c r="B91" s="1340" t="s">
        <v>1530</v>
      </c>
      <c r="C91" s="1413" t="s">
        <v>1522</v>
      </c>
      <c r="D91" s="1327"/>
      <c r="AB91" s="2" t="s">
        <v>1086</v>
      </c>
    </row>
    <row r="92" spans="1:28" ht="12.75">
      <c r="A92" s="1327"/>
      <c r="B92" s="1340" t="s">
        <v>2530</v>
      </c>
      <c r="C92" s="1413" t="s">
        <v>1038</v>
      </c>
      <c r="D92" s="1327"/>
      <c r="AB92" s="2" t="s">
        <v>2314</v>
      </c>
    </row>
    <row r="93" spans="1:28" ht="12.75">
      <c r="A93" s="1327"/>
      <c r="B93" s="1340" t="s">
        <v>1986</v>
      </c>
      <c r="C93" s="1413" t="s">
        <v>1038</v>
      </c>
      <c r="D93" s="1327"/>
      <c r="AB93" s="2" t="s">
        <v>2315</v>
      </c>
    </row>
    <row r="94" spans="1:28" ht="12.75">
      <c r="A94" s="1327"/>
      <c r="B94" s="1340" t="s">
        <v>1987</v>
      </c>
      <c r="C94" s="1413" t="s">
        <v>1038</v>
      </c>
      <c r="D94" s="1327"/>
      <c r="AB94" s="2" t="s">
        <v>2248</v>
      </c>
    </row>
    <row r="95" spans="1:28" ht="12.75">
      <c r="A95" s="1327"/>
      <c r="B95" s="1340" t="s">
        <v>777</v>
      </c>
      <c r="C95" s="1413" t="s">
        <v>1038</v>
      </c>
      <c r="D95" s="1327"/>
      <c r="AB95" s="2" t="s">
        <v>2317</v>
      </c>
    </row>
    <row r="96" spans="1:28" ht="12.75">
      <c r="A96" s="1327"/>
      <c r="B96" s="1340" t="s">
        <v>778</v>
      </c>
      <c r="C96" s="1413" t="s">
        <v>1038</v>
      </c>
      <c r="D96" s="1327"/>
      <c r="AB96" s="2" t="s">
        <v>2318</v>
      </c>
    </row>
    <row r="97" spans="1:28" ht="12.75">
      <c r="A97" s="1327"/>
      <c r="B97" s="1340" t="s">
        <v>214</v>
      </c>
      <c r="C97" s="1413" t="s">
        <v>1038</v>
      </c>
      <c r="D97" s="1327"/>
      <c r="AB97" s="2" t="s">
        <v>2248</v>
      </c>
    </row>
    <row r="98" spans="1:28" ht="12.75">
      <c r="A98" s="1327"/>
      <c r="B98" s="1340" t="s">
        <v>1037</v>
      </c>
      <c r="C98" s="1413" t="s">
        <v>1038</v>
      </c>
      <c r="D98" s="1327"/>
      <c r="AB98" s="2" t="s">
        <v>2319</v>
      </c>
    </row>
    <row r="99" spans="1:28" ht="12.75">
      <c r="A99" s="1327"/>
      <c r="B99" s="1340" t="s">
        <v>716</v>
      </c>
      <c r="C99" s="1413" t="s">
        <v>1038</v>
      </c>
      <c r="D99" s="1327"/>
      <c r="AB99" s="2" t="s">
        <v>2320</v>
      </c>
    </row>
    <row r="100" spans="1:28" ht="12.75">
      <c r="A100" s="1327"/>
      <c r="B100" s="1340" t="s">
        <v>1654</v>
      </c>
      <c r="C100" s="1413" t="s">
        <v>1038</v>
      </c>
      <c r="D100" s="1327"/>
      <c r="AB100" s="2" t="s">
        <v>2321</v>
      </c>
    </row>
    <row r="101" spans="1:28" ht="12.75">
      <c r="A101" s="1327"/>
      <c r="B101" s="1358" t="s">
        <v>2233</v>
      </c>
      <c r="C101" s="1413" t="s">
        <v>1038</v>
      </c>
      <c r="D101" s="1327"/>
      <c r="AB101" s="2" t="s">
        <v>2322</v>
      </c>
    </row>
    <row r="102" spans="1:28" ht="12.75">
      <c r="A102" s="1327"/>
      <c r="B102" s="1340" t="s">
        <v>1039</v>
      </c>
      <c r="C102" s="1413" t="s">
        <v>1038</v>
      </c>
      <c r="D102" s="1327"/>
      <c r="AB102" s="2" t="s">
        <v>2323</v>
      </c>
    </row>
    <row r="103" spans="1:28" ht="12.75">
      <c r="A103" s="1327"/>
      <c r="B103" s="1340" t="s">
        <v>1988</v>
      </c>
      <c r="C103" s="1413" t="s">
        <v>1651</v>
      </c>
      <c r="D103" s="1327"/>
      <c r="AB103" s="2" t="s">
        <v>2354</v>
      </c>
    </row>
    <row r="104" spans="1:28" ht="12.75">
      <c r="A104" s="1327"/>
      <c r="B104" s="1340" t="s">
        <v>1538</v>
      </c>
      <c r="C104" s="1413" t="s">
        <v>1651</v>
      </c>
      <c r="D104" s="1327"/>
      <c r="AB104" s="2" t="s">
        <v>2355</v>
      </c>
    </row>
    <row r="105" spans="1:28" ht="12.75">
      <c r="A105" s="1327"/>
      <c r="B105" s="1340" t="s">
        <v>1539</v>
      </c>
      <c r="C105" s="2457" t="s">
        <v>1651</v>
      </c>
      <c r="D105" s="1327"/>
      <c r="AB105" s="2" t="s">
        <v>2325</v>
      </c>
    </row>
    <row r="106" spans="1:28" ht="12.75">
      <c r="A106" s="1327"/>
      <c r="B106" s="1340" t="s">
        <v>1540</v>
      </c>
      <c r="C106" s="2457" t="s">
        <v>1651</v>
      </c>
      <c r="D106" s="1327"/>
      <c r="AB106" s="2" t="s">
        <v>2326</v>
      </c>
    </row>
    <row r="107" spans="1:28" ht="12.75">
      <c r="A107" s="1327"/>
      <c r="B107" s="1340" t="s">
        <v>2234</v>
      </c>
      <c r="C107" s="2457" t="s">
        <v>1651</v>
      </c>
      <c r="D107" s="1327"/>
      <c r="AB107" s="2" t="s">
        <v>2327</v>
      </c>
    </row>
    <row r="108" spans="1:28" ht="12.75">
      <c r="A108" s="1327"/>
      <c r="B108" s="1340" t="s">
        <v>996</v>
      </c>
      <c r="C108" s="2457" t="s">
        <v>1651</v>
      </c>
      <c r="D108" s="1327"/>
      <c r="AB108" s="2" t="s">
        <v>2328</v>
      </c>
    </row>
    <row r="109" spans="1:28" ht="12.75">
      <c r="A109" s="1327"/>
      <c r="B109" s="1340" t="s">
        <v>1541</v>
      </c>
      <c r="C109" s="2457" t="s">
        <v>1651</v>
      </c>
      <c r="D109" s="1327"/>
      <c r="AB109" s="2" t="s">
        <v>2329</v>
      </c>
    </row>
    <row r="110" spans="1:28" ht="12.75">
      <c r="A110" s="1327"/>
      <c r="B110" s="1340" t="s">
        <v>1542</v>
      </c>
      <c r="C110" s="2457" t="s">
        <v>1651</v>
      </c>
      <c r="D110" s="1327"/>
      <c r="AB110" s="2" t="s">
        <v>2330</v>
      </c>
    </row>
    <row r="111" spans="1:28" ht="12.75">
      <c r="A111" s="1327"/>
      <c r="B111" s="1340" t="s">
        <v>1543</v>
      </c>
      <c r="C111" s="2457" t="s">
        <v>1651</v>
      </c>
      <c r="D111" s="1327"/>
      <c r="AB111" s="2" t="s">
        <v>2331</v>
      </c>
    </row>
    <row r="112" spans="1:28" ht="12.75">
      <c r="A112" s="1327"/>
      <c r="B112" s="1340" t="s">
        <v>1544</v>
      </c>
      <c r="C112" s="2457" t="s">
        <v>1651</v>
      </c>
      <c r="D112" s="1327"/>
      <c r="AB112" s="2" t="s">
        <v>2332</v>
      </c>
    </row>
    <row r="113" spans="1:28" ht="12.75">
      <c r="A113" s="1327"/>
      <c r="B113" s="1340" t="s">
        <v>1545</v>
      </c>
      <c r="C113" s="2457" t="s">
        <v>1651</v>
      </c>
      <c r="D113" s="1327"/>
      <c r="AB113" s="2" t="s">
        <v>2333</v>
      </c>
    </row>
    <row r="114" spans="1:28" ht="12.75">
      <c r="A114" s="1327"/>
      <c r="B114" s="1340" t="s">
        <v>1546</v>
      </c>
      <c r="C114" s="2457" t="s">
        <v>1651</v>
      </c>
      <c r="D114" s="1327"/>
      <c r="AB114" s="2" t="s">
        <v>2334</v>
      </c>
    </row>
    <row r="115" spans="1:28" ht="12.75">
      <c r="A115" s="1327"/>
      <c r="B115" s="1340" t="s">
        <v>1547</v>
      </c>
      <c r="C115" s="2457" t="s">
        <v>1651</v>
      </c>
      <c r="D115" s="1327"/>
      <c r="AB115" s="2" t="s">
        <v>2248</v>
      </c>
    </row>
    <row r="116" spans="1:28" ht="12.75">
      <c r="A116" s="1327"/>
      <c r="B116" s="1340" t="s">
        <v>998</v>
      </c>
      <c r="C116" s="2457" t="s">
        <v>1651</v>
      </c>
      <c r="D116" s="1327"/>
      <c r="AB116" s="2" t="s">
        <v>2335</v>
      </c>
    </row>
    <row r="117" spans="1:28" ht="12.75">
      <c r="A117" s="1327"/>
      <c r="B117" s="1340" t="s">
        <v>1548</v>
      </c>
      <c r="C117" s="2457" t="s">
        <v>1651</v>
      </c>
      <c r="D117" s="1327"/>
      <c r="AB117" s="2" t="s">
        <v>2336</v>
      </c>
    </row>
    <row r="118" spans="1:28" ht="12.75">
      <c r="A118" s="1327"/>
      <c r="B118" s="1358" t="s">
        <v>2235</v>
      </c>
      <c r="C118" s="2457" t="s">
        <v>1651</v>
      </c>
      <c r="D118" s="1327"/>
      <c r="AB118" s="2" t="s">
        <v>2248</v>
      </c>
    </row>
    <row r="119" spans="1:28" ht="12.75">
      <c r="A119" s="1327"/>
      <c r="B119" s="1358" t="s">
        <v>2236</v>
      </c>
      <c r="C119" s="2457" t="s">
        <v>1651</v>
      </c>
      <c r="D119" s="1327"/>
      <c r="AB119" s="2" t="s">
        <v>2341</v>
      </c>
    </row>
    <row r="120" spans="1:28" ht="12.75">
      <c r="A120" s="1327"/>
      <c r="B120" s="1340" t="s">
        <v>1000</v>
      </c>
      <c r="C120" s="2457" t="s">
        <v>1651</v>
      </c>
      <c r="D120" s="1327"/>
      <c r="AB120" s="2" t="s">
        <v>2342</v>
      </c>
    </row>
    <row r="121" spans="1:28" ht="12.75">
      <c r="A121" s="1327"/>
      <c r="B121" s="1340" t="s">
        <v>1549</v>
      </c>
      <c r="C121" s="2457" t="s">
        <v>1651</v>
      </c>
      <c r="D121" s="1327"/>
      <c r="AB121" s="2" t="s">
        <v>2343</v>
      </c>
    </row>
    <row r="122" spans="1:28" ht="12.75">
      <c r="A122" s="1327"/>
      <c r="B122" s="1340" t="s">
        <v>1550</v>
      </c>
      <c r="C122" s="2457" t="s">
        <v>1651</v>
      </c>
      <c r="D122" s="1327"/>
      <c r="AB122" s="2" t="s">
        <v>2344</v>
      </c>
    </row>
    <row r="123" spans="1:28" ht="12.75">
      <c r="A123" s="1327"/>
      <c r="B123" s="1340" t="s">
        <v>1551</v>
      </c>
      <c r="C123" s="2457" t="s">
        <v>1651</v>
      </c>
      <c r="D123" s="1327"/>
      <c r="AB123" s="2" t="s">
        <v>2345</v>
      </c>
    </row>
    <row r="124" spans="1:28" ht="12.75">
      <c r="A124" s="1327"/>
      <c r="B124" s="1340" t="s">
        <v>1552</v>
      </c>
      <c r="C124" s="2457" t="s">
        <v>1651</v>
      </c>
      <c r="D124" s="1327"/>
      <c r="AB124" s="2" t="s">
        <v>2346</v>
      </c>
    </row>
    <row r="125" spans="1:28" ht="12.75">
      <c r="A125" s="1327"/>
      <c r="B125" s="1340" t="s">
        <v>1001</v>
      </c>
      <c r="C125" s="1413" t="s">
        <v>1651</v>
      </c>
      <c r="D125" s="1327"/>
    </row>
    <row r="126" spans="1:28" ht="12.75">
      <c r="A126" s="1327"/>
      <c r="B126" s="1340" t="s">
        <v>1553</v>
      </c>
      <c r="C126" s="1413" t="s">
        <v>1651</v>
      </c>
      <c r="D126" s="1327"/>
    </row>
    <row r="127" spans="1:28" ht="12.75">
      <c r="A127" s="1327"/>
      <c r="B127" s="1340" t="s">
        <v>2531</v>
      </c>
      <c r="C127" s="1413" t="s">
        <v>1651</v>
      </c>
      <c r="D127" s="1327"/>
    </row>
    <row r="128" spans="1:28" ht="12.75">
      <c r="A128" s="1327"/>
      <c r="B128" s="1340" t="s">
        <v>1554</v>
      </c>
      <c r="C128" s="1413" t="s">
        <v>1651</v>
      </c>
      <c r="D128" s="1327"/>
    </row>
    <row r="129" spans="1:4" ht="12.75">
      <c r="A129" s="1327"/>
      <c r="B129" s="1340" t="s">
        <v>1002</v>
      </c>
      <c r="C129" s="1413" t="s">
        <v>1651</v>
      </c>
      <c r="D129" s="1327"/>
    </row>
    <row r="130" spans="1:4" ht="12.75">
      <c r="A130" s="1327"/>
      <c r="B130" s="1340" t="s">
        <v>1555</v>
      </c>
      <c r="C130" s="1413" t="s">
        <v>1651</v>
      </c>
      <c r="D130" s="1327"/>
    </row>
    <row r="131" spans="1:4" ht="12.75">
      <c r="A131" s="1327"/>
      <c r="B131" s="1340" t="s">
        <v>1556</v>
      </c>
      <c r="C131" s="1413" t="s">
        <v>1651</v>
      </c>
      <c r="D131" s="1327"/>
    </row>
    <row r="132" spans="1:4" ht="12.75">
      <c r="A132" s="1327"/>
      <c r="B132" s="1340" t="s">
        <v>39</v>
      </c>
      <c r="C132" s="1413" t="s">
        <v>1651</v>
      </c>
      <c r="D132" s="1327"/>
    </row>
    <row r="133" spans="1:4" ht="12.75">
      <c r="A133" s="1327"/>
      <c r="B133" s="1340" t="s">
        <v>40</v>
      </c>
      <c r="C133" s="1413" t="s">
        <v>1651</v>
      </c>
      <c r="D133" s="1327"/>
    </row>
    <row r="134" spans="1:4" ht="12.75">
      <c r="A134" s="1327"/>
      <c r="B134" s="1340" t="s">
        <v>41</v>
      </c>
      <c r="C134" s="1413" t="s">
        <v>1651</v>
      </c>
      <c r="D134" s="1327"/>
    </row>
    <row r="135" spans="1:4" ht="12.75">
      <c r="A135" s="1327"/>
      <c r="B135" s="1340" t="s">
        <v>1004</v>
      </c>
      <c r="C135" s="1414" t="s">
        <v>1651</v>
      </c>
      <c r="D135" s="1327"/>
    </row>
    <row r="136" spans="1:4" ht="12.75">
      <c r="A136" s="1327"/>
      <c r="B136" s="1340" t="s">
        <v>42</v>
      </c>
      <c r="C136" s="1414" t="s">
        <v>1651</v>
      </c>
      <c r="D136" s="1327"/>
    </row>
    <row r="137" spans="1:4" ht="12.75">
      <c r="A137" s="1327"/>
      <c r="B137" s="1340" t="s">
        <v>43</v>
      </c>
      <c r="C137" s="1414" t="s">
        <v>1651</v>
      </c>
      <c r="D137" s="1327"/>
    </row>
    <row r="138" spans="1:4" ht="12.75">
      <c r="A138" s="1327"/>
      <c r="B138" s="1340" t="s">
        <v>44</v>
      </c>
      <c r="C138" s="1414" t="s">
        <v>1651</v>
      </c>
      <c r="D138" s="1327"/>
    </row>
    <row r="139" spans="1:4" ht="12.75">
      <c r="A139" s="1327"/>
      <c r="B139" s="1358" t="s">
        <v>2532</v>
      </c>
      <c r="C139" s="1414" t="s">
        <v>1651</v>
      </c>
      <c r="D139" s="1327"/>
    </row>
    <row r="140" spans="1:4" ht="12.75">
      <c r="A140" s="1327"/>
      <c r="B140" s="1340" t="s">
        <v>1006</v>
      </c>
      <c r="C140" s="1414" t="s">
        <v>1651</v>
      </c>
      <c r="D140" s="1327"/>
    </row>
    <row r="141" spans="1:4" ht="12.75">
      <c r="A141" s="1327"/>
      <c r="B141" s="1340" t="s">
        <v>1655</v>
      </c>
      <c r="C141" s="1414" t="s">
        <v>1651</v>
      </c>
      <c r="D141" s="1327"/>
    </row>
    <row r="142" spans="1:4" ht="12.75">
      <c r="A142" s="1327"/>
      <c r="B142" s="1340" t="s">
        <v>45</v>
      </c>
      <c r="C142" s="1414" t="s">
        <v>1651</v>
      </c>
      <c r="D142" s="1327"/>
    </row>
    <row r="143" spans="1:4" ht="12.75">
      <c r="A143" s="1327"/>
      <c r="B143" s="1340" t="s">
        <v>1656</v>
      </c>
      <c r="C143" s="1414" t="s">
        <v>1651</v>
      </c>
      <c r="D143" s="1327"/>
    </row>
    <row r="144" spans="1:4" ht="12.75">
      <c r="A144" s="1327"/>
      <c r="B144" s="1340" t="s">
        <v>46</v>
      </c>
      <c r="C144" s="1414" t="s">
        <v>1651</v>
      </c>
      <c r="D144" s="1327"/>
    </row>
    <row r="145" spans="1:4" ht="12.75">
      <c r="A145" s="1327"/>
      <c r="B145" s="1340" t="s">
        <v>47</v>
      </c>
      <c r="C145" s="1414" t="s">
        <v>1651</v>
      </c>
      <c r="D145" s="1327"/>
    </row>
    <row r="146" spans="1:4" ht="12.75">
      <c r="A146" s="1327"/>
      <c r="B146" s="1340" t="s">
        <v>2237</v>
      </c>
      <c r="C146" s="1414" t="s">
        <v>1651</v>
      </c>
      <c r="D146" s="1327"/>
    </row>
    <row r="147" spans="1:4" ht="12.75">
      <c r="A147" s="1327"/>
      <c r="B147" s="1340" t="s">
        <v>48</v>
      </c>
      <c r="C147" s="1414" t="s">
        <v>1651</v>
      </c>
      <c r="D147" s="1327"/>
    </row>
    <row r="148" spans="1:4" ht="12.75">
      <c r="A148" s="1327"/>
      <c r="B148" s="1340" t="s">
        <v>49</v>
      </c>
      <c r="C148" s="1414" t="s">
        <v>1651</v>
      </c>
      <c r="D148" s="1327"/>
    </row>
    <row r="149" spans="1:4" ht="12.75">
      <c r="A149" s="1327"/>
      <c r="B149" s="1340" t="s">
        <v>50</v>
      </c>
      <c r="C149" s="1414" t="s">
        <v>1651</v>
      </c>
      <c r="D149" s="1327"/>
    </row>
    <row r="150" spans="1:4" ht="12.75">
      <c r="A150" s="1327"/>
      <c r="B150" s="1340" t="s">
        <v>51</v>
      </c>
      <c r="C150" s="1414" t="s">
        <v>1651</v>
      </c>
      <c r="D150" s="1327"/>
    </row>
    <row r="151" spans="1:4" ht="12.75">
      <c r="A151" s="1327"/>
      <c r="B151" s="1340" t="s">
        <v>1011</v>
      </c>
      <c r="C151" s="1414" t="s">
        <v>1651</v>
      </c>
      <c r="D151" s="1327"/>
    </row>
    <row r="152" spans="1:4" ht="12.75">
      <c r="A152" s="1327"/>
      <c r="B152" s="1340" t="s">
        <v>52</v>
      </c>
      <c r="C152" s="1414" t="s">
        <v>1651</v>
      </c>
      <c r="D152" s="1327"/>
    </row>
    <row r="153" spans="1:4" ht="12.75">
      <c r="A153" s="1327"/>
      <c r="B153" s="1340" t="s">
        <v>53</v>
      </c>
      <c r="C153" s="1414" t="s">
        <v>1651</v>
      </c>
      <c r="D153" s="1327"/>
    </row>
    <row r="154" spans="1:4" ht="12.75">
      <c r="A154" s="1327"/>
      <c r="B154" s="1340" t="s">
        <v>54</v>
      </c>
      <c r="C154" s="1414" t="s">
        <v>1651</v>
      </c>
      <c r="D154" s="1327"/>
    </row>
    <row r="155" spans="1:4" ht="12.75">
      <c r="A155" s="1327"/>
      <c r="B155" s="1358" t="s">
        <v>2238</v>
      </c>
      <c r="C155" s="1414" t="s">
        <v>1651</v>
      </c>
      <c r="D155" s="1327"/>
    </row>
    <row r="156" spans="1:4" ht="12.75">
      <c r="A156" s="1327"/>
      <c r="B156" s="1340" t="s">
        <v>2016</v>
      </c>
      <c r="C156" s="1414" t="s">
        <v>1651</v>
      </c>
      <c r="D156" s="1327"/>
    </row>
    <row r="157" spans="1:4" ht="12.75">
      <c r="A157" s="1327"/>
      <c r="B157" s="1340" t="s">
        <v>55</v>
      </c>
      <c r="C157" s="1414" t="s">
        <v>1989</v>
      </c>
      <c r="D157" s="1327"/>
    </row>
    <row r="158" spans="1:4" ht="12.75">
      <c r="A158" s="1327"/>
      <c r="B158" s="1340" t="s">
        <v>56</v>
      </c>
      <c r="C158" s="1414" t="s">
        <v>1989</v>
      </c>
      <c r="D158" s="1327"/>
    </row>
    <row r="159" spans="1:4" ht="12.75">
      <c r="A159" s="1327"/>
      <c r="B159" s="1340" t="s">
        <v>57</v>
      </c>
      <c r="C159" s="1414" t="s">
        <v>1989</v>
      </c>
      <c r="D159" s="1327"/>
    </row>
    <row r="160" spans="1:4" ht="12.75">
      <c r="A160" s="1327"/>
      <c r="B160" s="1340" t="s">
        <v>58</v>
      </c>
      <c r="C160" s="1414" t="s">
        <v>1989</v>
      </c>
      <c r="D160" s="1327"/>
    </row>
    <row r="161" spans="1:4" ht="12.75">
      <c r="A161" s="1327"/>
      <c r="B161" s="1340" t="s">
        <v>59</v>
      </c>
      <c r="C161" s="1414" t="s">
        <v>1989</v>
      </c>
      <c r="D161" s="1327"/>
    </row>
    <row r="162" spans="1:4" ht="12.75">
      <c r="A162" s="1327"/>
      <c r="B162" s="1340" t="s">
        <v>1020</v>
      </c>
      <c r="C162" s="1414" t="s">
        <v>1989</v>
      </c>
      <c r="D162" s="1327"/>
    </row>
    <row r="163" spans="1:4" ht="12.75">
      <c r="A163" s="1327"/>
      <c r="B163" s="1340" t="s">
        <v>60</v>
      </c>
      <c r="C163" s="1414" t="s">
        <v>1989</v>
      </c>
      <c r="D163" s="1327"/>
    </row>
    <row r="164" spans="1:4" ht="12.75">
      <c r="A164" s="1327"/>
      <c r="B164" s="1340" t="s">
        <v>61</v>
      </c>
      <c r="C164" s="1414" t="s">
        <v>1989</v>
      </c>
      <c r="D164" s="1327"/>
    </row>
    <row r="165" spans="1:4" ht="12.75">
      <c r="A165" s="1327"/>
      <c r="B165" s="1340" t="s">
        <v>62</v>
      </c>
      <c r="C165" s="1414" t="s">
        <v>1989</v>
      </c>
      <c r="D165" s="1327"/>
    </row>
    <row r="166" spans="1:4" ht="12.75">
      <c r="A166" s="1327"/>
      <c r="B166" s="1358" t="s">
        <v>2533</v>
      </c>
      <c r="C166" s="1414" t="s">
        <v>1989</v>
      </c>
      <c r="D166" s="1327"/>
    </row>
    <row r="167" spans="1:4" ht="12.75">
      <c r="A167" s="1327"/>
      <c r="B167" s="1340" t="s">
        <v>1023</v>
      </c>
      <c r="C167" s="1414" t="s">
        <v>1989</v>
      </c>
      <c r="D167" s="1327"/>
    </row>
    <row r="168" spans="1:4" ht="12.75">
      <c r="A168" s="1327"/>
      <c r="B168" s="1340" t="s">
        <v>63</v>
      </c>
      <c r="C168" s="1414" t="s">
        <v>1989</v>
      </c>
      <c r="D168" s="1327"/>
    </row>
    <row r="169" spans="1:4" ht="12.75">
      <c r="A169" s="1327"/>
      <c r="B169" s="1340" t="s">
        <v>64</v>
      </c>
      <c r="C169" s="1414" t="s">
        <v>1989</v>
      </c>
      <c r="D169" s="1327"/>
    </row>
    <row r="170" spans="1:4" ht="12.75">
      <c r="A170" s="1327"/>
      <c r="B170" s="1340" t="s">
        <v>65</v>
      </c>
      <c r="C170" s="1414" t="s">
        <v>1989</v>
      </c>
      <c r="D170" s="1327"/>
    </row>
    <row r="171" spans="1:4" ht="12.75">
      <c r="A171" s="1327"/>
      <c r="B171" s="1340" t="s">
        <v>66</v>
      </c>
      <c r="C171" s="1414" t="s">
        <v>1989</v>
      </c>
      <c r="D171" s="1327"/>
    </row>
    <row r="172" spans="1:4" ht="12.75">
      <c r="A172" s="1327"/>
      <c r="B172" s="1340" t="s">
        <v>1024</v>
      </c>
      <c r="C172" s="1414" t="s">
        <v>1989</v>
      </c>
      <c r="D172" s="1327"/>
    </row>
    <row r="173" spans="1:4" ht="12.75">
      <c r="A173" s="1327"/>
      <c r="B173" s="1340" t="s">
        <v>67</v>
      </c>
      <c r="C173" s="1414" t="s">
        <v>1989</v>
      </c>
      <c r="D173" s="1327"/>
    </row>
    <row r="174" spans="1:4" ht="12.75">
      <c r="A174" s="1327"/>
      <c r="B174" s="1340" t="s">
        <v>68</v>
      </c>
      <c r="C174" s="1414" t="s">
        <v>1989</v>
      </c>
      <c r="D174" s="1327"/>
    </row>
    <row r="175" spans="1:4" ht="12.75">
      <c r="A175" s="1327"/>
      <c r="B175" s="1340" t="s">
        <v>69</v>
      </c>
      <c r="C175" s="1414" t="s">
        <v>1989</v>
      </c>
      <c r="D175" s="1327"/>
    </row>
    <row r="176" spans="1:4" ht="12.75">
      <c r="A176" s="1327"/>
      <c r="B176" s="1340" t="s">
        <v>70</v>
      </c>
      <c r="C176" s="1414" t="s">
        <v>1989</v>
      </c>
      <c r="D176" s="1327"/>
    </row>
    <row r="177" spans="1:4" ht="12.75">
      <c r="A177" s="1327"/>
      <c r="B177" s="1358" t="s">
        <v>2239</v>
      </c>
      <c r="C177" s="1414" t="s">
        <v>1989</v>
      </c>
      <c r="D177" s="1327"/>
    </row>
    <row r="178" spans="1:4" ht="12.75">
      <c r="A178" s="1327"/>
      <c r="B178" s="1340" t="s">
        <v>1025</v>
      </c>
      <c r="C178" s="1414" t="s">
        <v>1989</v>
      </c>
      <c r="D178" s="1327"/>
    </row>
    <row r="179" spans="1:4" ht="12.75">
      <c r="A179" s="1327"/>
      <c r="B179" s="1340" t="s">
        <v>1657</v>
      </c>
      <c r="C179" s="1413" t="s">
        <v>1989</v>
      </c>
      <c r="D179" s="1327"/>
    </row>
    <row r="180" spans="1:4" ht="12.75">
      <c r="A180" s="1327"/>
      <c r="B180" s="1340" t="s">
        <v>71</v>
      </c>
      <c r="C180" s="1413" t="s">
        <v>1989</v>
      </c>
      <c r="D180" s="1327"/>
    </row>
    <row r="181" spans="1:4" ht="12.75">
      <c r="A181" s="1327"/>
      <c r="B181" s="1340" t="s">
        <v>1658</v>
      </c>
      <c r="C181" s="1413" t="s">
        <v>1989</v>
      </c>
      <c r="D181" s="1327"/>
    </row>
    <row r="182" spans="1:4" ht="12.75">
      <c r="A182" s="1327"/>
      <c r="B182" s="1358" t="s">
        <v>2534</v>
      </c>
      <c r="C182" s="1413" t="s">
        <v>1989</v>
      </c>
      <c r="D182" s="1327"/>
    </row>
    <row r="183" spans="1:4" ht="12.75">
      <c r="A183" s="1327"/>
      <c r="B183" s="1340" t="s">
        <v>1713</v>
      </c>
      <c r="C183" s="1413" t="s">
        <v>1989</v>
      </c>
      <c r="D183" s="1327"/>
    </row>
    <row r="184" spans="1:4" ht="12.75">
      <c r="A184" s="1327"/>
      <c r="B184" s="1340" t="s">
        <v>717</v>
      </c>
      <c r="C184" s="1413" t="s">
        <v>1015</v>
      </c>
      <c r="D184" s="1327"/>
    </row>
    <row r="185" spans="1:4" ht="12.75">
      <c r="A185" s="1327"/>
      <c r="B185" s="1340" t="s">
        <v>718</v>
      </c>
      <c r="C185" s="1413" t="s">
        <v>1015</v>
      </c>
      <c r="D185" s="1327"/>
    </row>
    <row r="186" spans="1:4" ht="12.75">
      <c r="A186" s="1327"/>
      <c r="B186" s="1340" t="s">
        <v>719</v>
      </c>
      <c r="C186" s="1413" t="s">
        <v>1015</v>
      </c>
      <c r="D186" s="1327"/>
    </row>
    <row r="187" spans="1:4" ht="12.75">
      <c r="A187" s="1327"/>
      <c r="B187" s="1340" t="s">
        <v>1659</v>
      </c>
      <c r="C187" s="1413" t="s">
        <v>1015</v>
      </c>
      <c r="D187" s="1327"/>
    </row>
    <row r="188" spans="1:4" ht="12.75">
      <c r="A188" s="1327"/>
      <c r="B188" s="1340" t="s">
        <v>720</v>
      </c>
      <c r="C188" s="1413" t="s">
        <v>1015</v>
      </c>
      <c r="D188" s="1327"/>
    </row>
    <row r="189" spans="1:4" ht="12.75">
      <c r="A189" s="1327"/>
      <c r="B189" s="1340" t="s">
        <v>721</v>
      </c>
      <c r="C189" s="1413" t="s">
        <v>1015</v>
      </c>
      <c r="D189" s="1327"/>
    </row>
    <row r="190" spans="1:4" ht="12.75">
      <c r="A190" s="1327"/>
      <c r="B190" s="1340" t="s">
        <v>722</v>
      </c>
      <c r="C190" s="1413" t="s">
        <v>1015</v>
      </c>
      <c r="D190" s="1327"/>
    </row>
    <row r="191" spans="1:4" ht="12.75">
      <c r="A191" s="1327"/>
      <c r="B191" s="1340" t="s">
        <v>1014</v>
      </c>
      <c r="C191" s="1413" t="s">
        <v>1015</v>
      </c>
      <c r="D191" s="1327"/>
    </row>
    <row r="192" spans="1:4" ht="12.75">
      <c r="A192" s="1327"/>
      <c r="B192" s="1340" t="s">
        <v>1660</v>
      </c>
      <c r="C192" s="1413" t="s">
        <v>1015</v>
      </c>
      <c r="D192" s="1327"/>
    </row>
    <row r="193" spans="1:4" ht="12.75">
      <c r="A193" s="1327"/>
      <c r="B193" s="1340" t="s">
        <v>1718</v>
      </c>
      <c r="C193" s="1413" t="s">
        <v>1015</v>
      </c>
      <c r="D193" s="1327"/>
    </row>
    <row r="194" spans="1:4" ht="12.75">
      <c r="A194" s="1327"/>
      <c r="B194" s="1340" t="s">
        <v>723</v>
      </c>
      <c r="C194" s="1413" t="s">
        <v>1015</v>
      </c>
      <c r="D194" s="1327"/>
    </row>
    <row r="195" spans="1:4" ht="12.75">
      <c r="A195" s="1327"/>
      <c r="B195" s="1340" t="s">
        <v>724</v>
      </c>
      <c r="C195" s="1413" t="s">
        <v>1015</v>
      </c>
      <c r="D195" s="1327"/>
    </row>
    <row r="196" spans="1:4" ht="12.75">
      <c r="A196" s="1327"/>
      <c r="B196" s="1340" t="s">
        <v>1719</v>
      </c>
      <c r="C196" s="1413" t="s">
        <v>1015</v>
      </c>
      <c r="D196" s="1327"/>
    </row>
    <row r="197" spans="1:4" ht="12.75">
      <c r="A197" s="1327"/>
      <c r="B197" s="1340" t="s">
        <v>72</v>
      </c>
      <c r="C197" s="1413" t="s">
        <v>1015</v>
      </c>
      <c r="D197" s="1327"/>
    </row>
    <row r="198" spans="1:4" ht="12.75">
      <c r="A198" s="1327"/>
      <c r="B198" s="1340" t="s">
        <v>1017</v>
      </c>
      <c r="C198" s="1413" t="s">
        <v>1015</v>
      </c>
      <c r="D198" s="1327"/>
    </row>
    <row r="199" spans="1:4" ht="12.75">
      <c r="A199" s="1327"/>
      <c r="B199" s="1340" t="s">
        <v>725</v>
      </c>
      <c r="C199" s="1413" t="s">
        <v>1015</v>
      </c>
      <c r="D199" s="1327"/>
    </row>
    <row r="200" spans="1:4" ht="12.75">
      <c r="A200" s="1327"/>
      <c r="B200" s="1340" t="s">
        <v>726</v>
      </c>
      <c r="C200" s="1413" t="s">
        <v>1015</v>
      </c>
      <c r="D200" s="1327"/>
    </row>
    <row r="201" spans="1:4" ht="12.75">
      <c r="A201" s="1327"/>
      <c r="B201" s="1340" t="s">
        <v>727</v>
      </c>
      <c r="C201" s="1413" t="s">
        <v>1015</v>
      </c>
      <c r="D201" s="1327"/>
    </row>
    <row r="202" spans="1:4" ht="12.75">
      <c r="A202" s="1327"/>
      <c r="B202" s="1358" t="s">
        <v>2240</v>
      </c>
      <c r="C202" s="1413" t="s">
        <v>1015</v>
      </c>
      <c r="D202" s="1327"/>
    </row>
    <row r="203" spans="1:4" ht="12.75">
      <c r="A203" s="1327"/>
      <c r="B203" s="1340" t="s">
        <v>1018</v>
      </c>
      <c r="C203" s="1413" t="s">
        <v>1015</v>
      </c>
      <c r="D203" s="1327"/>
    </row>
    <row r="204" spans="1:4" ht="12.75">
      <c r="A204" s="1327"/>
      <c r="B204" s="1340" t="s">
        <v>1661</v>
      </c>
      <c r="C204" s="1413" t="s">
        <v>1042</v>
      </c>
      <c r="D204" s="1327"/>
    </row>
    <row r="205" spans="1:4" ht="12.75">
      <c r="A205" s="1327"/>
      <c r="B205" s="1340" t="s">
        <v>225</v>
      </c>
      <c r="C205" s="1413" t="s">
        <v>1042</v>
      </c>
      <c r="D205" s="1327"/>
    </row>
    <row r="206" spans="1:4" ht="12.75">
      <c r="A206" s="1327"/>
      <c r="B206" s="1340" t="s">
        <v>226</v>
      </c>
      <c r="C206" s="1413" t="s">
        <v>1042</v>
      </c>
      <c r="D206" s="1327"/>
    </row>
    <row r="207" spans="1:4" ht="12.75">
      <c r="A207" s="1327"/>
      <c r="B207" s="1340" t="s">
        <v>1652</v>
      </c>
      <c r="C207" s="1413" t="s">
        <v>1042</v>
      </c>
      <c r="D207" s="1327"/>
    </row>
    <row r="208" spans="1:4" ht="12.75">
      <c r="A208" s="1327"/>
      <c r="B208" s="1340" t="s">
        <v>728</v>
      </c>
      <c r="C208" s="1413" t="s">
        <v>1042</v>
      </c>
      <c r="D208" s="1327"/>
    </row>
    <row r="209" spans="1:4" ht="12.75">
      <c r="A209" s="1327"/>
      <c r="B209" s="1340" t="s">
        <v>729</v>
      </c>
      <c r="C209" s="1413" t="s">
        <v>1042</v>
      </c>
      <c r="D209" s="1327"/>
    </row>
    <row r="210" spans="1:4" ht="12.75">
      <c r="A210" s="1327"/>
      <c r="B210" s="1340" t="s">
        <v>730</v>
      </c>
      <c r="C210" s="1413" t="s">
        <v>1042</v>
      </c>
      <c r="D210" s="1327"/>
    </row>
    <row r="211" spans="1:4" ht="12.75">
      <c r="A211" s="1327"/>
      <c r="B211" s="1340" t="s">
        <v>731</v>
      </c>
      <c r="C211" s="1413" t="s">
        <v>1042</v>
      </c>
      <c r="D211" s="1327"/>
    </row>
    <row r="212" spans="1:4" ht="12.75">
      <c r="A212" s="1327"/>
      <c r="B212" s="1340" t="s">
        <v>732</v>
      </c>
      <c r="C212" s="1413" t="s">
        <v>1042</v>
      </c>
      <c r="D212" s="1327"/>
    </row>
    <row r="213" spans="1:4" ht="12.75">
      <c r="A213" s="1327"/>
      <c r="B213" s="1340" t="s">
        <v>733</v>
      </c>
      <c r="C213" s="1413" t="s">
        <v>1042</v>
      </c>
      <c r="D213" s="1327"/>
    </row>
    <row r="214" spans="1:4" ht="12.75">
      <c r="A214" s="1327"/>
      <c r="B214" s="1340" t="s">
        <v>1041</v>
      </c>
      <c r="C214" s="1413" t="s">
        <v>1042</v>
      </c>
      <c r="D214" s="1327"/>
    </row>
    <row r="215" spans="1:4" ht="12.75">
      <c r="A215" s="1327"/>
      <c r="B215" s="1340" t="s">
        <v>1111</v>
      </c>
      <c r="C215" s="1413" t="s">
        <v>1042</v>
      </c>
      <c r="D215" s="1327"/>
    </row>
    <row r="216" spans="1:4" ht="12.75">
      <c r="A216" s="1327"/>
      <c r="B216" s="1340" t="s">
        <v>1112</v>
      </c>
      <c r="C216" s="1413" t="s">
        <v>1042</v>
      </c>
      <c r="D216" s="1327"/>
    </row>
    <row r="217" spans="1:4" ht="12.75">
      <c r="A217" s="1327"/>
      <c r="B217" s="1340" t="s">
        <v>1113</v>
      </c>
      <c r="C217" s="1413" t="s">
        <v>1042</v>
      </c>
      <c r="D217" s="1327"/>
    </row>
    <row r="218" spans="1:4" ht="12.75">
      <c r="A218" s="1327"/>
      <c r="B218" s="1340" t="s">
        <v>1114</v>
      </c>
      <c r="C218" s="1413" t="s">
        <v>1042</v>
      </c>
      <c r="D218" s="1327"/>
    </row>
    <row r="219" spans="1:4" ht="12.75">
      <c r="A219" s="1327"/>
      <c r="B219" s="1340" t="s">
        <v>1115</v>
      </c>
      <c r="C219" s="1413" t="s">
        <v>1042</v>
      </c>
      <c r="D219" s="1327"/>
    </row>
    <row r="220" spans="1:4" ht="12.75">
      <c r="A220" s="1327"/>
      <c r="B220" s="1340" t="s">
        <v>1116</v>
      </c>
      <c r="C220" s="1413" t="s">
        <v>1042</v>
      </c>
      <c r="D220" s="1327"/>
    </row>
    <row r="221" spans="1:4" ht="12.75">
      <c r="A221" s="1327"/>
      <c r="B221" s="1340" t="s">
        <v>215</v>
      </c>
      <c r="C221" s="1413" t="s">
        <v>1042</v>
      </c>
      <c r="D221" s="1327"/>
    </row>
    <row r="222" spans="1:4" ht="12.75">
      <c r="A222" s="1327"/>
      <c r="B222" s="1340" t="s">
        <v>216</v>
      </c>
      <c r="C222" s="1413" t="s">
        <v>1042</v>
      </c>
      <c r="D222" s="1327"/>
    </row>
    <row r="223" spans="1:4" ht="12.75">
      <c r="A223" s="1327"/>
      <c r="B223" s="1340" t="s">
        <v>1714</v>
      </c>
      <c r="C223" s="1413" t="s">
        <v>1042</v>
      </c>
      <c r="D223" s="1327"/>
    </row>
    <row r="224" spans="1:4" ht="12.75">
      <c r="A224" s="1327"/>
      <c r="B224" s="1340" t="s">
        <v>217</v>
      </c>
      <c r="C224" s="1413" t="s">
        <v>1042</v>
      </c>
      <c r="D224" s="1327"/>
    </row>
    <row r="225" spans="1:4" ht="12.75">
      <c r="A225" s="1327"/>
      <c r="B225" s="1340" t="s">
        <v>218</v>
      </c>
      <c r="C225" s="1413" t="s">
        <v>1042</v>
      </c>
      <c r="D225" s="1327"/>
    </row>
    <row r="226" spans="1:4" ht="12.75">
      <c r="A226" s="1327"/>
      <c r="B226" s="1340" t="s">
        <v>219</v>
      </c>
      <c r="C226" s="1413" t="s">
        <v>1042</v>
      </c>
      <c r="D226" s="1327"/>
    </row>
    <row r="227" spans="1:4" ht="12.75">
      <c r="A227" s="1327"/>
      <c r="B227" s="1340" t="s">
        <v>220</v>
      </c>
      <c r="C227" s="1413" t="s">
        <v>1042</v>
      </c>
      <c r="D227" s="1327"/>
    </row>
    <row r="228" spans="1:4" ht="12.75">
      <c r="A228" s="1327"/>
      <c r="B228" s="1358" t="s">
        <v>2241</v>
      </c>
      <c r="C228" s="1413" t="s">
        <v>1042</v>
      </c>
      <c r="D228" s="1327"/>
    </row>
    <row r="229" spans="1:4" ht="12.75">
      <c r="A229" s="1327"/>
      <c r="B229" s="1340" t="s">
        <v>2242</v>
      </c>
      <c r="C229" s="1413" t="s">
        <v>1042</v>
      </c>
      <c r="D229" s="1327"/>
    </row>
    <row r="230" spans="1:4" ht="12.75">
      <c r="A230" s="1327"/>
      <c r="B230" s="1340" t="s">
        <v>221</v>
      </c>
      <c r="C230" s="1413" t="s">
        <v>1042</v>
      </c>
      <c r="D230" s="1327"/>
    </row>
    <row r="231" spans="1:4" ht="12.75">
      <c r="A231" s="1327"/>
      <c r="B231" s="1340" t="s">
        <v>222</v>
      </c>
      <c r="C231" s="1413" t="s">
        <v>1042</v>
      </c>
      <c r="D231" s="1327"/>
    </row>
    <row r="232" spans="1:4" ht="12.75">
      <c r="A232" s="1327"/>
      <c r="B232" s="1340" t="s">
        <v>223</v>
      </c>
      <c r="C232" s="1413" t="s">
        <v>1042</v>
      </c>
      <c r="D232" s="1327"/>
    </row>
    <row r="233" spans="1:4" ht="12.75">
      <c r="A233" s="1327"/>
      <c r="B233" s="1340" t="s">
        <v>224</v>
      </c>
      <c r="C233" s="1413" t="s">
        <v>1042</v>
      </c>
      <c r="D233" s="1327"/>
    </row>
    <row r="234" spans="1:4" ht="12.75">
      <c r="A234" s="1327"/>
      <c r="B234" s="1340" t="s">
        <v>1043</v>
      </c>
      <c r="C234" s="1413" t="s">
        <v>1042</v>
      </c>
      <c r="D234" s="1327"/>
    </row>
    <row r="235" spans="1:4" ht="12.75">
      <c r="A235" s="1327"/>
      <c r="B235" s="1340" t="s">
        <v>227</v>
      </c>
      <c r="C235" s="1413" t="s">
        <v>1027</v>
      </c>
      <c r="D235" s="1327"/>
    </row>
    <row r="236" spans="1:4" ht="12.75">
      <c r="A236" s="1327"/>
      <c r="B236" s="1340" t="s">
        <v>228</v>
      </c>
      <c r="C236" s="1413" t="s">
        <v>1027</v>
      </c>
      <c r="D236" s="1327"/>
    </row>
    <row r="237" spans="1:4" ht="12.75">
      <c r="A237" s="1327"/>
      <c r="B237" s="1340" t="s">
        <v>229</v>
      </c>
      <c r="C237" s="1413" t="s">
        <v>1027</v>
      </c>
      <c r="D237" s="1327"/>
    </row>
    <row r="238" spans="1:4" ht="12.75">
      <c r="A238" s="1327"/>
      <c r="B238" s="1340" t="s">
        <v>230</v>
      </c>
      <c r="C238" s="1413" t="s">
        <v>1027</v>
      </c>
      <c r="D238" s="1327"/>
    </row>
    <row r="239" spans="1:4" ht="12.75">
      <c r="A239" s="1327"/>
      <c r="B239" s="1340" t="s">
        <v>177</v>
      </c>
      <c r="C239" s="1413" t="s">
        <v>1027</v>
      </c>
      <c r="D239" s="1327"/>
    </row>
    <row r="240" spans="1:4" ht="12.75">
      <c r="A240" s="1327"/>
      <c r="B240" s="1340" t="s">
        <v>1026</v>
      </c>
      <c r="C240" s="1413" t="s">
        <v>1027</v>
      </c>
      <c r="D240" s="1327"/>
    </row>
    <row r="241" spans="1:4" ht="12.75">
      <c r="A241" s="1327"/>
      <c r="B241" s="1340" t="s">
        <v>178</v>
      </c>
      <c r="C241" s="1413" t="s">
        <v>1027</v>
      </c>
      <c r="D241" s="1327"/>
    </row>
    <row r="242" spans="1:4" ht="12.75">
      <c r="A242" s="1327"/>
      <c r="B242" s="1340" t="s">
        <v>179</v>
      </c>
      <c r="C242" s="1413" t="s">
        <v>1027</v>
      </c>
      <c r="D242" s="1327"/>
    </row>
    <row r="243" spans="1:4" ht="12.75">
      <c r="A243" s="1327"/>
      <c r="B243" s="1340" t="s">
        <v>180</v>
      </c>
      <c r="C243" s="1413" t="s">
        <v>1027</v>
      </c>
      <c r="D243" s="1327"/>
    </row>
    <row r="244" spans="1:4" ht="12.75">
      <c r="A244" s="1327"/>
      <c r="B244" s="1340" t="s">
        <v>181</v>
      </c>
      <c r="C244" s="1413" t="s">
        <v>1027</v>
      </c>
      <c r="D244" s="1327"/>
    </row>
    <row r="245" spans="1:4" ht="12.75">
      <c r="A245" s="1327"/>
      <c r="B245" s="1340" t="s">
        <v>182</v>
      </c>
      <c r="C245" s="1413" t="s">
        <v>1027</v>
      </c>
      <c r="D245" s="1327"/>
    </row>
    <row r="246" spans="1:4" ht="12.75">
      <c r="A246" s="1327"/>
      <c r="B246" s="1340" t="s">
        <v>1028</v>
      </c>
      <c r="C246" s="1413" t="s">
        <v>1027</v>
      </c>
      <c r="D246" s="1327"/>
    </row>
    <row r="247" spans="1:4" ht="12.75">
      <c r="A247" s="1327"/>
      <c r="B247" s="1340" t="s">
        <v>183</v>
      </c>
      <c r="C247" s="1413" t="s">
        <v>1027</v>
      </c>
      <c r="D247" s="1327"/>
    </row>
    <row r="248" spans="1:4" ht="12.75">
      <c r="A248" s="1327"/>
      <c r="B248" s="1340" t="s">
        <v>184</v>
      </c>
      <c r="C248" s="1413" t="s">
        <v>1027</v>
      </c>
      <c r="D248" s="1327"/>
    </row>
    <row r="249" spans="1:4" ht="12.75">
      <c r="A249" s="1327"/>
      <c r="B249" s="1340" t="s">
        <v>185</v>
      </c>
      <c r="C249" s="1413" t="s">
        <v>1027</v>
      </c>
      <c r="D249" s="1327"/>
    </row>
    <row r="250" spans="1:4" ht="12.75">
      <c r="A250" s="1327"/>
      <c r="B250" s="1340" t="s">
        <v>186</v>
      </c>
      <c r="C250" s="1413" t="s">
        <v>1027</v>
      </c>
      <c r="D250" s="1327"/>
    </row>
    <row r="251" spans="1:4" ht="12.75">
      <c r="A251" s="1327"/>
      <c r="B251" s="1340" t="s">
        <v>2243</v>
      </c>
      <c r="C251" s="1413" t="s">
        <v>1027</v>
      </c>
      <c r="D251" s="1327"/>
    </row>
    <row r="252" spans="1:4" ht="12.75">
      <c r="A252" s="1327"/>
      <c r="B252" s="1340" t="s">
        <v>1532</v>
      </c>
      <c r="C252" s="1413" t="s">
        <v>1027</v>
      </c>
      <c r="D252" s="1327"/>
    </row>
    <row r="253" spans="1:4" ht="12.75">
      <c r="A253" s="1327"/>
      <c r="B253" s="1340" t="s">
        <v>73</v>
      </c>
      <c r="C253" s="1413" t="s">
        <v>1027</v>
      </c>
      <c r="D253" s="1327"/>
    </row>
    <row r="254" spans="1:4" ht="12.75">
      <c r="A254" s="1327"/>
      <c r="B254" s="1340" t="s">
        <v>187</v>
      </c>
      <c r="C254" s="1413" t="s">
        <v>1027</v>
      </c>
      <c r="D254" s="1327"/>
    </row>
    <row r="255" spans="1:4" ht="12.75">
      <c r="A255" s="1327"/>
      <c r="B255" s="1358" t="s">
        <v>2535</v>
      </c>
      <c r="C255" s="1413" t="s">
        <v>1027</v>
      </c>
      <c r="D255" s="1327"/>
    </row>
    <row r="256" spans="1:4" ht="12.75">
      <c r="A256" s="1327"/>
      <c r="B256" s="1340" t="s">
        <v>1533</v>
      </c>
      <c r="C256" s="1413" t="s">
        <v>1027</v>
      </c>
      <c r="D256" s="1327"/>
    </row>
    <row r="257" spans="1:4" ht="12.75">
      <c r="A257" s="1327"/>
      <c r="B257" s="1340" t="s">
        <v>1990</v>
      </c>
      <c r="C257" s="1413" t="s">
        <v>900</v>
      </c>
      <c r="D257" s="1327"/>
    </row>
    <row r="258" spans="1:4" ht="12.75">
      <c r="A258" s="1327"/>
      <c r="B258" s="1340" t="s">
        <v>188</v>
      </c>
      <c r="C258" s="1413" t="s">
        <v>900</v>
      </c>
      <c r="D258" s="1327"/>
    </row>
    <row r="259" spans="1:4" ht="12.75">
      <c r="A259" s="1327"/>
      <c r="B259" s="1340" t="s">
        <v>189</v>
      </c>
      <c r="C259" s="1413" t="s">
        <v>900</v>
      </c>
      <c r="D259" s="1327"/>
    </row>
    <row r="260" spans="1:4" ht="12.75">
      <c r="A260" s="1327"/>
      <c r="B260" s="1340" t="s">
        <v>190</v>
      </c>
      <c r="C260" s="1413" t="s">
        <v>900</v>
      </c>
      <c r="D260" s="1327"/>
    </row>
    <row r="261" spans="1:4" ht="12.75">
      <c r="A261" s="1327"/>
      <c r="B261" s="1340" t="s">
        <v>191</v>
      </c>
      <c r="C261" s="1413" t="s">
        <v>900</v>
      </c>
      <c r="D261" s="1327"/>
    </row>
    <row r="262" spans="1:4" ht="12.75">
      <c r="A262" s="1327"/>
      <c r="B262" s="1340" t="s">
        <v>192</v>
      </c>
      <c r="C262" s="1413" t="s">
        <v>900</v>
      </c>
      <c r="D262" s="1327"/>
    </row>
    <row r="263" spans="1:4" ht="12.75">
      <c r="A263" s="1327"/>
      <c r="B263" s="1340" t="s">
        <v>899</v>
      </c>
      <c r="C263" s="1413" t="s">
        <v>900</v>
      </c>
      <c r="D263" s="1327"/>
    </row>
    <row r="264" spans="1:4" ht="12.75">
      <c r="A264" s="1327"/>
      <c r="B264" s="1340" t="s">
        <v>193</v>
      </c>
      <c r="C264" s="1413" t="s">
        <v>900</v>
      </c>
      <c r="D264" s="1327"/>
    </row>
    <row r="265" spans="1:4" ht="12.75">
      <c r="A265" s="1327"/>
      <c r="B265" s="1340" t="s">
        <v>194</v>
      </c>
      <c r="C265" s="1413" t="s">
        <v>900</v>
      </c>
      <c r="D265" s="1327"/>
    </row>
    <row r="266" spans="1:4" ht="12.75">
      <c r="A266" s="1327"/>
      <c r="B266" s="1340" t="s">
        <v>195</v>
      </c>
      <c r="C266" s="1413" t="s">
        <v>900</v>
      </c>
      <c r="D266" s="1327"/>
    </row>
    <row r="267" spans="1:4" ht="12.75">
      <c r="A267" s="1327"/>
      <c r="B267" s="1340" t="s">
        <v>196</v>
      </c>
      <c r="C267" s="1413" t="s">
        <v>900</v>
      </c>
      <c r="D267" s="1327"/>
    </row>
    <row r="268" spans="1:4" ht="12.75">
      <c r="A268" s="1327"/>
      <c r="B268" s="1340" t="s">
        <v>1662</v>
      </c>
      <c r="C268" s="1413" t="s">
        <v>900</v>
      </c>
      <c r="D268" s="1327"/>
    </row>
    <row r="269" spans="1:4" ht="12.75">
      <c r="A269" s="1327"/>
      <c r="B269" s="1340" t="s">
        <v>1712</v>
      </c>
      <c r="C269" s="1413" t="s">
        <v>900</v>
      </c>
      <c r="D269" s="1327"/>
    </row>
    <row r="270" spans="1:4" ht="12.75">
      <c r="A270" s="1327"/>
      <c r="B270" s="1340" t="s">
        <v>197</v>
      </c>
      <c r="C270" s="1413" t="s">
        <v>900</v>
      </c>
      <c r="D270" s="1327"/>
    </row>
    <row r="271" spans="1:4" ht="12.75">
      <c r="A271" s="1327"/>
      <c r="B271" s="1340" t="s">
        <v>198</v>
      </c>
      <c r="C271" s="1413" t="s">
        <v>900</v>
      </c>
      <c r="D271" s="1327"/>
    </row>
    <row r="272" spans="1:4" ht="12.75">
      <c r="A272" s="1327"/>
      <c r="B272" s="1340" t="s">
        <v>199</v>
      </c>
      <c r="C272" s="1413" t="s">
        <v>900</v>
      </c>
      <c r="D272" s="1327"/>
    </row>
    <row r="273" spans="1:4" ht="12.75">
      <c r="A273" s="1327"/>
      <c r="B273" s="1340" t="s">
        <v>200</v>
      </c>
      <c r="C273" s="1413" t="s">
        <v>900</v>
      </c>
      <c r="D273" s="1327"/>
    </row>
    <row r="274" spans="1:4" ht="12.75">
      <c r="A274" s="1327"/>
      <c r="B274" s="1340" t="s">
        <v>1013</v>
      </c>
      <c r="C274" s="1413" t="s">
        <v>900</v>
      </c>
      <c r="D274" s="1327"/>
    </row>
    <row r="275" spans="1:4" ht="12.75">
      <c r="A275" s="1327"/>
      <c r="B275" s="1340" t="s">
        <v>201</v>
      </c>
      <c r="C275" s="1413" t="s">
        <v>900</v>
      </c>
      <c r="D275" s="1327"/>
    </row>
    <row r="276" spans="1:4" ht="12.75">
      <c r="A276" s="1327"/>
      <c r="B276" s="1340" t="s">
        <v>202</v>
      </c>
      <c r="C276" s="1413" t="s">
        <v>900</v>
      </c>
      <c r="D276" s="1327"/>
    </row>
    <row r="277" spans="1:4" ht="12.75">
      <c r="A277" s="1327"/>
      <c r="B277" s="1340" t="s">
        <v>203</v>
      </c>
      <c r="C277" s="1413" t="s">
        <v>900</v>
      </c>
      <c r="D277" s="1327"/>
    </row>
    <row r="278" spans="1:4" ht="12.75">
      <c r="A278" s="1327"/>
      <c r="B278" s="1340" t="s">
        <v>204</v>
      </c>
      <c r="C278" s="1413" t="s">
        <v>900</v>
      </c>
      <c r="D278" s="1327"/>
    </row>
    <row r="279" spans="1:4" ht="12.75">
      <c r="A279" s="1327"/>
      <c r="B279" s="1340" t="s">
        <v>205</v>
      </c>
      <c r="C279" s="1413" t="s">
        <v>900</v>
      </c>
      <c r="D279" s="1327"/>
    </row>
    <row r="280" spans="1:4" ht="12.75">
      <c r="A280" s="1327"/>
      <c r="B280" s="1340" t="s">
        <v>206</v>
      </c>
      <c r="C280" s="1413" t="s">
        <v>900</v>
      </c>
      <c r="D280" s="1327"/>
    </row>
    <row r="281" spans="1:4" ht="12.75">
      <c r="A281" s="1327"/>
      <c r="B281" s="1340" t="s">
        <v>207</v>
      </c>
      <c r="C281" s="1413" t="s">
        <v>900</v>
      </c>
      <c r="D281" s="1327"/>
    </row>
    <row r="282" spans="1:4" ht="12.75">
      <c r="A282" s="1327"/>
      <c r="B282" s="1254" t="s">
        <v>2540</v>
      </c>
      <c r="C282" s="1413" t="s">
        <v>900</v>
      </c>
      <c r="D282" s="1327"/>
    </row>
    <row r="283" spans="1:4" ht="12.75">
      <c r="A283" s="1327"/>
      <c r="B283" s="1340" t="s">
        <v>208</v>
      </c>
      <c r="C283" s="1413" t="s">
        <v>900</v>
      </c>
      <c r="D283" s="1327"/>
    </row>
    <row r="284" spans="1:4" ht="12.75">
      <c r="A284" s="1327"/>
      <c r="B284" s="1340" t="s">
        <v>209</v>
      </c>
      <c r="C284" s="1413" t="s">
        <v>900</v>
      </c>
      <c r="D284" s="1327"/>
    </row>
    <row r="285" spans="1:4" ht="12.75">
      <c r="A285" s="1327"/>
      <c r="B285" s="1340" t="s">
        <v>210</v>
      </c>
      <c r="C285" s="1413" t="s">
        <v>900</v>
      </c>
      <c r="D285" s="1327"/>
    </row>
    <row r="286" spans="1:4" ht="12.75">
      <c r="A286" s="1327"/>
      <c r="B286" s="1340" t="s">
        <v>1040</v>
      </c>
      <c r="C286" s="1413" t="s">
        <v>900</v>
      </c>
      <c r="D286" s="1327"/>
    </row>
    <row r="287" spans="1:4" ht="12.75">
      <c r="A287" s="1327"/>
      <c r="B287" s="1340"/>
      <c r="C287" s="1413"/>
      <c r="D287" s="1327"/>
    </row>
    <row r="288" spans="1:4" ht="12.75">
      <c r="A288" s="1327"/>
      <c r="B288" s="1340"/>
      <c r="D288" s="1327"/>
    </row>
    <row r="289" spans="1:4" ht="12.75">
      <c r="A289" s="1327"/>
      <c r="B289" s="1340"/>
      <c r="D289" s="1327"/>
    </row>
    <row r="290" spans="1:4" ht="12.75">
      <c r="A290" s="1327"/>
      <c r="B290" s="1340"/>
      <c r="D290" s="1327"/>
    </row>
    <row r="291" spans="1:4" ht="12.75">
      <c r="A291" s="1327"/>
      <c r="B291" s="1340"/>
      <c r="D291" s="1327"/>
    </row>
    <row r="292" spans="1:4" ht="12.75">
      <c r="A292" s="1327"/>
      <c r="B292" s="1340"/>
      <c r="D292" s="1327"/>
    </row>
    <row r="293" spans="1:4" ht="12.75">
      <c r="A293" s="1327"/>
      <c r="B293" s="1340"/>
      <c r="D293" s="1327"/>
    </row>
    <row r="294" spans="1:4" ht="12.75">
      <c r="A294" s="1327"/>
      <c r="B294" s="1340"/>
      <c r="D294" s="1327"/>
    </row>
    <row r="295" spans="1:4" ht="12.75">
      <c r="A295" s="1327"/>
      <c r="B295" s="1340"/>
      <c r="D295" s="1327"/>
    </row>
    <row r="296" spans="1:4" ht="12.75">
      <c r="A296" s="1327"/>
      <c r="B296" s="1340"/>
      <c r="D296" s="1327"/>
    </row>
    <row r="297" spans="1:4" ht="12.75">
      <c r="A297" s="1327"/>
      <c r="B297" s="1340"/>
      <c r="D297" s="1327"/>
    </row>
    <row r="298" spans="1:4" ht="12.75">
      <c r="A298" s="1327"/>
      <c r="B298" s="1340"/>
      <c r="D298" s="1327"/>
    </row>
    <row r="299" spans="1:4" ht="12.75">
      <c r="A299" s="1327"/>
      <c r="B299" s="1340"/>
      <c r="D299" s="1327"/>
    </row>
    <row r="300" spans="1:4" ht="12.75">
      <c r="A300" s="1327"/>
      <c r="B300" s="1340"/>
      <c r="D300" s="1327"/>
    </row>
    <row r="301" spans="1:4" ht="12.75">
      <c r="A301" s="1327"/>
      <c r="B301" s="1340"/>
      <c r="D301" s="1327"/>
    </row>
    <row r="302" spans="1:4" ht="12.75">
      <c r="A302" s="1327"/>
      <c r="B302" s="1340"/>
      <c r="D302" s="1327"/>
    </row>
    <row r="303" spans="1:4" ht="12.75">
      <c r="A303" s="1327"/>
      <c r="B303" s="1340"/>
      <c r="D303" s="1327"/>
    </row>
    <row r="304" spans="1:4" ht="12.75">
      <c r="A304" s="1327"/>
      <c r="B304" s="1340"/>
      <c r="D304" s="1327"/>
    </row>
    <row r="305" spans="1:4" ht="12.75">
      <c r="A305" s="1327"/>
      <c r="B305" s="1340"/>
      <c r="D305" s="1327"/>
    </row>
    <row r="306" spans="1:4" ht="12.75">
      <c r="A306" s="1327"/>
      <c r="B306" s="1340"/>
      <c r="D306" s="1327"/>
    </row>
    <row r="307" spans="1:4" ht="12.75">
      <c r="A307" s="1327"/>
      <c r="B307" s="1340"/>
      <c r="D307" s="1327"/>
    </row>
    <row r="308" spans="1:4">
      <c r="B308" s="2">
        <f>COUNTA(B30:B307)</f>
        <v>257</v>
      </c>
    </row>
  </sheetData>
  <phoneticPr fontId="5"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topLeftCell="A33" zoomScaleNormal="100" workbookViewId="0">
      <selection activeCell="E45" sqref="E45"/>
    </sheetView>
  </sheetViews>
  <sheetFormatPr defaultColWidth="9.140625" defaultRowHeight="11.25"/>
  <cols>
    <col min="1" max="1" width="37.42578125" style="1610" customWidth="1"/>
    <col min="2" max="2" width="7.7109375" style="1614" customWidth="1"/>
    <col min="3" max="3" width="47.7109375" style="1615" customWidth="1"/>
    <col min="4" max="4" width="20" style="1610" hidden="1" customWidth="1"/>
    <col min="5" max="5" width="43.42578125" style="1610" customWidth="1"/>
    <col min="6" max="16384" width="9.140625" style="1610"/>
  </cols>
  <sheetData>
    <row r="1" spans="1:5" ht="35.25" customHeight="1">
      <c r="A1" s="1607" t="s">
        <v>1764</v>
      </c>
      <c r="B1" s="1608"/>
      <c r="C1" s="1609" t="s">
        <v>1763</v>
      </c>
      <c r="E1" s="1607" t="s">
        <v>1779</v>
      </c>
    </row>
    <row r="2" spans="1:5">
      <c r="A2" s="1610" t="str">
        <f>B2&amp;" - "&amp;C2</f>
        <v>Vote 1 - Municipal Manager</v>
      </c>
      <c r="B2" s="1611" t="s">
        <v>1721</v>
      </c>
      <c r="C2" s="1949" t="s">
        <v>2918</v>
      </c>
      <c r="E2" s="1651"/>
    </row>
    <row r="3" spans="1:5">
      <c r="A3" s="1610" t="str">
        <f>B13&amp;" - "&amp; C13</f>
        <v>Vote 2 - Planning &amp; Economic Development</v>
      </c>
      <c r="B3" s="1612">
        <v>1.1000000000000001</v>
      </c>
      <c r="C3" s="1950" t="s">
        <v>2916</v>
      </c>
      <c r="D3" s="1610" t="str">
        <f t="shared" ref="D3:D12" si="0">CONCATENATE(B3, " - ", C3)</f>
        <v>1,1 - Administration Municipal Manager</v>
      </c>
      <c r="E3" s="1652" t="s">
        <v>2920</v>
      </c>
    </row>
    <row r="4" spans="1:5">
      <c r="A4" s="1610" t="str">
        <f>B24&amp;" - "&amp;C24</f>
        <v>Vote 3 - Financial Services</v>
      </c>
      <c r="B4" s="1612">
        <v>1.2</v>
      </c>
      <c r="C4" s="1950" t="s">
        <v>2896</v>
      </c>
      <c r="D4" s="1610" t="str">
        <f t="shared" si="0"/>
        <v>1,2 - Internal Audit</v>
      </c>
      <c r="E4" s="1652" t="s">
        <v>2921</v>
      </c>
    </row>
    <row r="5" spans="1:5">
      <c r="A5" s="1610" t="str">
        <f>B35&amp;" - "&amp;C35</f>
        <v>Vote 4 - Corporate Services</v>
      </c>
      <c r="B5" s="1612">
        <v>1.3</v>
      </c>
      <c r="C5" s="1950" t="s">
        <v>2917</v>
      </c>
      <c r="D5" s="1610" t="str">
        <f t="shared" si="0"/>
        <v>1,3 - Strategic Support</v>
      </c>
      <c r="E5" s="1652" t="s">
        <v>2922</v>
      </c>
    </row>
    <row r="6" spans="1:5">
      <c r="A6" s="1610" t="str">
        <f>B46&amp;" - "&amp;C46</f>
        <v>Vote 5 - Community Services</v>
      </c>
      <c r="B6" s="1612">
        <v>1.4</v>
      </c>
      <c r="C6" s="1950" t="s">
        <v>2390</v>
      </c>
      <c r="D6" s="1610" t="str">
        <f t="shared" si="0"/>
        <v>1,4 - Risk Management</v>
      </c>
      <c r="E6" s="1652" t="s">
        <v>2923</v>
      </c>
    </row>
    <row r="7" spans="1:5">
      <c r="A7" s="1610" t="str">
        <f>B57&amp;" - "&amp;C57</f>
        <v>Vote 6 - Community Services</v>
      </c>
      <c r="B7" s="1612">
        <v>1.5</v>
      </c>
      <c r="C7" s="1950" t="s">
        <v>2919</v>
      </c>
      <c r="D7" s="1610" t="str">
        <f t="shared" si="0"/>
        <v>1,5 - Council Expenditure</v>
      </c>
      <c r="E7" s="1652" t="s">
        <v>2924</v>
      </c>
    </row>
    <row r="8" spans="1:5">
      <c r="A8" s="1610" t="str">
        <f>B68&amp;" - "&amp;C68</f>
        <v>Vote 7 - Electrical Engineering Services</v>
      </c>
      <c r="B8" s="1612">
        <v>1.6</v>
      </c>
      <c r="C8" s="1950" t="s">
        <v>2388</v>
      </c>
      <c r="D8" s="1610" t="str">
        <f t="shared" si="0"/>
        <v>1,6 - Legal Services</v>
      </c>
      <c r="E8" s="1652" t="s">
        <v>2925</v>
      </c>
    </row>
    <row r="9" spans="1:5">
      <c r="A9" s="1610" t="str">
        <f>B79&amp;" - "&amp;C79</f>
        <v>Vote 8 - Engineering Services</v>
      </c>
      <c r="B9" s="1612">
        <v>1.7</v>
      </c>
      <c r="C9" s="1950" t="s">
        <v>2417</v>
      </c>
      <c r="D9" s="1610" t="str">
        <f t="shared" si="0"/>
        <v>1,7 - Disaster Management</v>
      </c>
      <c r="E9" s="1652" t="s">
        <v>2926</v>
      </c>
    </row>
    <row r="10" spans="1:5">
      <c r="A10" s="1610" t="str">
        <f>B90&amp;" - "&amp;C90</f>
        <v>Vote 9 - [NAME OF VOTE 9]</v>
      </c>
      <c r="B10" s="1612">
        <v>1.8</v>
      </c>
      <c r="C10" s="1950" t="s">
        <v>1747</v>
      </c>
      <c r="D10" s="1610" t="str">
        <f t="shared" si="0"/>
        <v>1,8 - [Name of sub-vote]</v>
      </c>
      <c r="E10" s="1652"/>
    </row>
    <row r="11" spans="1:5">
      <c r="A11" s="1610" t="str">
        <f>B101&amp;" - "&amp;C101</f>
        <v>Vote 10 - [NAME OF VOTE 10]</v>
      </c>
      <c r="B11" s="1612">
        <v>1.9</v>
      </c>
      <c r="C11" s="1950" t="s">
        <v>1747</v>
      </c>
      <c r="D11" s="1610" t="str">
        <f t="shared" si="0"/>
        <v>1,9 - [Name of sub-vote]</v>
      </c>
      <c r="E11" s="1652"/>
    </row>
    <row r="12" spans="1:5">
      <c r="A12" s="1610" t="str">
        <f>B112&amp;" - "&amp;C112</f>
        <v>Vote 11 - [NAME OF VOTE 11]</v>
      </c>
      <c r="B12" s="1612" t="s">
        <v>1748</v>
      </c>
      <c r="C12" s="1950" t="s">
        <v>1747</v>
      </c>
      <c r="D12" s="1610" t="str">
        <f t="shared" si="0"/>
        <v>1.10 - [Name of sub-vote]</v>
      </c>
      <c r="E12" s="1652"/>
    </row>
    <row r="13" spans="1:5">
      <c r="A13" s="1610" t="str">
        <f>B123&amp;" - "&amp;C123</f>
        <v>Vote 12 - [NAME OF VOTE 12]</v>
      </c>
      <c r="B13" s="1611" t="s">
        <v>1722</v>
      </c>
      <c r="C13" s="1949" t="s">
        <v>2927</v>
      </c>
      <c r="E13" s="1651"/>
    </row>
    <row r="14" spans="1:5">
      <c r="A14" s="1610" t="str">
        <f>B134&amp;" - "&amp;C134</f>
        <v>Vote 13 - [NAME OF VOTE 13]</v>
      </c>
      <c r="B14" s="1612">
        <v>2.1</v>
      </c>
      <c r="C14" s="1950" t="s">
        <v>2928</v>
      </c>
      <c r="D14" s="1610" t="str">
        <f t="shared" ref="D14:D23" si="1">CONCATENATE(B14, " - ", C14)</f>
        <v>2,1 - Administration Strategy &amp; Development</v>
      </c>
      <c r="E14" s="1652" t="s">
        <v>2935</v>
      </c>
    </row>
    <row r="15" spans="1:5">
      <c r="A15" s="1610" t="str">
        <f>B145&amp;" - "&amp;C145</f>
        <v>Vote 14 - [NAME OF VOTE 14]</v>
      </c>
      <c r="B15" s="1612">
        <v>2.2000000000000002</v>
      </c>
      <c r="C15" s="1950" t="s">
        <v>2929</v>
      </c>
      <c r="D15" s="1610" t="str">
        <f t="shared" si="1"/>
        <v>2,2 - Local Economic Development</v>
      </c>
      <c r="E15" s="1652" t="s">
        <v>2936</v>
      </c>
    </row>
    <row r="16" spans="1:5">
      <c r="A16" s="1610" t="str">
        <f>B156&amp;" - "&amp;C156</f>
        <v>Vote 15 - [NAME OF VOTE 15]</v>
      </c>
      <c r="B16" s="1612">
        <v>2.2999999999999998</v>
      </c>
      <c r="C16" s="1950" t="s">
        <v>2930</v>
      </c>
      <c r="D16" s="1610" t="str">
        <f t="shared" si="1"/>
        <v>2,3 - Town &amp; Regional Planning</v>
      </c>
      <c r="E16" s="1652" t="s">
        <v>2937</v>
      </c>
    </row>
    <row r="17" spans="1:5">
      <c r="B17" s="1612">
        <v>2.4</v>
      </c>
      <c r="C17" s="1950" t="s">
        <v>2931</v>
      </c>
      <c r="D17" s="1610" t="str">
        <f t="shared" si="1"/>
        <v>2,4 - Housing Administration</v>
      </c>
      <c r="E17" s="1652" t="s">
        <v>2938</v>
      </c>
    </row>
    <row r="18" spans="1:5">
      <c r="B18" s="1612">
        <v>2.5</v>
      </c>
      <c r="C18" s="1950" t="s">
        <v>2932</v>
      </c>
      <c r="D18" s="1610" t="str">
        <f t="shared" si="1"/>
        <v>2,5 - SATELITE OFFICE: NKOWANKOWA</v>
      </c>
      <c r="E18" s="1652" t="s">
        <v>2939</v>
      </c>
    </row>
    <row r="19" spans="1:5">
      <c r="B19" s="1612">
        <v>2.6</v>
      </c>
      <c r="C19" s="1950" t="s">
        <v>2933</v>
      </c>
      <c r="D19" s="1610" t="str">
        <f t="shared" si="1"/>
        <v>2,6 - SATELITE OFFICE: LENYENYE</v>
      </c>
      <c r="E19" s="1652" t="s">
        <v>2940</v>
      </c>
    </row>
    <row r="20" spans="1:5">
      <c r="B20" s="1612">
        <v>2.7</v>
      </c>
      <c r="C20" s="1950" t="s">
        <v>2934</v>
      </c>
      <c r="D20" s="1610" t="str">
        <f t="shared" si="1"/>
        <v>2,7 - SATELITE OFFICE: LETSITELE</v>
      </c>
      <c r="E20" s="1652" t="s">
        <v>2941</v>
      </c>
    </row>
    <row r="21" spans="1:5">
      <c r="A21" s="1651"/>
      <c r="B21" s="1612">
        <v>2.8</v>
      </c>
      <c r="C21" s="1950" t="s">
        <v>1747</v>
      </c>
      <c r="D21" s="1610" t="str">
        <f t="shared" si="1"/>
        <v>2,8 - [Name of sub-vote]</v>
      </c>
      <c r="E21" s="1652"/>
    </row>
    <row r="22" spans="1:5">
      <c r="B22" s="1612">
        <v>2.9</v>
      </c>
      <c r="C22" s="1950" t="s">
        <v>1747</v>
      </c>
      <c r="D22" s="1610" t="str">
        <f t="shared" si="1"/>
        <v>2,9 - [Name of sub-vote]</v>
      </c>
      <c r="E22" s="1652"/>
    </row>
    <row r="23" spans="1:5">
      <c r="B23" s="1612" t="s">
        <v>1749</v>
      </c>
      <c r="C23" s="1950" t="s">
        <v>1747</v>
      </c>
      <c r="D23" s="1610" t="str">
        <f t="shared" si="1"/>
        <v>2.10 - [Name of sub-vote]</v>
      </c>
      <c r="E23" s="1652"/>
    </row>
    <row r="24" spans="1:5">
      <c r="B24" s="1611" t="s">
        <v>1723</v>
      </c>
      <c r="C24" s="1949" t="s">
        <v>2942</v>
      </c>
      <c r="E24" s="1652"/>
    </row>
    <row r="25" spans="1:5">
      <c r="B25" s="1612">
        <v>3.1</v>
      </c>
      <c r="C25" s="1950" t="s">
        <v>2943</v>
      </c>
      <c r="D25" s="1610" t="str">
        <f t="shared" ref="D25:D34" si="2">CONCATENATE(B25, " - ", C25)</f>
        <v>3,1 - Administration Finance</v>
      </c>
      <c r="E25" s="1652" t="s">
        <v>2946</v>
      </c>
    </row>
    <row r="26" spans="1:5">
      <c r="B26" s="1612">
        <v>3.2</v>
      </c>
      <c r="C26" s="1950" t="s">
        <v>2944</v>
      </c>
      <c r="D26" s="1610" t="str">
        <f t="shared" si="2"/>
        <v>3,2 - Budget office</v>
      </c>
      <c r="E26" s="1652" t="s">
        <v>2947</v>
      </c>
    </row>
    <row r="27" spans="1:5">
      <c r="B27" s="1612">
        <v>3.3</v>
      </c>
      <c r="C27" s="1950" t="s">
        <v>1619</v>
      </c>
      <c r="D27" s="1610" t="str">
        <f t="shared" si="2"/>
        <v>3,3 - Revenue</v>
      </c>
      <c r="E27" s="1652" t="s">
        <v>2948</v>
      </c>
    </row>
    <row r="28" spans="1:5">
      <c r="B28" s="1612">
        <v>3.4</v>
      </c>
      <c r="C28" s="1950" t="s">
        <v>1624</v>
      </c>
      <c r="D28" s="1610" t="str">
        <f t="shared" si="2"/>
        <v>3,4 - Expenditure</v>
      </c>
      <c r="E28" s="1652" t="s">
        <v>2949</v>
      </c>
    </row>
    <row r="29" spans="1:5">
      <c r="B29" s="1612">
        <v>3.5</v>
      </c>
      <c r="C29" s="1950" t="s">
        <v>1334</v>
      </c>
      <c r="D29" s="1610" t="str">
        <f t="shared" si="2"/>
        <v>3,5 - Inventory</v>
      </c>
      <c r="E29" s="1652" t="s">
        <v>2950</v>
      </c>
    </row>
    <row r="30" spans="1:5">
      <c r="B30" s="1612">
        <v>3.6</v>
      </c>
      <c r="C30" s="1950" t="s">
        <v>2945</v>
      </c>
      <c r="D30" s="1610" t="str">
        <f t="shared" si="2"/>
        <v>3,6 - Supply Chain Management</v>
      </c>
      <c r="E30" s="1652" t="s">
        <v>2951</v>
      </c>
    </row>
    <row r="31" spans="1:5">
      <c r="B31" s="1612">
        <v>3.7</v>
      </c>
      <c r="C31" s="1950" t="s">
        <v>1747</v>
      </c>
      <c r="D31" s="1610" t="str">
        <f t="shared" si="2"/>
        <v>3,7 - [Name of sub-vote]</v>
      </c>
      <c r="E31" s="1652"/>
    </row>
    <row r="32" spans="1:5">
      <c r="B32" s="1612">
        <v>3.8</v>
      </c>
      <c r="C32" s="1950" t="s">
        <v>1747</v>
      </c>
      <c r="D32" s="1610" t="str">
        <f t="shared" si="2"/>
        <v>3,8 - [Name of sub-vote]</v>
      </c>
      <c r="E32" s="1652"/>
    </row>
    <row r="33" spans="2:5">
      <c r="B33" s="1612">
        <v>3.9</v>
      </c>
      <c r="C33" s="1950" t="s">
        <v>1747</v>
      </c>
      <c r="D33" s="1610" t="str">
        <f t="shared" si="2"/>
        <v>3,9 - [Name of sub-vote]</v>
      </c>
      <c r="E33" s="1652"/>
    </row>
    <row r="34" spans="2:5">
      <c r="B34" s="1612" t="s">
        <v>1750</v>
      </c>
      <c r="C34" s="1950" t="s">
        <v>1747</v>
      </c>
      <c r="D34" s="1610" t="str">
        <f t="shared" si="2"/>
        <v>3.10 - [Name of sub-vote]</v>
      </c>
      <c r="E34" s="1652"/>
    </row>
    <row r="35" spans="2:5">
      <c r="B35" s="1611" t="s">
        <v>1724</v>
      </c>
      <c r="C35" s="1949" t="s">
        <v>2952</v>
      </c>
      <c r="E35" s="1652"/>
    </row>
    <row r="36" spans="2:5">
      <c r="B36" s="1612">
        <v>4.0999999999999996</v>
      </c>
      <c r="C36" s="1950" t="s">
        <v>2953</v>
      </c>
      <c r="D36" s="1610" t="str">
        <f t="shared" ref="D36:D45" si="3">CONCATENATE(B36, " - ", C36)</f>
        <v>4,1 - Communications</v>
      </c>
      <c r="E36" s="1652" t="s">
        <v>2959</v>
      </c>
    </row>
    <row r="37" spans="2:5">
      <c r="B37" s="1612">
        <v>4.2</v>
      </c>
      <c r="C37" s="1950" t="s">
        <v>2954</v>
      </c>
      <c r="D37" s="1610" t="str">
        <f t="shared" si="3"/>
        <v>4,2 - Public Participation &amp; Project Support</v>
      </c>
      <c r="E37" s="1652" t="s">
        <v>2958</v>
      </c>
    </row>
    <row r="38" spans="2:5">
      <c r="B38" s="1612">
        <v>4.3</v>
      </c>
      <c r="C38" s="1950" t="s">
        <v>2955</v>
      </c>
      <c r="D38" s="1610" t="str">
        <f t="shared" si="3"/>
        <v>4,3 - Information Technolgy</v>
      </c>
      <c r="E38" s="1652" t="s">
        <v>2960</v>
      </c>
    </row>
    <row r="39" spans="2:5">
      <c r="B39" s="1612">
        <v>4.4000000000000004</v>
      </c>
      <c r="C39" s="1950" t="s">
        <v>2956</v>
      </c>
      <c r="D39" s="1610" t="str">
        <f t="shared" si="3"/>
        <v>4,4 - Administration HR &amp; Corporate</v>
      </c>
      <c r="E39" s="1652" t="s">
        <v>2961</v>
      </c>
    </row>
    <row r="40" spans="2:5">
      <c r="B40" s="1612">
        <v>4.5</v>
      </c>
      <c r="C40" s="1950" t="s">
        <v>2957</v>
      </c>
      <c r="D40" s="1610" t="str">
        <f t="shared" si="3"/>
        <v>4,5 - Occupational Health &amp; safety</v>
      </c>
      <c r="E40" s="1652" t="s">
        <v>2962</v>
      </c>
    </row>
    <row r="41" spans="2:5">
      <c r="B41" s="1612">
        <v>4.5999999999999996</v>
      </c>
      <c r="C41" s="1950" t="s">
        <v>285</v>
      </c>
      <c r="D41" s="1610" t="str">
        <f t="shared" si="3"/>
        <v>4,6 - Human Resources</v>
      </c>
      <c r="E41" s="1652" t="s">
        <v>2963</v>
      </c>
    </row>
    <row r="42" spans="2:5">
      <c r="B42" s="1612">
        <v>4.7</v>
      </c>
      <c r="C42" s="1950" t="s">
        <v>2957</v>
      </c>
      <c r="D42" s="1610" t="str">
        <f t="shared" si="3"/>
        <v>4,7 - Occupational Health &amp; safety</v>
      </c>
      <c r="E42" s="1652" t="s">
        <v>2964</v>
      </c>
    </row>
    <row r="43" spans="2:5">
      <c r="B43" s="1612">
        <v>4.8</v>
      </c>
      <c r="C43" s="1950" t="s">
        <v>2952</v>
      </c>
      <c r="D43" s="1610" t="str">
        <f t="shared" si="3"/>
        <v>4,8 - Corporate Services</v>
      </c>
      <c r="E43" s="1652"/>
    </row>
    <row r="44" spans="2:5">
      <c r="B44" s="1612">
        <v>4.9000000000000004</v>
      </c>
      <c r="C44" s="1950" t="s">
        <v>1747</v>
      </c>
      <c r="D44" s="1610" t="str">
        <f t="shared" si="3"/>
        <v>4,9 - [Name of sub-vote]</v>
      </c>
      <c r="E44" s="1652"/>
    </row>
    <row r="45" spans="2:5">
      <c r="B45" s="1612" t="s">
        <v>1751</v>
      </c>
      <c r="C45" s="1950" t="s">
        <v>1747</v>
      </c>
      <c r="D45" s="1610" t="str">
        <f t="shared" si="3"/>
        <v>4.10 - [Name of sub-vote]</v>
      </c>
      <c r="E45" s="1652"/>
    </row>
    <row r="46" spans="2:5">
      <c r="B46" s="1611" t="s">
        <v>1725</v>
      </c>
      <c r="C46" s="1949" t="s">
        <v>2965</v>
      </c>
      <c r="E46" s="1652"/>
    </row>
    <row r="47" spans="2:5">
      <c r="B47" s="1612">
        <v>5.0999999999999996</v>
      </c>
      <c r="C47" s="1950" t="s">
        <v>2966</v>
      </c>
      <c r="D47" s="1610" t="str">
        <f t="shared" ref="D47:D56" si="4">CONCATENATE(B47, " - ", C47)</f>
        <v>5,1 - Parks &amp; Recreation</v>
      </c>
      <c r="E47" s="1652" t="s">
        <v>2973</v>
      </c>
    </row>
    <row r="48" spans="2:5">
      <c r="B48" s="1612">
        <v>5.2</v>
      </c>
      <c r="C48" s="1950" t="s">
        <v>2967</v>
      </c>
      <c r="D48" s="1610" t="str">
        <f t="shared" si="4"/>
        <v>5,2 - Administration Community Services</v>
      </c>
      <c r="E48" s="1652" t="s">
        <v>2974</v>
      </c>
    </row>
    <row r="49" spans="2:5">
      <c r="B49" s="1612">
        <v>5.3</v>
      </c>
      <c r="C49" s="1950" t="s">
        <v>2968</v>
      </c>
      <c r="D49" s="1610" t="str">
        <f t="shared" si="4"/>
        <v>5,3 - Community Health Services</v>
      </c>
      <c r="E49" s="1652" t="s">
        <v>2975</v>
      </c>
    </row>
    <row r="50" spans="2:5">
      <c r="B50" s="1612">
        <v>5.4</v>
      </c>
      <c r="C50" s="1950" t="s">
        <v>2969</v>
      </c>
      <c r="D50" s="1610" t="str">
        <f t="shared" si="4"/>
        <v>5,4 - Enviromental Health Services</v>
      </c>
      <c r="E50" s="1652" t="s">
        <v>2976</v>
      </c>
    </row>
    <row r="51" spans="2:5">
      <c r="B51" s="1612">
        <v>5.5</v>
      </c>
      <c r="C51" s="1950" t="s">
        <v>2970</v>
      </c>
      <c r="D51" s="1610" t="str">
        <f t="shared" si="4"/>
        <v>5,5 - Library Services</v>
      </c>
      <c r="E51" s="1652" t="s">
        <v>2977</v>
      </c>
    </row>
    <row r="52" spans="2:5">
      <c r="B52" s="1612">
        <v>5.6</v>
      </c>
      <c r="C52" s="1950" t="s">
        <v>2971</v>
      </c>
      <c r="D52" s="1610" t="str">
        <f t="shared" si="4"/>
        <v>5,6 - Solid Waste</v>
      </c>
      <c r="E52" s="1652" t="s">
        <v>2978</v>
      </c>
    </row>
    <row r="53" spans="2:5">
      <c r="B53" s="1612">
        <v>5.7</v>
      </c>
      <c r="C53" s="1950" t="s">
        <v>2972</v>
      </c>
      <c r="D53" s="1610" t="str">
        <f t="shared" si="4"/>
        <v>5,7 - Street Cleansing</v>
      </c>
      <c r="E53" s="1652" t="s">
        <v>2979</v>
      </c>
    </row>
    <row r="54" spans="2:5">
      <c r="B54" s="1612">
        <v>5.8</v>
      </c>
      <c r="C54" s="1950" t="s">
        <v>631</v>
      </c>
      <c r="D54" s="1610" t="str">
        <f t="shared" si="4"/>
        <v>5,8 - Public Toilets</v>
      </c>
      <c r="E54" s="1652" t="s">
        <v>2980</v>
      </c>
    </row>
    <row r="55" spans="2:5">
      <c r="B55" s="1612">
        <v>5.9</v>
      </c>
      <c r="C55" s="1950" t="s">
        <v>1747</v>
      </c>
      <c r="D55" s="1610" t="str">
        <f t="shared" si="4"/>
        <v>5,9 - [Name of sub-vote]</v>
      </c>
      <c r="E55" s="1652"/>
    </row>
    <row r="56" spans="2:5">
      <c r="B56" s="1612" t="s">
        <v>1752</v>
      </c>
      <c r="C56" s="1950" t="s">
        <v>1747</v>
      </c>
      <c r="D56" s="1610" t="str">
        <f t="shared" si="4"/>
        <v>5.10 - [Name of sub-vote]</v>
      </c>
      <c r="E56" s="1652"/>
    </row>
    <row r="57" spans="2:5">
      <c r="B57" s="1611" t="s">
        <v>1726</v>
      </c>
      <c r="C57" s="1949" t="s">
        <v>2965</v>
      </c>
      <c r="E57" s="1652"/>
    </row>
    <row r="58" spans="2:5">
      <c r="B58" s="1612">
        <v>6.1</v>
      </c>
      <c r="C58" s="1950" t="s">
        <v>2981</v>
      </c>
      <c r="D58" s="1610" t="str">
        <f t="shared" ref="D58:D67" si="5">CONCATENATE(B58, " - ", C58)</f>
        <v>6,1 - 6.2 - Administration Transport,safety,Security</v>
      </c>
      <c r="E58" s="1652" t="s">
        <v>2984</v>
      </c>
    </row>
    <row r="59" spans="2:5">
      <c r="B59" s="1612">
        <v>6.2</v>
      </c>
      <c r="C59" s="1950" t="s">
        <v>2982</v>
      </c>
      <c r="D59" s="1610" t="str">
        <f t="shared" si="5"/>
        <v>6,2 - 6.3 - Vehicle licencing</v>
      </c>
      <c r="E59" s="1652" t="s">
        <v>2985</v>
      </c>
    </row>
    <row r="60" spans="2:5">
      <c r="B60" s="1612">
        <v>6.3</v>
      </c>
      <c r="C60" s="1950" t="s">
        <v>2983</v>
      </c>
      <c r="D60" s="1610" t="str">
        <f t="shared" si="5"/>
        <v>6,3 - 6.1 - Traffic services</v>
      </c>
      <c r="E60" s="1652" t="s">
        <v>2986</v>
      </c>
    </row>
    <row r="61" spans="2:5">
      <c r="B61" s="1612">
        <v>6.4</v>
      </c>
      <c r="C61" s="1950" t="s">
        <v>1747</v>
      </c>
      <c r="D61" s="1610" t="str">
        <f t="shared" si="5"/>
        <v>6,4 - [Name of sub-vote]</v>
      </c>
      <c r="E61" s="1652"/>
    </row>
    <row r="62" spans="2:5">
      <c r="B62" s="1612">
        <v>6.5</v>
      </c>
      <c r="C62" s="1950" t="s">
        <v>1747</v>
      </c>
      <c r="D62" s="1610" t="str">
        <f t="shared" si="5"/>
        <v>6,5 - [Name of sub-vote]</v>
      </c>
      <c r="E62" s="1652"/>
    </row>
    <row r="63" spans="2:5">
      <c r="B63" s="1612">
        <v>6.6</v>
      </c>
      <c r="C63" s="1950" t="s">
        <v>1747</v>
      </c>
      <c r="D63" s="1610" t="str">
        <f t="shared" si="5"/>
        <v>6,6 - [Name of sub-vote]</v>
      </c>
      <c r="E63" s="1652"/>
    </row>
    <row r="64" spans="2:5">
      <c r="B64" s="1612">
        <v>6.7</v>
      </c>
      <c r="C64" s="1950" t="s">
        <v>1747</v>
      </c>
      <c r="D64" s="1610" t="str">
        <f t="shared" si="5"/>
        <v>6,7 - [Name of sub-vote]</v>
      </c>
      <c r="E64" s="1652"/>
    </row>
    <row r="65" spans="2:5">
      <c r="B65" s="1612">
        <v>6.8</v>
      </c>
      <c r="C65" s="1950" t="s">
        <v>1747</v>
      </c>
      <c r="D65" s="1610" t="str">
        <f t="shared" si="5"/>
        <v>6,8 - [Name of sub-vote]</v>
      </c>
      <c r="E65" s="1652"/>
    </row>
    <row r="66" spans="2:5">
      <c r="B66" s="1612">
        <v>6.9</v>
      </c>
      <c r="C66" s="1950" t="s">
        <v>1747</v>
      </c>
      <c r="D66" s="1610" t="str">
        <f t="shared" si="5"/>
        <v>6,9 - [Name of sub-vote]</v>
      </c>
      <c r="E66" s="1652"/>
    </row>
    <row r="67" spans="2:5">
      <c r="B67" s="1612" t="s">
        <v>1753</v>
      </c>
      <c r="C67" s="1950" t="s">
        <v>1747</v>
      </c>
      <c r="D67" s="1610" t="str">
        <f t="shared" si="5"/>
        <v>6.10 - [Name of sub-vote]</v>
      </c>
      <c r="E67" s="1652"/>
    </row>
    <row r="68" spans="2:5">
      <c r="B68" s="1613" t="s">
        <v>1727</v>
      </c>
      <c r="C68" s="1949" t="s">
        <v>2987</v>
      </c>
      <c r="E68" s="1652"/>
    </row>
    <row r="69" spans="2:5">
      <c r="B69" s="1612">
        <v>7.1</v>
      </c>
      <c r="C69" s="1950" t="s">
        <v>2988</v>
      </c>
      <c r="D69" s="1610" t="str">
        <f t="shared" ref="D69:D78" si="6">CONCATENATE(B69, " - ", C69)</f>
        <v>7,1 - Administration Electrical Engineering</v>
      </c>
      <c r="E69" s="1652" t="s">
        <v>2991</v>
      </c>
    </row>
    <row r="70" spans="2:5">
      <c r="B70" s="1612">
        <v>7.2</v>
      </c>
      <c r="C70" s="1950" t="s">
        <v>2989</v>
      </c>
      <c r="D70" s="1610" t="str">
        <f t="shared" si="6"/>
        <v>7,2 - Operations &amp; Maintenance: Rural</v>
      </c>
      <c r="E70" s="1652" t="s">
        <v>2992</v>
      </c>
    </row>
    <row r="71" spans="2:5">
      <c r="B71" s="1612">
        <v>7.3</v>
      </c>
      <c r="C71" s="1950" t="s">
        <v>2990</v>
      </c>
      <c r="D71" s="1610" t="str">
        <f t="shared" si="6"/>
        <v>7,3 - Operations &amp; Maintenance: Town</v>
      </c>
      <c r="E71" s="1652" t="s">
        <v>2993</v>
      </c>
    </row>
    <row r="72" spans="2:5">
      <c r="B72" s="1612">
        <v>7.4</v>
      </c>
      <c r="C72" s="1950" t="s">
        <v>1747</v>
      </c>
      <c r="D72" s="1610" t="str">
        <f t="shared" si="6"/>
        <v>7,4 - [Name of sub-vote]</v>
      </c>
      <c r="E72" s="1652"/>
    </row>
    <row r="73" spans="2:5">
      <c r="B73" s="1612">
        <v>7.5</v>
      </c>
      <c r="C73" s="1950" t="s">
        <v>1747</v>
      </c>
      <c r="D73" s="1610" t="str">
        <f t="shared" si="6"/>
        <v>7,5 - [Name of sub-vote]</v>
      </c>
      <c r="E73" s="1652"/>
    </row>
    <row r="74" spans="2:5">
      <c r="B74" s="1612">
        <v>7.6</v>
      </c>
      <c r="C74" s="1950" t="s">
        <v>1747</v>
      </c>
      <c r="D74" s="1610" t="str">
        <f t="shared" si="6"/>
        <v>7,6 - [Name of sub-vote]</v>
      </c>
      <c r="E74" s="1652"/>
    </row>
    <row r="75" spans="2:5">
      <c r="B75" s="1612">
        <v>7.7</v>
      </c>
      <c r="C75" s="1950" t="s">
        <v>1747</v>
      </c>
      <c r="D75" s="1610" t="str">
        <f t="shared" si="6"/>
        <v>7,7 - [Name of sub-vote]</v>
      </c>
      <c r="E75" s="1652"/>
    </row>
    <row r="76" spans="2:5">
      <c r="B76" s="1612">
        <v>7.8</v>
      </c>
      <c r="C76" s="1950" t="s">
        <v>1747</v>
      </c>
      <c r="D76" s="1610" t="str">
        <f t="shared" si="6"/>
        <v>7,8 - [Name of sub-vote]</v>
      </c>
      <c r="E76" s="1652"/>
    </row>
    <row r="77" spans="2:5">
      <c r="B77" s="1612">
        <v>7.9</v>
      </c>
      <c r="C77" s="1950" t="s">
        <v>1747</v>
      </c>
      <c r="D77" s="1610" t="str">
        <f t="shared" si="6"/>
        <v>7,9 - [Name of sub-vote]</v>
      </c>
      <c r="E77" s="1652"/>
    </row>
    <row r="78" spans="2:5">
      <c r="B78" s="1612" t="s">
        <v>1754</v>
      </c>
      <c r="C78" s="1950" t="s">
        <v>1747</v>
      </c>
      <c r="D78" s="1610" t="str">
        <f t="shared" si="6"/>
        <v>7.10 - [Name of sub-vote]</v>
      </c>
      <c r="E78" s="1652"/>
    </row>
    <row r="79" spans="2:5">
      <c r="B79" s="1613" t="s">
        <v>1728</v>
      </c>
      <c r="C79" s="1949" t="s">
        <v>2994</v>
      </c>
      <c r="E79" s="1652"/>
    </row>
    <row r="80" spans="2:5">
      <c r="B80" s="1612">
        <v>8.1</v>
      </c>
      <c r="C80" s="1950" t="s">
        <v>2995</v>
      </c>
      <c r="D80" s="1610" t="str">
        <f t="shared" ref="D80:D89" si="7">CONCATENATE(B80, " - ", C80)</f>
        <v>8,1 - 8.1 - Fleet Management</v>
      </c>
      <c r="E80" s="1652" t="s">
        <v>3003</v>
      </c>
    </row>
    <row r="81" spans="2:5">
      <c r="B81" s="1612">
        <v>8.1999999999999993</v>
      </c>
      <c r="C81" s="1950" t="s">
        <v>2996</v>
      </c>
      <c r="D81" s="1610" t="str">
        <f t="shared" si="7"/>
        <v>8,2 - 8.2 - Administration Civil Engineering</v>
      </c>
      <c r="E81" s="1652" t="s">
        <v>3004</v>
      </c>
    </row>
    <row r="82" spans="2:5">
      <c r="B82" s="1612">
        <v>8.3000000000000007</v>
      </c>
      <c r="C82" s="1950" t="s">
        <v>2997</v>
      </c>
      <c r="D82" s="1610" t="str">
        <f t="shared" si="7"/>
        <v>8,3 - 8.3 - Roads &amp; stormwater Management</v>
      </c>
      <c r="E82" s="1652" t="s">
        <v>3005</v>
      </c>
    </row>
    <row r="83" spans="2:5">
      <c r="B83" s="1612">
        <v>8.4</v>
      </c>
      <c r="C83" s="1950" t="s">
        <v>2998</v>
      </c>
      <c r="D83" s="1610" t="str">
        <f t="shared" si="7"/>
        <v>8,4 - 8.4 - Water Networks</v>
      </c>
      <c r="E83" s="1652" t="s">
        <v>3006</v>
      </c>
    </row>
    <row r="84" spans="2:5">
      <c r="B84" s="1612">
        <v>8.5</v>
      </c>
      <c r="C84" s="1950" t="s">
        <v>2999</v>
      </c>
      <c r="D84" s="1610" t="str">
        <f t="shared" si="7"/>
        <v>8,5 - 8.5 - Water Purification</v>
      </c>
      <c r="E84" s="1652" t="s">
        <v>3007</v>
      </c>
    </row>
    <row r="85" spans="2:5">
      <c r="B85" s="1612">
        <v>8.6</v>
      </c>
      <c r="C85" s="1950" t="s">
        <v>3000</v>
      </c>
      <c r="D85" s="1610" t="str">
        <f t="shared" si="7"/>
        <v>8,6 - 8.8 - Sewerage Purification</v>
      </c>
      <c r="E85" s="1652" t="s">
        <v>3008</v>
      </c>
    </row>
    <row r="86" spans="2:5">
      <c r="B86" s="1612">
        <v>8.6999999999999993</v>
      </c>
      <c r="C86" s="1950" t="s">
        <v>3001</v>
      </c>
      <c r="D86" s="1610" t="str">
        <f t="shared" si="7"/>
        <v>8,7 - 8.6 - Building &amp; Housing</v>
      </c>
      <c r="E86" s="1652" t="s">
        <v>3009</v>
      </c>
    </row>
    <row r="87" spans="2:5">
      <c r="B87" s="1612">
        <v>8.8000000000000007</v>
      </c>
      <c r="C87" s="1950" t="s">
        <v>3002</v>
      </c>
      <c r="D87" s="1610" t="str">
        <f t="shared" si="7"/>
        <v>8,8 - 8.7 - Project Management</v>
      </c>
      <c r="E87" s="1652" t="s">
        <v>3010</v>
      </c>
    </row>
    <row r="88" spans="2:5">
      <c r="B88" s="1612">
        <v>8.9</v>
      </c>
      <c r="C88" s="1950" t="s">
        <v>1747</v>
      </c>
      <c r="D88" s="1610" t="str">
        <f t="shared" si="7"/>
        <v>8,9 - [Name of sub-vote]</v>
      </c>
      <c r="E88" s="1652"/>
    </row>
    <row r="89" spans="2:5">
      <c r="B89" s="1612" t="s">
        <v>1755</v>
      </c>
      <c r="C89" s="1950" t="s">
        <v>1747</v>
      </c>
      <c r="D89" s="1610" t="str">
        <f t="shared" si="7"/>
        <v>8.10 - [Name of sub-vote]</v>
      </c>
      <c r="E89" s="1652"/>
    </row>
    <row r="90" spans="2:5">
      <c r="B90" s="1613" t="s">
        <v>1729</v>
      </c>
      <c r="C90" s="1949" t="s">
        <v>1765</v>
      </c>
      <c r="E90" s="1652"/>
    </row>
    <row r="91" spans="2:5">
      <c r="B91" s="1612">
        <v>9.1</v>
      </c>
      <c r="C91" s="1950" t="s">
        <v>1747</v>
      </c>
      <c r="D91" s="1610" t="str">
        <f t="shared" ref="D91:D100" si="8">CONCATENATE(B91, " - ", C91)</f>
        <v>9,1 - [Name of sub-vote]</v>
      </c>
      <c r="E91" s="1652" t="s">
        <v>1772</v>
      </c>
    </row>
    <row r="92" spans="2:5">
      <c r="B92" s="1612">
        <v>9.1999999999999993</v>
      </c>
      <c r="C92" s="1950" t="s">
        <v>1747</v>
      </c>
      <c r="D92" s="1610" t="str">
        <f t="shared" si="8"/>
        <v>9,2 - [Name of sub-vote]</v>
      </c>
      <c r="E92" s="1652"/>
    </row>
    <row r="93" spans="2:5">
      <c r="B93" s="1612">
        <v>9.3000000000000007</v>
      </c>
      <c r="C93" s="1950" t="s">
        <v>1747</v>
      </c>
      <c r="D93" s="1610" t="str">
        <f t="shared" si="8"/>
        <v>9,3 - [Name of sub-vote]</v>
      </c>
      <c r="E93" s="1652"/>
    </row>
    <row r="94" spans="2:5">
      <c r="B94" s="1612">
        <v>9.4</v>
      </c>
      <c r="C94" s="1950" t="s">
        <v>1747</v>
      </c>
      <c r="D94" s="1610" t="str">
        <f t="shared" si="8"/>
        <v>9,4 - [Name of sub-vote]</v>
      </c>
      <c r="E94" s="1652"/>
    </row>
    <row r="95" spans="2:5">
      <c r="B95" s="1612">
        <v>9.5</v>
      </c>
      <c r="C95" s="1950" t="s">
        <v>1747</v>
      </c>
      <c r="D95" s="1610" t="str">
        <f t="shared" si="8"/>
        <v>9,5 - [Name of sub-vote]</v>
      </c>
      <c r="E95" s="1652"/>
    </row>
    <row r="96" spans="2:5">
      <c r="B96" s="1612">
        <v>9.6</v>
      </c>
      <c r="C96" s="1950" t="s">
        <v>1747</v>
      </c>
      <c r="D96" s="1610" t="str">
        <f t="shared" si="8"/>
        <v>9,6 - [Name of sub-vote]</v>
      </c>
      <c r="E96" s="1652"/>
    </row>
    <row r="97" spans="2:5">
      <c r="B97" s="1612">
        <v>9.6999999999999993</v>
      </c>
      <c r="C97" s="1950" t="s">
        <v>1747</v>
      </c>
      <c r="D97" s="1610" t="str">
        <f t="shared" si="8"/>
        <v>9,7 - [Name of sub-vote]</v>
      </c>
      <c r="E97" s="1652"/>
    </row>
    <row r="98" spans="2:5">
      <c r="B98" s="1612">
        <v>9.8000000000000007</v>
      </c>
      <c r="C98" s="1950" t="s">
        <v>1747</v>
      </c>
      <c r="D98" s="1610" t="str">
        <f t="shared" si="8"/>
        <v>9,8 - [Name of sub-vote]</v>
      </c>
      <c r="E98" s="1652"/>
    </row>
    <row r="99" spans="2:5">
      <c r="B99" s="1612">
        <v>9.9</v>
      </c>
      <c r="C99" s="1950" t="s">
        <v>1747</v>
      </c>
      <c r="D99" s="1610" t="str">
        <f t="shared" si="8"/>
        <v>9,9 - [Name of sub-vote]</v>
      </c>
      <c r="E99" s="1652"/>
    </row>
    <row r="100" spans="2:5">
      <c r="B100" s="1612" t="s">
        <v>1756</v>
      </c>
      <c r="C100" s="1950" t="s">
        <v>1747</v>
      </c>
      <c r="D100" s="1610" t="str">
        <f t="shared" si="8"/>
        <v>9.10 - [Name of sub-vote]</v>
      </c>
      <c r="E100" s="1652"/>
    </row>
    <row r="101" spans="2:5">
      <c r="B101" s="1613" t="s">
        <v>1730</v>
      </c>
      <c r="C101" s="1949" t="s">
        <v>1766</v>
      </c>
      <c r="E101" s="1652"/>
    </row>
    <row r="102" spans="2:5">
      <c r="B102" s="1612">
        <v>10.1</v>
      </c>
      <c r="C102" s="1950" t="s">
        <v>1747</v>
      </c>
      <c r="D102" s="1610" t="str">
        <f t="shared" ref="D102:D111" si="9">CONCATENATE(B102, " - ", C102)</f>
        <v>10,1 - [Name of sub-vote]</v>
      </c>
      <c r="E102" s="1652" t="s">
        <v>1773</v>
      </c>
    </row>
    <row r="103" spans="2:5">
      <c r="B103" s="1612">
        <v>10.199999999999999</v>
      </c>
      <c r="C103" s="1950" t="s">
        <v>1747</v>
      </c>
      <c r="D103" s="1610" t="str">
        <f t="shared" si="9"/>
        <v>10,2 - [Name of sub-vote]</v>
      </c>
      <c r="E103" s="1652"/>
    </row>
    <row r="104" spans="2:5">
      <c r="B104" s="1612">
        <v>10.3</v>
      </c>
      <c r="C104" s="1950" t="s">
        <v>1747</v>
      </c>
      <c r="D104" s="1610" t="str">
        <f t="shared" si="9"/>
        <v>10,3 - [Name of sub-vote]</v>
      </c>
      <c r="E104" s="1652"/>
    </row>
    <row r="105" spans="2:5">
      <c r="B105" s="1612">
        <v>10.4</v>
      </c>
      <c r="C105" s="1950" t="s">
        <v>1747</v>
      </c>
      <c r="D105" s="1610" t="str">
        <f t="shared" si="9"/>
        <v>10,4 - [Name of sub-vote]</v>
      </c>
      <c r="E105" s="1652"/>
    </row>
    <row r="106" spans="2:5">
      <c r="B106" s="1612">
        <v>10.5</v>
      </c>
      <c r="C106" s="1950" t="s">
        <v>1747</v>
      </c>
      <c r="D106" s="1610" t="str">
        <f t="shared" si="9"/>
        <v>10,5 - [Name of sub-vote]</v>
      </c>
      <c r="E106" s="1652"/>
    </row>
    <row r="107" spans="2:5">
      <c r="B107" s="1612">
        <v>10.6</v>
      </c>
      <c r="C107" s="1950" t="s">
        <v>1747</v>
      </c>
      <c r="D107" s="1610" t="str">
        <f t="shared" si="9"/>
        <v>10,6 - [Name of sub-vote]</v>
      </c>
      <c r="E107" s="1652"/>
    </row>
    <row r="108" spans="2:5">
      <c r="B108" s="1612">
        <v>10.7</v>
      </c>
      <c r="C108" s="1950" t="s">
        <v>1747</v>
      </c>
      <c r="D108" s="1610" t="str">
        <f t="shared" si="9"/>
        <v>10,7 - [Name of sub-vote]</v>
      </c>
      <c r="E108" s="1652"/>
    </row>
    <row r="109" spans="2:5">
      <c r="B109" s="1612">
        <v>10.8</v>
      </c>
      <c r="C109" s="1950" t="s">
        <v>1747</v>
      </c>
      <c r="D109" s="1610" t="str">
        <f t="shared" si="9"/>
        <v>10,8 - [Name of sub-vote]</v>
      </c>
      <c r="E109" s="1652"/>
    </row>
    <row r="110" spans="2:5">
      <c r="B110" s="1612">
        <v>10.9</v>
      </c>
      <c r="C110" s="1950" t="s">
        <v>1747</v>
      </c>
      <c r="D110" s="1610" t="str">
        <f t="shared" si="9"/>
        <v>10,9 - [Name of sub-vote]</v>
      </c>
      <c r="E110" s="1652"/>
    </row>
    <row r="111" spans="2:5">
      <c r="B111" s="1612" t="s">
        <v>1757</v>
      </c>
      <c r="C111" s="1950" t="s">
        <v>1747</v>
      </c>
      <c r="D111" s="1610" t="str">
        <f t="shared" si="9"/>
        <v>10.10 - [Name of sub-vote]</v>
      </c>
      <c r="E111" s="1652"/>
    </row>
    <row r="112" spans="2:5">
      <c r="B112" s="1613" t="s">
        <v>1731</v>
      </c>
      <c r="C112" s="1949" t="s">
        <v>1767</v>
      </c>
      <c r="E112" s="1652"/>
    </row>
    <row r="113" spans="2:5">
      <c r="B113" s="1612">
        <v>11.1</v>
      </c>
      <c r="C113" s="1950" t="s">
        <v>1747</v>
      </c>
      <c r="D113" s="1610" t="str">
        <f t="shared" ref="D113:D122" si="10">CONCATENATE(B113, " - ", C113)</f>
        <v>11,1 - [Name of sub-vote]</v>
      </c>
      <c r="E113" s="1652" t="s">
        <v>1774</v>
      </c>
    </row>
    <row r="114" spans="2:5">
      <c r="B114" s="1612">
        <v>11.2</v>
      </c>
      <c r="C114" s="1950" t="s">
        <v>1747</v>
      </c>
      <c r="D114" s="1610" t="str">
        <f t="shared" si="10"/>
        <v>11,2 - [Name of sub-vote]</v>
      </c>
      <c r="E114" s="1652"/>
    </row>
    <row r="115" spans="2:5">
      <c r="B115" s="1612">
        <v>11.3</v>
      </c>
      <c r="C115" s="1950" t="s">
        <v>1747</v>
      </c>
      <c r="D115" s="1610" t="str">
        <f t="shared" si="10"/>
        <v>11,3 - [Name of sub-vote]</v>
      </c>
      <c r="E115" s="1652"/>
    </row>
    <row r="116" spans="2:5">
      <c r="B116" s="1612">
        <v>11.4</v>
      </c>
      <c r="C116" s="1950" t="s">
        <v>1747</v>
      </c>
      <c r="D116" s="1610" t="str">
        <f t="shared" si="10"/>
        <v>11,4 - [Name of sub-vote]</v>
      </c>
      <c r="E116" s="1652"/>
    </row>
    <row r="117" spans="2:5">
      <c r="B117" s="1612">
        <v>11.5</v>
      </c>
      <c r="C117" s="1950" t="s">
        <v>1747</v>
      </c>
      <c r="D117" s="1610" t="str">
        <f t="shared" si="10"/>
        <v>11,5 - [Name of sub-vote]</v>
      </c>
      <c r="E117" s="1652"/>
    </row>
    <row r="118" spans="2:5">
      <c r="B118" s="1612">
        <v>11.6</v>
      </c>
      <c r="C118" s="1950" t="s">
        <v>1747</v>
      </c>
      <c r="D118" s="1610" t="str">
        <f t="shared" si="10"/>
        <v>11,6 - [Name of sub-vote]</v>
      </c>
      <c r="E118" s="1652"/>
    </row>
    <row r="119" spans="2:5">
      <c r="B119" s="1612">
        <v>11.7</v>
      </c>
      <c r="C119" s="1950" t="s">
        <v>1747</v>
      </c>
      <c r="D119" s="1610" t="str">
        <f t="shared" si="10"/>
        <v>11,7 - [Name of sub-vote]</v>
      </c>
      <c r="E119" s="1652"/>
    </row>
    <row r="120" spans="2:5">
      <c r="B120" s="1612">
        <v>11.8</v>
      </c>
      <c r="C120" s="1950" t="s">
        <v>1747</v>
      </c>
      <c r="D120" s="1610" t="str">
        <f t="shared" si="10"/>
        <v>11,8 - [Name of sub-vote]</v>
      </c>
      <c r="E120" s="1652"/>
    </row>
    <row r="121" spans="2:5">
      <c r="B121" s="1612">
        <v>11.9</v>
      </c>
      <c r="C121" s="1950" t="s">
        <v>1747</v>
      </c>
      <c r="D121" s="1610" t="str">
        <f t="shared" si="10"/>
        <v>11,9 - [Name of sub-vote]</v>
      </c>
      <c r="E121" s="1652"/>
    </row>
    <row r="122" spans="2:5">
      <c r="B122" s="1612" t="s">
        <v>1758</v>
      </c>
      <c r="C122" s="1950" t="s">
        <v>1747</v>
      </c>
      <c r="D122" s="1610" t="str">
        <f t="shared" si="10"/>
        <v>11.10 - [Name of sub-vote]</v>
      </c>
      <c r="E122" s="1652"/>
    </row>
    <row r="123" spans="2:5">
      <c r="B123" s="1613" t="s">
        <v>1732</v>
      </c>
      <c r="C123" s="1949" t="s">
        <v>1768</v>
      </c>
      <c r="E123" s="1652"/>
    </row>
    <row r="124" spans="2:5">
      <c r="B124" s="1612">
        <v>12.1</v>
      </c>
      <c r="C124" s="1950" t="s">
        <v>1747</v>
      </c>
      <c r="D124" s="1610" t="str">
        <f t="shared" ref="D124:D133" si="11">CONCATENATE(B124, " - ", C124)</f>
        <v>12,1 - [Name of sub-vote]</v>
      </c>
      <c r="E124" s="1652" t="s">
        <v>1775</v>
      </c>
    </row>
    <row r="125" spans="2:5">
      <c r="B125" s="1612">
        <v>12.2</v>
      </c>
      <c r="C125" s="1950" t="s">
        <v>1747</v>
      </c>
      <c r="D125" s="1610" t="str">
        <f t="shared" si="11"/>
        <v>12,2 - [Name of sub-vote]</v>
      </c>
      <c r="E125" s="1652"/>
    </row>
    <row r="126" spans="2:5">
      <c r="B126" s="1612">
        <v>12.3</v>
      </c>
      <c r="C126" s="1950" t="s">
        <v>1747</v>
      </c>
      <c r="D126" s="1610" t="str">
        <f t="shared" si="11"/>
        <v>12,3 - [Name of sub-vote]</v>
      </c>
      <c r="E126" s="1652"/>
    </row>
    <row r="127" spans="2:5">
      <c r="B127" s="1612">
        <v>12.4</v>
      </c>
      <c r="C127" s="1950" t="s">
        <v>1747</v>
      </c>
      <c r="D127" s="1610" t="str">
        <f t="shared" si="11"/>
        <v>12,4 - [Name of sub-vote]</v>
      </c>
      <c r="E127" s="1652"/>
    </row>
    <row r="128" spans="2:5">
      <c r="B128" s="1612">
        <v>12.5</v>
      </c>
      <c r="C128" s="1950" t="s">
        <v>1747</v>
      </c>
      <c r="D128" s="1610" t="str">
        <f t="shared" si="11"/>
        <v>12,5 - [Name of sub-vote]</v>
      </c>
      <c r="E128" s="1652"/>
    </row>
    <row r="129" spans="2:5">
      <c r="B129" s="1612">
        <v>12.6</v>
      </c>
      <c r="C129" s="1950" t="s">
        <v>1747</v>
      </c>
      <c r="D129" s="1610" t="str">
        <f t="shared" si="11"/>
        <v>12,6 - [Name of sub-vote]</v>
      </c>
      <c r="E129" s="1652"/>
    </row>
    <row r="130" spans="2:5">
      <c r="B130" s="1612">
        <v>12.7</v>
      </c>
      <c r="C130" s="1950" t="s">
        <v>1747</v>
      </c>
      <c r="D130" s="1610" t="str">
        <f t="shared" si="11"/>
        <v>12,7 - [Name of sub-vote]</v>
      </c>
      <c r="E130" s="1652"/>
    </row>
    <row r="131" spans="2:5">
      <c r="B131" s="1612">
        <v>12.8</v>
      </c>
      <c r="C131" s="1950" t="s">
        <v>1747</v>
      </c>
      <c r="D131" s="1610" t="str">
        <f t="shared" si="11"/>
        <v>12,8 - [Name of sub-vote]</v>
      </c>
      <c r="E131" s="1652"/>
    </row>
    <row r="132" spans="2:5">
      <c r="B132" s="1612">
        <v>12.9</v>
      </c>
      <c r="C132" s="1950" t="s">
        <v>1747</v>
      </c>
      <c r="D132" s="1610" t="str">
        <f t="shared" si="11"/>
        <v>12,9 - [Name of sub-vote]</v>
      </c>
      <c r="E132" s="1652"/>
    </row>
    <row r="133" spans="2:5">
      <c r="B133" s="1612" t="s">
        <v>1759</v>
      </c>
      <c r="C133" s="1950" t="s">
        <v>1747</v>
      </c>
      <c r="D133" s="1610" t="str">
        <f t="shared" si="11"/>
        <v>12.10 - [Name of sub-vote]</v>
      </c>
      <c r="E133" s="1652"/>
    </row>
    <row r="134" spans="2:5">
      <c r="B134" s="1613" t="s">
        <v>1733</v>
      </c>
      <c r="C134" s="1949" t="s">
        <v>1769</v>
      </c>
      <c r="E134" s="1652"/>
    </row>
    <row r="135" spans="2:5">
      <c r="B135" s="1612">
        <v>13.1</v>
      </c>
      <c r="C135" s="1950" t="s">
        <v>1747</v>
      </c>
      <c r="D135" s="1610" t="str">
        <f t="shared" ref="D135:D144" si="12">CONCATENATE(B135, " - ", C135)</f>
        <v>13,1 - [Name of sub-vote]</v>
      </c>
      <c r="E135" s="1652" t="s">
        <v>1776</v>
      </c>
    </row>
    <row r="136" spans="2:5">
      <c r="B136" s="1612">
        <v>13.2</v>
      </c>
      <c r="C136" s="1950" t="s">
        <v>1747</v>
      </c>
      <c r="D136" s="1610" t="str">
        <f t="shared" si="12"/>
        <v>13,2 - [Name of sub-vote]</v>
      </c>
      <c r="E136" s="1652"/>
    </row>
    <row r="137" spans="2:5">
      <c r="B137" s="1612">
        <v>13.3</v>
      </c>
      <c r="C137" s="1950" t="s">
        <v>1747</v>
      </c>
      <c r="D137" s="1610" t="str">
        <f t="shared" si="12"/>
        <v>13,3 - [Name of sub-vote]</v>
      </c>
      <c r="E137" s="1652"/>
    </row>
    <row r="138" spans="2:5">
      <c r="B138" s="1612">
        <v>13.4</v>
      </c>
      <c r="C138" s="1950" t="s">
        <v>1747</v>
      </c>
      <c r="D138" s="1610" t="str">
        <f t="shared" si="12"/>
        <v>13,4 - [Name of sub-vote]</v>
      </c>
      <c r="E138" s="1652"/>
    </row>
    <row r="139" spans="2:5">
      <c r="B139" s="1612">
        <v>13.5</v>
      </c>
      <c r="C139" s="1950" t="s">
        <v>1747</v>
      </c>
      <c r="D139" s="1610" t="str">
        <f t="shared" si="12"/>
        <v>13,5 - [Name of sub-vote]</v>
      </c>
      <c r="E139" s="1652"/>
    </row>
    <row r="140" spans="2:5">
      <c r="B140" s="1612">
        <v>13.6</v>
      </c>
      <c r="C140" s="1950" t="s">
        <v>1747</v>
      </c>
      <c r="D140" s="1610" t="str">
        <f t="shared" si="12"/>
        <v>13,6 - [Name of sub-vote]</v>
      </c>
      <c r="E140" s="1652"/>
    </row>
    <row r="141" spans="2:5">
      <c r="B141" s="1612">
        <v>13.7</v>
      </c>
      <c r="C141" s="1950" t="s">
        <v>1747</v>
      </c>
      <c r="D141" s="1610" t="str">
        <f t="shared" si="12"/>
        <v>13,7 - [Name of sub-vote]</v>
      </c>
      <c r="E141" s="1652"/>
    </row>
    <row r="142" spans="2:5">
      <c r="B142" s="1612">
        <v>13.8</v>
      </c>
      <c r="C142" s="1950" t="s">
        <v>1747</v>
      </c>
      <c r="D142" s="1610" t="str">
        <f t="shared" si="12"/>
        <v>13,8 - [Name of sub-vote]</v>
      </c>
      <c r="E142" s="1652"/>
    </row>
    <row r="143" spans="2:5">
      <c r="B143" s="1612">
        <v>13.9</v>
      </c>
      <c r="C143" s="1950" t="s">
        <v>1747</v>
      </c>
      <c r="D143" s="1610" t="str">
        <f t="shared" si="12"/>
        <v>13,9 - [Name of sub-vote]</v>
      </c>
      <c r="E143" s="1652"/>
    </row>
    <row r="144" spans="2:5">
      <c r="B144" s="1612" t="s">
        <v>1760</v>
      </c>
      <c r="C144" s="1950" t="s">
        <v>1747</v>
      </c>
      <c r="D144" s="1610" t="str">
        <f t="shared" si="12"/>
        <v>13.10 - [Name of sub-vote]</v>
      </c>
      <c r="E144" s="1652"/>
    </row>
    <row r="145" spans="2:5">
      <c r="B145" s="1613" t="s">
        <v>1734</v>
      </c>
      <c r="C145" s="1949" t="s">
        <v>1770</v>
      </c>
      <c r="E145" s="1652"/>
    </row>
    <row r="146" spans="2:5">
      <c r="B146" s="1612">
        <v>14.1</v>
      </c>
      <c r="C146" s="1950" t="s">
        <v>1747</v>
      </c>
      <c r="D146" s="1610" t="str">
        <f t="shared" ref="D146:D155" si="13">CONCATENATE(B146, " - ", C146)</f>
        <v>14,1 - [Name of sub-vote]</v>
      </c>
      <c r="E146" s="1652" t="s">
        <v>1777</v>
      </c>
    </row>
    <row r="147" spans="2:5">
      <c r="B147" s="1612">
        <v>14.2</v>
      </c>
      <c r="C147" s="1950" t="s">
        <v>1747</v>
      </c>
      <c r="D147" s="1610" t="str">
        <f t="shared" si="13"/>
        <v>14,2 - [Name of sub-vote]</v>
      </c>
      <c r="E147" s="1652"/>
    </row>
    <row r="148" spans="2:5">
      <c r="B148" s="1612">
        <v>14.3</v>
      </c>
      <c r="C148" s="1950" t="s">
        <v>1747</v>
      </c>
      <c r="D148" s="1610" t="str">
        <f t="shared" si="13"/>
        <v>14,3 - [Name of sub-vote]</v>
      </c>
      <c r="E148" s="1652"/>
    </row>
    <row r="149" spans="2:5">
      <c r="B149" s="1612">
        <v>14.4</v>
      </c>
      <c r="C149" s="1950" t="s">
        <v>1747</v>
      </c>
      <c r="D149" s="1610" t="str">
        <f t="shared" si="13"/>
        <v>14,4 - [Name of sub-vote]</v>
      </c>
      <c r="E149" s="1652"/>
    </row>
    <row r="150" spans="2:5">
      <c r="B150" s="1612">
        <v>14.5</v>
      </c>
      <c r="C150" s="1950" t="s">
        <v>1747</v>
      </c>
      <c r="D150" s="1610" t="str">
        <f t="shared" si="13"/>
        <v>14,5 - [Name of sub-vote]</v>
      </c>
      <c r="E150" s="1652"/>
    </row>
    <row r="151" spans="2:5">
      <c r="B151" s="1612">
        <v>14.6</v>
      </c>
      <c r="C151" s="1950" t="s">
        <v>1747</v>
      </c>
      <c r="D151" s="1610" t="str">
        <f t="shared" si="13"/>
        <v>14,6 - [Name of sub-vote]</v>
      </c>
      <c r="E151" s="1652"/>
    </row>
    <row r="152" spans="2:5">
      <c r="B152" s="1612">
        <v>14.7</v>
      </c>
      <c r="C152" s="1950" t="s">
        <v>1747</v>
      </c>
      <c r="D152" s="1610" t="str">
        <f t="shared" si="13"/>
        <v>14,7 - [Name of sub-vote]</v>
      </c>
      <c r="E152" s="1652"/>
    </row>
    <row r="153" spans="2:5">
      <c r="B153" s="1612">
        <v>14.8</v>
      </c>
      <c r="C153" s="1950" t="s">
        <v>1747</v>
      </c>
      <c r="D153" s="1610" t="str">
        <f t="shared" si="13"/>
        <v>14,8 - [Name of sub-vote]</v>
      </c>
      <c r="E153" s="1652"/>
    </row>
    <row r="154" spans="2:5">
      <c r="B154" s="1612">
        <v>14.9</v>
      </c>
      <c r="C154" s="1950" t="s">
        <v>1747</v>
      </c>
      <c r="D154" s="1610" t="str">
        <f t="shared" si="13"/>
        <v>14,9 - [Name of sub-vote]</v>
      </c>
      <c r="E154" s="1652"/>
    </row>
    <row r="155" spans="2:5">
      <c r="B155" s="1612" t="s">
        <v>1761</v>
      </c>
      <c r="C155" s="1950" t="s">
        <v>1747</v>
      </c>
      <c r="D155" s="1610" t="str">
        <f t="shared" si="13"/>
        <v>14.10 - [Name of sub-vote]</v>
      </c>
      <c r="E155" s="1652"/>
    </row>
    <row r="156" spans="2:5">
      <c r="B156" s="1613" t="s">
        <v>1735</v>
      </c>
      <c r="C156" s="1949" t="s">
        <v>1771</v>
      </c>
      <c r="E156" s="1652"/>
    </row>
    <row r="157" spans="2:5">
      <c r="B157" s="1612">
        <v>15.1</v>
      </c>
      <c r="C157" s="1950" t="s">
        <v>1747</v>
      </c>
      <c r="D157" s="1610" t="str">
        <f t="shared" ref="D157:D166" si="14">CONCATENATE(B157, " - ", C157)</f>
        <v>15,1 - [Name of sub-vote]</v>
      </c>
      <c r="E157" s="1652" t="s">
        <v>1778</v>
      </c>
    </row>
    <row r="158" spans="2:5">
      <c r="B158" s="1612">
        <v>15.2</v>
      </c>
      <c r="C158" s="1950" t="s">
        <v>1747</v>
      </c>
      <c r="D158" s="1610" t="str">
        <f t="shared" si="14"/>
        <v>15,2 - [Name of sub-vote]</v>
      </c>
      <c r="E158" s="1652"/>
    </row>
    <row r="159" spans="2:5">
      <c r="B159" s="1612">
        <v>15.3</v>
      </c>
      <c r="C159" s="1950" t="s">
        <v>1747</v>
      </c>
      <c r="D159" s="1610" t="str">
        <f t="shared" si="14"/>
        <v>15,3 - [Name of sub-vote]</v>
      </c>
      <c r="E159" s="1652"/>
    </row>
    <row r="160" spans="2:5">
      <c r="B160" s="1612">
        <v>15.4</v>
      </c>
      <c r="C160" s="1950" t="s">
        <v>1747</v>
      </c>
      <c r="D160" s="1610" t="str">
        <f t="shared" si="14"/>
        <v>15,4 - [Name of sub-vote]</v>
      </c>
      <c r="E160" s="1652"/>
    </row>
    <row r="161" spans="2:5">
      <c r="B161" s="1612">
        <v>15.5</v>
      </c>
      <c r="C161" s="1950" t="s">
        <v>1747</v>
      </c>
      <c r="D161" s="1610" t="str">
        <f t="shared" si="14"/>
        <v>15,5 - [Name of sub-vote]</v>
      </c>
      <c r="E161" s="1652"/>
    </row>
    <row r="162" spans="2:5">
      <c r="B162" s="1612">
        <v>15.6</v>
      </c>
      <c r="C162" s="1950" t="s">
        <v>1747</v>
      </c>
      <c r="D162" s="1610" t="str">
        <f t="shared" si="14"/>
        <v>15,6 - [Name of sub-vote]</v>
      </c>
      <c r="E162" s="1652"/>
    </row>
    <row r="163" spans="2:5">
      <c r="B163" s="1612">
        <v>15.7</v>
      </c>
      <c r="C163" s="1950" t="s">
        <v>1747</v>
      </c>
      <c r="D163" s="1610" t="str">
        <f t="shared" si="14"/>
        <v>15,7 - [Name of sub-vote]</v>
      </c>
      <c r="E163" s="1652"/>
    </row>
    <row r="164" spans="2:5">
      <c r="B164" s="1612">
        <v>15.8</v>
      </c>
      <c r="C164" s="1950" t="s">
        <v>1747</v>
      </c>
      <c r="D164" s="1610" t="str">
        <f t="shared" si="14"/>
        <v>15,8 - [Name of sub-vote]</v>
      </c>
      <c r="E164" s="1652"/>
    </row>
    <row r="165" spans="2:5">
      <c r="B165" s="1612">
        <v>15.9</v>
      </c>
      <c r="C165" s="1950" t="s">
        <v>1747</v>
      </c>
      <c r="D165" s="1610" t="str">
        <f t="shared" si="14"/>
        <v>15,9 - [Name of sub-vote]</v>
      </c>
      <c r="E165" s="1652"/>
    </row>
    <row r="166" spans="2:5">
      <c r="B166" s="1612" t="s">
        <v>1762</v>
      </c>
      <c r="C166" s="1950" t="s">
        <v>1747</v>
      </c>
      <c r="D166" s="1610" t="str">
        <f t="shared" si="14"/>
        <v>15.10 - [Name of sub-vote]</v>
      </c>
      <c r="E166" s="1652"/>
    </row>
  </sheetData>
  <phoneticPr fontId="5"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80" zoomScaleNormal="100" workbookViewId="0">
      <selection activeCell="B102" sqref="B102:B108"/>
    </sheetView>
  </sheetViews>
  <sheetFormatPr defaultColWidth="9.140625" defaultRowHeight="12.75"/>
  <cols>
    <col min="1" max="1" width="20.7109375" style="2468" customWidth="1"/>
    <col min="2" max="2" width="40.7109375" style="2468" customWidth="1"/>
    <col min="3" max="3" width="20.7109375" style="2468" customWidth="1"/>
    <col min="4" max="4" width="40.7109375" style="2468" customWidth="1"/>
    <col min="5" max="5" width="8.7109375" style="1252" customWidth="1"/>
    <col min="6" max="10" width="8.7109375" style="1253" customWidth="1"/>
    <col min="11" max="15" width="12.7109375" style="1253" customWidth="1"/>
    <col min="16" max="17" width="30.7109375" style="1253" customWidth="1"/>
    <col min="18" max="16384" width="9.140625" style="1254"/>
  </cols>
  <sheetData>
    <row r="1" spans="1:17" ht="13.5" customHeight="1">
      <c r="A1" s="2466" t="str">
        <f>muni&amp;" - "&amp;" Contact Information"</f>
        <v>LIM333 Greater Tzaneen -  Contact Information</v>
      </c>
      <c r="B1" s="2467"/>
    </row>
    <row r="2" spans="1:17" ht="13.5" customHeight="1">
      <c r="A2" s="2469"/>
      <c r="B2" s="2470"/>
      <c r="C2" s="2469"/>
      <c r="D2" s="2469"/>
    </row>
    <row r="3" spans="1:17" ht="13.5" customHeight="1" thickBot="1">
      <c r="A3" s="2471" t="s">
        <v>897</v>
      </c>
      <c r="B3" s="2472"/>
      <c r="C3" s="2469"/>
      <c r="D3" s="2469"/>
    </row>
    <row r="4" spans="1:17" ht="13.5" customHeight="1" thickTop="1">
      <c r="A4" s="2473" t="s">
        <v>898</v>
      </c>
      <c r="B4" s="2554" t="s">
        <v>57</v>
      </c>
      <c r="C4" s="2474" t="str">
        <f>IF(B4="Choose name from List","Set name on 'Instructions' sheet", "")</f>
        <v/>
      </c>
      <c r="D4" s="2475"/>
      <c r="F4" s="1256"/>
      <c r="G4" s="1256"/>
      <c r="H4" s="1256"/>
      <c r="I4" s="1257"/>
      <c r="J4" s="1256"/>
      <c r="K4" s="1258"/>
      <c r="L4" s="1258"/>
      <c r="M4" s="1258"/>
      <c r="N4" s="1258"/>
      <c r="O4" s="1258"/>
      <c r="P4" s="1333"/>
      <c r="Q4" s="1260"/>
    </row>
    <row r="5" spans="1:17" ht="13.5" customHeight="1">
      <c r="A5" s="2476"/>
      <c r="B5" s="2477"/>
      <c r="C5" s="2475"/>
      <c r="D5" s="2475"/>
      <c r="F5" s="1256"/>
      <c r="G5" s="1256"/>
      <c r="H5" s="1256"/>
      <c r="I5" s="1257"/>
      <c r="J5" s="1256"/>
      <c r="K5" s="1258"/>
      <c r="L5" s="1258"/>
      <c r="M5" s="1258"/>
      <c r="N5" s="1258"/>
      <c r="O5" s="1258"/>
      <c r="P5" s="1333"/>
      <c r="Q5" s="1262"/>
    </row>
    <row r="6" spans="1:17" s="1263" customFormat="1" ht="13.5" customHeight="1">
      <c r="A6" s="2478" t="s">
        <v>98</v>
      </c>
      <c r="B6" s="2479" t="s">
        <v>3011</v>
      </c>
      <c r="C6" s="2480" t="s">
        <v>99</v>
      </c>
      <c r="D6" s="2481"/>
      <c r="E6" s="1261"/>
      <c r="F6" s="1256"/>
      <c r="G6" s="1256"/>
      <c r="H6" s="1257"/>
      <c r="I6" s="1257"/>
      <c r="J6" s="1256"/>
      <c r="K6" s="1258"/>
      <c r="L6" s="1258"/>
      <c r="M6" s="1258"/>
      <c r="N6" s="1258"/>
      <c r="O6" s="1258"/>
      <c r="P6" s="1333"/>
      <c r="Q6" s="1260"/>
    </row>
    <row r="7" spans="1:17" s="1263" customFormat="1" ht="13.5" customHeight="1">
      <c r="A7" s="2482"/>
      <c r="B7" s="2483"/>
      <c r="C7" s="2481"/>
      <c r="D7" s="2481"/>
      <c r="E7" s="1261"/>
      <c r="F7" s="1256"/>
      <c r="G7" s="1256"/>
      <c r="H7" s="1257"/>
      <c r="I7" s="1257"/>
      <c r="J7" s="1256"/>
      <c r="K7" s="1258"/>
      <c r="L7" s="1258"/>
      <c r="M7" s="1258"/>
      <c r="N7" s="1258"/>
      <c r="O7" s="1258"/>
      <c r="P7" s="1333"/>
      <c r="Q7" s="1260"/>
    </row>
    <row r="8" spans="1:17" s="1263" customFormat="1" ht="13.5" customHeight="1">
      <c r="A8" s="2484" t="s">
        <v>100</v>
      </c>
      <c r="B8" s="2485" t="str">
        <f>IF(B4&gt;" ",VLOOKUP(B4,'Lookup and lists'!B29:C307,2, FALSE)," ")</f>
        <v>LIM LIMPOPO</v>
      </c>
      <c r="C8" s="2819"/>
      <c r="D8" s="2819"/>
      <c r="E8" s="1261"/>
      <c r="F8" s="1256"/>
      <c r="G8" s="1256"/>
      <c r="H8" s="1257"/>
      <c r="I8" s="1257"/>
      <c r="J8" s="1256"/>
      <c r="K8" s="1258"/>
      <c r="L8" s="1258"/>
      <c r="M8" s="1258"/>
      <c r="N8" s="1258"/>
      <c r="O8" s="1258"/>
      <c r="P8" s="1333"/>
      <c r="Q8" s="1260"/>
    </row>
    <row r="9" spans="1:17" s="1263" customFormat="1" ht="13.5" customHeight="1">
      <c r="A9" s="2487"/>
      <c r="B9" s="2488"/>
      <c r="C9" s="2486"/>
      <c r="D9" s="2486"/>
      <c r="E9" s="1261"/>
      <c r="F9" s="1256"/>
      <c r="G9" s="1256"/>
      <c r="H9" s="1257"/>
      <c r="I9" s="1257"/>
      <c r="J9" s="1256"/>
      <c r="K9" s="1258"/>
      <c r="L9" s="1258"/>
      <c r="M9" s="1258"/>
      <c r="N9" s="1258"/>
      <c r="O9" s="1258"/>
      <c r="P9" s="1333"/>
      <c r="Q9" s="1260"/>
    </row>
    <row r="10" spans="1:17" ht="13.5" customHeight="1">
      <c r="A10" s="2489" t="s">
        <v>101</v>
      </c>
      <c r="B10" s="2490" t="s">
        <v>3012</v>
      </c>
      <c r="C10" s="2491"/>
      <c r="D10" s="2492"/>
      <c r="F10" s="1257"/>
      <c r="G10" s="1256"/>
      <c r="H10" s="1257"/>
      <c r="I10" s="1257"/>
      <c r="J10" s="1256"/>
      <c r="K10" s="1258"/>
      <c r="L10" s="1258"/>
      <c r="M10" s="1258"/>
      <c r="N10" s="1258"/>
      <c r="O10" s="1258"/>
      <c r="P10" s="1333"/>
      <c r="Q10" s="1260"/>
    </row>
    <row r="11" spans="1:17" ht="13.5" customHeight="1">
      <c r="A11" s="2493"/>
      <c r="B11" s="2494"/>
      <c r="C11" s="2824"/>
      <c r="D11" s="2825"/>
      <c r="F11" s="1257"/>
      <c r="G11" s="1256"/>
      <c r="H11" s="1257"/>
      <c r="I11" s="1257"/>
      <c r="J11" s="1256"/>
      <c r="K11" s="1258"/>
      <c r="L11" s="1258"/>
      <c r="M11" s="1258"/>
      <c r="N11" s="1258"/>
      <c r="O11" s="1258"/>
      <c r="P11" s="1333"/>
      <c r="Q11" s="1262"/>
    </row>
    <row r="12" spans="1:17" ht="13.5" customHeight="1">
      <c r="A12" s="2489" t="s">
        <v>1519</v>
      </c>
      <c r="B12" s="2495"/>
      <c r="C12" s="2496"/>
      <c r="D12" s="2496"/>
      <c r="F12" s="1257"/>
      <c r="G12" s="1257"/>
      <c r="H12" s="1257"/>
      <c r="I12" s="1257"/>
      <c r="J12" s="1256"/>
      <c r="K12" s="1258"/>
      <c r="L12" s="1258"/>
      <c r="M12" s="1258"/>
      <c r="N12" s="1258"/>
      <c r="O12" s="1258"/>
      <c r="P12" s="1333"/>
      <c r="Q12" s="1260"/>
    </row>
    <row r="13" spans="1:17" ht="13.5" customHeight="1">
      <c r="A13" s="2497"/>
      <c r="B13" s="2498"/>
      <c r="C13" s="2826"/>
      <c r="D13" s="2826"/>
      <c r="F13" s="1257"/>
      <c r="G13" s="1257"/>
      <c r="H13" s="1257"/>
      <c r="I13" s="1264"/>
      <c r="J13" s="1257"/>
      <c r="K13" s="1258"/>
      <c r="L13" s="1258"/>
      <c r="M13" s="1258"/>
      <c r="N13" s="1258"/>
      <c r="O13" s="1258"/>
      <c r="P13" s="1333"/>
    </row>
    <row r="14" spans="1:17" ht="13.5" customHeight="1" thickBot="1">
      <c r="A14" s="2820" t="s">
        <v>1523</v>
      </c>
      <c r="B14" s="2821"/>
      <c r="C14" s="2499"/>
      <c r="D14" s="2499"/>
      <c r="F14" s="1257"/>
      <c r="G14" s="1257"/>
      <c r="H14" s="1264"/>
      <c r="I14" s="1265"/>
      <c r="J14" s="1257"/>
      <c r="K14" s="1258"/>
      <c r="L14" s="1258"/>
      <c r="M14" s="1258"/>
      <c r="N14" s="1258"/>
      <c r="O14" s="1258"/>
      <c r="P14" s="1333"/>
    </row>
    <row r="15" spans="1:17" ht="13.5" customHeight="1" thickTop="1">
      <c r="A15" s="2500" t="s">
        <v>1524</v>
      </c>
      <c r="B15" s="2501"/>
      <c r="F15" s="1264"/>
      <c r="G15" s="1257"/>
      <c r="H15" s="1265"/>
      <c r="I15" s="1265"/>
      <c r="J15" s="1257"/>
      <c r="K15" s="1258"/>
      <c r="L15" s="1258"/>
      <c r="M15" s="1258"/>
      <c r="N15" s="1258"/>
      <c r="O15" s="1258"/>
      <c r="P15" s="1333"/>
    </row>
    <row r="16" spans="1:17" s="1263" customFormat="1" ht="13.5" customHeight="1">
      <c r="A16" s="2502" t="s">
        <v>1526</v>
      </c>
      <c r="B16" s="2503" t="s">
        <v>3013</v>
      </c>
      <c r="C16" s="2468"/>
      <c r="D16" s="2468"/>
      <c r="E16" s="1261"/>
      <c r="F16" s="1265"/>
      <c r="G16" s="1264"/>
      <c r="H16" s="1265"/>
      <c r="I16" s="1265"/>
      <c r="J16" s="1257"/>
      <c r="K16" s="1258"/>
      <c r="L16" s="1258"/>
      <c r="M16" s="1258"/>
      <c r="N16" s="1258"/>
      <c r="O16" s="1258"/>
      <c r="P16" s="1333"/>
      <c r="Q16" s="1253"/>
    </row>
    <row r="17" spans="1:17" ht="13.5" customHeight="1">
      <c r="A17" s="2502" t="s">
        <v>1528</v>
      </c>
      <c r="B17" s="2503" t="s">
        <v>3014</v>
      </c>
      <c r="F17" s="1265"/>
      <c r="G17" s="1265"/>
      <c r="H17" s="1265"/>
      <c r="I17" s="1265"/>
      <c r="J17" s="1264"/>
      <c r="K17" s="1258"/>
      <c r="L17" s="1258"/>
      <c r="M17" s="1258"/>
      <c r="N17" s="1258"/>
      <c r="O17" s="1258"/>
      <c r="P17" s="1333"/>
    </row>
    <row r="18" spans="1:17" ht="13.5" customHeight="1">
      <c r="A18" s="2504" t="s">
        <v>1529</v>
      </c>
      <c r="B18" s="2505" t="s">
        <v>3015</v>
      </c>
      <c r="F18" s="1265"/>
      <c r="G18" s="1265"/>
      <c r="H18" s="1265"/>
      <c r="I18" s="1265"/>
      <c r="J18" s="1265"/>
      <c r="K18" s="1258"/>
      <c r="L18" s="1258"/>
      <c r="M18" s="1258"/>
      <c r="N18" s="1258"/>
      <c r="O18" s="1258"/>
      <c r="P18" s="1333"/>
    </row>
    <row r="19" spans="1:17" ht="13.5" customHeight="1">
      <c r="A19" s="2506"/>
      <c r="B19" s="2507"/>
      <c r="F19" s="1265"/>
      <c r="G19" s="1265"/>
      <c r="H19" s="1265"/>
      <c r="I19" s="1265"/>
      <c r="J19" s="1265"/>
      <c r="K19" s="1258"/>
      <c r="L19" s="1258"/>
      <c r="M19" s="1258"/>
      <c r="N19" s="1258"/>
      <c r="O19" s="1258"/>
      <c r="P19" s="1333"/>
    </row>
    <row r="20" spans="1:17" ht="13.5" customHeight="1">
      <c r="A20" s="2508" t="s">
        <v>995</v>
      </c>
      <c r="B20" s="2509"/>
      <c r="F20" s="1265"/>
      <c r="G20" s="1265"/>
      <c r="H20" s="1265"/>
      <c r="I20" s="1265"/>
      <c r="J20" s="1265"/>
      <c r="K20" s="1258"/>
      <c r="L20" s="1258"/>
      <c r="M20" s="1258"/>
      <c r="N20" s="1258"/>
      <c r="O20" s="1258"/>
      <c r="P20" s="1333"/>
    </row>
    <row r="21" spans="1:17" ht="13.5" customHeight="1">
      <c r="A21" s="2502" t="s">
        <v>997</v>
      </c>
      <c r="B21" s="2503" t="s">
        <v>3016</v>
      </c>
      <c r="F21" s="1265"/>
      <c r="G21" s="1265"/>
      <c r="H21" s="1265"/>
      <c r="I21" s="1265"/>
      <c r="J21" s="1265"/>
      <c r="K21" s="1258"/>
      <c r="L21" s="1258"/>
      <c r="M21" s="1258"/>
      <c r="N21" s="1258"/>
      <c r="O21" s="1258"/>
      <c r="P21" s="1333"/>
    </row>
    <row r="22" spans="1:17" ht="13.5" customHeight="1">
      <c r="A22" s="2502" t="s">
        <v>999</v>
      </c>
      <c r="B22" s="2503" t="s">
        <v>3017</v>
      </c>
      <c r="F22" s="1265"/>
      <c r="G22" s="1265"/>
      <c r="H22" s="1265"/>
      <c r="I22" s="1265"/>
      <c r="J22" s="1265"/>
      <c r="K22" s="1258"/>
      <c r="L22" s="1258"/>
      <c r="M22" s="1258"/>
      <c r="N22" s="1258"/>
      <c r="O22" s="1258"/>
      <c r="P22" s="1333"/>
    </row>
    <row r="23" spans="1:17" ht="13.5" customHeight="1">
      <c r="A23" s="2502" t="s">
        <v>1528</v>
      </c>
      <c r="B23" s="2503" t="s">
        <v>3014</v>
      </c>
      <c r="F23" s="1265"/>
      <c r="G23" s="1265"/>
      <c r="H23" s="1265"/>
      <c r="I23" s="1265"/>
      <c r="J23" s="1265"/>
      <c r="K23" s="1258"/>
      <c r="L23" s="1258"/>
      <c r="M23" s="1258"/>
      <c r="N23" s="1258"/>
      <c r="O23" s="1258"/>
      <c r="P23" s="1333"/>
    </row>
    <row r="24" spans="1:17" ht="13.5" customHeight="1">
      <c r="A24" s="2504" t="s">
        <v>1529</v>
      </c>
      <c r="B24" s="2505" t="s">
        <v>3015</v>
      </c>
      <c r="F24" s="1265"/>
      <c r="G24" s="1265"/>
      <c r="H24" s="1265"/>
      <c r="I24" s="1265"/>
      <c r="J24" s="1265"/>
      <c r="K24" s="1258"/>
      <c r="L24" s="1258"/>
      <c r="M24" s="1258"/>
      <c r="N24" s="1258"/>
      <c r="O24" s="1258"/>
      <c r="P24" s="1333"/>
    </row>
    <row r="25" spans="1:17" ht="13.5" customHeight="1">
      <c r="A25" s="2506"/>
      <c r="B25" s="2507"/>
      <c r="F25" s="1265"/>
      <c r="G25" s="1265"/>
      <c r="H25" s="1265"/>
      <c r="I25" s="1265"/>
      <c r="J25" s="1265"/>
      <c r="K25" s="1258"/>
      <c r="L25" s="1258"/>
      <c r="M25" s="1258"/>
      <c r="N25" s="1258"/>
      <c r="O25" s="1258"/>
      <c r="P25" s="1333"/>
    </row>
    <row r="26" spans="1:17" ht="13.5" customHeight="1">
      <c r="A26" s="2508" t="s">
        <v>1003</v>
      </c>
      <c r="B26" s="2510"/>
      <c r="F26" s="1265"/>
      <c r="G26" s="1265"/>
      <c r="H26" s="1265"/>
      <c r="I26" s="1265"/>
      <c r="J26" s="1265"/>
      <c r="K26" s="1258"/>
      <c r="L26" s="1258"/>
      <c r="M26" s="1258"/>
      <c r="N26" s="1258"/>
      <c r="O26" s="1258"/>
      <c r="P26" s="1333"/>
    </row>
    <row r="27" spans="1:17" ht="13.5" customHeight="1">
      <c r="A27" s="2502" t="s">
        <v>1005</v>
      </c>
      <c r="B27" s="2503" t="s">
        <v>3018</v>
      </c>
      <c r="F27" s="1265"/>
      <c r="G27" s="1265"/>
      <c r="H27" s="1265"/>
      <c r="I27" s="1265"/>
      <c r="J27" s="1265"/>
      <c r="K27" s="1258"/>
      <c r="L27" s="1258"/>
      <c r="M27" s="1258"/>
      <c r="N27" s="1258"/>
      <c r="O27" s="1258"/>
      <c r="P27" s="1333"/>
    </row>
    <row r="28" spans="1:17" ht="13.5" customHeight="1">
      <c r="A28" s="2504" t="s">
        <v>1007</v>
      </c>
      <c r="B28" s="2505" t="s">
        <v>3019</v>
      </c>
      <c r="I28" s="1266"/>
      <c r="J28" s="1265"/>
      <c r="K28" s="1265"/>
      <c r="L28" s="1265"/>
      <c r="M28" s="1265"/>
      <c r="N28" s="1265"/>
      <c r="O28" s="1265"/>
      <c r="P28" s="1333"/>
    </row>
    <row r="29" spans="1:17" ht="13.5" customHeight="1">
      <c r="A29" s="2506"/>
      <c r="B29" s="2507"/>
      <c r="I29" s="1266"/>
      <c r="J29" s="1266"/>
      <c r="K29" s="1266"/>
      <c r="L29" s="1266"/>
      <c r="M29" s="1266"/>
      <c r="N29" s="1266"/>
      <c r="O29" s="1266"/>
      <c r="P29" s="1333"/>
    </row>
    <row r="30" spans="1:17" ht="13.5" customHeight="1" thickBot="1">
      <c r="A30" s="2822" t="s">
        <v>1008</v>
      </c>
      <c r="B30" s="2823"/>
      <c r="C30" s="2831"/>
      <c r="D30" s="2832"/>
      <c r="I30" s="1266"/>
      <c r="J30" s="1266"/>
      <c r="K30" s="1266"/>
      <c r="L30" s="1266"/>
      <c r="M30" s="1266"/>
      <c r="N30" s="1266"/>
      <c r="O30" s="1266"/>
      <c r="P30" s="1333"/>
    </row>
    <row r="31" spans="1:17" ht="13.5" customHeight="1" thickTop="1">
      <c r="A31" s="2508" t="s">
        <v>1009</v>
      </c>
      <c r="B31" s="2509"/>
      <c r="C31" s="2829" t="s">
        <v>1010</v>
      </c>
      <c r="D31" s="2830"/>
      <c r="I31" s="1266"/>
      <c r="J31" s="1266"/>
      <c r="K31" s="1266"/>
      <c r="L31" s="1266"/>
      <c r="M31" s="1266"/>
      <c r="N31" s="1266"/>
      <c r="O31" s="1266"/>
      <c r="P31" s="1333"/>
      <c r="Q31" s="1259"/>
    </row>
    <row r="32" spans="1:17" ht="13.5" customHeight="1">
      <c r="A32" s="2502" t="s">
        <v>2244</v>
      </c>
      <c r="B32" s="2503" t="s">
        <v>3020</v>
      </c>
      <c r="C32" s="2502" t="s">
        <v>2244</v>
      </c>
      <c r="D32" s="2503" t="s">
        <v>3026</v>
      </c>
      <c r="I32" s="1266"/>
      <c r="J32" s="1266"/>
      <c r="K32" s="1266"/>
      <c r="L32" s="1266"/>
      <c r="M32" s="1266"/>
      <c r="N32" s="1266"/>
      <c r="O32" s="1266"/>
      <c r="P32" s="1333"/>
      <c r="Q32" s="1266"/>
    </row>
    <row r="33" spans="1:17" ht="13.5" customHeight="1">
      <c r="A33" s="2502" t="s">
        <v>2228</v>
      </c>
      <c r="B33" s="2503" t="s">
        <v>3021</v>
      </c>
      <c r="C33" s="2502" t="s">
        <v>2228</v>
      </c>
      <c r="D33" s="2503" t="s">
        <v>3021</v>
      </c>
      <c r="I33" s="1266"/>
      <c r="J33" s="1266"/>
      <c r="K33" s="1266"/>
      <c r="L33" s="1266"/>
      <c r="M33" s="1266"/>
      <c r="N33" s="1266"/>
      <c r="O33" s="1266"/>
      <c r="P33" s="1333"/>
      <c r="Q33" s="1266"/>
    </row>
    <row r="34" spans="1:17" ht="13.5" customHeight="1">
      <c r="A34" s="2502" t="s">
        <v>1012</v>
      </c>
      <c r="B34" s="2503" t="s">
        <v>3022</v>
      </c>
      <c r="C34" s="2502" t="s">
        <v>1012</v>
      </c>
      <c r="D34" s="2503" t="s">
        <v>3027</v>
      </c>
      <c r="I34" s="1266"/>
      <c r="J34" s="1266"/>
      <c r="K34" s="1266"/>
      <c r="L34" s="1266"/>
      <c r="M34" s="1266"/>
      <c r="N34" s="1266"/>
      <c r="O34" s="1266"/>
      <c r="P34" s="1333"/>
      <c r="Q34" s="1266"/>
    </row>
    <row r="35" spans="1:17" ht="13.5" customHeight="1">
      <c r="A35" s="2502" t="s">
        <v>1005</v>
      </c>
      <c r="B35" s="2503" t="s">
        <v>3023</v>
      </c>
      <c r="C35" s="2502" t="s">
        <v>1005</v>
      </c>
      <c r="D35" s="2503" t="s">
        <v>3023</v>
      </c>
      <c r="F35" s="1256"/>
      <c r="G35" s="1258"/>
      <c r="I35" s="1266"/>
      <c r="J35" s="1266"/>
      <c r="K35" s="1266"/>
      <c r="L35" s="1266"/>
      <c r="M35" s="1266"/>
      <c r="N35" s="1266"/>
      <c r="O35" s="1266"/>
      <c r="P35" s="1333"/>
      <c r="Q35" s="1266"/>
    </row>
    <row r="36" spans="1:17" ht="13.5" customHeight="1">
      <c r="A36" s="2502" t="s">
        <v>1016</v>
      </c>
      <c r="B36" s="2503" t="s">
        <v>3024</v>
      </c>
      <c r="C36" s="2502" t="s">
        <v>1016</v>
      </c>
      <c r="D36" s="2503" t="s">
        <v>3028</v>
      </c>
      <c r="F36" s="1256"/>
      <c r="G36" s="1258"/>
      <c r="I36" s="1266"/>
      <c r="J36" s="1266"/>
      <c r="K36" s="1266"/>
      <c r="L36" s="1266"/>
      <c r="M36" s="1266"/>
      <c r="N36" s="1266"/>
      <c r="O36" s="1266"/>
      <c r="P36" s="1333"/>
    </row>
    <row r="37" spans="1:17" ht="13.5" customHeight="1">
      <c r="A37" s="2502" t="s">
        <v>1007</v>
      </c>
      <c r="B37" s="2503" t="s">
        <v>3019</v>
      </c>
      <c r="C37" s="2502" t="s">
        <v>1007</v>
      </c>
      <c r="D37" s="2503" t="s">
        <v>3029</v>
      </c>
      <c r="F37" s="1257"/>
      <c r="G37" s="1258"/>
      <c r="I37" s="1266"/>
      <c r="J37" s="1266"/>
      <c r="K37" s="1266"/>
      <c r="L37" s="1266"/>
      <c r="M37" s="1266"/>
      <c r="N37" s="1266"/>
      <c r="O37" s="1266"/>
      <c r="P37" s="1333"/>
    </row>
    <row r="38" spans="1:17" ht="13.5" customHeight="1">
      <c r="A38" s="2502" t="s">
        <v>1019</v>
      </c>
      <c r="B38" s="2503" t="s">
        <v>3025</v>
      </c>
      <c r="C38" s="2502" t="s">
        <v>1019</v>
      </c>
      <c r="D38" s="2503" t="s">
        <v>3030</v>
      </c>
      <c r="F38" s="1257"/>
      <c r="G38" s="1258"/>
      <c r="I38" s="1266"/>
      <c r="J38" s="1266"/>
      <c r="K38" s="1266"/>
      <c r="L38" s="1266"/>
      <c r="M38" s="1266"/>
      <c r="N38" s="1266"/>
      <c r="O38" s="1266"/>
      <c r="P38" s="1333"/>
    </row>
    <row r="39" spans="1:17" ht="13.5" customHeight="1">
      <c r="A39" s="2502"/>
      <c r="B39" s="2503"/>
      <c r="C39" s="2502"/>
      <c r="D39" s="2503"/>
      <c r="F39" s="1257"/>
      <c r="G39" s="1258"/>
      <c r="I39" s="1266"/>
      <c r="J39" s="1266"/>
      <c r="K39" s="1266"/>
      <c r="L39" s="1266"/>
      <c r="M39" s="1266"/>
      <c r="N39" s="1266"/>
      <c r="O39" s="1266"/>
      <c r="P39" s="1333"/>
    </row>
    <row r="40" spans="1:17" ht="13.5" customHeight="1">
      <c r="A40" s="2827" t="s">
        <v>1021</v>
      </c>
      <c r="B40" s="2828"/>
      <c r="C40" s="2827" t="s">
        <v>1022</v>
      </c>
      <c r="D40" s="2828"/>
      <c r="F40" s="1257"/>
      <c r="G40" s="1258"/>
      <c r="I40" s="1266"/>
      <c r="J40" s="1266"/>
      <c r="K40" s="1266"/>
      <c r="L40" s="1266"/>
      <c r="M40" s="1266"/>
      <c r="N40" s="1266"/>
      <c r="O40" s="1266"/>
      <c r="P40" s="1333"/>
    </row>
    <row r="41" spans="1:17" ht="13.5" customHeight="1">
      <c r="A41" s="2502" t="s">
        <v>2244</v>
      </c>
      <c r="B41" s="2503" t="s">
        <v>3031</v>
      </c>
      <c r="C41" s="2502" t="s">
        <v>2244</v>
      </c>
      <c r="D41" s="2503" t="s">
        <v>3037</v>
      </c>
      <c r="I41" s="1266"/>
      <c r="J41" s="1266"/>
      <c r="K41" s="1266"/>
      <c r="L41" s="1266"/>
      <c r="M41" s="1266"/>
      <c r="N41" s="1266"/>
      <c r="O41" s="1266"/>
      <c r="P41" s="1333"/>
      <c r="Q41" s="1266"/>
    </row>
    <row r="42" spans="1:17" ht="13.5" customHeight="1">
      <c r="A42" s="2502" t="s">
        <v>2228</v>
      </c>
      <c r="B42" s="2503" t="s">
        <v>3032</v>
      </c>
      <c r="C42" s="2502" t="s">
        <v>2228</v>
      </c>
      <c r="D42" s="2503" t="s">
        <v>3032</v>
      </c>
      <c r="I42" s="1266"/>
      <c r="J42" s="1266"/>
      <c r="K42" s="1266"/>
      <c r="L42" s="1266"/>
      <c r="M42" s="1266"/>
      <c r="N42" s="1266"/>
      <c r="O42" s="1266"/>
      <c r="P42" s="1333"/>
      <c r="Q42" s="1266"/>
    </row>
    <row r="43" spans="1:17" ht="13.5" customHeight="1">
      <c r="A43" s="2502" t="s">
        <v>1012</v>
      </c>
      <c r="B43" s="2503" t="s">
        <v>3033</v>
      </c>
      <c r="C43" s="2502" t="s">
        <v>1012</v>
      </c>
      <c r="D43" s="2503" t="s">
        <v>3038</v>
      </c>
      <c r="F43" s="1257"/>
      <c r="G43" s="1258"/>
      <c r="I43" s="1266"/>
      <c r="J43" s="1266"/>
      <c r="K43" s="1266"/>
      <c r="L43" s="1266"/>
      <c r="M43" s="1266"/>
      <c r="N43" s="1266"/>
      <c r="O43" s="1266"/>
      <c r="P43" s="1333"/>
    </row>
    <row r="44" spans="1:17" ht="13.5" customHeight="1">
      <c r="A44" s="2502" t="s">
        <v>1005</v>
      </c>
      <c r="B44" s="2503" t="s">
        <v>3034</v>
      </c>
      <c r="C44" s="2502" t="s">
        <v>1005</v>
      </c>
      <c r="D44" s="2503" t="s">
        <v>3039</v>
      </c>
      <c r="F44" s="1264"/>
      <c r="G44" s="1258"/>
      <c r="I44" s="1266"/>
      <c r="J44" s="1266"/>
      <c r="K44" s="1266"/>
      <c r="L44" s="1266"/>
      <c r="M44" s="1266"/>
      <c r="N44" s="1266"/>
      <c r="O44" s="1266"/>
      <c r="P44" s="1333"/>
    </row>
    <row r="45" spans="1:17" ht="13.5" customHeight="1">
      <c r="A45" s="2502" t="s">
        <v>1016</v>
      </c>
      <c r="B45" s="2503" t="s">
        <v>3035</v>
      </c>
      <c r="C45" s="2502" t="s">
        <v>1016</v>
      </c>
      <c r="D45" s="2503" t="s">
        <v>3040</v>
      </c>
      <c r="F45" s="1265"/>
      <c r="G45" s="1258"/>
      <c r="I45" s="1266"/>
      <c r="J45" s="1266"/>
      <c r="K45" s="1266"/>
      <c r="L45" s="1266"/>
      <c r="M45" s="1266"/>
      <c r="N45" s="1266"/>
      <c r="O45" s="1266"/>
      <c r="P45" s="1333"/>
    </row>
    <row r="46" spans="1:17" ht="13.5" customHeight="1">
      <c r="A46" s="2502" t="s">
        <v>1007</v>
      </c>
      <c r="B46" s="2503" t="s">
        <v>3019</v>
      </c>
      <c r="C46" s="2502" t="s">
        <v>1007</v>
      </c>
      <c r="D46" s="2503" t="s">
        <v>3019</v>
      </c>
      <c r="F46" s="1265"/>
      <c r="G46" s="1258"/>
      <c r="I46" s="1266"/>
      <c r="J46" s="1266"/>
      <c r="K46" s="1266"/>
      <c r="L46" s="1266"/>
      <c r="M46" s="1266"/>
      <c r="N46" s="1266"/>
      <c r="O46" s="1266"/>
      <c r="P46" s="1333"/>
    </row>
    <row r="47" spans="1:17" ht="13.5" customHeight="1">
      <c r="A47" s="2511" t="s">
        <v>1019</v>
      </c>
      <c r="B47" s="2512" t="s">
        <v>3036</v>
      </c>
      <c r="C47" s="2511" t="s">
        <v>1019</v>
      </c>
      <c r="D47" s="2512" t="s">
        <v>3041</v>
      </c>
      <c r="F47" s="1265"/>
      <c r="G47" s="1258"/>
      <c r="I47" s="1266"/>
      <c r="J47" s="1266"/>
      <c r="K47" s="1266"/>
      <c r="L47" s="1266"/>
      <c r="M47" s="1266"/>
      <c r="N47" s="1266"/>
      <c r="O47" s="1266"/>
      <c r="P47" s="1333"/>
    </row>
    <row r="48" spans="1:17" ht="13.5" customHeight="1">
      <c r="A48" s="2506"/>
      <c r="B48" s="2507"/>
      <c r="C48" s="2506"/>
      <c r="D48" s="2507"/>
      <c r="F48" s="1265"/>
      <c r="G48" s="1258"/>
      <c r="I48" s="1266"/>
      <c r="J48" s="1266"/>
      <c r="K48" s="1266"/>
      <c r="L48" s="1266"/>
      <c r="M48" s="1266"/>
      <c r="N48" s="1266"/>
      <c r="O48" s="1266"/>
      <c r="P48" s="1333"/>
    </row>
    <row r="49" spans="1:17" ht="13.5" customHeight="1">
      <c r="A49" s="2827" t="s">
        <v>1029</v>
      </c>
      <c r="B49" s="2828"/>
      <c r="C49" s="2827" t="s">
        <v>1030</v>
      </c>
      <c r="D49" s="2828"/>
      <c r="F49" s="1265"/>
      <c r="G49" s="1258"/>
      <c r="I49" s="1266"/>
      <c r="J49" s="1266"/>
      <c r="K49" s="1266"/>
      <c r="L49" s="1266"/>
      <c r="M49" s="1266"/>
      <c r="N49" s="1266"/>
      <c r="O49" s="1266"/>
      <c r="P49" s="1333"/>
    </row>
    <row r="50" spans="1:17" ht="13.5" customHeight="1">
      <c r="A50" s="2502" t="s">
        <v>2244</v>
      </c>
      <c r="B50" s="2503"/>
      <c r="C50" s="2502" t="s">
        <v>2244</v>
      </c>
      <c r="D50" s="2503"/>
      <c r="I50" s="1266"/>
      <c r="J50" s="1266"/>
      <c r="K50" s="1266"/>
      <c r="L50" s="1266"/>
      <c r="M50" s="1266"/>
      <c r="N50" s="1266"/>
      <c r="O50" s="1266"/>
      <c r="P50" s="1333"/>
      <c r="Q50" s="1266"/>
    </row>
    <row r="51" spans="1:17" ht="13.5" customHeight="1">
      <c r="A51" s="2502" t="s">
        <v>2228</v>
      </c>
      <c r="B51" s="2503"/>
      <c r="C51" s="2502" t="s">
        <v>2228</v>
      </c>
      <c r="D51" s="2503"/>
      <c r="I51" s="1266"/>
      <c r="J51" s="1266"/>
      <c r="K51" s="1266"/>
      <c r="L51" s="1266"/>
      <c r="M51" s="1266"/>
      <c r="N51" s="1266"/>
      <c r="O51" s="1266"/>
      <c r="P51" s="1333"/>
      <c r="Q51" s="1266"/>
    </row>
    <row r="52" spans="1:17" ht="13.5" customHeight="1">
      <c r="A52" s="2502" t="s">
        <v>1012</v>
      </c>
      <c r="B52" s="2503"/>
      <c r="C52" s="2502" t="s">
        <v>1012</v>
      </c>
      <c r="D52" s="2503"/>
      <c r="F52" s="1265"/>
      <c r="G52" s="1258"/>
      <c r="I52" s="1266"/>
      <c r="J52" s="1266"/>
      <c r="K52" s="1266"/>
      <c r="L52" s="1266"/>
      <c r="M52" s="1266"/>
      <c r="N52" s="1266"/>
      <c r="O52" s="1266"/>
      <c r="P52" s="1333"/>
    </row>
    <row r="53" spans="1:17" s="1253" customFormat="1" ht="13.5" customHeight="1">
      <c r="A53" s="2502" t="s">
        <v>1005</v>
      </c>
      <c r="B53" s="2503"/>
      <c r="C53" s="2502" t="s">
        <v>1005</v>
      </c>
      <c r="D53" s="2503"/>
      <c r="E53" s="1252"/>
      <c r="F53" s="1265"/>
      <c r="G53" s="1258"/>
      <c r="I53" s="1266"/>
      <c r="J53" s="1266"/>
      <c r="K53" s="1266"/>
      <c r="L53" s="1266"/>
      <c r="M53" s="1266"/>
      <c r="N53" s="1266"/>
      <c r="O53" s="1266"/>
      <c r="P53" s="1333"/>
    </row>
    <row r="54" spans="1:17" s="1253" customFormat="1" ht="13.5" customHeight="1">
      <c r="A54" s="2502" t="s">
        <v>1016</v>
      </c>
      <c r="B54" s="2503"/>
      <c r="C54" s="2502" t="s">
        <v>1016</v>
      </c>
      <c r="D54" s="2503"/>
      <c r="E54" s="1252"/>
      <c r="F54" s="1265"/>
      <c r="G54" s="1258"/>
      <c r="I54" s="1266"/>
      <c r="J54" s="1266"/>
      <c r="K54" s="1266"/>
      <c r="L54" s="1266"/>
      <c r="M54" s="1266"/>
      <c r="N54" s="1266"/>
      <c r="O54" s="1266"/>
      <c r="P54" s="1333"/>
    </row>
    <row r="55" spans="1:17" s="1253" customFormat="1" ht="13.5" customHeight="1">
      <c r="A55" s="2502" t="s">
        <v>1007</v>
      </c>
      <c r="B55" s="2503"/>
      <c r="C55" s="2502" t="s">
        <v>1007</v>
      </c>
      <c r="D55" s="2503"/>
      <c r="E55" s="1252"/>
      <c r="F55" s="1265"/>
      <c r="G55" s="1258"/>
      <c r="I55" s="1266"/>
      <c r="J55" s="1266"/>
      <c r="K55" s="1266"/>
      <c r="L55" s="1266"/>
      <c r="M55" s="1266"/>
      <c r="N55" s="1266"/>
      <c r="O55" s="1266"/>
      <c r="P55" s="1333"/>
    </row>
    <row r="56" spans="1:17" s="1253" customFormat="1" ht="13.5" customHeight="1">
      <c r="A56" s="2504" t="s">
        <v>1019</v>
      </c>
      <c r="B56" s="2505"/>
      <c r="C56" s="2504" t="s">
        <v>1019</v>
      </c>
      <c r="D56" s="2505"/>
      <c r="E56" s="1252"/>
      <c r="F56" s="1265"/>
      <c r="G56" s="1258"/>
      <c r="I56" s="1266"/>
      <c r="J56" s="1266"/>
      <c r="K56" s="1266"/>
      <c r="L56" s="1266"/>
      <c r="M56" s="1266"/>
      <c r="N56" s="1266"/>
      <c r="O56" s="1266"/>
      <c r="P56" s="1333"/>
    </row>
    <row r="57" spans="1:17" s="1253" customFormat="1" ht="13.5" customHeight="1">
      <c r="A57" s="2506"/>
      <c r="B57" s="2507"/>
      <c r="C57" s="2506"/>
      <c r="D57" s="2507"/>
      <c r="E57" s="1252"/>
      <c r="F57" s="1265"/>
      <c r="G57" s="1258"/>
      <c r="I57" s="1266"/>
      <c r="J57" s="1266"/>
      <c r="K57" s="1266"/>
      <c r="L57" s="1266"/>
      <c r="M57" s="1266"/>
      <c r="N57" s="1266"/>
      <c r="O57" s="1266"/>
      <c r="P57" s="1333"/>
    </row>
    <row r="58" spans="1:17" s="1253" customFormat="1" ht="13.5" customHeight="1" thickBot="1">
      <c r="A58" s="2837" t="s">
        <v>1031</v>
      </c>
      <c r="B58" s="2838"/>
      <c r="C58" s="2833"/>
      <c r="D58" s="2834"/>
      <c r="E58" s="1252"/>
      <c r="F58" s="1265"/>
      <c r="G58" s="1258"/>
      <c r="I58" s="1266"/>
      <c r="J58" s="1266"/>
      <c r="K58" s="1266"/>
      <c r="L58" s="1266"/>
      <c r="M58" s="1266"/>
      <c r="N58" s="1266"/>
      <c r="O58" s="1266"/>
      <c r="P58" s="1333"/>
    </row>
    <row r="59" spans="1:17" s="1269" customFormat="1" ht="13.5" customHeight="1" thickTop="1">
      <c r="A59" s="2508" t="s">
        <v>1032</v>
      </c>
      <c r="B59" s="2509"/>
      <c r="C59" s="2827" t="s">
        <v>1033</v>
      </c>
      <c r="D59" s="2828"/>
      <c r="E59" s="1255"/>
      <c r="F59" s="1267"/>
      <c r="G59" s="1268"/>
      <c r="I59" s="1270"/>
      <c r="J59" s="1270"/>
      <c r="K59" s="1270"/>
      <c r="L59" s="1270"/>
      <c r="M59" s="1270"/>
      <c r="N59" s="1270"/>
      <c r="O59" s="1270"/>
      <c r="P59" s="1333"/>
      <c r="Q59" s="1253"/>
    </row>
    <row r="60" spans="1:17" ht="13.5" customHeight="1">
      <c r="A60" s="2502" t="s">
        <v>2244</v>
      </c>
      <c r="B60" s="2503" t="s">
        <v>3042</v>
      </c>
      <c r="C60" s="2502" t="s">
        <v>2244</v>
      </c>
      <c r="D60" s="2503" t="s">
        <v>3047</v>
      </c>
      <c r="I60" s="1266"/>
      <c r="J60" s="1266"/>
      <c r="K60" s="1266"/>
      <c r="L60" s="1266"/>
      <c r="M60" s="1266"/>
      <c r="N60" s="1266"/>
      <c r="O60" s="1266"/>
      <c r="P60" s="1333"/>
      <c r="Q60" s="1266"/>
    </row>
    <row r="61" spans="1:17" ht="13.5" customHeight="1">
      <c r="A61" s="2502" t="s">
        <v>2228</v>
      </c>
      <c r="B61" s="2503" t="s">
        <v>3032</v>
      </c>
      <c r="C61" s="2502" t="s">
        <v>2228</v>
      </c>
      <c r="D61" s="2503" t="s">
        <v>3048</v>
      </c>
      <c r="I61" s="1266"/>
      <c r="J61" s="1266"/>
      <c r="K61" s="1266"/>
      <c r="L61" s="1266"/>
      <c r="M61" s="1266"/>
      <c r="N61" s="1266"/>
      <c r="O61" s="1266"/>
      <c r="P61" s="1333"/>
      <c r="Q61" s="1266"/>
    </row>
    <row r="62" spans="1:17" s="1269" customFormat="1" ht="13.5" customHeight="1">
      <c r="A62" s="2502" t="s">
        <v>1012</v>
      </c>
      <c r="B62" s="2503" t="s">
        <v>3043</v>
      </c>
      <c r="C62" s="2502" t="s">
        <v>1012</v>
      </c>
      <c r="D62" s="2503" t="s">
        <v>3049</v>
      </c>
      <c r="E62" s="1255"/>
      <c r="F62" s="1267"/>
      <c r="G62" s="1268"/>
      <c r="I62" s="1270"/>
      <c r="J62" s="1270"/>
      <c r="K62" s="1270"/>
      <c r="L62" s="1270"/>
      <c r="M62" s="1270"/>
      <c r="N62" s="1270"/>
      <c r="O62" s="1270"/>
      <c r="P62" s="1333"/>
      <c r="Q62" s="1253"/>
    </row>
    <row r="63" spans="1:17" s="1253" customFormat="1" ht="13.5" customHeight="1">
      <c r="A63" s="2502" t="s">
        <v>1005</v>
      </c>
      <c r="B63" s="2503" t="s">
        <v>3044</v>
      </c>
      <c r="C63" s="2502" t="s">
        <v>1005</v>
      </c>
      <c r="D63" s="2503" t="s">
        <v>3050</v>
      </c>
      <c r="E63" s="1252"/>
      <c r="F63" s="1265"/>
      <c r="G63" s="1258"/>
      <c r="I63" s="1266"/>
      <c r="J63" s="1266"/>
      <c r="K63" s="1266"/>
      <c r="L63" s="1266"/>
      <c r="M63" s="1266"/>
      <c r="N63" s="1266"/>
      <c r="O63" s="1266"/>
      <c r="P63" s="1333"/>
    </row>
    <row r="64" spans="1:17" s="1253" customFormat="1" ht="13.5" customHeight="1">
      <c r="A64" s="2502" t="s">
        <v>1016</v>
      </c>
      <c r="B64" s="2503" t="s">
        <v>3045</v>
      </c>
      <c r="C64" s="2502" t="s">
        <v>1016</v>
      </c>
      <c r="D64" s="2503" t="s">
        <v>3051</v>
      </c>
      <c r="E64" s="1252"/>
      <c r="F64" s="1265"/>
      <c r="G64" s="1258"/>
      <c r="I64" s="1266"/>
      <c r="J64" s="1266"/>
      <c r="K64" s="1266"/>
      <c r="L64" s="1266"/>
      <c r="M64" s="1266"/>
      <c r="N64" s="1266"/>
      <c r="O64" s="1266"/>
      <c r="P64" s="1333"/>
    </row>
    <row r="65" spans="1:17" s="1253" customFormat="1" ht="13.5" customHeight="1">
      <c r="A65" s="2502" t="s">
        <v>1007</v>
      </c>
      <c r="B65" s="2503" t="s">
        <v>3019</v>
      </c>
      <c r="C65" s="2502" t="s">
        <v>1007</v>
      </c>
      <c r="D65" s="2503" t="s">
        <v>3019</v>
      </c>
      <c r="E65" s="1252"/>
      <c r="F65" s="1265"/>
      <c r="G65" s="1258"/>
      <c r="I65" s="1266"/>
      <c r="J65" s="1266"/>
      <c r="K65" s="1266"/>
      <c r="L65" s="1266"/>
      <c r="M65" s="1266"/>
      <c r="N65" s="1266"/>
      <c r="O65" s="1266"/>
      <c r="P65" s="1333"/>
    </row>
    <row r="66" spans="1:17" ht="13.5" customHeight="1">
      <c r="A66" s="2504" t="s">
        <v>1019</v>
      </c>
      <c r="B66" s="2513" t="s">
        <v>3046</v>
      </c>
      <c r="C66" s="2504" t="s">
        <v>1019</v>
      </c>
      <c r="D66" s="2505" t="s">
        <v>3052</v>
      </c>
      <c r="F66" s="1265"/>
      <c r="G66" s="1258"/>
      <c r="I66" s="1266"/>
      <c r="J66" s="1266"/>
      <c r="K66" s="1266"/>
      <c r="L66" s="1266"/>
      <c r="M66" s="1266"/>
      <c r="N66" s="1266"/>
      <c r="O66" s="1266"/>
      <c r="P66" s="1333"/>
    </row>
    <row r="67" spans="1:17" ht="13.5" customHeight="1">
      <c r="A67" s="2506"/>
      <c r="B67" s="2507"/>
      <c r="C67" s="2506"/>
      <c r="D67" s="2507"/>
      <c r="F67" s="1265"/>
      <c r="G67" s="1258"/>
      <c r="I67" s="1266"/>
      <c r="J67" s="1266"/>
      <c r="K67" s="1266"/>
      <c r="L67" s="1266"/>
      <c r="M67" s="1266"/>
      <c r="N67" s="1266"/>
      <c r="O67" s="1266"/>
      <c r="P67" s="1333"/>
    </row>
    <row r="68" spans="1:17" ht="13.5" customHeight="1">
      <c r="A68" s="2514" t="s">
        <v>1034</v>
      </c>
      <c r="B68" s="2510"/>
      <c r="C68" s="2827" t="s">
        <v>1035</v>
      </c>
      <c r="D68" s="2828"/>
      <c r="F68" s="1265"/>
      <c r="G68" s="1258"/>
      <c r="I68" s="1266"/>
      <c r="J68" s="1266"/>
      <c r="K68" s="1266"/>
      <c r="L68" s="1266"/>
      <c r="M68" s="1266"/>
      <c r="N68" s="1266"/>
      <c r="O68" s="1266"/>
      <c r="P68" s="1333"/>
    </row>
    <row r="69" spans="1:17" ht="13.5" customHeight="1">
      <c r="A69" s="2502" t="s">
        <v>2244</v>
      </c>
      <c r="B69" s="2503" t="s">
        <v>3053</v>
      </c>
      <c r="C69" s="2502" t="s">
        <v>2244</v>
      </c>
      <c r="D69" s="2503" t="s">
        <v>3059</v>
      </c>
      <c r="I69" s="1266"/>
      <c r="J69" s="1266"/>
      <c r="K69" s="1266"/>
      <c r="L69" s="1266"/>
      <c r="M69" s="1266"/>
      <c r="N69" s="1266"/>
      <c r="O69" s="1266"/>
      <c r="P69" s="1333"/>
      <c r="Q69" s="1266"/>
    </row>
    <row r="70" spans="1:17" ht="13.5" customHeight="1">
      <c r="A70" s="2502" t="s">
        <v>2228</v>
      </c>
      <c r="B70" s="2503" t="s">
        <v>3021</v>
      </c>
      <c r="C70" s="2502" t="s">
        <v>2228</v>
      </c>
      <c r="D70" s="2503" t="s">
        <v>3021</v>
      </c>
      <c r="I70" s="1266"/>
      <c r="J70" s="1266"/>
      <c r="K70" s="1266"/>
      <c r="L70" s="1266"/>
      <c r="M70" s="1266"/>
      <c r="N70" s="1266"/>
      <c r="O70" s="1266"/>
      <c r="P70" s="1333"/>
      <c r="Q70" s="1266"/>
    </row>
    <row r="71" spans="1:17" s="1271" customFormat="1" ht="13.5" customHeight="1">
      <c r="A71" s="2502" t="s">
        <v>1012</v>
      </c>
      <c r="B71" s="2503" t="s">
        <v>3054</v>
      </c>
      <c r="C71" s="2502" t="s">
        <v>1012</v>
      </c>
      <c r="D71" s="2503" t="s">
        <v>3060</v>
      </c>
      <c r="E71" s="1255"/>
      <c r="F71" s="1267"/>
      <c r="G71" s="1268"/>
      <c r="H71" s="1269"/>
      <c r="I71" s="1270"/>
      <c r="J71" s="1270"/>
      <c r="K71" s="1270"/>
      <c r="L71" s="1270"/>
      <c r="M71" s="1270"/>
      <c r="N71" s="1270"/>
      <c r="O71" s="1270"/>
      <c r="P71" s="1333"/>
      <c r="Q71" s="1253"/>
    </row>
    <row r="72" spans="1:17" ht="13.5" customHeight="1">
      <c r="A72" s="2502" t="s">
        <v>1005</v>
      </c>
      <c r="B72" s="2503" t="s">
        <v>3055</v>
      </c>
      <c r="C72" s="2502" t="s">
        <v>1005</v>
      </c>
      <c r="D72" s="2503" t="s">
        <v>3055</v>
      </c>
      <c r="F72" s="1265"/>
      <c r="G72" s="1258"/>
      <c r="I72" s="1266"/>
      <c r="J72" s="1266"/>
      <c r="K72" s="1266"/>
      <c r="L72" s="1266"/>
      <c r="M72" s="1266"/>
      <c r="N72" s="1266"/>
      <c r="O72" s="1266"/>
      <c r="P72" s="1333"/>
    </row>
    <row r="73" spans="1:17" ht="13.5" customHeight="1">
      <c r="A73" s="2502" t="s">
        <v>1016</v>
      </c>
      <c r="B73" s="2503" t="s">
        <v>3056</v>
      </c>
      <c r="C73" s="2502" t="s">
        <v>1016</v>
      </c>
      <c r="D73" s="2503" t="s">
        <v>3061</v>
      </c>
      <c r="F73" s="1265"/>
      <c r="G73" s="1258"/>
      <c r="I73" s="1266"/>
      <c r="J73" s="1266"/>
      <c r="K73" s="1266"/>
      <c r="L73" s="1266"/>
      <c r="M73" s="1266"/>
      <c r="N73" s="1266"/>
      <c r="O73" s="1266"/>
      <c r="P73" s="1333"/>
    </row>
    <row r="74" spans="1:17" ht="13.5" customHeight="1">
      <c r="A74" s="2502" t="s">
        <v>1007</v>
      </c>
      <c r="B74" s="2503" t="s">
        <v>3057</v>
      </c>
      <c r="C74" s="2502" t="s">
        <v>1007</v>
      </c>
      <c r="D74" s="2503" t="s">
        <v>3019</v>
      </c>
      <c r="F74" s="1265"/>
      <c r="G74" s="1258"/>
      <c r="I74" s="1266"/>
      <c r="J74" s="1266"/>
      <c r="K74" s="1266"/>
      <c r="L74" s="1266"/>
      <c r="M74" s="1266"/>
      <c r="N74" s="1266"/>
      <c r="O74" s="1266"/>
      <c r="P74" s="1333"/>
    </row>
    <row r="75" spans="1:17" ht="13.5" customHeight="1">
      <c r="A75" s="2504" t="s">
        <v>1019</v>
      </c>
      <c r="B75" s="2513" t="s">
        <v>3058</v>
      </c>
      <c r="C75" s="2504" t="s">
        <v>1019</v>
      </c>
      <c r="D75" s="2505" t="s">
        <v>3062</v>
      </c>
      <c r="F75" s="1265"/>
      <c r="G75" s="1258"/>
      <c r="I75" s="1266"/>
      <c r="J75" s="1266"/>
      <c r="K75" s="1266"/>
      <c r="L75" s="1266"/>
      <c r="M75" s="1266"/>
      <c r="N75" s="1266"/>
      <c r="O75" s="1266"/>
      <c r="P75" s="1333"/>
    </row>
    <row r="76" spans="1:17" ht="13.5" customHeight="1">
      <c r="A76" s="2506"/>
      <c r="B76" s="2507"/>
      <c r="C76" s="2506"/>
      <c r="D76" s="2507"/>
      <c r="F76" s="1265"/>
      <c r="G76" s="1258"/>
      <c r="I76" s="1266"/>
      <c r="J76" s="1266"/>
      <c r="K76" s="1266"/>
      <c r="L76" s="1266"/>
      <c r="M76" s="1266"/>
      <c r="N76" s="1266"/>
      <c r="O76" s="1266"/>
      <c r="P76" s="1333"/>
    </row>
    <row r="77" spans="1:17" ht="13.5" customHeight="1">
      <c r="A77" s="2827" t="s">
        <v>1036</v>
      </c>
      <c r="B77" s="2828"/>
      <c r="C77" s="2827" t="s">
        <v>1036</v>
      </c>
      <c r="D77" s="2828"/>
      <c r="F77" s="1265"/>
      <c r="G77" s="1258"/>
      <c r="I77" s="1266"/>
      <c r="J77" s="1266"/>
      <c r="K77" s="1266"/>
      <c r="L77" s="1266"/>
      <c r="M77" s="1266"/>
      <c r="N77" s="1266"/>
      <c r="O77" s="1266"/>
      <c r="P77" s="1333"/>
    </row>
    <row r="78" spans="1:17" ht="13.5" customHeight="1">
      <c r="A78" s="2502" t="s">
        <v>2244</v>
      </c>
      <c r="B78" s="2503" t="s">
        <v>3063</v>
      </c>
      <c r="C78" s="2502" t="s">
        <v>2244</v>
      </c>
      <c r="D78" s="2503" t="s">
        <v>3068</v>
      </c>
      <c r="I78" s="1266"/>
      <c r="J78" s="1266"/>
      <c r="K78" s="1266"/>
      <c r="L78" s="1266"/>
      <c r="M78" s="1266"/>
      <c r="N78" s="1266"/>
      <c r="O78" s="1266"/>
      <c r="P78" s="1333"/>
      <c r="Q78" s="1266"/>
    </row>
    <row r="79" spans="1:17" ht="13.5" customHeight="1">
      <c r="A79" s="2502" t="s">
        <v>2228</v>
      </c>
      <c r="B79" s="2503" t="s">
        <v>3032</v>
      </c>
      <c r="C79" s="2502" t="s">
        <v>2228</v>
      </c>
      <c r="D79" s="2503" t="s">
        <v>3048</v>
      </c>
      <c r="I79" s="1266"/>
      <c r="J79" s="1266"/>
      <c r="K79" s="1266"/>
      <c r="L79" s="1266"/>
      <c r="M79" s="1266"/>
      <c r="N79" s="1266"/>
      <c r="O79" s="1266"/>
      <c r="P79" s="1333"/>
      <c r="Q79" s="1266"/>
    </row>
    <row r="80" spans="1:17" s="1271" customFormat="1" ht="13.5" customHeight="1">
      <c r="A80" s="2502" t="s">
        <v>1012</v>
      </c>
      <c r="B80" s="2503" t="s">
        <v>3064</v>
      </c>
      <c r="C80" s="2502" t="s">
        <v>1012</v>
      </c>
      <c r="D80" s="2503" t="s">
        <v>3069</v>
      </c>
      <c r="E80" s="1255"/>
      <c r="F80" s="1267"/>
      <c r="G80" s="1268"/>
      <c r="H80" s="1269"/>
      <c r="I80" s="1270"/>
      <c r="J80" s="1270"/>
      <c r="K80" s="1270"/>
      <c r="L80" s="1270"/>
      <c r="M80" s="1270"/>
      <c r="N80" s="1270"/>
      <c r="O80" s="1270"/>
      <c r="P80" s="1333"/>
      <c r="Q80" s="1253"/>
    </row>
    <row r="81" spans="1:17" ht="13.5" customHeight="1">
      <c r="A81" s="2502" t="s">
        <v>1005</v>
      </c>
      <c r="B81" s="2503" t="s">
        <v>3065</v>
      </c>
      <c r="C81" s="2502" t="s">
        <v>1005</v>
      </c>
      <c r="D81" s="2503" t="s">
        <v>3070</v>
      </c>
      <c r="F81" s="1265"/>
      <c r="G81" s="1258"/>
      <c r="I81" s="1266"/>
      <c r="J81" s="1266"/>
      <c r="K81" s="1266"/>
      <c r="L81" s="1266"/>
      <c r="M81" s="1266"/>
      <c r="N81" s="1266"/>
      <c r="O81" s="1266"/>
      <c r="P81" s="1333"/>
    </row>
    <row r="82" spans="1:17" ht="13.5" customHeight="1">
      <c r="A82" s="2502" t="s">
        <v>1016</v>
      </c>
      <c r="B82" s="2503" t="s">
        <v>3066</v>
      </c>
      <c r="C82" s="2502" t="s">
        <v>1016</v>
      </c>
      <c r="D82" s="2503" t="s">
        <v>3071</v>
      </c>
      <c r="F82" s="1265"/>
      <c r="G82" s="1258"/>
      <c r="I82" s="1266"/>
      <c r="J82" s="1266"/>
      <c r="K82" s="1266"/>
      <c r="L82" s="1266"/>
      <c r="M82" s="1266"/>
      <c r="N82" s="1266"/>
      <c r="O82" s="1266"/>
      <c r="P82" s="1333"/>
    </row>
    <row r="83" spans="1:17" ht="13.5" customHeight="1">
      <c r="A83" s="2502" t="s">
        <v>1007</v>
      </c>
      <c r="B83" s="2503" t="s">
        <v>3019</v>
      </c>
      <c r="C83" s="2502" t="s">
        <v>1007</v>
      </c>
      <c r="D83" s="2503" t="s">
        <v>3072</v>
      </c>
      <c r="F83" s="1265"/>
      <c r="G83" s="1258"/>
      <c r="I83" s="1266"/>
      <c r="J83" s="1266"/>
      <c r="K83" s="1266"/>
      <c r="L83" s="1266"/>
      <c r="M83" s="1266"/>
      <c r="N83" s="1266"/>
      <c r="O83" s="1266"/>
      <c r="P83" s="1333"/>
    </row>
    <row r="84" spans="1:17" ht="13.5" customHeight="1">
      <c r="A84" s="2502" t="s">
        <v>1019</v>
      </c>
      <c r="B84" s="2503" t="s">
        <v>3067</v>
      </c>
      <c r="C84" s="2502" t="s">
        <v>1019</v>
      </c>
      <c r="D84" s="2503" t="s">
        <v>3073</v>
      </c>
      <c r="F84" s="1265"/>
      <c r="G84" s="1258"/>
      <c r="I84" s="1266"/>
      <c r="J84" s="1266"/>
      <c r="K84" s="1266"/>
      <c r="L84" s="1266"/>
      <c r="M84" s="1266"/>
      <c r="N84" s="1266"/>
      <c r="O84" s="1266"/>
      <c r="P84" s="1333"/>
    </row>
    <row r="85" spans="1:17" ht="13.5" customHeight="1">
      <c r="A85" s="2827" t="s">
        <v>1036</v>
      </c>
      <c r="B85" s="2828"/>
      <c r="C85" s="2827" t="s">
        <v>1036</v>
      </c>
      <c r="D85" s="2828"/>
      <c r="F85" s="1265"/>
      <c r="G85" s="1258"/>
      <c r="I85" s="1266"/>
      <c r="J85" s="1266"/>
      <c r="K85" s="1266"/>
      <c r="L85" s="1266"/>
      <c r="M85" s="1266"/>
      <c r="N85" s="1266"/>
      <c r="O85" s="1266"/>
      <c r="P85" s="1333"/>
    </row>
    <row r="86" spans="1:17" ht="13.5" customHeight="1">
      <c r="A86" s="2502" t="s">
        <v>2244</v>
      </c>
      <c r="B86" s="2503" t="s">
        <v>3074</v>
      </c>
      <c r="C86" s="2502" t="s">
        <v>2244</v>
      </c>
      <c r="D86" s="2503" t="s">
        <v>3079</v>
      </c>
      <c r="I86" s="1266"/>
      <c r="J86" s="1266"/>
      <c r="K86" s="1266"/>
      <c r="L86" s="1266"/>
      <c r="M86" s="1266"/>
      <c r="N86" s="1266"/>
      <c r="O86" s="1266"/>
      <c r="P86" s="1333"/>
      <c r="Q86" s="1266"/>
    </row>
    <row r="87" spans="1:17" ht="13.5" customHeight="1">
      <c r="A87" s="2502" t="s">
        <v>2228</v>
      </c>
      <c r="B87" s="2503" t="s">
        <v>3032</v>
      </c>
      <c r="C87" s="2502" t="s">
        <v>2228</v>
      </c>
      <c r="D87" s="2503" t="s">
        <v>3048</v>
      </c>
      <c r="I87" s="1266"/>
      <c r="J87" s="1266"/>
      <c r="K87" s="1266"/>
      <c r="L87" s="1266"/>
      <c r="M87" s="1266"/>
      <c r="N87" s="1266"/>
      <c r="O87" s="1266"/>
      <c r="P87" s="1333"/>
      <c r="Q87" s="1266"/>
    </row>
    <row r="88" spans="1:17" ht="13.5" customHeight="1">
      <c r="A88" s="2502" t="s">
        <v>1012</v>
      </c>
      <c r="B88" s="2503" t="s">
        <v>3075</v>
      </c>
      <c r="C88" s="2502" t="s">
        <v>1012</v>
      </c>
      <c r="D88" s="2503" t="s">
        <v>3080</v>
      </c>
      <c r="F88" s="1265"/>
      <c r="G88" s="1258"/>
      <c r="I88" s="1266"/>
      <c r="J88" s="1266"/>
      <c r="K88" s="1266"/>
      <c r="L88" s="1266"/>
      <c r="M88" s="1266"/>
      <c r="N88" s="1266"/>
      <c r="O88" s="1266"/>
      <c r="P88" s="1333"/>
    </row>
    <row r="89" spans="1:17" ht="13.5" customHeight="1">
      <c r="A89" s="2502" t="s">
        <v>1005</v>
      </c>
      <c r="B89" s="2503" t="s">
        <v>3076</v>
      </c>
      <c r="C89" s="2502" t="s">
        <v>1005</v>
      </c>
      <c r="D89" s="2503" t="s">
        <v>3081</v>
      </c>
      <c r="F89" s="1265"/>
      <c r="G89" s="1258"/>
      <c r="I89" s="1266"/>
      <c r="J89" s="1266"/>
      <c r="K89" s="1266"/>
      <c r="L89" s="1266"/>
      <c r="M89" s="1266"/>
      <c r="N89" s="1266"/>
      <c r="O89" s="1266"/>
      <c r="P89" s="1333"/>
    </row>
    <row r="90" spans="1:17" s="1253" customFormat="1" ht="13.5" customHeight="1">
      <c r="A90" s="2502" t="s">
        <v>1016</v>
      </c>
      <c r="B90" s="2503" t="s">
        <v>3077</v>
      </c>
      <c r="C90" s="2502" t="s">
        <v>1016</v>
      </c>
      <c r="D90" s="2503" t="s">
        <v>3082</v>
      </c>
      <c r="E90" s="1252"/>
      <c r="F90" s="1265"/>
      <c r="G90" s="1258"/>
      <c r="I90" s="1266"/>
      <c r="J90" s="1266"/>
      <c r="K90" s="1266"/>
      <c r="L90" s="1266"/>
      <c r="M90" s="1266"/>
      <c r="N90" s="1266"/>
      <c r="O90" s="1266"/>
      <c r="P90" s="1333"/>
    </row>
    <row r="91" spans="1:17" s="1253" customFormat="1" ht="13.5" customHeight="1">
      <c r="A91" s="2502" t="s">
        <v>1007</v>
      </c>
      <c r="B91" s="2503" t="s">
        <v>3019</v>
      </c>
      <c r="C91" s="2502" t="s">
        <v>1007</v>
      </c>
      <c r="D91" s="2503" t="s">
        <v>3072</v>
      </c>
      <c r="E91" s="1252"/>
      <c r="F91" s="1265"/>
      <c r="G91" s="1258"/>
      <c r="I91" s="1266"/>
      <c r="J91" s="1266"/>
      <c r="K91" s="1266"/>
      <c r="L91" s="1266"/>
      <c r="M91" s="1266"/>
      <c r="N91" s="1266"/>
      <c r="O91" s="1266"/>
      <c r="P91" s="1333"/>
    </row>
    <row r="92" spans="1:17" s="1253" customFormat="1" ht="13.5" customHeight="1">
      <c r="A92" s="2502" t="s">
        <v>1019</v>
      </c>
      <c r="B92" s="2503" t="s">
        <v>3078</v>
      </c>
      <c r="C92" s="2502" t="s">
        <v>1019</v>
      </c>
      <c r="D92" s="2503" t="s">
        <v>3083</v>
      </c>
      <c r="E92" s="1252"/>
      <c r="F92" s="1265"/>
      <c r="G92" s="1258"/>
      <c r="I92" s="1266"/>
      <c r="J92" s="1266"/>
      <c r="K92" s="1266"/>
      <c r="L92" s="1266"/>
      <c r="M92" s="1266"/>
      <c r="N92" s="1266"/>
      <c r="O92" s="1266"/>
      <c r="P92" s="1333"/>
    </row>
    <row r="93" spans="1:17" s="1253" customFormat="1" ht="13.5" customHeight="1">
      <c r="A93" s="2827" t="s">
        <v>1036</v>
      </c>
      <c r="B93" s="2828"/>
      <c r="C93" s="2827" t="s">
        <v>1036</v>
      </c>
      <c r="D93" s="2828"/>
      <c r="E93" s="1252"/>
      <c r="F93" s="1265"/>
      <c r="G93" s="1258"/>
      <c r="I93" s="1266"/>
      <c r="J93" s="1266"/>
      <c r="K93" s="1266"/>
      <c r="L93" s="1266"/>
      <c r="M93" s="1266"/>
      <c r="N93" s="1266"/>
      <c r="O93" s="1266"/>
      <c r="P93" s="1333"/>
    </row>
    <row r="94" spans="1:17" ht="13.5" customHeight="1">
      <c r="A94" s="2502" t="s">
        <v>2244</v>
      </c>
      <c r="B94" s="2503" t="s">
        <v>3084</v>
      </c>
      <c r="C94" s="2502" t="s">
        <v>2244</v>
      </c>
      <c r="D94" s="2503" t="s">
        <v>3089</v>
      </c>
      <c r="I94" s="1266"/>
      <c r="J94" s="1266"/>
      <c r="K94" s="1266"/>
      <c r="L94" s="1266"/>
      <c r="M94" s="1266"/>
      <c r="N94" s="1266"/>
      <c r="O94" s="1266"/>
      <c r="P94" s="1333"/>
      <c r="Q94" s="1266"/>
    </row>
    <row r="95" spans="1:17" ht="13.5" customHeight="1">
      <c r="A95" s="2502" t="s">
        <v>2228</v>
      </c>
      <c r="B95" s="2503" t="s">
        <v>3021</v>
      </c>
      <c r="C95" s="2502" t="s">
        <v>2228</v>
      </c>
      <c r="D95" s="2503" t="s">
        <v>3021</v>
      </c>
      <c r="I95" s="1266"/>
      <c r="J95" s="1266"/>
      <c r="K95" s="1266"/>
      <c r="L95" s="1266"/>
      <c r="M95" s="1266"/>
      <c r="N95" s="1266"/>
      <c r="O95" s="1266"/>
      <c r="P95" s="1333"/>
      <c r="Q95" s="1266"/>
    </row>
    <row r="96" spans="1:17" s="1253" customFormat="1" ht="13.5" customHeight="1">
      <c r="A96" s="2502" t="s">
        <v>1012</v>
      </c>
      <c r="B96" s="2503" t="s">
        <v>3085</v>
      </c>
      <c r="C96" s="2502" t="s">
        <v>1012</v>
      </c>
      <c r="D96" s="2503" t="s">
        <v>3090</v>
      </c>
      <c r="E96" s="1252"/>
      <c r="F96" s="1265"/>
      <c r="G96" s="1258"/>
      <c r="I96" s="1266"/>
      <c r="J96" s="1266"/>
      <c r="K96" s="1266"/>
      <c r="L96" s="1266"/>
      <c r="M96" s="1266"/>
      <c r="N96" s="1266"/>
      <c r="O96" s="1266"/>
      <c r="P96" s="1333"/>
    </row>
    <row r="97" spans="1:17" s="1253" customFormat="1" ht="13.5" customHeight="1">
      <c r="A97" s="2502" t="s">
        <v>1005</v>
      </c>
      <c r="B97" s="2503" t="s">
        <v>3086</v>
      </c>
      <c r="C97" s="2502" t="s">
        <v>1005</v>
      </c>
      <c r="D97" s="2503" t="s">
        <v>3091</v>
      </c>
      <c r="E97" s="1252"/>
      <c r="F97" s="1265"/>
      <c r="G97" s="1258"/>
      <c r="I97" s="1266"/>
      <c r="J97" s="1266"/>
      <c r="K97" s="1266"/>
      <c r="L97" s="1266"/>
      <c r="M97" s="1266"/>
      <c r="N97" s="1266"/>
      <c r="O97" s="1266"/>
      <c r="P97" s="1333"/>
    </row>
    <row r="98" spans="1:17" s="1253" customFormat="1" ht="13.5" customHeight="1">
      <c r="A98" s="2502" t="s">
        <v>1016</v>
      </c>
      <c r="B98" s="2503" t="s">
        <v>3087</v>
      </c>
      <c r="C98" s="2502" t="s">
        <v>1016</v>
      </c>
      <c r="D98" s="2503" t="s">
        <v>3092</v>
      </c>
      <c r="E98" s="1252"/>
      <c r="F98" s="1265"/>
      <c r="G98" s="1258"/>
      <c r="I98" s="1266"/>
      <c r="J98" s="1266"/>
      <c r="K98" s="1266"/>
      <c r="L98" s="1266"/>
      <c r="M98" s="1266"/>
      <c r="N98" s="1266"/>
      <c r="O98" s="1266"/>
      <c r="P98" s="1333"/>
    </row>
    <row r="99" spans="1:17" s="1253" customFormat="1" ht="13.5" customHeight="1">
      <c r="A99" s="2502" t="s">
        <v>1007</v>
      </c>
      <c r="B99" s="2503" t="s">
        <v>3019</v>
      </c>
      <c r="C99" s="2502" t="s">
        <v>1007</v>
      </c>
      <c r="D99" s="2503" t="s">
        <v>3093</v>
      </c>
      <c r="E99" s="1252"/>
      <c r="F99" s="1265"/>
      <c r="G99" s="1258"/>
      <c r="I99" s="1266"/>
      <c r="J99" s="1266"/>
      <c r="K99" s="1266"/>
      <c r="L99" s="1266"/>
      <c r="M99" s="1266"/>
      <c r="N99" s="1266"/>
      <c r="O99" s="1266"/>
      <c r="P99" s="1333"/>
    </row>
    <row r="100" spans="1:17" s="1253" customFormat="1" ht="13.5" customHeight="1">
      <c r="A100" s="2502" t="s">
        <v>1019</v>
      </c>
      <c r="B100" s="2503" t="s">
        <v>3088</v>
      </c>
      <c r="C100" s="2502" t="s">
        <v>1019</v>
      </c>
      <c r="D100" s="2503" t="s">
        <v>3094</v>
      </c>
      <c r="E100" s="1252"/>
      <c r="F100" s="1265"/>
      <c r="G100" s="1258"/>
      <c r="I100" s="1266"/>
      <c r="J100" s="1266"/>
      <c r="K100" s="1266"/>
      <c r="L100" s="1266"/>
      <c r="M100" s="1266"/>
      <c r="N100" s="1266"/>
      <c r="O100" s="1266"/>
      <c r="P100" s="1333"/>
    </row>
    <row r="101" spans="1:17" s="1253" customFormat="1" ht="12.75" customHeight="1">
      <c r="A101" s="2827" t="s">
        <v>1036</v>
      </c>
      <c r="B101" s="2828"/>
      <c r="C101" s="2827" t="s">
        <v>1036</v>
      </c>
      <c r="D101" s="2828"/>
      <c r="E101" s="1252"/>
      <c r="F101" s="1265"/>
      <c r="G101" s="1258"/>
      <c r="I101" s="1266"/>
      <c r="J101" s="1266"/>
      <c r="K101" s="1266"/>
      <c r="L101" s="1266"/>
      <c r="M101" s="1266"/>
      <c r="N101" s="1266"/>
      <c r="O101" s="1266"/>
      <c r="P101" s="1333"/>
    </row>
    <row r="102" spans="1:17" ht="13.5" customHeight="1">
      <c r="A102" s="2502" t="s">
        <v>2244</v>
      </c>
      <c r="B102" s="2503" t="s">
        <v>3095</v>
      </c>
      <c r="C102" s="2502" t="s">
        <v>2244</v>
      </c>
      <c r="D102" s="2503"/>
      <c r="I102" s="1266"/>
      <c r="J102" s="1266"/>
      <c r="K102" s="1266"/>
      <c r="L102" s="1266"/>
      <c r="M102" s="1266"/>
      <c r="N102" s="1266"/>
      <c r="O102" s="1266"/>
      <c r="P102" s="1333"/>
      <c r="Q102" s="1266"/>
    </row>
    <row r="103" spans="1:17" s="1253" customFormat="1" ht="12.75" customHeight="1">
      <c r="A103" s="2502" t="s">
        <v>2228</v>
      </c>
      <c r="B103" s="2503" t="s">
        <v>3032</v>
      </c>
      <c r="C103" s="2502" t="s">
        <v>2228</v>
      </c>
      <c r="D103" s="2503"/>
      <c r="E103" s="1252"/>
      <c r="F103" s="1265"/>
      <c r="G103" s="1258"/>
      <c r="I103" s="1266"/>
      <c r="J103" s="1266"/>
      <c r="K103" s="1266"/>
      <c r="L103" s="1266"/>
      <c r="M103" s="1266"/>
      <c r="N103" s="1266"/>
      <c r="O103" s="1266"/>
      <c r="P103" s="1333"/>
    </row>
    <row r="104" spans="1:17" s="1253" customFormat="1" ht="12.75" customHeight="1">
      <c r="A104" s="2502" t="s">
        <v>1012</v>
      </c>
      <c r="B104" s="2503" t="s">
        <v>3096</v>
      </c>
      <c r="C104" s="2502" t="s">
        <v>1012</v>
      </c>
      <c r="D104" s="2503"/>
      <c r="E104" s="1252"/>
      <c r="F104" s="1265"/>
      <c r="G104" s="1258"/>
      <c r="I104" s="1266"/>
      <c r="J104" s="1266"/>
      <c r="K104" s="1266"/>
      <c r="L104" s="1266"/>
      <c r="M104" s="1266"/>
      <c r="N104" s="1266"/>
      <c r="O104" s="1266"/>
      <c r="P104" s="1333"/>
    </row>
    <row r="105" spans="1:17" s="1253" customFormat="1" ht="12.75" customHeight="1">
      <c r="A105" s="2502" t="s">
        <v>1005</v>
      </c>
      <c r="B105" s="2503" t="s">
        <v>3055</v>
      </c>
      <c r="C105" s="2502" t="s">
        <v>1005</v>
      </c>
      <c r="D105" s="2503"/>
      <c r="E105" s="1252"/>
      <c r="F105" s="1265"/>
      <c r="G105" s="1258"/>
      <c r="I105" s="1266"/>
      <c r="J105" s="1266"/>
      <c r="K105" s="1266"/>
      <c r="L105" s="1266"/>
      <c r="M105" s="1266"/>
      <c r="N105" s="1266"/>
      <c r="O105" s="1266"/>
      <c r="P105" s="1333"/>
    </row>
    <row r="106" spans="1:17" s="1272" customFormat="1" ht="12.75" customHeight="1">
      <c r="A106" s="2502" t="s">
        <v>1016</v>
      </c>
      <c r="B106" s="2503" t="s">
        <v>3097</v>
      </c>
      <c r="C106" s="2502" t="s">
        <v>1016</v>
      </c>
      <c r="D106" s="2503"/>
      <c r="E106" s="1273"/>
      <c r="F106" s="1265"/>
      <c r="G106" s="1258"/>
      <c r="I106" s="1266"/>
      <c r="J106" s="1266"/>
      <c r="K106" s="1266"/>
      <c r="L106" s="1266"/>
      <c r="M106" s="1266"/>
      <c r="N106" s="1266"/>
      <c r="O106" s="1266"/>
      <c r="P106" s="1333"/>
      <c r="Q106" s="1253"/>
    </row>
    <row r="107" spans="1:17" s="1266" customFormat="1" ht="12.75" customHeight="1">
      <c r="A107" s="2502" t="s">
        <v>1007</v>
      </c>
      <c r="B107" s="2503" t="s">
        <v>3019</v>
      </c>
      <c r="C107" s="2502" t="s">
        <v>1007</v>
      </c>
      <c r="D107" s="2503"/>
      <c r="E107" s="1274"/>
      <c r="F107" s="1265"/>
      <c r="G107" s="1258"/>
      <c r="P107" s="1333"/>
      <c r="Q107" s="1253"/>
    </row>
    <row r="108" spans="1:17" s="1266" customFormat="1" ht="12.75" customHeight="1">
      <c r="A108" s="2502" t="s">
        <v>1019</v>
      </c>
      <c r="B108" s="2503" t="s">
        <v>3098</v>
      </c>
      <c r="C108" s="2502" t="s">
        <v>1019</v>
      </c>
      <c r="D108" s="2503"/>
      <c r="E108" s="1274"/>
      <c r="F108" s="1265"/>
      <c r="G108" s="1258"/>
      <c r="P108" s="1333"/>
      <c r="Q108" s="1253"/>
    </row>
    <row r="109" spans="1:17" s="1253" customFormat="1" ht="12.75" customHeight="1">
      <c r="A109" s="2827" t="s">
        <v>1036</v>
      </c>
      <c r="B109" s="2828"/>
      <c r="C109" s="2827" t="s">
        <v>1036</v>
      </c>
      <c r="D109" s="2828"/>
      <c r="E109" s="1252"/>
      <c r="I109" s="1266"/>
      <c r="J109" s="1266"/>
      <c r="K109" s="1266"/>
      <c r="L109" s="1266"/>
      <c r="M109" s="1266"/>
      <c r="N109" s="1266"/>
      <c r="O109" s="1266"/>
      <c r="P109" s="1333"/>
    </row>
    <row r="110" spans="1:17" ht="13.5" customHeight="1">
      <c r="A110" s="2502" t="s">
        <v>2244</v>
      </c>
      <c r="B110" s="2503"/>
      <c r="C110" s="2502" t="s">
        <v>2244</v>
      </c>
      <c r="D110" s="2503"/>
      <c r="I110" s="1266"/>
      <c r="J110" s="1266"/>
      <c r="K110" s="1266"/>
      <c r="L110" s="1266"/>
      <c r="M110" s="1266"/>
      <c r="N110" s="1266"/>
      <c r="O110" s="1266"/>
      <c r="P110" s="1333"/>
      <c r="Q110" s="1266"/>
    </row>
    <row r="111" spans="1:17" s="1253" customFormat="1" ht="12.75" customHeight="1">
      <c r="A111" s="2502" t="s">
        <v>2228</v>
      </c>
      <c r="B111" s="2503"/>
      <c r="C111" s="2502" t="s">
        <v>2228</v>
      </c>
      <c r="D111" s="2503"/>
      <c r="E111" s="1252"/>
      <c r="I111" s="1266"/>
      <c r="J111" s="1266"/>
      <c r="K111" s="1266"/>
      <c r="L111" s="1266"/>
      <c r="M111" s="1266"/>
      <c r="N111" s="1266"/>
      <c r="O111" s="1266"/>
      <c r="P111" s="1333"/>
    </row>
    <row r="112" spans="1:17" s="1253" customFormat="1" ht="12.75" customHeight="1">
      <c r="A112" s="2502" t="s">
        <v>1012</v>
      </c>
      <c r="B112" s="2503"/>
      <c r="C112" s="2502" t="s">
        <v>1012</v>
      </c>
      <c r="D112" s="2503"/>
      <c r="E112" s="1252"/>
      <c r="I112" s="1266"/>
      <c r="J112" s="1266"/>
      <c r="K112" s="1266"/>
      <c r="L112" s="1266"/>
      <c r="M112" s="1266"/>
      <c r="N112" s="1266"/>
      <c r="O112" s="1266"/>
      <c r="P112" s="1333"/>
    </row>
    <row r="113" spans="1:25" s="1253" customFormat="1" ht="12.75" customHeight="1">
      <c r="A113" s="2502" t="s">
        <v>1005</v>
      </c>
      <c r="B113" s="2503"/>
      <c r="C113" s="2502" t="s">
        <v>1005</v>
      </c>
      <c r="D113" s="2503"/>
      <c r="E113" s="1252"/>
      <c r="I113" s="1266"/>
      <c r="J113" s="1266"/>
      <c r="K113" s="1266"/>
      <c r="L113" s="1266"/>
      <c r="M113" s="1266"/>
      <c r="N113" s="1266"/>
      <c r="O113" s="1266"/>
      <c r="P113" s="1333"/>
    </row>
    <row r="114" spans="1:25" ht="12.75" customHeight="1">
      <c r="A114" s="2502" t="s">
        <v>1016</v>
      </c>
      <c r="B114" s="2503"/>
      <c r="C114" s="2502" t="s">
        <v>1016</v>
      </c>
      <c r="D114" s="2503"/>
      <c r="E114" s="1275"/>
      <c r="I114" s="1266"/>
      <c r="J114" s="1266"/>
      <c r="K114" s="1266"/>
      <c r="L114" s="1266"/>
      <c r="M114" s="1266"/>
      <c r="N114" s="1266"/>
      <c r="O114" s="1266"/>
      <c r="P114" s="1333"/>
      <c r="R114" s="1276"/>
      <c r="S114" s="1276"/>
      <c r="T114" s="1276"/>
      <c r="U114" s="1276"/>
      <c r="V114" s="1276"/>
      <c r="W114" s="1276"/>
      <c r="X114" s="1276"/>
      <c r="Y114" s="1276"/>
    </row>
    <row r="115" spans="1:25" ht="12.75" customHeight="1">
      <c r="A115" s="2502" t="s">
        <v>1007</v>
      </c>
      <c r="B115" s="2503"/>
      <c r="C115" s="2502" t="s">
        <v>1007</v>
      </c>
      <c r="D115" s="2503"/>
      <c r="E115" s="1275"/>
      <c r="I115" s="1266"/>
      <c r="J115" s="1266"/>
      <c r="K115" s="1266"/>
      <c r="L115" s="1266"/>
      <c r="M115" s="1266"/>
      <c r="N115" s="1266"/>
      <c r="O115" s="1266"/>
      <c r="P115" s="1333"/>
      <c r="R115" s="1276"/>
      <c r="S115" s="1276"/>
      <c r="T115" s="1276"/>
      <c r="U115" s="1276"/>
      <c r="V115" s="1276"/>
      <c r="W115" s="1276"/>
      <c r="X115" s="1276"/>
      <c r="Y115" s="1276"/>
    </row>
    <row r="116" spans="1:25" ht="12.75" customHeight="1">
      <c r="A116" s="2502" t="s">
        <v>1019</v>
      </c>
      <c r="B116" s="2503"/>
      <c r="C116" s="2502" t="s">
        <v>1019</v>
      </c>
      <c r="D116" s="2503"/>
      <c r="E116" s="1275"/>
      <c r="I116" s="1266"/>
      <c r="J116" s="1266"/>
      <c r="K116" s="1266"/>
      <c r="L116" s="1266"/>
      <c r="M116" s="1266"/>
      <c r="N116" s="1266"/>
      <c r="O116" s="1266"/>
      <c r="P116" s="1333"/>
      <c r="R116" s="1276"/>
      <c r="S116" s="1276"/>
      <c r="T116" s="1276"/>
      <c r="U116" s="1276"/>
      <c r="V116" s="1276"/>
      <c r="W116" s="1276"/>
      <c r="X116" s="1276"/>
      <c r="Y116" s="1276"/>
    </row>
    <row r="117" spans="1:25" ht="12.75" customHeight="1">
      <c r="A117" s="2827" t="s">
        <v>1036</v>
      </c>
      <c r="B117" s="2828"/>
      <c r="C117" s="2827" t="s">
        <v>1036</v>
      </c>
      <c r="D117" s="2828"/>
      <c r="E117" s="1275"/>
      <c r="I117" s="1266"/>
      <c r="J117" s="1266"/>
      <c r="K117" s="1266"/>
      <c r="L117" s="1266"/>
      <c r="M117" s="1266"/>
      <c r="N117" s="1266"/>
      <c r="O117" s="1266"/>
      <c r="P117" s="1333"/>
      <c r="R117" s="1276"/>
      <c r="S117" s="1276"/>
      <c r="T117" s="1276"/>
      <c r="U117" s="1276"/>
      <c r="V117" s="1276"/>
      <c r="W117" s="1276"/>
      <c r="X117" s="1276"/>
      <c r="Y117" s="1276"/>
    </row>
    <row r="118" spans="1:25" ht="13.5" customHeight="1">
      <c r="A118" s="2502" t="s">
        <v>2244</v>
      </c>
      <c r="B118" s="2503"/>
      <c r="C118" s="2502" t="s">
        <v>2244</v>
      </c>
      <c r="D118" s="2503"/>
      <c r="I118" s="1266"/>
      <c r="J118" s="1266"/>
      <c r="K118" s="1266"/>
      <c r="L118" s="1266"/>
      <c r="M118" s="1266"/>
      <c r="N118" s="1266"/>
      <c r="O118" s="1266"/>
      <c r="P118" s="1333"/>
      <c r="Q118" s="1266"/>
    </row>
    <row r="119" spans="1:25" ht="12.75" customHeight="1">
      <c r="A119" s="2502" t="s">
        <v>2228</v>
      </c>
      <c r="B119" s="2503"/>
      <c r="C119" s="2502" t="s">
        <v>2228</v>
      </c>
      <c r="D119" s="2503"/>
      <c r="E119" s="1275"/>
      <c r="I119" s="1266"/>
      <c r="J119" s="1266"/>
      <c r="K119" s="1266"/>
      <c r="L119" s="1266"/>
      <c r="M119" s="1266"/>
      <c r="N119" s="1266"/>
      <c r="O119" s="1266"/>
      <c r="P119" s="1333"/>
      <c r="R119" s="1276"/>
      <c r="S119" s="1276"/>
      <c r="T119" s="1276"/>
      <c r="U119" s="1276"/>
      <c r="V119" s="1276"/>
      <c r="W119" s="1276"/>
      <c r="X119" s="1276"/>
      <c r="Y119" s="1276"/>
    </row>
    <row r="120" spans="1:25" ht="12.75" customHeight="1">
      <c r="A120" s="2502" t="s">
        <v>1012</v>
      </c>
      <c r="B120" s="2503"/>
      <c r="C120" s="2502" t="s">
        <v>1012</v>
      </c>
      <c r="D120" s="2503"/>
      <c r="E120" s="1275"/>
      <c r="I120" s="1266"/>
      <c r="J120" s="1266"/>
      <c r="K120" s="1266"/>
      <c r="L120" s="1266"/>
      <c r="M120" s="1266"/>
      <c r="N120" s="1266"/>
      <c r="O120" s="1266"/>
      <c r="P120" s="1333"/>
      <c r="R120" s="1276"/>
      <c r="S120" s="1276"/>
      <c r="T120" s="1276"/>
      <c r="U120" s="1276"/>
      <c r="V120" s="1276"/>
      <c r="W120" s="1276"/>
      <c r="X120" s="1276"/>
      <c r="Y120" s="1276"/>
    </row>
    <row r="121" spans="1:25" ht="12.75" customHeight="1">
      <c r="A121" s="2502" t="s">
        <v>1005</v>
      </c>
      <c r="B121" s="2503"/>
      <c r="C121" s="2502" t="s">
        <v>1005</v>
      </c>
      <c r="D121" s="2503"/>
      <c r="E121" s="1275"/>
      <c r="I121" s="1266"/>
      <c r="J121" s="1266"/>
      <c r="K121" s="1266"/>
      <c r="L121" s="1266"/>
      <c r="M121" s="1266"/>
      <c r="N121" s="1266"/>
      <c r="O121" s="1266"/>
      <c r="P121" s="1333"/>
      <c r="R121" s="1276"/>
      <c r="S121" s="1276"/>
      <c r="T121" s="1276"/>
      <c r="U121" s="1276"/>
      <c r="V121" s="1276"/>
      <c r="W121" s="1276"/>
      <c r="X121" s="1276"/>
      <c r="Y121" s="1276"/>
    </row>
    <row r="122" spans="1:25" ht="12.75" customHeight="1">
      <c r="A122" s="2502" t="s">
        <v>1016</v>
      </c>
      <c r="B122" s="2503"/>
      <c r="C122" s="2502" t="s">
        <v>1016</v>
      </c>
      <c r="D122" s="2503"/>
      <c r="E122" s="1275"/>
      <c r="I122" s="1266"/>
      <c r="J122" s="1266"/>
      <c r="K122" s="1266"/>
      <c r="L122" s="1266"/>
      <c r="M122" s="1266"/>
      <c r="N122" s="1266"/>
      <c r="O122" s="1266"/>
      <c r="P122" s="1333"/>
      <c r="R122" s="1276"/>
      <c r="S122" s="1276"/>
      <c r="T122" s="1276"/>
      <c r="U122" s="1276"/>
      <c r="V122" s="1276"/>
      <c r="W122" s="1276"/>
      <c r="X122" s="1276"/>
      <c r="Y122" s="1276"/>
    </row>
    <row r="123" spans="1:25" ht="12.75" customHeight="1">
      <c r="A123" s="2502" t="s">
        <v>1007</v>
      </c>
      <c r="B123" s="2503"/>
      <c r="C123" s="2502" t="s">
        <v>1007</v>
      </c>
      <c r="D123" s="2503"/>
      <c r="E123" s="1275"/>
      <c r="I123" s="1266"/>
      <c r="J123" s="1266"/>
      <c r="K123" s="1266"/>
      <c r="L123" s="1266"/>
      <c r="M123" s="1266"/>
      <c r="N123" s="1266"/>
      <c r="O123" s="1266"/>
      <c r="P123" s="1333"/>
      <c r="R123" s="1276"/>
      <c r="S123" s="1276"/>
      <c r="T123" s="1276"/>
      <c r="U123" s="1276"/>
      <c r="V123" s="1276"/>
      <c r="W123" s="1276"/>
      <c r="X123" s="1276"/>
      <c r="Y123" s="1276"/>
    </row>
    <row r="124" spans="1:25" ht="12.75" customHeight="1">
      <c r="A124" s="2502" t="s">
        <v>1019</v>
      </c>
      <c r="B124" s="2503"/>
      <c r="C124" s="2502" t="s">
        <v>1019</v>
      </c>
      <c r="D124" s="2503"/>
      <c r="E124" s="1275"/>
      <c r="I124" s="1266"/>
      <c r="J124" s="1266"/>
      <c r="K124" s="1266"/>
      <c r="L124" s="1266"/>
      <c r="M124" s="1266"/>
      <c r="N124" s="1266"/>
      <c r="O124" s="1266"/>
      <c r="P124" s="1333"/>
      <c r="R124" s="1276"/>
      <c r="S124" s="1276"/>
      <c r="T124" s="1276"/>
      <c r="U124" s="1276"/>
      <c r="V124" s="1276"/>
      <c r="W124" s="1276"/>
      <c r="X124" s="1276"/>
      <c r="Y124" s="1276"/>
    </row>
    <row r="125" spans="1:25" ht="12.75" customHeight="1">
      <c r="A125" s="2827" t="s">
        <v>1036</v>
      </c>
      <c r="B125" s="2828"/>
      <c r="C125" s="2827" t="s">
        <v>1036</v>
      </c>
      <c r="D125" s="2828"/>
      <c r="E125" s="1275"/>
      <c r="I125" s="1266"/>
      <c r="J125" s="1266"/>
      <c r="K125" s="1266"/>
      <c r="L125" s="1266"/>
      <c r="M125" s="1266"/>
      <c r="N125" s="1266"/>
      <c r="O125" s="1266"/>
      <c r="P125" s="1333"/>
      <c r="R125" s="1276"/>
      <c r="S125" s="1276"/>
      <c r="T125" s="1276"/>
      <c r="U125" s="1276"/>
      <c r="V125" s="1276"/>
      <c r="W125" s="1276"/>
      <c r="X125" s="1276"/>
      <c r="Y125" s="1276"/>
    </row>
    <row r="126" spans="1:25" ht="13.5" customHeight="1">
      <c r="A126" s="2502" t="s">
        <v>2244</v>
      </c>
      <c r="B126" s="2503"/>
      <c r="C126" s="2502" t="s">
        <v>2244</v>
      </c>
      <c r="D126" s="2503"/>
      <c r="I126" s="1266"/>
      <c r="J126" s="1266"/>
      <c r="K126" s="1266"/>
      <c r="L126" s="1266"/>
      <c r="M126" s="1266"/>
      <c r="N126" s="1266"/>
      <c r="O126" s="1266"/>
      <c r="P126" s="1333"/>
      <c r="Q126" s="1266"/>
    </row>
    <row r="127" spans="1:25" ht="12.75" customHeight="1">
      <c r="A127" s="2502" t="s">
        <v>2228</v>
      </c>
      <c r="B127" s="2503"/>
      <c r="C127" s="2502" t="s">
        <v>2228</v>
      </c>
      <c r="D127" s="2503"/>
      <c r="E127" s="1275"/>
      <c r="I127" s="1266"/>
      <c r="J127" s="1266"/>
      <c r="K127" s="1266"/>
      <c r="L127" s="1266"/>
      <c r="M127" s="1266"/>
      <c r="N127" s="1266"/>
      <c r="O127" s="1266"/>
      <c r="P127" s="1333"/>
      <c r="R127" s="1276"/>
      <c r="S127" s="1276"/>
      <c r="T127" s="1276"/>
      <c r="U127" s="1276"/>
      <c r="V127" s="1276"/>
      <c r="W127" s="1276"/>
      <c r="X127" s="1276"/>
      <c r="Y127" s="1276"/>
    </row>
    <row r="128" spans="1:25" ht="12.75" customHeight="1">
      <c r="A128" s="2502" t="s">
        <v>1012</v>
      </c>
      <c r="B128" s="2503"/>
      <c r="C128" s="2502" t="s">
        <v>1012</v>
      </c>
      <c r="D128" s="2503"/>
      <c r="E128" s="1275"/>
      <c r="I128" s="1266"/>
      <c r="J128" s="1266"/>
      <c r="K128" s="1266"/>
      <c r="L128" s="1266"/>
      <c r="M128" s="1266"/>
      <c r="N128" s="1266"/>
      <c r="O128" s="1266"/>
      <c r="P128" s="1333"/>
      <c r="R128" s="1276"/>
      <c r="S128" s="1276"/>
      <c r="T128" s="1276"/>
      <c r="U128" s="1276"/>
      <c r="V128" s="1276"/>
      <c r="W128" s="1276"/>
      <c r="X128" s="1276"/>
      <c r="Y128" s="1276"/>
    </row>
    <row r="129" spans="1:25" ht="12.75" customHeight="1">
      <c r="A129" s="2502" t="s">
        <v>1005</v>
      </c>
      <c r="B129" s="2503"/>
      <c r="C129" s="2502" t="s">
        <v>1005</v>
      </c>
      <c r="D129" s="2503"/>
      <c r="E129" s="1275"/>
      <c r="I129" s="1266"/>
      <c r="J129" s="1266"/>
      <c r="K129" s="1266"/>
      <c r="L129" s="1266"/>
      <c r="M129" s="1266"/>
      <c r="N129" s="1266"/>
      <c r="O129" s="1266"/>
      <c r="P129" s="1333"/>
      <c r="R129" s="1276"/>
      <c r="S129" s="1276"/>
      <c r="T129" s="1276"/>
      <c r="U129" s="1276"/>
      <c r="V129" s="1276"/>
      <c r="W129" s="1276"/>
      <c r="X129" s="1276"/>
      <c r="Y129" s="1276"/>
    </row>
    <row r="130" spans="1:25" ht="12.75" customHeight="1">
      <c r="A130" s="2502" t="s">
        <v>1016</v>
      </c>
      <c r="B130" s="2503"/>
      <c r="C130" s="2502" t="s">
        <v>1016</v>
      </c>
      <c r="D130" s="2503"/>
      <c r="E130" s="1275"/>
      <c r="I130" s="1266"/>
      <c r="J130" s="1266"/>
      <c r="K130" s="1266"/>
      <c r="L130" s="1266"/>
      <c r="M130" s="1266"/>
      <c r="N130" s="1266"/>
      <c r="O130" s="1266"/>
      <c r="P130" s="1333"/>
      <c r="R130" s="1276"/>
      <c r="S130" s="1276"/>
      <c r="T130" s="1276"/>
      <c r="U130" s="1276"/>
      <c r="V130" s="1276"/>
      <c r="W130" s="1276"/>
      <c r="X130" s="1276"/>
      <c r="Y130" s="1276"/>
    </row>
    <row r="131" spans="1:25" ht="12.75" customHeight="1">
      <c r="A131" s="2502" t="s">
        <v>1007</v>
      </c>
      <c r="B131" s="2503"/>
      <c r="C131" s="2502" t="s">
        <v>1007</v>
      </c>
      <c r="D131" s="2503"/>
      <c r="E131" s="1275"/>
      <c r="I131" s="1266"/>
      <c r="J131" s="1266"/>
      <c r="K131" s="1266"/>
      <c r="L131" s="1266"/>
      <c r="M131" s="1266"/>
      <c r="N131" s="1266"/>
      <c r="O131" s="1266"/>
      <c r="P131" s="1333"/>
      <c r="R131" s="1276"/>
      <c r="S131" s="1276"/>
      <c r="T131" s="1276"/>
      <c r="U131" s="1276"/>
      <c r="V131" s="1276"/>
      <c r="W131" s="1276"/>
      <c r="X131" s="1276"/>
      <c r="Y131" s="1276"/>
    </row>
    <row r="132" spans="1:25" ht="12.75" customHeight="1">
      <c r="A132" s="2502" t="s">
        <v>1019</v>
      </c>
      <c r="B132" s="2503"/>
      <c r="C132" s="2502" t="s">
        <v>1019</v>
      </c>
      <c r="D132" s="2503"/>
      <c r="E132" s="1275"/>
      <c r="I132" s="1266"/>
      <c r="J132" s="1266"/>
      <c r="K132" s="1266"/>
      <c r="L132" s="1266"/>
      <c r="M132" s="1266"/>
      <c r="N132" s="1266"/>
      <c r="O132" s="1266"/>
      <c r="P132" s="1333"/>
      <c r="R132" s="1276"/>
      <c r="S132" s="1276"/>
      <c r="T132" s="1276"/>
      <c r="U132" s="1276"/>
      <c r="V132" s="1276"/>
      <c r="W132" s="1276"/>
      <c r="X132" s="1276"/>
      <c r="Y132" s="1276"/>
    </row>
    <row r="133" spans="1:25" ht="12.75" customHeight="1">
      <c r="A133" s="2827" t="s">
        <v>1036</v>
      </c>
      <c r="B133" s="2828"/>
      <c r="C133" s="2835"/>
      <c r="D133" s="2836"/>
      <c r="E133" s="1275"/>
      <c r="I133" s="1266"/>
      <c r="J133" s="1266"/>
      <c r="K133" s="1266"/>
      <c r="L133" s="1266"/>
      <c r="M133" s="1266"/>
      <c r="N133" s="1266"/>
      <c r="O133" s="1266"/>
      <c r="P133" s="1333"/>
      <c r="R133" s="1276"/>
      <c r="S133" s="1276"/>
      <c r="T133" s="1276"/>
      <c r="U133" s="1276"/>
      <c r="V133" s="1276"/>
      <c r="W133" s="1276"/>
      <c r="X133" s="1276"/>
      <c r="Y133" s="1276"/>
    </row>
    <row r="134" spans="1:25" ht="12.75" customHeight="1">
      <c r="A134" s="2502" t="s">
        <v>2244</v>
      </c>
      <c r="B134" s="2503"/>
      <c r="C134" s="2515"/>
      <c r="D134" s="2516"/>
      <c r="E134" s="1275"/>
      <c r="I134" s="1266"/>
      <c r="J134" s="1266"/>
      <c r="K134" s="1266"/>
      <c r="L134" s="1266"/>
      <c r="M134" s="1266"/>
      <c r="N134" s="1266"/>
      <c r="O134" s="1266"/>
      <c r="P134" s="1333"/>
      <c r="R134" s="1276"/>
      <c r="S134" s="1276"/>
      <c r="T134" s="1276"/>
      <c r="U134" s="1276"/>
      <c r="V134" s="1276"/>
      <c r="W134" s="1276"/>
      <c r="X134" s="1276"/>
      <c r="Y134" s="1276"/>
    </row>
    <row r="135" spans="1:25" ht="12.75" customHeight="1">
      <c r="A135" s="2502" t="s">
        <v>2228</v>
      </c>
      <c r="B135" s="2503"/>
      <c r="C135" s="2515"/>
      <c r="D135" s="2516"/>
      <c r="E135" s="1275"/>
      <c r="I135" s="1266"/>
      <c r="J135" s="1266"/>
      <c r="K135" s="1266"/>
      <c r="L135" s="1266"/>
      <c r="M135" s="1266"/>
      <c r="N135" s="1266"/>
      <c r="O135" s="1266"/>
      <c r="P135" s="1333"/>
      <c r="R135" s="1276"/>
      <c r="S135" s="1276"/>
      <c r="T135" s="1276"/>
      <c r="U135" s="1276"/>
      <c r="V135" s="1276"/>
      <c r="W135" s="1276"/>
      <c r="X135" s="1276"/>
      <c r="Y135" s="1276"/>
    </row>
    <row r="136" spans="1:25" ht="12.75" customHeight="1">
      <c r="A136" s="2502" t="s">
        <v>1012</v>
      </c>
      <c r="B136" s="2503"/>
      <c r="C136" s="2515"/>
      <c r="D136" s="2516"/>
      <c r="E136" s="1275"/>
      <c r="I136" s="1266"/>
      <c r="J136" s="1266"/>
      <c r="K136" s="1266"/>
      <c r="L136" s="1266"/>
      <c r="M136" s="1266"/>
      <c r="N136" s="1266"/>
      <c r="O136" s="1266"/>
      <c r="P136" s="1333"/>
      <c r="R136" s="1276"/>
      <c r="S136" s="1276"/>
      <c r="T136" s="1276"/>
      <c r="U136" s="1276"/>
      <c r="V136" s="1276"/>
      <c r="W136" s="1276"/>
      <c r="X136" s="1276"/>
      <c r="Y136" s="1276"/>
    </row>
    <row r="137" spans="1:25" ht="12.75" customHeight="1">
      <c r="A137" s="2502" t="s">
        <v>1005</v>
      </c>
      <c r="B137" s="2503"/>
      <c r="C137" s="2515"/>
      <c r="D137" s="2516"/>
      <c r="E137" s="1275"/>
      <c r="I137" s="1266"/>
      <c r="J137" s="1266"/>
      <c r="K137" s="1266"/>
      <c r="L137" s="1266"/>
      <c r="M137" s="1266"/>
      <c r="N137" s="1266"/>
      <c r="O137" s="1266"/>
      <c r="P137" s="1333"/>
      <c r="R137" s="1276"/>
      <c r="S137" s="1276"/>
      <c r="T137" s="1276"/>
      <c r="U137" s="1276"/>
      <c r="V137" s="1276"/>
      <c r="W137" s="1276"/>
      <c r="X137" s="1276"/>
      <c r="Y137" s="1276"/>
    </row>
    <row r="138" spans="1:25" ht="12.75" customHeight="1">
      <c r="A138" s="2502" t="s">
        <v>1016</v>
      </c>
      <c r="B138" s="2503"/>
      <c r="C138" s="2515"/>
      <c r="D138" s="2516"/>
      <c r="E138" s="1275"/>
      <c r="I138" s="1266"/>
      <c r="J138" s="1266"/>
      <c r="K138" s="1266"/>
      <c r="L138" s="1266"/>
      <c r="M138" s="1266"/>
      <c r="N138" s="1266"/>
      <c r="O138" s="1266"/>
      <c r="P138" s="1333"/>
      <c r="R138" s="1276"/>
      <c r="S138" s="1276"/>
      <c r="T138" s="1276"/>
      <c r="U138" s="1276"/>
      <c r="V138" s="1276"/>
      <c r="W138" s="1276"/>
      <c r="X138" s="1276"/>
      <c r="Y138" s="1276"/>
    </row>
    <row r="139" spans="1:25" ht="12.75" customHeight="1">
      <c r="A139" s="2502" t="s">
        <v>1007</v>
      </c>
      <c r="B139" s="2503"/>
      <c r="C139" s="2515"/>
      <c r="D139" s="2516"/>
      <c r="E139" s="1275"/>
      <c r="I139" s="1266"/>
      <c r="J139" s="1266"/>
      <c r="K139" s="1266"/>
      <c r="L139" s="1266"/>
      <c r="M139" s="1266"/>
      <c r="N139" s="1266"/>
      <c r="O139" s="1266"/>
      <c r="P139" s="1333"/>
      <c r="R139" s="1276"/>
      <c r="S139" s="1276"/>
      <c r="T139" s="1276"/>
      <c r="U139" s="1276"/>
      <c r="V139" s="1276"/>
      <c r="W139" s="1276"/>
      <c r="X139" s="1276"/>
      <c r="Y139" s="1276"/>
    </row>
    <row r="140" spans="1:25" ht="12.75" customHeight="1">
      <c r="A140" s="2502" t="s">
        <v>1019</v>
      </c>
      <c r="B140" s="2503"/>
      <c r="C140" s="2515"/>
      <c r="D140" s="2516"/>
      <c r="E140" s="1275"/>
      <c r="I140" s="1266"/>
      <c r="J140" s="1266"/>
      <c r="K140" s="1266"/>
      <c r="L140" s="1266"/>
      <c r="M140" s="1266"/>
      <c r="N140" s="1266"/>
      <c r="O140" s="1266"/>
      <c r="P140" s="1333"/>
      <c r="R140" s="1276"/>
      <c r="S140" s="1276"/>
      <c r="T140" s="1276"/>
      <c r="U140" s="1276"/>
      <c r="V140" s="1276"/>
      <c r="W140" s="1276"/>
      <c r="X140" s="1276"/>
      <c r="Y140" s="1276"/>
    </row>
    <row r="141" spans="1:25" ht="12.75" customHeight="1">
      <c r="A141" s="2517"/>
      <c r="B141" s="2517"/>
      <c r="E141" s="1275"/>
      <c r="I141" s="1266"/>
      <c r="J141" s="1266"/>
      <c r="K141" s="1266"/>
      <c r="L141" s="1266"/>
      <c r="M141" s="1266"/>
      <c r="N141" s="1266"/>
      <c r="O141" s="1266"/>
      <c r="P141" s="1333"/>
      <c r="R141" s="1276"/>
      <c r="S141" s="1276"/>
      <c r="T141" s="1276"/>
      <c r="U141" s="1276"/>
      <c r="V141" s="1276"/>
      <c r="W141" s="1276"/>
      <c r="X141" s="1276"/>
      <c r="Y141" s="1276"/>
    </row>
    <row r="142" spans="1:25" ht="12.75" customHeight="1">
      <c r="A142" s="2517"/>
      <c r="B142" s="2517"/>
      <c r="C142" s="2517"/>
      <c r="D142" s="2517"/>
      <c r="E142" s="1275"/>
      <c r="I142" s="1266"/>
      <c r="J142" s="1266"/>
      <c r="K142" s="1266"/>
      <c r="L142" s="1266"/>
      <c r="M142" s="1266"/>
      <c r="N142" s="1266"/>
      <c r="O142" s="1266"/>
      <c r="P142" s="1333"/>
      <c r="R142" s="1276"/>
      <c r="S142" s="1276"/>
      <c r="T142" s="1276"/>
      <c r="U142" s="1276"/>
      <c r="V142" s="1276"/>
      <c r="W142" s="1276"/>
      <c r="X142" s="1276"/>
      <c r="Y142" s="1276"/>
    </row>
    <row r="143" spans="1:25" ht="12.75" customHeight="1">
      <c r="A143" s="2480"/>
      <c r="B143" s="2518"/>
      <c r="C143" s="2518"/>
      <c r="D143" s="2518"/>
      <c r="E143" s="1275"/>
      <c r="I143" s="1266"/>
      <c r="J143" s="1266"/>
      <c r="K143" s="1266"/>
      <c r="L143" s="1266"/>
      <c r="M143" s="1266"/>
      <c r="N143" s="1266"/>
      <c r="O143" s="1266"/>
      <c r="P143" s="1333"/>
      <c r="R143" s="1276"/>
      <c r="S143" s="1276"/>
      <c r="T143" s="1276"/>
      <c r="U143" s="1276"/>
      <c r="V143" s="1276"/>
      <c r="W143" s="1276"/>
      <c r="X143" s="1276"/>
      <c r="Y143" s="1276"/>
    </row>
    <row r="144" spans="1:25" ht="12.75" customHeight="1">
      <c r="A144" s="2517"/>
      <c r="B144" s="2517"/>
      <c r="C144" s="2517"/>
      <c r="D144" s="2517"/>
      <c r="E144" s="1275"/>
      <c r="I144" s="1266"/>
      <c r="J144" s="1266"/>
      <c r="K144" s="1266"/>
      <c r="L144" s="1266"/>
      <c r="M144" s="1266"/>
      <c r="N144" s="1266"/>
      <c r="O144" s="1266"/>
      <c r="P144" s="1333"/>
      <c r="R144" s="1276"/>
      <c r="S144" s="1276"/>
      <c r="T144" s="1276"/>
      <c r="U144" s="1276"/>
      <c r="V144" s="1276"/>
      <c r="W144" s="1276"/>
      <c r="X144" s="1276"/>
      <c r="Y144" s="1276"/>
    </row>
    <row r="145" spans="1:25" ht="12.75" customHeight="1">
      <c r="E145" s="1275"/>
      <c r="I145" s="1266"/>
      <c r="J145" s="1266"/>
      <c r="K145" s="1266"/>
      <c r="L145" s="1266"/>
      <c r="M145" s="1266"/>
      <c r="N145" s="1266"/>
      <c r="O145" s="1266"/>
      <c r="P145" s="1333"/>
      <c r="R145" s="1276"/>
      <c r="S145" s="1276"/>
      <c r="T145" s="1276"/>
      <c r="U145" s="1276"/>
      <c r="V145" s="1276"/>
      <c r="W145" s="1276"/>
      <c r="X145" s="1276"/>
      <c r="Y145" s="1276"/>
    </row>
    <row r="146" spans="1:25" ht="12.75" customHeight="1">
      <c r="E146" s="1275"/>
      <c r="I146" s="1266"/>
      <c r="J146" s="1266"/>
      <c r="K146" s="1266"/>
      <c r="L146" s="1266"/>
      <c r="M146" s="1266"/>
      <c r="N146" s="1266"/>
      <c r="O146" s="1266"/>
      <c r="P146" s="1333"/>
      <c r="R146" s="1276"/>
      <c r="S146" s="1276"/>
      <c r="T146" s="1276"/>
      <c r="U146" s="1276"/>
      <c r="V146" s="1276"/>
      <c r="W146" s="1276"/>
      <c r="X146" s="1276"/>
      <c r="Y146" s="1276"/>
    </row>
    <row r="147" spans="1:25" ht="12.75" customHeight="1">
      <c r="E147" s="1275"/>
      <c r="I147" s="1266"/>
      <c r="J147" s="1266"/>
      <c r="K147" s="1266"/>
      <c r="L147" s="1266"/>
      <c r="M147" s="1266"/>
      <c r="N147" s="1266"/>
      <c r="O147" s="1266"/>
      <c r="P147" s="1333"/>
      <c r="R147" s="1276"/>
      <c r="S147" s="1276"/>
      <c r="T147" s="1276"/>
      <c r="U147" s="1276"/>
      <c r="V147" s="1276"/>
      <c r="W147" s="1276"/>
      <c r="X147" s="1276"/>
      <c r="Y147" s="1276"/>
    </row>
    <row r="148" spans="1:25" ht="12.75" customHeight="1">
      <c r="A148" s="2519"/>
      <c r="E148" s="1275"/>
      <c r="I148" s="1266"/>
      <c r="J148" s="1266"/>
      <c r="K148" s="1266"/>
      <c r="L148" s="1266"/>
      <c r="M148" s="1266"/>
      <c r="N148" s="1266"/>
      <c r="O148" s="1266"/>
      <c r="P148" s="1333"/>
      <c r="R148" s="1276"/>
      <c r="S148" s="1276"/>
      <c r="T148" s="1276"/>
      <c r="U148" s="1276"/>
      <c r="V148" s="1276"/>
      <c r="W148" s="1276"/>
      <c r="X148" s="1276"/>
      <c r="Y148" s="1276"/>
    </row>
    <row r="149" spans="1:25">
      <c r="A149" s="2520"/>
      <c r="E149" s="1275"/>
      <c r="I149" s="1266"/>
      <c r="J149" s="1266"/>
      <c r="K149" s="1266"/>
      <c r="L149" s="1266"/>
      <c r="M149" s="1266"/>
      <c r="N149" s="1266"/>
      <c r="O149" s="1266"/>
      <c r="P149" s="1333"/>
      <c r="R149" s="1276"/>
      <c r="S149" s="1276"/>
      <c r="T149" s="1276"/>
      <c r="U149" s="1276"/>
      <c r="V149" s="1276"/>
      <c r="W149" s="1276"/>
      <c r="X149" s="1276"/>
      <c r="Y149" s="1276"/>
    </row>
    <row r="150" spans="1:25">
      <c r="A150" s="2520"/>
      <c r="E150" s="1275"/>
      <c r="I150" s="1266"/>
      <c r="J150" s="1266"/>
      <c r="K150" s="1266"/>
      <c r="L150" s="1266"/>
      <c r="M150" s="1266"/>
      <c r="N150" s="1266"/>
      <c r="O150" s="1266"/>
      <c r="P150" s="1333"/>
      <c r="R150" s="1276"/>
      <c r="S150" s="1276"/>
      <c r="T150" s="1276"/>
      <c r="U150" s="1276"/>
      <c r="V150" s="1276"/>
      <c r="W150" s="1276"/>
      <c r="X150" s="1276"/>
      <c r="Y150" s="1276"/>
    </row>
    <row r="151" spans="1:25">
      <c r="A151" s="2520"/>
      <c r="E151" s="1275"/>
      <c r="I151" s="1266"/>
      <c r="J151" s="1266"/>
      <c r="K151" s="1266"/>
      <c r="L151" s="1266"/>
      <c r="M151" s="1266"/>
      <c r="N151" s="1266"/>
      <c r="O151" s="1266"/>
      <c r="P151" s="1333"/>
      <c r="R151" s="1276"/>
      <c r="S151" s="1276"/>
      <c r="T151" s="1276"/>
      <c r="U151" s="1276"/>
      <c r="V151" s="1276"/>
      <c r="W151" s="1276"/>
      <c r="X151" s="1276"/>
      <c r="Y151" s="1276"/>
    </row>
    <row r="152" spans="1:25">
      <c r="A152" s="2520"/>
      <c r="E152" s="1275"/>
      <c r="I152" s="1266"/>
      <c r="J152" s="1266"/>
      <c r="K152" s="1266"/>
      <c r="L152" s="1266"/>
      <c r="M152" s="1266"/>
      <c r="N152" s="1266"/>
      <c r="O152" s="1266"/>
      <c r="P152" s="1333"/>
      <c r="R152" s="1276"/>
      <c r="S152" s="1276"/>
      <c r="T152" s="1276"/>
      <c r="U152" s="1276"/>
      <c r="V152" s="1276"/>
      <c r="W152" s="1276"/>
      <c r="X152" s="1276"/>
      <c r="Y152" s="1276"/>
    </row>
    <row r="153" spans="1:25">
      <c r="A153" s="2521"/>
      <c r="B153" s="2522"/>
      <c r="C153" s="2522"/>
      <c r="D153" s="2522"/>
      <c r="E153" s="1275"/>
      <c r="I153" s="1266"/>
      <c r="J153" s="1266"/>
      <c r="K153" s="1266"/>
      <c r="L153" s="1266"/>
      <c r="M153" s="1266"/>
      <c r="N153" s="1266"/>
      <c r="O153" s="1266"/>
      <c r="P153" s="1333"/>
      <c r="R153" s="1276"/>
      <c r="S153" s="1276"/>
      <c r="T153" s="1276"/>
      <c r="U153" s="1276"/>
      <c r="V153" s="1276"/>
      <c r="W153" s="1276"/>
      <c r="X153" s="1276"/>
      <c r="Y153" s="1276"/>
    </row>
    <row r="154" spans="1:25">
      <c r="A154" s="2521"/>
      <c r="B154" s="2522"/>
      <c r="C154" s="2522"/>
      <c r="D154" s="2522"/>
      <c r="E154" s="1275"/>
      <c r="I154" s="1266"/>
      <c r="J154" s="1266"/>
      <c r="K154" s="1266"/>
      <c r="L154" s="1266"/>
      <c r="M154" s="1266"/>
      <c r="N154" s="1266"/>
      <c r="O154" s="1266"/>
      <c r="P154" s="1333"/>
      <c r="R154" s="1276"/>
      <c r="S154" s="1276"/>
      <c r="T154" s="1276"/>
      <c r="U154" s="1276"/>
      <c r="V154" s="1276"/>
      <c r="W154" s="1276"/>
      <c r="X154" s="1276"/>
      <c r="Y154" s="1276"/>
    </row>
    <row r="155" spans="1:25">
      <c r="A155" s="2521"/>
      <c r="B155" s="2522"/>
      <c r="C155" s="2522"/>
      <c r="D155" s="2522"/>
      <c r="E155" s="1275"/>
      <c r="I155" s="1266"/>
      <c r="J155" s="1266"/>
      <c r="K155" s="1266"/>
      <c r="L155" s="1266"/>
      <c r="M155" s="1266"/>
      <c r="N155" s="1266"/>
      <c r="O155" s="1266"/>
      <c r="P155" s="1333"/>
      <c r="R155" s="1276"/>
      <c r="S155" s="1276"/>
      <c r="T155" s="1276"/>
      <c r="U155" s="1276"/>
      <c r="V155" s="1276"/>
      <c r="W155" s="1276"/>
      <c r="X155" s="1276"/>
      <c r="Y155" s="1276"/>
    </row>
    <row r="156" spans="1:25">
      <c r="A156" s="2521"/>
      <c r="B156" s="2522"/>
      <c r="C156" s="2522"/>
      <c r="D156" s="2522"/>
      <c r="E156" s="1275"/>
      <c r="I156" s="1266"/>
      <c r="J156" s="1266"/>
      <c r="K156" s="1266"/>
      <c r="L156" s="1266"/>
      <c r="M156" s="1266"/>
      <c r="N156" s="1266"/>
      <c r="O156" s="1266"/>
      <c r="P156" s="1333"/>
      <c r="R156" s="1276"/>
      <c r="S156" s="1276"/>
      <c r="T156" s="1276"/>
      <c r="U156" s="1276"/>
      <c r="V156" s="1276"/>
      <c r="W156" s="1276"/>
      <c r="X156" s="1276"/>
      <c r="Y156" s="1276"/>
    </row>
    <row r="157" spans="1:25">
      <c r="A157" s="2521"/>
      <c r="B157" s="2522"/>
      <c r="C157" s="2522"/>
      <c r="D157" s="2522"/>
      <c r="E157" s="1275"/>
      <c r="I157" s="1266"/>
      <c r="J157" s="1266"/>
      <c r="K157" s="1266"/>
      <c r="L157" s="1266"/>
      <c r="M157" s="1266"/>
      <c r="N157" s="1266"/>
      <c r="O157" s="1266"/>
      <c r="P157" s="1333"/>
      <c r="R157" s="1276"/>
      <c r="S157" s="1276"/>
      <c r="T157" s="1276"/>
      <c r="U157" s="1276"/>
      <c r="V157" s="1276"/>
      <c r="W157" s="1276"/>
      <c r="X157" s="1276"/>
      <c r="Y157" s="1276"/>
    </row>
    <row r="158" spans="1:25">
      <c r="A158" s="2521"/>
      <c r="B158" s="2522"/>
      <c r="C158" s="2522"/>
      <c r="D158" s="2522"/>
      <c r="E158" s="1275"/>
      <c r="I158" s="1266"/>
      <c r="J158" s="1266"/>
      <c r="K158" s="1266"/>
      <c r="L158" s="1266"/>
      <c r="M158" s="1266"/>
      <c r="N158" s="1266"/>
      <c r="O158" s="1266"/>
      <c r="P158" s="1333"/>
      <c r="R158" s="1276"/>
      <c r="S158" s="1276"/>
      <c r="T158" s="1276"/>
      <c r="U158" s="1276"/>
      <c r="V158" s="1276"/>
      <c r="W158" s="1276"/>
      <c r="X158" s="1276"/>
      <c r="Y158" s="1276"/>
    </row>
    <row r="159" spans="1:25">
      <c r="A159" s="2521"/>
      <c r="B159" s="2522"/>
      <c r="C159" s="2522"/>
      <c r="D159" s="2522"/>
      <c r="E159" s="1275"/>
      <c r="I159" s="1266"/>
      <c r="J159" s="1266"/>
      <c r="K159" s="1266"/>
      <c r="L159" s="1266"/>
      <c r="M159" s="1266"/>
      <c r="N159" s="1266"/>
      <c r="O159" s="1266"/>
      <c r="P159" s="1333"/>
      <c r="R159" s="1276"/>
      <c r="S159" s="1276"/>
      <c r="T159" s="1276"/>
      <c r="U159" s="1276"/>
      <c r="V159" s="1276"/>
      <c r="W159" s="1276"/>
      <c r="X159" s="1276"/>
      <c r="Y159" s="1276"/>
    </row>
    <row r="160" spans="1:25">
      <c r="A160" s="2521"/>
      <c r="B160" s="2522"/>
      <c r="C160" s="2522"/>
      <c r="D160" s="2522"/>
      <c r="E160" s="1275"/>
      <c r="I160" s="1266"/>
      <c r="J160" s="1266"/>
      <c r="K160" s="1266"/>
      <c r="L160" s="1266"/>
      <c r="M160" s="1266"/>
      <c r="N160" s="1266"/>
      <c r="O160" s="1266"/>
      <c r="P160" s="1333"/>
      <c r="R160" s="1276"/>
      <c r="S160" s="1276"/>
      <c r="T160" s="1276"/>
      <c r="U160" s="1276"/>
      <c r="V160" s="1276"/>
      <c r="W160" s="1276"/>
      <c r="X160" s="1276"/>
      <c r="Y160" s="1276"/>
    </row>
    <row r="161" spans="1:25">
      <c r="A161" s="2521"/>
      <c r="B161" s="2522"/>
      <c r="C161" s="2522"/>
      <c r="D161" s="2522"/>
      <c r="E161" s="1275"/>
      <c r="I161" s="1266"/>
      <c r="J161" s="1266"/>
      <c r="K161" s="1266"/>
      <c r="L161" s="1266"/>
      <c r="M161" s="1266"/>
      <c r="N161" s="1266"/>
      <c r="O161" s="1266"/>
      <c r="P161" s="1333"/>
      <c r="R161" s="1276"/>
      <c r="S161" s="1276"/>
      <c r="T161" s="1276"/>
      <c r="U161" s="1276"/>
      <c r="V161" s="1276"/>
      <c r="W161" s="1276"/>
      <c r="X161" s="1276"/>
      <c r="Y161" s="1276"/>
    </row>
    <row r="162" spans="1:25">
      <c r="A162" s="2521"/>
      <c r="B162" s="2522"/>
      <c r="C162" s="2522"/>
      <c r="D162" s="2522"/>
      <c r="E162" s="1275"/>
      <c r="I162" s="1266"/>
      <c r="J162" s="1266"/>
      <c r="K162" s="1266"/>
      <c r="L162" s="1266"/>
      <c r="M162" s="1266"/>
      <c r="N162" s="1266"/>
      <c r="O162" s="1266"/>
      <c r="P162" s="1333"/>
      <c r="R162" s="1276"/>
      <c r="S162" s="1276"/>
      <c r="T162" s="1276"/>
      <c r="U162" s="1276"/>
      <c r="V162" s="1276"/>
      <c r="W162" s="1276"/>
      <c r="X162" s="1276"/>
      <c r="Y162" s="1276"/>
    </row>
    <row r="163" spans="1:25">
      <c r="A163" s="2521"/>
      <c r="B163" s="2522"/>
      <c r="C163" s="2522"/>
      <c r="D163" s="2522"/>
      <c r="E163" s="1275"/>
      <c r="I163" s="1266"/>
      <c r="J163" s="1266"/>
      <c r="K163" s="1266"/>
      <c r="L163" s="1266"/>
      <c r="M163" s="1266"/>
      <c r="N163" s="1266"/>
      <c r="O163" s="1266"/>
      <c r="P163" s="1333"/>
      <c r="R163" s="1276"/>
      <c r="S163" s="1276"/>
      <c r="T163" s="1276"/>
      <c r="U163" s="1276"/>
      <c r="V163" s="1276"/>
      <c r="W163" s="1276"/>
      <c r="X163" s="1276"/>
      <c r="Y163" s="1276"/>
    </row>
    <row r="164" spans="1:25">
      <c r="A164" s="2521"/>
      <c r="B164" s="2522"/>
      <c r="C164" s="2522"/>
      <c r="D164" s="2522"/>
      <c r="E164" s="1275"/>
      <c r="I164" s="1266"/>
      <c r="J164" s="1266"/>
      <c r="K164" s="1266"/>
      <c r="L164" s="1266"/>
      <c r="M164" s="1266"/>
      <c r="N164" s="1266"/>
      <c r="O164" s="1266"/>
      <c r="P164" s="1333"/>
      <c r="R164" s="1276"/>
      <c r="S164" s="1276"/>
      <c r="T164" s="1276"/>
      <c r="U164" s="1276"/>
      <c r="V164" s="1276"/>
      <c r="W164" s="1276"/>
      <c r="X164" s="1276"/>
      <c r="Y164" s="1276"/>
    </row>
    <row r="165" spans="1:25">
      <c r="A165" s="2521"/>
      <c r="B165" s="2522"/>
      <c r="C165" s="2522"/>
      <c r="D165" s="2522"/>
      <c r="E165" s="1275"/>
      <c r="I165" s="1266"/>
      <c r="J165" s="1266"/>
      <c r="K165" s="1266"/>
      <c r="L165" s="1266"/>
      <c r="M165" s="1266"/>
      <c r="N165" s="1266"/>
      <c r="O165" s="1266"/>
      <c r="P165" s="1333"/>
      <c r="R165" s="1276"/>
      <c r="S165" s="1276"/>
      <c r="T165" s="1276"/>
      <c r="U165" s="1276"/>
      <c r="V165" s="1276"/>
      <c r="W165" s="1276"/>
      <c r="X165" s="1276"/>
      <c r="Y165" s="1276"/>
    </row>
    <row r="166" spans="1:25">
      <c r="A166" s="2521"/>
      <c r="B166" s="2522"/>
      <c r="C166" s="2522"/>
      <c r="D166" s="2522"/>
      <c r="E166" s="1275"/>
      <c r="I166" s="1266"/>
      <c r="J166" s="1266"/>
      <c r="K166" s="1266"/>
      <c r="L166" s="1266"/>
      <c r="M166" s="1266"/>
      <c r="N166" s="1266"/>
      <c r="O166" s="1266"/>
      <c r="P166" s="1333"/>
      <c r="R166" s="1276"/>
      <c r="S166" s="1276"/>
      <c r="T166" s="1276"/>
      <c r="U166" s="1276"/>
      <c r="V166" s="1276"/>
      <c r="W166" s="1276"/>
      <c r="X166" s="1276"/>
      <c r="Y166" s="1276"/>
    </row>
    <row r="167" spans="1:25">
      <c r="A167" s="2521"/>
      <c r="B167" s="2522"/>
      <c r="C167" s="2522"/>
      <c r="D167" s="2522"/>
      <c r="E167" s="1275"/>
      <c r="I167" s="1266"/>
      <c r="J167" s="1266"/>
      <c r="K167" s="1266"/>
      <c r="L167" s="1266"/>
      <c r="M167" s="1266"/>
      <c r="N167" s="1266"/>
      <c r="O167" s="1266"/>
      <c r="P167" s="1333"/>
      <c r="R167" s="1276"/>
      <c r="S167" s="1276"/>
      <c r="T167" s="1276"/>
      <c r="U167" s="1276"/>
      <c r="V167" s="1276"/>
      <c r="W167" s="1276"/>
      <c r="X167" s="1276"/>
      <c r="Y167" s="1276"/>
    </row>
    <row r="168" spans="1:25">
      <c r="A168" s="2521"/>
      <c r="B168" s="2522"/>
      <c r="C168" s="2522"/>
      <c r="D168" s="2522"/>
      <c r="E168" s="1275"/>
      <c r="I168" s="1266"/>
      <c r="J168" s="1266"/>
      <c r="K168" s="1266"/>
      <c r="L168" s="1266"/>
      <c r="M168" s="1266"/>
      <c r="N168" s="1266"/>
      <c r="O168" s="1266"/>
      <c r="P168" s="1333"/>
      <c r="R168" s="1276"/>
      <c r="S168" s="1276"/>
      <c r="T168" s="1276"/>
      <c r="U168" s="1276"/>
      <c r="V168" s="1276"/>
      <c r="W168" s="1276"/>
      <c r="X168" s="1276"/>
      <c r="Y168" s="1276"/>
    </row>
    <row r="169" spans="1:25">
      <c r="A169" s="2521"/>
      <c r="B169" s="2522"/>
      <c r="C169" s="2522"/>
      <c r="D169" s="2522"/>
      <c r="E169" s="1275"/>
      <c r="I169" s="1266"/>
      <c r="J169" s="1266"/>
      <c r="K169" s="1266"/>
      <c r="L169" s="1266"/>
      <c r="M169" s="1266"/>
      <c r="N169" s="1266"/>
      <c r="O169" s="1266"/>
      <c r="P169" s="1333"/>
      <c r="R169" s="1276"/>
      <c r="S169" s="1276"/>
      <c r="T169" s="1276"/>
      <c r="U169" s="1276"/>
      <c r="V169" s="1276"/>
      <c r="W169" s="1276"/>
      <c r="X169" s="1276"/>
      <c r="Y169" s="1276"/>
    </row>
    <row r="170" spans="1:25">
      <c r="A170" s="2521"/>
      <c r="B170" s="2522"/>
      <c r="C170" s="2522"/>
      <c r="D170" s="2522"/>
      <c r="E170" s="1275"/>
      <c r="I170" s="1266"/>
      <c r="J170" s="1266"/>
      <c r="K170" s="1266"/>
      <c r="L170" s="1266"/>
      <c r="M170" s="1266"/>
      <c r="N170" s="1266"/>
      <c r="O170" s="1266"/>
      <c r="P170" s="1333"/>
      <c r="R170" s="1276"/>
      <c r="S170" s="1276"/>
      <c r="T170" s="1276"/>
      <c r="U170" s="1276"/>
      <c r="V170" s="1276"/>
      <c r="W170" s="1276"/>
      <c r="X170" s="1276"/>
      <c r="Y170" s="1276"/>
    </row>
    <row r="171" spans="1:25">
      <c r="A171" s="2521"/>
      <c r="B171" s="2522"/>
      <c r="C171" s="2522"/>
      <c r="D171" s="2522"/>
      <c r="E171" s="1275"/>
      <c r="I171" s="1266"/>
      <c r="J171" s="1266"/>
      <c r="K171" s="1266"/>
      <c r="L171" s="1266"/>
      <c r="M171" s="1266"/>
      <c r="N171" s="1266"/>
      <c r="O171" s="1266"/>
      <c r="P171" s="1333"/>
      <c r="R171" s="1276"/>
      <c r="S171" s="1276"/>
      <c r="T171" s="1276"/>
      <c r="U171" s="1276"/>
      <c r="V171" s="1276"/>
      <c r="W171" s="1276"/>
      <c r="X171" s="1276"/>
      <c r="Y171" s="1276"/>
    </row>
    <row r="172" spans="1:25">
      <c r="A172" s="2521"/>
      <c r="B172" s="2522"/>
      <c r="C172" s="2522"/>
      <c r="D172" s="2522"/>
      <c r="E172" s="1275"/>
      <c r="I172" s="1266"/>
      <c r="J172" s="1266"/>
      <c r="K172" s="1266"/>
      <c r="L172" s="1266"/>
      <c r="M172" s="1266"/>
      <c r="N172" s="1266"/>
      <c r="O172" s="1266"/>
      <c r="P172" s="1333"/>
      <c r="R172" s="1276"/>
      <c r="S172" s="1276"/>
      <c r="T172" s="1276"/>
      <c r="U172" s="1276"/>
      <c r="V172" s="1276"/>
      <c r="W172" s="1276"/>
      <c r="X172" s="1276"/>
      <c r="Y172" s="1276"/>
    </row>
    <row r="173" spans="1:25">
      <c r="A173" s="2521"/>
      <c r="B173" s="2522"/>
      <c r="C173" s="2522"/>
      <c r="D173" s="2522"/>
      <c r="E173" s="1275"/>
      <c r="I173" s="1266"/>
      <c r="J173" s="1266"/>
      <c r="K173" s="1266"/>
      <c r="L173" s="1266"/>
      <c r="M173" s="1266"/>
      <c r="N173" s="1266"/>
      <c r="O173" s="1266"/>
      <c r="P173" s="1333"/>
      <c r="R173" s="1276"/>
      <c r="S173" s="1276"/>
      <c r="T173" s="1276"/>
      <c r="U173" s="1276"/>
      <c r="V173" s="1276"/>
      <c r="W173" s="1276"/>
      <c r="X173" s="1276"/>
      <c r="Y173" s="1276"/>
    </row>
    <row r="174" spans="1:25">
      <c r="A174" s="2521"/>
      <c r="B174" s="2522"/>
      <c r="C174" s="2522"/>
      <c r="D174" s="2522"/>
      <c r="E174" s="1275"/>
      <c r="I174" s="1266"/>
      <c r="J174" s="1266"/>
      <c r="K174" s="1266"/>
      <c r="L174" s="1266"/>
      <c r="M174" s="1266"/>
      <c r="N174" s="1266"/>
      <c r="O174" s="1266"/>
      <c r="P174" s="1333"/>
      <c r="R174" s="1276"/>
      <c r="S174" s="1276"/>
      <c r="T174" s="1276"/>
      <c r="U174" s="1276"/>
      <c r="V174" s="1276"/>
      <c r="W174" s="1276"/>
      <c r="X174" s="1276"/>
      <c r="Y174" s="1276"/>
    </row>
    <row r="175" spans="1:25">
      <c r="A175" s="2522"/>
      <c r="B175" s="2522"/>
      <c r="C175" s="2522"/>
      <c r="D175" s="2522"/>
      <c r="E175" s="1275"/>
      <c r="I175" s="1266"/>
      <c r="J175" s="1266"/>
      <c r="K175" s="1266"/>
      <c r="L175" s="1266"/>
      <c r="M175" s="1266"/>
      <c r="N175" s="1266"/>
      <c r="O175" s="1266"/>
      <c r="P175" s="1333"/>
      <c r="R175" s="1276"/>
      <c r="S175" s="1276"/>
      <c r="T175" s="1276"/>
      <c r="U175" s="1276"/>
      <c r="V175" s="1276"/>
      <c r="W175" s="1276"/>
      <c r="X175" s="1276"/>
      <c r="Y175" s="1276"/>
    </row>
    <row r="176" spans="1:25">
      <c r="A176" s="2522"/>
      <c r="B176" s="2522"/>
      <c r="C176" s="2522"/>
      <c r="D176" s="2522"/>
      <c r="E176" s="1275"/>
      <c r="I176" s="1266"/>
      <c r="J176" s="1266"/>
      <c r="K176" s="1266"/>
      <c r="L176" s="1266"/>
      <c r="M176" s="1266"/>
      <c r="N176" s="1266"/>
      <c r="O176" s="1266"/>
      <c r="P176" s="1333"/>
      <c r="R176" s="1276"/>
      <c r="S176" s="1276"/>
      <c r="T176" s="1276"/>
      <c r="U176" s="1276"/>
      <c r="V176" s="1276"/>
      <c r="W176" s="1276"/>
      <c r="X176" s="1276"/>
      <c r="Y176" s="1276"/>
    </row>
    <row r="177" spans="1:25">
      <c r="A177" s="2522"/>
      <c r="B177" s="2522"/>
      <c r="C177" s="2522"/>
      <c r="D177" s="2522"/>
      <c r="E177" s="1275"/>
      <c r="I177" s="1266"/>
      <c r="J177" s="1266"/>
      <c r="K177" s="1266"/>
      <c r="L177" s="1266"/>
      <c r="M177" s="1266"/>
      <c r="N177" s="1266"/>
      <c r="O177" s="1266"/>
      <c r="P177" s="1333"/>
      <c r="R177" s="1276"/>
      <c r="S177" s="1276"/>
      <c r="T177" s="1276"/>
      <c r="U177" s="1276"/>
      <c r="V177" s="1276"/>
      <c r="W177" s="1276"/>
      <c r="X177" s="1276"/>
      <c r="Y177" s="1276"/>
    </row>
    <row r="178" spans="1:25">
      <c r="A178" s="2522"/>
      <c r="B178" s="2522"/>
      <c r="C178" s="2522"/>
      <c r="D178" s="2522"/>
      <c r="E178" s="1275"/>
      <c r="I178" s="1266"/>
      <c r="J178" s="1266"/>
      <c r="K178" s="1266"/>
      <c r="L178" s="1266"/>
      <c r="M178" s="1266"/>
      <c r="N178" s="1266"/>
      <c r="O178" s="1266"/>
      <c r="P178" s="1333"/>
      <c r="R178" s="1276"/>
      <c r="S178" s="1276"/>
      <c r="T178" s="1276"/>
      <c r="U178" s="1276"/>
      <c r="V178" s="1276"/>
      <c r="W178" s="1276"/>
      <c r="X178" s="1276"/>
      <c r="Y178" s="1276"/>
    </row>
    <row r="179" spans="1:25">
      <c r="A179" s="2522"/>
      <c r="B179" s="2522"/>
      <c r="C179" s="2522"/>
      <c r="D179" s="2522"/>
      <c r="E179" s="1275"/>
      <c r="I179" s="1266"/>
      <c r="J179" s="1266"/>
      <c r="K179" s="1266"/>
      <c r="L179" s="1266"/>
      <c r="M179" s="1266"/>
      <c r="N179" s="1266"/>
      <c r="O179" s="1266"/>
      <c r="P179" s="1333"/>
      <c r="R179" s="1276"/>
      <c r="S179" s="1276"/>
      <c r="T179" s="1276"/>
      <c r="U179" s="1276"/>
      <c r="V179" s="1276"/>
      <c r="W179" s="1276"/>
      <c r="X179" s="1276"/>
      <c r="Y179" s="1276"/>
    </row>
    <row r="180" spans="1:25">
      <c r="A180" s="2522"/>
      <c r="B180" s="2522"/>
      <c r="C180" s="2522"/>
      <c r="D180" s="2522"/>
      <c r="E180" s="1275"/>
      <c r="I180" s="1266"/>
      <c r="J180" s="1266"/>
      <c r="K180" s="1266"/>
      <c r="L180" s="1266"/>
      <c r="M180" s="1266"/>
      <c r="N180" s="1266"/>
      <c r="O180" s="1266"/>
      <c r="P180" s="1333"/>
      <c r="R180" s="1276"/>
      <c r="S180" s="1276"/>
      <c r="T180" s="1276"/>
      <c r="U180" s="1276"/>
      <c r="V180" s="1276"/>
      <c r="W180" s="1276"/>
      <c r="X180" s="1276"/>
      <c r="Y180" s="1276"/>
    </row>
    <row r="181" spans="1:25">
      <c r="A181" s="2522"/>
      <c r="B181" s="2522"/>
      <c r="C181" s="2522"/>
      <c r="D181" s="2522"/>
      <c r="E181" s="1275"/>
      <c r="I181" s="1266"/>
      <c r="J181" s="1266"/>
      <c r="K181" s="1266"/>
      <c r="L181" s="1266"/>
      <c r="M181" s="1266"/>
      <c r="N181" s="1266"/>
      <c r="O181" s="1266"/>
      <c r="P181" s="1333"/>
      <c r="R181" s="1276"/>
      <c r="S181" s="1276"/>
      <c r="T181" s="1276"/>
      <c r="U181" s="1276"/>
      <c r="V181" s="1276"/>
      <c r="W181" s="1276"/>
      <c r="X181" s="1276"/>
      <c r="Y181" s="1276"/>
    </row>
    <row r="182" spans="1:25">
      <c r="A182" s="2522"/>
      <c r="B182" s="2522"/>
      <c r="C182" s="2522"/>
      <c r="D182" s="2522"/>
      <c r="E182" s="1275"/>
      <c r="I182" s="1266"/>
      <c r="J182" s="1266"/>
      <c r="K182" s="1266"/>
      <c r="L182" s="1266"/>
      <c r="M182" s="1266"/>
      <c r="N182" s="1266"/>
      <c r="O182" s="1266"/>
      <c r="P182" s="1333"/>
      <c r="R182" s="1276"/>
      <c r="S182" s="1276"/>
      <c r="T182" s="1276"/>
      <c r="U182" s="1276"/>
      <c r="V182" s="1276"/>
      <c r="W182" s="1276"/>
      <c r="X182" s="1276"/>
      <c r="Y182" s="1276"/>
    </row>
    <row r="183" spans="1:25">
      <c r="A183" s="2522"/>
      <c r="B183" s="2522"/>
      <c r="C183" s="2522"/>
      <c r="D183" s="2522"/>
      <c r="E183" s="1275"/>
      <c r="I183" s="1266"/>
      <c r="J183" s="1266"/>
      <c r="K183" s="1266"/>
      <c r="L183" s="1266"/>
      <c r="M183" s="1266"/>
      <c r="N183" s="1266"/>
      <c r="O183" s="1266"/>
      <c r="P183" s="1333"/>
      <c r="R183" s="1276"/>
      <c r="S183" s="1276"/>
      <c r="T183" s="1276"/>
      <c r="U183" s="1276"/>
      <c r="V183" s="1276"/>
      <c r="W183" s="1276"/>
      <c r="X183" s="1276"/>
      <c r="Y183" s="1276"/>
    </row>
    <row r="184" spans="1:25">
      <c r="A184" s="2522"/>
      <c r="B184" s="2522"/>
      <c r="C184" s="2522"/>
      <c r="D184" s="2522"/>
      <c r="E184" s="1275"/>
      <c r="I184" s="1266"/>
      <c r="J184" s="1266"/>
      <c r="K184" s="1266"/>
      <c r="L184" s="1266"/>
      <c r="M184" s="1266"/>
      <c r="N184" s="1266"/>
      <c r="O184" s="1266"/>
      <c r="P184" s="1333"/>
      <c r="R184" s="1276"/>
      <c r="S184" s="1276"/>
      <c r="T184" s="1276"/>
      <c r="U184" s="1276"/>
      <c r="V184" s="1276"/>
      <c r="W184" s="1276"/>
      <c r="X184" s="1276"/>
      <c r="Y184" s="1276"/>
    </row>
    <row r="185" spans="1:25">
      <c r="A185" s="2522"/>
      <c r="B185" s="2522"/>
      <c r="C185" s="2522"/>
      <c r="D185" s="2522"/>
      <c r="E185" s="1275"/>
      <c r="I185" s="1266"/>
      <c r="J185" s="1266"/>
      <c r="K185" s="1266"/>
      <c r="L185" s="1266"/>
      <c r="M185" s="1266"/>
      <c r="N185" s="1266"/>
      <c r="O185" s="1266"/>
      <c r="P185" s="1333"/>
      <c r="R185" s="1276"/>
      <c r="S185" s="1276"/>
      <c r="T185" s="1276"/>
      <c r="U185" s="1276"/>
      <c r="V185" s="1276"/>
      <c r="W185" s="1276"/>
      <c r="X185" s="1276"/>
      <c r="Y185" s="1276"/>
    </row>
    <row r="186" spans="1:25">
      <c r="A186" s="2522"/>
      <c r="B186" s="2522"/>
      <c r="C186" s="2522"/>
      <c r="D186" s="2522"/>
      <c r="E186" s="1275"/>
      <c r="I186" s="1266"/>
      <c r="J186" s="1266"/>
      <c r="K186" s="1266"/>
      <c r="L186" s="1266"/>
      <c r="M186" s="1266"/>
      <c r="N186" s="1266"/>
      <c r="O186" s="1266"/>
      <c r="P186" s="1333"/>
      <c r="R186" s="1276"/>
      <c r="S186" s="1276"/>
      <c r="T186" s="1276"/>
      <c r="U186" s="1276"/>
      <c r="V186" s="1276"/>
      <c r="W186" s="1276"/>
      <c r="X186" s="1276"/>
      <c r="Y186" s="1276"/>
    </row>
    <row r="187" spans="1:25">
      <c r="A187" s="2522"/>
      <c r="B187" s="2522"/>
      <c r="C187" s="2522"/>
      <c r="D187" s="2522"/>
      <c r="E187" s="1275"/>
      <c r="I187" s="1266"/>
      <c r="J187" s="1266"/>
      <c r="K187" s="1266"/>
      <c r="L187" s="1266"/>
      <c r="M187" s="1266"/>
      <c r="N187" s="1266"/>
      <c r="O187" s="1266"/>
      <c r="P187" s="1333"/>
      <c r="R187" s="1276"/>
      <c r="S187" s="1276"/>
      <c r="T187" s="1276"/>
      <c r="U187" s="1276"/>
      <c r="V187" s="1276"/>
      <c r="W187" s="1276"/>
      <c r="X187" s="1276"/>
      <c r="Y187" s="1276"/>
    </row>
    <row r="188" spans="1:25">
      <c r="A188" s="2522"/>
      <c r="B188" s="2522"/>
      <c r="C188" s="2522"/>
      <c r="D188" s="2522"/>
      <c r="E188" s="1275"/>
      <c r="I188" s="1266"/>
      <c r="J188" s="1266"/>
      <c r="K188" s="1266"/>
      <c r="L188" s="1266"/>
      <c r="M188" s="1266"/>
      <c r="N188" s="1266"/>
      <c r="O188" s="1266"/>
      <c r="P188" s="1333"/>
      <c r="R188" s="1276"/>
      <c r="S188" s="1276"/>
      <c r="T188" s="1276"/>
      <c r="U188" s="1276"/>
      <c r="V188" s="1276"/>
      <c r="W188" s="1276"/>
      <c r="X188" s="1276"/>
      <c r="Y188" s="1276"/>
    </row>
    <row r="189" spans="1:25">
      <c r="A189" s="2522"/>
      <c r="B189" s="2522"/>
      <c r="C189" s="2522"/>
      <c r="D189" s="2522"/>
      <c r="E189" s="1275"/>
      <c r="I189" s="1266"/>
      <c r="J189" s="1266"/>
      <c r="K189" s="1266"/>
      <c r="L189" s="1266"/>
      <c r="M189" s="1266"/>
      <c r="N189" s="1266"/>
      <c r="O189" s="1266"/>
      <c r="P189" s="1333"/>
      <c r="R189" s="1276"/>
      <c r="S189" s="1276"/>
      <c r="T189" s="1276"/>
      <c r="U189" s="1276"/>
      <c r="V189" s="1276"/>
      <c r="W189" s="1276"/>
      <c r="X189" s="1276"/>
      <c r="Y189" s="1276"/>
    </row>
    <row r="190" spans="1:25">
      <c r="A190" s="2522"/>
      <c r="B190" s="2522"/>
      <c r="C190" s="2522"/>
      <c r="D190" s="2522"/>
      <c r="E190" s="1275"/>
      <c r="I190" s="1266"/>
      <c r="J190" s="1266"/>
      <c r="K190" s="1266"/>
      <c r="L190" s="1266"/>
      <c r="M190" s="1266"/>
      <c r="N190" s="1266"/>
      <c r="O190" s="1266"/>
      <c r="P190" s="1333"/>
      <c r="R190" s="1276"/>
      <c r="S190" s="1276"/>
      <c r="T190" s="1276"/>
      <c r="U190" s="1276"/>
      <c r="V190" s="1276"/>
      <c r="W190" s="1276"/>
      <c r="X190" s="1276"/>
      <c r="Y190" s="1276"/>
    </row>
    <row r="191" spans="1:25">
      <c r="A191" s="2522"/>
      <c r="B191" s="2522"/>
      <c r="C191" s="2522"/>
      <c r="D191" s="2522"/>
      <c r="E191" s="1275"/>
      <c r="I191" s="1266"/>
      <c r="J191" s="1266"/>
      <c r="K191" s="1266"/>
      <c r="L191" s="1266"/>
      <c r="M191" s="1266"/>
      <c r="N191" s="1266"/>
      <c r="O191" s="1266"/>
      <c r="P191" s="1333"/>
      <c r="R191" s="1276"/>
      <c r="S191" s="1276"/>
      <c r="T191" s="1276"/>
      <c r="U191" s="1276"/>
      <c r="V191" s="1276"/>
      <c r="W191" s="1276"/>
      <c r="X191" s="1276"/>
      <c r="Y191" s="1276"/>
    </row>
    <row r="192" spans="1:25">
      <c r="A192" s="2522"/>
      <c r="B192" s="2522"/>
      <c r="C192" s="2522"/>
      <c r="D192" s="2522"/>
      <c r="E192" s="1275"/>
      <c r="I192" s="1266"/>
      <c r="J192" s="1266"/>
      <c r="K192" s="1266"/>
      <c r="L192" s="1266"/>
      <c r="M192" s="1266"/>
      <c r="N192" s="1266"/>
      <c r="O192" s="1266"/>
      <c r="P192" s="1333"/>
      <c r="R192" s="1276"/>
      <c r="S192" s="1276"/>
      <c r="T192" s="1276"/>
      <c r="U192" s="1276"/>
      <c r="V192" s="1276"/>
      <c r="W192" s="1276"/>
      <c r="X192" s="1276"/>
      <c r="Y192" s="1276"/>
    </row>
    <row r="193" spans="1:25">
      <c r="A193" s="2522"/>
      <c r="B193" s="2522"/>
      <c r="C193" s="2522"/>
      <c r="D193" s="2522"/>
      <c r="E193" s="1275"/>
      <c r="I193" s="1266"/>
      <c r="J193" s="1266"/>
      <c r="K193" s="1266"/>
      <c r="L193" s="1266"/>
      <c r="M193" s="1266"/>
      <c r="N193" s="1266"/>
      <c r="O193" s="1266"/>
      <c r="P193" s="1333"/>
      <c r="R193" s="1276"/>
      <c r="S193" s="1276"/>
      <c r="T193" s="1276"/>
      <c r="U193" s="1276"/>
      <c r="V193" s="1276"/>
      <c r="W193" s="1276"/>
      <c r="X193" s="1276"/>
      <c r="Y193" s="1276"/>
    </row>
    <row r="194" spans="1:25">
      <c r="A194" s="2522"/>
      <c r="B194" s="2522"/>
      <c r="C194" s="2522"/>
      <c r="D194" s="2522"/>
      <c r="E194" s="1275"/>
      <c r="I194" s="1266"/>
      <c r="J194" s="1266"/>
      <c r="K194" s="1266"/>
      <c r="L194" s="1266"/>
      <c r="M194" s="1266"/>
      <c r="N194" s="1266"/>
      <c r="O194" s="1266"/>
      <c r="P194" s="1333"/>
      <c r="R194" s="1276"/>
      <c r="S194" s="1276"/>
      <c r="T194" s="1276"/>
      <c r="U194" s="1276"/>
      <c r="V194" s="1276"/>
      <c r="W194" s="1276"/>
      <c r="X194" s="1276"/>
      <c r="Y194" s="1276"/>
    </row>
    <row r="195" spans="1:25">
      <c r="A195" s="2522"/>
      <c r="B195" s="2522"/>
      <c r="C195" s="2522"/>
      <c r="D195" s="2522"/>
      <c r="E195" s="1275"/>
      <c r="I195" s="1266"/>
      <c r="J195" s="1266"/>
      <c r="K195" s="1266"/>
      <c r="L195" s="1266"/>
      <c r="M195" s="1266"/>
      <c r="N195" s="1266"/>
      <c r="O195" s="1266"/>
      <c r="P195" s="1333"/>
      <c r="R195" s="1276"/>
      <c r="S195" s="1276"/>
      <c r="T195" s="1276"/>
      <c r="U195" s="1276"/>
      <c r="V195" s="1276"/>
      <c r="W195" s="1276"/>
      <c r="X195" s="1276"/>
      <c r="Y195" s="1276"/>
    </row>
    <row r="196" spans="1:25">
      <c r="A196" s="2522"/>
      <c r="B196" s="2522"/>
      <c r="C196" s="2522"/>
      <c r="D196" s="2522"/>
      <c r="E196" s="1275"/>
      <c r="I196" s="1266"/>
      <c r="J196" s="1266"/>
      <c r="K196" s="1266"/>
      <c r="L196" s="1266"/>
      <c r="M196" s="1266"/>
      <c r="N196" s="1266"/>
      <c r="O196" s="1266"/>
      <c r="P196" s="1333"/>
      <c r="R196" s="1276"/>
      <c r="S196" s="1276"/>
      <c r="T196" s="1276"/>
      <c r="U196" s="1276"/>
      <c r="V196" s="1276"/>
      <c r="W196" s="1276"/>
      <c r="X196" s="1276"/>
      <c r="Y196" s="1276"/>
    </row>
    <row r="197" spans="1:25">
      <c r="A197" s="2522"/>
      <c r="B197" s="2522"/>
      <c r="C197" s="2522"/>
      <c r="D197" s="2522"/>
      <c r="E197" s="1275"/>
      <c r="I197" s="1266"/>
      <c r="J197" s="1266"/>
      <c r="K197" s="1266"/>
      <c r="L197" s="1266"/>
      <c r="M197" s="1266"/>
      <c r="N197" s="1266"/>
      <c r="O197" s="1266"/>
      <c r="P197" s="1333"/>
      <c r="R197" s="1276"/>
      <c r="S197" s="1276"/>
      <c r="T197" s="1276"/>
      <c r="U197" s="1276"/>
      <c r="V197" s="1276"/>
      <c r="W197" s="1276"/>
      <c r="X197" s="1276"/>
      <c r="Y197" s="1276"/>
    </row>
    <row r="198" spans="1:25">
      <c r="A198" s="2522"/>
      <c r="B198" s="2522"/>
      <c r="C198" s="2522"/>
      <c r="D198" s="2522"/>
      <c r="E198" s="1275"/>
      <c r="I198" s="1266"/>
      <c r="J198" s="1266"/>
      <c r="K198" s="1266"/>
      <c r="L198" s="1266"/>
      <c r="M198" s="1266"/>
      <c r="N198" s="1266"/>
      <c r="O198" s="1266"/>
      <c r="P198" s="1333"/>
      <c r="R198" s="1276"/>
      <c r="S198" s="1276"/>
      <c r="T198" s="1276"/>
      <c r="U198" s="1276"/>
      <c r="V198" s="1276"/>
      <c r="W198" s="1276"/>
      <c r="X198" s="1276"/>
      <c r="Y198" s="1276"/>
    </row>
    <row r="199" spans="1:25">
      <c r="A199" s="2522"/>
      <c r="B199" s="2522"/>
      <c r="C199" s="2522"/>
      <c r="D199" s="2522"/>
      <c r="E199" s="1275"/>
      <c r="I199" s="1266"/>
      <c r="J199" s="1266"/>
      <c r="K199" s="1266"/>
      <c r="L199" s="1266"/>
      <c r="M199" s="1266"/>
      <c r="N199" s="1266"/>
      <c r="O199" s="1266"/>
      <c r="P199" s="1333"/>
      <c r="R199" s="1276"/>
      <c r="S199" s="1276"/>
      <c r="T199" s="1276"/>
      <c r="U199" s="1276"/>
      <c r="V199" s="1276"/>
      <c r="W199" s="1276"/>
      <c r="X199" s="1276"/>
      <c r="Y199" s="1276"/>
    </row>
    <row r="200" spans="1:25">
      <c r="A200" s="2522"/>
      <c r="B200" s="2522"/>
      <c r="C200" s="2522"/>
      <c r="D200" s="2522"/>
      <c r="E200" s="1275"/>
      <c r="I200" s="1266"/>
      <c r="J200" s="1266"/>
      <c r="K200" s="1266"/>
      <c r="L200" s="1266"/>
      <c r="M200" s="1266"/>
      <c r="N200" s="1266"/>
      <c r="O200" s="1266"/>
      <c r="P200" s="1333"/>
      <c r="R200" s="1276"/>
      <c r="S200" s="1276"/>
      <c r="T200" s="1276"/>
      <c r="U200" s="1276"/>
      <c r="V200" s="1276"/>
      <c r="W200" s="1276"/>
      <c r="X200" s="1276"/>
      <c r="Y200" s="1276"/>
    </row>
    <row r="201" spans="1:25">
      <c r="A201" s="2522"/>
      <c r="B201" s="2522"/>
      <c r="C201" s="2522"/>
      <c r="D201" s="2522"/>
      <c r="E201" s="1275"/>
      <c r="I201" s="1266"/>
      <c r="J201" s="1266"/>
      <c r="K201" s="1266"/>
      <c r="L201" s="1266"/>
      <c r="M201" s="1266"/>
      <c r="N201" s="1266"/>
      <c r="O201" s="1266"/>
      <c r="P201" s="1333"/>
      <c r="R201" s="1276"/>
      <c r="S201" s="1276"/>
      <c r="T201" s="1276"/>
      <c r="U201" s="1276"/>
      <c r="V201" s="1276"/>
      <c r="W201" s="1276"/>
      <c r="X201" s="1276"/>
      <c r="Y201" s="1276"/>
    </row>
    <row r="202" spans="1:25">
      <c r="A202" s="2522"/>
      <c r="B202" s="2522"/>
      <c r="C202" s="2522"/>
      <c r="D202" s="2522"/>
      <c r="E202" s="1275"/>
      <c r="I202" s="1266"/>
      <c r="J202" s="1266"/>
      <c r="K202" s="1266"/>
      <c r="L202" s="1266"/>
      <c r="M202" s="1266"/>
      <c r="N202" s="1266"/>
      <c r="O202" s="1266"/>
      <c r="P202" s="1333"/>
      <c r="R202" s="1276"/>
      <c r="S202" s="1276"/>
      <c r="T202" s="1276"/>
      <c r="U202" s="1276"/>
      <c r="V202" s="1276"/>
      <c r="W202" s="1276"/>
      <c r="X202" s="1276"/>
      <c r="Y202" s="1276"/>
    </row>
    <row r="203" spans="1:25">
      <c r="A203" s="2522"/>
      <c r="B203" s="2522"/>
      <c r="C203" s="2522"/>
      <c r="D203" s="2522"/>
      <c r="E203" s="1275"/>
      <c r="I203" s="1266"/>
      <c r="J203" s="1266"/>
      <c r="K203" s="1266"/>
      <c r="L203" s="1266"/>
      <c r="M203" s="1266"/>
      <c r="N203" s="1266"/>
      <c r="O203" s="1266"/>
      <c r="P203" s="1333"/>
      <c r="R203" s="1276"/>
      <c r="S203" s="1276"/>
      <c r="T203" s="1276"/>
      <c r="U203" s="1276"/>
      <c r="V203" s="1276"/>
      <c r="W203" s="1276"/>
      <c r="X203" s="1276"/>
      <c r="Y203" s="1276"/>
    </row>
    <row r="204" spans="1:25">
      <c r="A204" s="2522"/>
      <c r="B204" s="2522"/>
      <c r="C204" s="2522"/>
      <c r="D204" s="2522"/>
      <c r="E204" s="1275"/>
      <c r="I204" s="1266"/>
      <c r="J204" s="1266"/>
      <c r="K204" s="1266"/>
      <c r="L204" s="1266"/>
      <c r="M204" s="1266"/>
      <c r="N204" s="1266"/>
      <c r="O204" s="1266"/>
      <c r="P204" s="1333"/>
      <c r="R204" s="1276"/>
      <c r="S204" s="1276"/>
      <c r="T204" s="1276"/>
      <c r="U204" s="1276"/>
      <c r="V204" s="1276"/>
      <c r="W204" s="1276"/>
      <c r="X204" s="1276"/>
      <c r="Y204" s="1276"/>
    </row>
    <row r="205" spans="1:25">
      <c r="A205" s="2522"/>
      <c r="B205" s="2522"/>
      <c r="C205" s="2522"/>
      <c r="D205" s="2522"/>
      <c r="E205" s="1275"/>
      <c r="I205" s="1266"/>
      <c r="J205" s="1266"/>
      <c r="K205" s="1266"/>
      <c r="L205" s="1266"/>
      <c r="M205" s="1266"/>
      <c r="N205" s="1266"/>
      <c r="O205" s="1266"/>
      <c r="P205" s="1333"/>
      <c r="R205" s="1276"/>
      <c r="S205" s="1276"/>
      <c r="T205" s="1276"/>
      <c r="U205" s="1276"/>
      <c r="V205" s="1276"/>
      <c r="W205" s="1276"/>
      <c r="X205" s="1276"/>
      <c r="Y205" s="1276"/>
    </row>
    <row r="206" spans="1:25">
      <c r="A206" s="2522"/>
      <c r="B206" s="2522"/>
      <c r="C206" s="2522"/>
      <c r="D206" s="2522"/>
      <c r="E206" s="1275"/>
      <c r="I206" s="1266"/>
      <c r="J206" s="1266"/>
      <c r="K206" s="1266"/>
      <c r="L206" s="1266"/>
      <c r="M206" s="1266"/>
      <c r="N206" s="1266"/>
      <c r="O206" s="1266"/>
      <c r="P206" s="1333"/>
      <c r="R206" s="1276"/>
      <c r="S206" s="1276"/>
      <c r="T206" s="1276"/>
      <c r="U206" s="1276"/>
      <c r="V206" s="1276"/>
      <c r="W206" s="1276"/>
      <c r="X206" s="1276"/>
      <c r="Y206" s="1276"/>
    </row>
    <row r="207" spans="1:25">
      <c r="A207" s="2522"/>
      <c r="B207" s="2522"/>
      <c r="C207" s="2522"/>
      <c r="D207" s="2522"/>
      <c r="E207" s="1275"/>
      <c r="I207" s="1266"/>
      <c r="J207" s="1266"/>
      <c r="K207" s="1266"/>
      <c r="L207" s="1266"/>
      <c r="M207" s="1266"/>
      <c r="N207" s="1266"/>
      <c r="O207" s="1266"/>
      <c r="P207" s="1333"/>
      <c r="R207" s="1276"/>
      <c r="S207" s="1276"/>
      <c r="T207" s="1276"/>
      <c r="U207" s="1276"/>
      <c r="V207" s="1276"/>
      <c r="W207" s="1276"/>
      <c r="X207" s="1276"/>
      <c r="Y207" s="1276"/>
    </row>
    <row r="208" spans="1:25">
      <c r="A208" s="2522"/>
      <c r="B208" s="2522"/>
      <c r="C208" s="2522"/>
      <c r="D208" s="2522"/>
      <c r="E208" s="1275"/>
      <c r="I208" s="1266"/>
      <c r="J208" s="1266"/>
      <c r="K208" s="1266"/>
      <c r="L208" s="1266"/>
      <c r="M208" s="1266"/>
      <c r="N208" s="1266"/>
      <c r="O208" s="1266"/>
      <c r="P208" s="1333"/>
      <c r="R208" s="1276"/>
      <c r="S208" s="1276"/>
      <c r="T208" s="1276"/>
      <c r="U208" s="1276"/>
      <c r="V208" s="1276"/>
      <c r="W208" s="1276"/>
      <c r="X208" s="1276"/>
      <c r="Y208" s="1276"/>
    </row>
    <row r="209" spans="1:25">
      <c r="A209" s="2522"/>
      <c r="B209" s="2522"/>
      <c r="C209" s="2522"/>
      <c r="D209" s="2522"/>
      <c r="E209" s="1275"/>
      <c r="I209" s="1266"/>
      <c r="J209" s="1266"/>
      <c r="K209" s="1266"/>
      <c r="L209" s="1266"/>
      <c r="M209" s="1266"/>
      <c r="N209" s="1266"/>
      <c r="O209" s="1266"/>
      <c r="P209" s="1333"/>
      <c r="R209" s="1276"/>
      <c r="S209" s="1276"/>
      <c r="T209" s="1276"/>
      <c r="U209" s="1276"/>
      <c r="V209" s="1276"/>
      <c r="W209" s="1276"/>
      <c r="X209" s="1276"/>
      <c r="Y209" s="1276"/>
    </row>
    <row r="210" spans="1:25">
      <c r="A210" s="2522"/>
      <c r="B210" s="2522"/>
      <c r="C210" s="2522"/>
      <c r="D210" s="2522"/>
      <c r="E210" s="1275"/>
      <c r="I210" s="1266"/>
      <c r="J210" s="1266"/>
      <c r="K210" s="1266"/>
      <c r="L210" s="1266"/>
      <c r="M210" s="1266"/>
      <c r="N210" s="1266"/>
      <c r="O210" s="1266"/>
      <c r="P210" s="1333"/>
      <c r="R210" s="1276"/>
      <c r="S210" s="1276"/>
      <c r="T210" s="1276"/>
      <c r="U210" s="1276"/>
      <c r="V210" s="1276"/>
      <c r="W210" s="1276"/>
      <c r="X210" s="1276"/>
      <c r="Y210" s="1276"/>
    </row>
    <row r="211" spans="1:25">
      <c r="A211" s="2522"/>
      <c r="B211" s="2522"/>
      <c r="C211" s="2522"/>
      <c r="D211" s="2522"/>
      <c r="E211" s="1275"/>
      <c r="I211" s="1266"/>
      <c r="J211" s="1266"/>
      <c r="K211" s="1266"/>
      <c r="L211" s="1266"/>
      <c r="M211" s="1266"/>
      <c r="N211" s="1266"/>
      <c r="O211" s="1266"/>
      <c r="P211" s="1333"/>
      <c r="R211" s="1276"/>
      <c r="S211" s="1276"/>
      <c r="T211" s="1276"/>
      <c r="U211" s="1276"/>
      <c r="V211" s="1276"/>
      <c r="W211" s="1276"/>
      <c r="X211" s="1276"/>
      <c r="Y211" s="1276"/>
    </row>
    <row r="212" spans="1:25">
      <c r="A212" s="2522"/>
      <c r="B212" s="2522"/>
      <c r="C212" s="2522"/>
      <c r="D212" s="2522"/>
      <c r="E212" s="1275"/>
      <c r="I212" s="1266"/>
      <c r="J212" s="1266"/>
      <c r="K212" s="1266"/>
      <c r="L212" s="1266"/>
      <c r="M212" s="1266"/>
      <c r="N212" s="1266"/>
      <c r="O212" s="1266"/>
      <c r="P212" s="1333"/>
      <c r="R212" s="1276"/>
      <c r="S212" s="1276"/>
      <c r="T212" s="1276"/>
      <c r="U212" s="1276"/>
      <c r="V212" s="1276"/>
      <c r="W212" s="1276"/>
      <c r="X212" s="1276"/>
      <c r="Y212" s="1276"/>
    </row>
    <row r="213" spans="1:25">
      <c r="A213" s="2522"/>
      <c r="B213" s="2522"/>
      <c r="C213" s="2522"/>
      <c r="D213" s="2522"/>
      <c r="E213" s="1275"/>
      <c r="I213" s="1266"/>
      <c r="J213" s="1266"/>
      <c r="K213" s="1266"/>
      <c r="L213" s="1266"/>
      <c r="M213" s="1266"/>
      <c r="N213" s="1266"/>
      <c r="O213" s="1266"/>
      <c r="P213" s="1333"/>
      <c r="R213" s="1276"/>
      <c r="S213" s="1276"/>
      <c r="T213" s="1276"/>
      <c r="U213" s="1276"/>
      <c r="V213" s="1276"/>
      <c r="W213" s="1276"/>
      <c r="X213" s="1276"/>
      <c r="Y213" s="1276"/>
    </row>
    <row r="214" spans="1:25">
      <c r="A214" s="2522"/>
      <c r="B214" s="2522"/>
      <c r="C214" s="2522"/>
      <c r="D214" s="2522"/>
      <c r="E214" s="1275"/>
      <c r="I214" s="1266"/>
      <c r="J214" s="1266"/>
      <c r="K214" s="1266"/>
      <c r="L214" s="1266"/>
      <c r="M214" s="1266"/>
      <c r="N214" s="1266"/>
      <c r="O214" s="1266"/>
      <c r="P214" s="1333"/>
      <c r="R214" s="1276"/>
      <c r="S214" s="1276"/>
      <c r="T214" s="1276"/>
      <c r="U214" s="1276"/>
      <c r="V214" s="1276"/>
      <c r="W214" s="1276"/>
      <c r="X214" s="1276"/>
      <c r="Y214" s="1276"/>
    </row>
    <row r="215" spans="1:25">
      <c r="A215" s="2522"/>
      <c r="B215" s="2522"/>
      <c r="C215" s="2522"/>
      <c r="D215" s="2522"/>
      <c r="E215" s="1275"/>
      <c r="I215" s="1266"/>
      <c r="J215" s="1266"/>
      <c r="K215" s="1266"/>
      <c r="L215" s="1266"/>
      <c r="M215" s="1266"/>
      <c r="N215" s="1266"/>
      <c r="O215" s="1266"/>
      <c r="P215" s="1333"/>
      <c r="R215" s="1276"/>
      <c r="S215" s="1276"/>
      <c r="T215" s="1276"/>
      <c r="U215" s="1276"/>
      <c r="V215" s="1276"/>
      <c r="W215" s="1276"/>
      <c r="X215" s="1276"/>
      <c r="Y215" s="1276"/>
    </row>
    <row r="216" spans="1:25">
      <c r="A216" s="2522"/>
      <c r="B216" s="2522"/>
      <c r="C216" s="2522"/>
      <c r="D216" s="2522"/>
      <c r="E216" s="1275"/>
      <c r="I216" s="1266"/>
      <c r="J216" s="1266"/>
      <c r="K216" s="1266"/>
      <c r="L216" s="1266"/>
      <c r="M216" s="1266"/>
      <c r="N216" s="1266"/>
      <c r="O216" s="1266"/>
      <c r="P216" s="1333"/>
      <c r="R216" s="1276"/>
      <c r="S216" s="1276"/>
      <c r="T216" s="1276"/>
      <c r="U216" s="1276"/>
      <c r="V216" s="1276"/>
      <c r="W216" s="1276"/>
      <c r="X216" s="1276"/>
      <c r="Y216" s="1276"/>
    </row>
    <row r="217" spans="1:25">
      <c r="A217" s="2522"/>
      <c r="B217" s="2522"/>
      <c r="C217" s="2522"/>
      <c r="D217" s="2522"/>
      <c r="E217" s="1275"/>
      <c r="I217" s="1266"/>
      <c r="J217" s="1266"/>
      <c r="K217" s="1266"/>
      <c r="L217" s="1266"/>
      <c r="M217" s="1266"/>
      <c r="N217" s="1266"/>
      <c r="O217" s="1266"/>
      <c r="P217" s="1333"/>
      <c r="R217" s="1276"/>
      <c r="S217" s="1276"/>
      <c r="T217" s="1276"/>
      <c r="U217" s="1276"/>
      <c r="V217" s="1276"/>
      <c r="W217" s="1276"/>
      <c r="X217" s="1276"/>
      <c r="Y217" s="1276"/>
    </row>
    <row r="218" spans="1:25">
      <c r="A218" s="2522"/>
      <c r="B218" s="2522"/>
      <c r="C218" s="2522"/>
      <c r="D218" s="2522"/>
      <c r="E218" s="1275"/>
      <c r="I218" s="1266"/>
      <c r="J218" s="1266"/>
      <c r="K218" s="1266"/>
      <c r="L218" s="1266"/>
      <c r="M218" s="1266"/>
      <c r="N218" s="1266"/>
      <c r="O218" s="1266"/>
      <c r="P218" s="1333"/>
      <c r="R218" s="1276"/>
      <c r="S218" s="1276"/>
      <c r="T218" s="1276"/>
      <c r="U218" s="1276"/>
      <c r="V218" s="1276"/>
      <c r="W218" s="1276"/>
      <c r="X218" s="1276"/>
      <c r="Y218" s="1276"/>
    </row>
    <row r="219" spans="1:25">
      <c r="A219" s="2522"/>
      <c r="B219" s="2522"/>
      <c r="C219" s="2522"/>
      <c r="D219" s="2522"/>
      <c r="E219" s="1275"/>
      <c r="I219" s="1266"/>
      <c r="J219" s="1266"/>
      <c r="K219" s="1266"/>
      <c r="L219" s="1266"/>
      <c r="M219" s="1266"/>
      <c r="N219" s="1266"/>
      <c r="O219" s="1266"/>
      <c r="P219" s="1333"/>
      <c r="R219" s="1276"/>
      <c r="S219" s="1276"/>
      <c r="T219" s="1276"/>
      <c r="U219" s="1276"/>
      <c r="V219" s="1276"/>
      <c r="W219" s="1276"/>
      <c r="X219" s="1276"/>
      <c r="Y219" s="1276"/>
    </row>
    <row r="220" spans="1:25">
      <c r="A220" s="2522"/>
      <c r="B220" s="2522"/>
      <c r="C220" s="2522"/>
      <c r="D220" s="2522"/>
      <c r="E220" s="1275"/>
      <c r="I220" s="1266"/>
      <c r="J220" s="1266"/>
      <c r="K220" s="1266"/>
      <c r="L220" s="1266"/>
      <c r="M220" s="1266"/>
      <c r="N220" s="1266"/>
      <c r="O220" s="1266"/>
      <c r="P220" s="1333"/>
      <c r="R220" s="1276"/>
      <c r="S220" s="1276"/>
      <c r="T220" s="1276"/>
      <c r="U220" s="1276"/>
      <c r="V220" s="1276"/>
      <c r="W220" s="1276"/>
      <c r="X220" s="1276"/>
      <c r="Y220" s="1276"/>
    </row>
    <row r="221" spans="1:25">
      <c r="A221" s="2522"/>
      <c r="B221" s="2522"/>
      <c r="C221" s="2522"/>
      <c r="D221" s="2522"/>
      <c r="E221" s="1275"/>
      <c r="I221" s="1266"/>
      <c r="J221" s="1266"/>
      <c r="K221" s="1266"/>
      <c r="L221" s="1266"/>
      <c r="M221" s="1266"/>
      <c r="N221" s="1266"/>
      <c r="O221" s="1266"/>
      <c r="P221" s="1333"/>
      <c r="R221" s="1276"/>
      <c r="S221" s="1276"/>
      <c r="T221" s="1276"/>
      <c r="U221" s="1276"/>
      <c r="V221" s="1276"/>
      <c r="W221" s="1276"/>
      <c r="X221" s="1276"/>
      <c r="Y221" s="1276"/>
    </row>
    <row r="222" spans="1:25">
      <c r="A222" s="2522"/>
      <c r="B222" s="2522"/>
      <c r="C222" s="2522"/>
      <c r="D222" s="2522"/>
      <c r="E222" s="1275"/>
      <c r="I222" s="1266"/>
      <c r="J222" s="1266"/>
      <c r="K222" s="1266"/>
      <c r="L222" s="1266"/>
      <c r="M222" s="1266"/>
      <c r="N222" s="1266"/>
      <c r="O222" s="1266"/>
      <c r="P222" s="1333"/>
      <c r="R222" s="1276"/>
      <c r="S222" s="1276"/>
      <c r="T222" s="1276"/>
      <c r="U222" s="1276"/>
      <c r="V222" s="1276"/>
      <c r="W222" s="1276"/>
      <c r="X222" s="1276"/>
      <c r="Y222" s="1276"/>
    </row>
    <row r="223" spans="1:25">
      <c r="A223" s="2522"/>
      <c r="B223" s="2522"/>
      <c r="C223" s="2522"/>
      <c r="D223" s="2522"/>
      <c r="E223" s="1275"/>
      <c r="I223" s="1266"/>
      <c r="J223" s="1266"/>
      <c r="K223" s="1266"/>
      <c r="L223" s="1266"/>
      <c r="M223" s="1266"/>
      <c r="N223" s="1266"/>
      <c r="O223" s="1266"/>
      <c r="P223" s="1333"/>
      <c r="R223" s="1276"/>
      <c r="S223" s="1276"/>
      <c r="T223" s="1276"/>
      <c r="U223" s="1276"/>
      <c r="V223" s="1276"/>
      <c r="W223" s="1276"/>
      <c r="X223" s="1276"/>
      <c r="Y223" s="1276"/>
    </row>
    <row r="224" spans="1:25">
      <c r="A224" s="2522"/>
      <c r="B224" s="2522"/>
      <c r="C224" s="2522"/>
      <c r="D224" s="2522"/>
      <c r="E224" s="1275"/>
      <c r="I224" s="1266"/>
      <c r="J224" s="1266"/>
      <c r="K224" s="1266"/>
      <c r="L224" s="1266"/>
      <c r="M224" s="1266"/>
      <c r="N224" s="1266"/>
      <c r="O224" s="1266"/>
      <c r="P224" s="1333"/>
      <c r="R224" s="1276"/>
      <c r="S224" s="1276"/>
      <c r="T224" s="1276"/>
      <c r="U224" s="1276"/>
      <c r="V224" s="1276"/>
      <c r="W224" s="1276"/>
      <c r="X224" s="1276"/>
      <c r="Y224" s="1276"/>
    </row>
    <row r="225" spans="1:25">
      <c r="A225" s="2522"/>
      <c r="B225" s="2522"/>
      <c r="C225" s="2522"/>
      <c r="D225" s="2522"/>
      <c r="E225" s="1275"/>
      <c r="I225" s="1266"/>
      <c r="J225" s="1266"/>
      <c r="K225" s="1266"/>
      <c r="L225" s="1266"/>
      <c r="M225" s="1266"/>
      <c r="N225" s="1266"/>
      <c r="O225" s="1266"/>
      <c r="P225" s="1333"/>
      <c r="R225" s="1276"/>
      <c r="S225" s="1276"/>
      <c r="T225" s="1276"/>
      <c r="U225" s="1276"/>
      <c r="V225" s="1276"/>
      <c r="W225" s="1276"/>
      <c r="X225" s="1276"/>
      <c r="Y225" s="1276"/>
    </row>
    <row r="226" spans="1:25">
      <c r="A226" s="2522"/>
      <c r="B226" s="2522"/>
      <c r="C226" s="2522"/>
      <c r="D226" s="2522"/>
      <c r="E226" s="1275"/>
      <c r="I226" s="1266"/>
      <c r="J226" s="1266"/>
      <c r="K226" s="1266"/>
      <c r="L226" s="1266"/>
      <c r="M226" s="1266"/>
      <c r="N226" s="1266"/>
      <c r="O226" s="1266"/>
      <c r="P226" s="1333"/>
      <c r="R226" s="1276"/>
      <c r="S226" s="1276"/>
      <c r="T226" s="1276"/>
      <c r="U226" s="1276"/>
      <c r="V226" s="1276"/>
      <c r="W226" s="1276"/>
      <c r="X226" s="1276"/>
      <c r="Y226" s="1276"/>
    </row>
    <row r="227" spans="1:25">
      <c r="A227" s="2522"/>
      <c r="B227" s="2522"/>
      <c r="C227" s="2522"/>
      <c r="D227" s="2522"/>
      <c r="E227" s="1275"/>
      <c r="I227" s="1266"/>
      <c r="J227" s="1266"/>
      <c r="K227" s="1266"/>
      <c r="L227" s="1266"/>
      <c r="M227" s="1266"/>
      <c r="N227" s="1266"/>
      <c r="O227" s="1266"/>
      <c r="P227" s="1333"/>
      <c r="R227" s="1276"/>
      <c r="S227" s="1276"/>
      <c r="T227" s="1276"/>
      <c r="U227" s="1276"/>
      <c r="V227" s="1276"/>
      <c r="W227" s="1276"/>
      <c r="X227" s="1276"/>
      <c r="Y227" s="1276"/>
    </row>
    <row r="228" spans="1:25">
      <c r="A228" s="2522"/>
      <c r="B228" s="2522"/>
      <c r="C228" s="2522"/>
      <c r="D228" s="2522"/>
      <c r="E228" s="1275"/>
      <c r="I228" s="1266"/>
      <c r="J228" s="1266"/>
      <c r="K228" s="1266"/>
      <c r="L228" s="1266"/>
      <c r="M228" s="1266"/>
      <c r="N228" s="1266"/>
      <c r="O228" s="1266"/>
      <c r="P228" s="1333"/>
      <c r="R228" s="1276"/>
      <c r="S228" s="1276"/>
      <c r="T228" s="1276"/>
      <c r="U228" s="1276"/>
      <c r="V228" s="1276"/>
      <c r="W228" s="1276"/>
      <c r="X228" s="1276"/>
      <c r="Y228" s="1276"/>
    </row>
    <row r="229" spans="1:25">
      <c r="A229" s="2522"/>
      <c r="B229" s="2522"/>
      <c r="C229" s="2522"/>
      <c r="D229" s="2522"/>
      <c r="E229" s="1275"/>
      <c r="I229" s="1266"/>
      <c r="J229" s="1266"/>
      <c r="K229" s="1266"/>
      <c r="L229" s="1266"/>
      <c r="M229" s="1266"/>
      <c r="N229" s="1266"/>
      <c r="O229" s="1266"/>
      <c r="P229" s="1333"/>
      <c r="R229" s="1276"/>
      <c r="S229" s="1276"/>
      <c r="T229" s="1276"/>
      <c r="U229" s="1276"/>
      <c r="V229" s="1276"/>
      <c r="W229" s="1276"/>
      <c r="X229" s="1276"/>
      <c r="Y229" s="1276"/>
    </row>
    <row r="230" spans="1:25">
      <c r="A230" s="2522"/>
      <c r="B230" s="2522"/>
      <c r="C230" s="2522"/>
      <c r="D230" s="2522"/>
      <c r="E230" s="1275"/>
      <c r="I230" s="1266"/>
      <c r="J230" s="1266"/>
      <c r="K230" s="1266"/>
      <c r="L230" s="1266"/>
      <c r="M230" s="1266"/>
      <c r="N230" s="1266"/>
      <c r="O230" s="1266"/>
      <c r="P230" s="1333"/>
      <c r="R230" s="1276"/>
      <c r="S230" s="1276"/>
      <c r="T230" s="1276"/>
      <c r="U230" s="1276"/>
      <c r="V230" s="1276"/>
      <c r="W230" s="1276"/>
      <c r="X230" s="1276"/>
      <c r="Y230" s="1276"/>
    </row>
    <row r="231" spans="1:25">
      <c r="A231" s="2522"/>
      <c r="B231" s="2522"/>
      <c r="C231" s="2522"/>
      <c r="D231" s="2522"/>
      <c r="E231" s="1275"/>
      <c r="I231" s="1266"/>
      <c r="J231" s="1266"/>
      <c r="K231" s="1266"/>
      <c r="L231" s="1266"/>
      <c r="M231" s="1266"/>
      <c r="N231" s="1266"/>
      <c r="O231" s="1266"/>
      <c r="P231" s="1333"/>
      <c r="R231" s="1276"/>
      <c r="S231" s="1276"/>
      <c r="T231" s="1276"/>
      <c r="U231" s="1276"/>
      <c r="V231" s="1276"/>
      <c r="W231" s="1276"/>
      <c r="X231" s="1276"/>
      <c r="Y231" s="1276"/>
    </row>
    <row r="232" spans="1:25">
      <c r="A232" s="2522"/>
      <c r="B232" s="2522"/>
      <c r="C232" s="2522"/>
      <c r="D232" s="2522"/>
      <c r="E232" s="1275"/>
      <c r="I232" s="1266"/>
      <c r="J232" s="1266"/>
      <c r="K232" s="1266"/>
      <c r="L232" s="1266"/>
      <c r="M232" s="1266"/>
      <c r="N232" s="1266"/>
      <c r="O232" s="1266"/>
      <c r="P232" s="1333"/>
      <c r="R232" s="1276"/>
      <c r="S232" s="1276"/>
      <c r="T232" s="1276"/>
      <c r="U232" s="1276"/>
      <c r="V232" s="1276"/>
      <c r="W232" s="1276"/>
      <c r="X232" s="1276"/>
      <c r="Y232" s="1276"/>
    </row>
    <row r="233" spans="1:25">
      <c r="A233" s="2522"/>
      <c r="B233" s="2522"/>
      <c r="C233" s="2522"/>
      <c r="D233" s="2522"/>
      <c r="E233" s="1275"/>
      <c r="I233" s="1266"/>
      <c r="J233" s="1266"/>
      <c r="K233" s="1266"/>
      <c r="L233" s="1266"/>
      <c r="M233" s="1266"/>
      <c r="N233" s="1266"/>
      <c r="O233" s="1266"/>
      <c r="P233" s="1333"/>
      <c r="R233" s="1276"/>
      <c r="S233" s="1276"/>
      <c r="T233" s="1276"/>
      <c r="U233" s="1276"/>
      <c r="V233" s="1276"/>
      <c r="W233" s="1276"/>
      <c r="X233" s="1276"/>
      <c r="Y233" s="1276"/>
    </row>
    <row r="234" spans="1:25">
      <c r="A234" s="2522"/>
      <c r="B234" s="2522"/>
      <c r="C234" s="2522"/>
      <c r="D234" s="2522"/>
      <c r="E234" s="1275"/>
      <c r="I234" s="1266"/>
      <c r="J234" s="1266"/>
      <c r="K234" s="1266"/>
      <c r="L234" s="1266"/>
      <c r="M234" s="1266"/>
      <c r="N234" s="1266"/>
      <c r="O234" s="1266"/>
      <c r="P234" s="1333"/>
      <c r="R234" s="1276"/>
      <c r="S234" s="1276"/>
      <c r="T234" s="1276"/>
      <c r="U234" s="1276"/>
      <c r="V234" s="1276"/>
      <c r="W234" s="1276"/>
      <c r="X234" s="1276"/>
      <c r="Y234" s="1276"/>
    </row>
    <row r="235" spans="1:25">
      <c r="A235" s="2522"/>
      <c r="B235" s="2522"/>
      <c r="C235" s="2522"/>
      <c r="D235" s="2522"/>
      <c r="E235" s="1275"/>
      <c r="I235" s="1266"/>
      <c r="J235" s="1266"/>
      <c r="K235" s="1266"/>
      <c r="L235" s="1266"/>
      <c r="M235" s="1266"/>
      <c r="N235" s="1266"/>
      <c r="O235" s="1266"/>
      <c r="P235" s="1333"/>
      <c r="R235" s="1276"/>
      <c r="S235" s="1276"/>
      <c r="T235" s="1276"/>
      <c r="U235" s="1276"/>
      <c r="V235" s="1276"/>
      <c r="W235" s="1276"/>
      <c r="X235" s="1276"/>
      <c r="Y235" s="1276"/>
    </row>
    <row r="236" spans="1:25">
      <c r="A236" s="2522"/>
      <c r="B236" s="2522"/>
      <c r="C236" s="2522"/>
      <c r="D236" s="2522"/>
      <c r="E236" s="1275"/>
      <c r="I236" s="1266"/>
      <c r="J236" s="1266"/>
      <c r="K236" s="1266"/>
      <c r="L236" s="1266"/>
      <c r="M236" s="1266"/>
      <c r="N236" s="1266"/>
      <c r="O236" s="1266"/>
      <c r="P236" s="1333"/>
      <c r="R236" s="1276"/>
      <c r="S236" s="1276"/>
      <c r="T236" s="1276"/>
      <c r="U236" s="1276"/>
      <c r="V236" s="1276"/>
      <c r="W236" s="1276"/>
      <c r="X236" s="1276"/>
      <c r="Y236" s="1276"/>
    </row>
    <row r="237" spans="1:25">
      <c r="A237" s="2522"/>
      <c r="B237" s="2522"/>
      <c r="C237" s="2522"/>
      <c r="D237" s="2522"/>
      <c r="E237" s="1275"/>
      <c r="I237" s="1266"/>
      <c r="J237" s="1266"/>
      <c r="K237" s="1266"/>
      <c r="L237" s="1266"/>
      <c r="M237" s="1266"/>
      <c r="N237" s="1266"/>
      <c r="O237" s="1266"/>
      <c r="P237" s="1333"/>
      <c r="R237" s="1276"/>
      <c r="S237" s="1276"/>
      <c r="T237" s="1276"/>
      <c r="U237" s="1276"/>
      <c r="V237" s="1276"/>
      <c r="W237" s="1276"/>
      <c r="X237" s="1276"/>
      <c r="Y237" s="1276"/>
    </row>
    <row r="238" spans="1:25">
      <c r="A238" s="2522"/>
      <c r="B238" s="2522"/>
      <c r="C238" s="2522"/>
      <c r="D238" s="2522"/>
      <c r="E238" s="1275"/>
      <c r="I238" s="1266"/>
      <c r="J238" s="1266"/>
      <c r="K238" s="1266"/>
      <c r="L238" s="1266"/>
      <c r="M238" s="1266"/>
      <c r="N238" s="1266"/>
      <c r="O238" s="1266"/>
      <c r="P238" s="1333"/>
      <c r="R238" s="1276"/>
      <c r="S238" s="1276"/>
      <c r="T238" s="1276"/>
      <c r="U238" s="1276"/>
      <c r="V238" s="1276"/>
      <c r="W238" s="1276"/>
      <c r="X238" s="1276"/>
      <c r="Y238" s="1276"/>
    </row>
    <row r="239" spans="1:25">
      <c r="A239" s="2522"/>
      <c r="B239" s="2522"/>
      <c r="C239" s="2522"/>
      <c r="D239" s="2522"/>
      <c r="E239" s="1275"/>
      <c r="I239" s="1266"/>
      <c r="J239" s="1266"/>
      <c r="K239" s="1266"/>
      <c r="L239" s="1266"/>
      <c r="M239" s="1266"/>
      <c r="N239" s="1266"/>
      <c r="O239" s="1266"/>
      <c r="P239" s="1333"/>
      <c r="R239" s="1276"/>
      <c r="S239" s="1276"/>
      <c r="T239" s="1276"/>
      <c r="U239" s="1276"/>
      <c r="V239" s="1276"/>
      <c r="W239" s="1276"/>
      <c r="X239" s="1276"/>
      <c r="Y239" s="1276"/>
    </row>
    <row r="240" spans="1:25">
      <c r="A240" s="2522"/>
      <c r="B240" s="2522"/>
      <c r="C240" s="2522"/>
      <c r="D240" s="2522"/>
      <c r="E240" s="1275"/>
      <c r="I240" s="1266"/>
      <c r="J240" s="1266"/>
      <c r="K240" s="1266"/>
      <c r="L240" s="1266"/>
      <c r="M240" s="1266"/>
      <c r="N240" s="1266"/>
      <c r="O240" s="1266"/>
      <c r="P240" s="1333"/>
      <c r="R240" s="1276"/>
      <c r="S240" s="1276"/>
      <c r="T240" s="1276"/>
      <c r="U240" s="1276"/>
      <c r="V240" s="1276"/>
      <c r="W240" s="1276"/>
      <c r="X240" s="1276"/>
      <c r="Y240" s="1276"/>
    </row>
    <row r="241" spans="1:25">
      <c r="A241" s="2522"/>
      <c r="B241" s="2522"/>
      <c r="C241" s="2522"/>
      <c r="D241" s="2522"/>
      <c r="E241" s="1275"/>
      <c r="I241" s="1266"/>
      <c r="J241" s="1266"/>
      <c r="K241" s="1266"/>
      <c r="L241" s="1266"/>
      <c r="M241" s="1266"/>
      <c r="N241" s="1266"/>
      <c r="O241" s="1266"/>
      <c r="P241" s="1333"/>
      <c r="R241" s="1276"/>
      <c r="S241" s="1276"/>
      <c r="T241" s="1276"/>
      <c r="U241" s="1276"/>
      <c r="V241" s="1276"/>
      <c r="W241" s="1276"/>
      <c r="X241" s="1276"/>
      <c r="Y241" s="1276"/>
    </row>
    <row r="242" spans="1:25">
      <c r="A242" s="2522"/>
      <c r="B242" s="2522"/>
      <c r="C242" s="2522"/>
      <c r="D242" s="2522"/>
      <c r="E242" s="1275"/>
      <c r="I242" s="1266"/>
      <c r="J242" s="1266"/>
      <c r="K242" s="1266"/>
      <c r="L242" s="1266"/>
      <c r="M242" s="1266"/>
      <c r="N242" s="1266"/>
      <c r="O242" s="1266"/>
      <c r="P242" s="1333"/>
      <c r="R242" s="1276"/>
      <c r="S242" s="1276"/>
      <c r="T242" s="1276"/>
      <c r="U242" s="1276"/>
      <c r="V242" s="1276"/>
      <c r="W242" s="1276"/>
      <c r="X242" s="1276"/>
      <c r="Y242" s="1276"/>
    </row>
    <row r="243" spans="1:25">
      <c r="A243" s="2522"/>
      <c r="B243" s="2522"/>
      <c r="C243" s="2522"/>
      <c r="D243" s="2522"/>
      <c r="E243" s="1275"/>
      <c r="I243" s="1266"/>
      <c r="J243" s="1266"/>
      <c r="K243" s="1266"/>
      <c r="L243" s="1266"/>
      <c r="M243" s="1266"/>
      <c r="N243" s="1266"/>
      <c r="O243" s="1266"/>
      <c r="P243" s="1333"/>
      <c r="R243" s="1276"/>
      <c r="S243" s="1276"/>
      <c r="T243" s="1276"/>
      <c r="U243" s="1276"/>
      <c r="V243" s="1276"/>
      <c r="W243" s="1276"/>
      <c r="X243" s="1276"/>
      <c r="Y243" s="1276"/>
    </row>
    <row r="244" spans="1:25">
      <c r="A244" s="2522"/>
      <c r="B244" s="2522"/>
      <c r="C244" s="2522"/>
      <c r="D244" s="2522"/>
      <c r="E244" s="1275"/>
      <c r="I244" s="1266"/>
      <c r="J244" s="1266"/>
      <c r="K244" s="1266"/>
      <c r="L244" s="1266"/>
      <c r="M244" s="1266"/>
      <c r="N244" s="1266"/>
      <c r="O244" s="1266"/>
      <c r="P244" s="1333"/>
      <c r="R244" s="1276"/>
      <c r="S244" s="1276"/>
      <c r="T244" s="1276"/>
      <c r="U244" s="1276"/>
      <c r="V244" s="1276"/>
      <c r="W244" s="1276"/>
      <c r="X244" s="1276"/>
      <c r="Y244" s="1276"/>
    </row>
    <row r="245" spans="1:25">
      <c r="A245" s="2522"/>
      <c r="B245" s="2522"/>
      <c r="C245" s="2522"/>
      <c r="D245" s="2522"/>
      <c r="E245" s="1275"/>
      <c r="I245" s="1266"/>
      <c r="J245" s="1266"/>
      <c r="K245" s="1266"/>
      <c r="L245" s="1266"/>
      <c r="M245" s="1266"/>
      <c r="N245" s="1266"/>
      <c r="O245" s="1266"/>
      <c r="P245" s="1333"/>
      <c r="R245" s="1276"/>
      <c r="S245" s="1276"/>
      <c r="T245" s="1276"/>
      <c r="U245" s="1276"/>
      <c r="V245" s="1276"/>
      <c r="W245" s="1276"/>
      <c r="X245" s="1276"/>
      <c r="Y245" s="1276"/>
    </row>
    <row r="246" spans="1:25">
      <c r="A246" s="2522"/>
      <c r="B246" s="2522"/>
      <c r="C246" s="2522"/>
      <c r="D246" s="2522"/>
      <c r="E246" s="1275"/>
      <c r="I246" s="1266"/>
      <c r="J246" s="1266"/>
      <c r="K246" s="1266"/>
      <c r="L246" s="1266"/>
      <c r="M246" s="1266"/>
      <c r="N246" s="1266"/>
      <c r="O246" s="1266"/>
      <c r="P246" s="1333"/>
      <c r="R246" s="1276"/>
      <c r="S246" s="1276"/>
      <c r="T246" s="1276"/>
      <c r="U246" s="1276"/>
      <c r="V246" s="1276"/>
      <c r="W246" s="1276"/>
      <c r="X246" s="1276"/>
      <c r="Y246" s="1276"/>
    </row>
    <row r="247" spans="1:25">
      <c r="A247" s="2522"/>
      <c r="B247" s="2522"/>
      <c r="C247" s="2522"/>
      <c r="D247" s="2522"/>
      <c r="E247" s="1275"/>
      <c r="I247" s="1266"/>
      <c r="J247" s="1266"/>
      <c r="K247" s="1266"/>
      <c r="L247" s="1266"/>
      <c r="M247" s="1266"/>
      <c r="N247" s="1266"/>
      <c r="O247" s="1266"/>
      <c r="P247" s="1333"/>
      <c r="R247" s="1276"/>
      <c r="S247" s="1276"/>
      <c r="T247" s="1276"/>
      <c r="U247" s="1276"/>
      <c r="V247" s="1276"/>
      <c r="W247" s="1276"/>
      <c r="X247" s="1276"/>
      <c r="Y247" s="1276"/>
    </row>
    <row r="248" spans="1:25">
      <c r="A248" s="2522"/>
      <c r="B248" s="2522"/>
      <c r="C248" s="2522"/>
      <c r="D248" s="2522"/>
      <c r="E248" s="1275"/>
      <c r="I248" s="1266"/>
      <c r="J248" s="1266"/>
      <c r="K248" s="1266"/>
      <c r="L248" s="1266"/>
      <c r="M248" s="1266"/>
      <c r="N248" s="1266"/>
      <c r="O248" s="1266"/>
      <c r="P248" s="1333"/>
      <c r="R248" s="1276"/>
      <c r="S248" s="1276"/>
      <c r="T248" s="1276"/>
      <c r="U248" s="1276"/>
      <c r="V248" s="1276"/>
      <c r="W248" s="1276"/>
      <c r="X248" s="1276"/>
      <c r="Y248" s="1276"/>
    </row>
    <row r="249" spans="1:25">
      <c r="A249" s="2522"/>
      <c r="B249" s="2522"/>
      <c r="C249" s="2522"/>
      <c r="D249" s="2522"/>
      <c r="E249" s="1275"/>
      <c r="I249" s="1266"/>
      <c r="J249" s="1266"/>
      <c r="K249" s="1266"/>
      <c r="L249" s="1266"/>
      <c r="M249" s="1266"/>
      <c r="N249" s="1266"/>
      <c r="O249" s="1266"/>
      <c r="P249" s="1333"/>
      <c r="R249" s="1276"/>
      <c r="S249" s="1276"/>
      <c r="T249" s="1276"/>
      <c r="U249" s="1276"/>
      <c r="V249" s="1276"/>
      <c r="W249" s="1276"/>
      <c r="X249" s="1276"/>
      <c r="Y249" s="1276"/>
    </row>
    <row r="250" spans="1:25">
      <c r="A250" s="2522"/>
      <c r="B250" s="2522"/>
      <c r="C250" s="2522"/>
      <c r="D250" s="2522"/>
      <c r="E250" s="1275"/>
      <c r="I250" s="1266"/>
      <c r="J250" s="1266"/>
      <c r="K250" s="1266"/>
      <c r="L250" s="1266"/>
      <c r="M250" s="1266"/>
      <c r="N250" s="1266"/>
      <c r="O250" s="1266"/>
      <c r="P250" s="1333"/>
      <c r="R250" s="1276"/>
      <c r="S250" s="1276"/>
      <c r="T250" s="1276"/>
      <c r="U250" s="1276"/>
      <c r="V250" s="1276"/>
      <c r="W250" s="1276"/>
      <c r="X250" s="1276"/>
      <c r="Y250" s="1276"/>
    </row>
    <row r="251" spans="1:25">
      <c r="A251" s="2522"/>
      <c r="B251" s="2522"/>
      <c r="C251" s="2522"/>
      <c r="D251" s="2522"/>
      <c r="E251" s="1275"/>
      <c r="I251" s="1266"/>
      <c r="J251" s="1266"/>
      <c r="K251" s="1266"/>
      <c r="L251" s="1266"/>
      <c r="M251" s="1266"/>
      <c r="N251" s="1266"/>
      <c r="O251" s="1266"/>
      <c r="P251" s="1333"/>
      <c r="R251" s="1276"/>
      <c r="S251" s="1276"/>
      <c r="T251" s="1276"/>
      <c r="U251" s="1276"/>
      <c r="V251" s="1276"/>
      <c r="W251" s="1276"/>
      <c r="X251" s="1276"/>
      <c r="Y251" s="1276"/>
    </row>
    <row r="252" spans="1:25">
      <c r="A252" s="2522"/>
      <c r="B252" s="2522"/>
      <c r="C252" s="2522"/>
      <c r="D252" s="2522"/>
      <c r="E252" s="1275"/>
      <c r="I252" s="1266"/>
      <c r="J252" s="1266"/>
      <c r="K252" s="1266"/>
      <c r="L252" s="1266"/>
      <c r="M252" s="1266"/>
      <c r="N252" s="1266"/>
      <c r="O252" s="1266"/>
      <c r="P252" s="1333"/>
      <c r="R252" s="1276"/>
      <c r="S252" s="1276"/>
      <c r="T252" s="1276"/>
      <c r="U252" s="1276"/>
      <c r="V252" s="1276"/>
      <c r="W252" s="1276"/>
      <c r="X252" s="1276"/>
      <c r="Y252" s="1276"/>
    </row>
    <row r="253" spans="1:25">
      <c r="A253" s="2522"/>
      <c r="B253" s="2522"/>
      <c r="C253" s="2522"/>
      <c r="D253" s="2522"/>
      <c r="E253" s="1275"/>
      <c r="I253" s="1266"/>
      <c r="J253" s="1266"/>
      <c r="K253" s="1266"/>
      <c r="L253" s="1266"/>
      <c r="M253" s="1266"/>
      <c r="N253" s="1266"/>
      <c r="O253" s="1266"/>
      <c r="P253" s="1333"/>
      <c r="R253" s="1276"/>
      <c r="S253" s="1276"/>
      <c r="T253" s="1276"/>
      <c r="U253" s="1276"/>
      <c r="V253" s="1276"/>
      <c r="W253" s="1276"/>
      <c r="X253" s="1276"/>
      <c r="Y253" s="1276"/>
    </row>
    <row r="254" spans="1:25">
      <c r="A254" s="2522"/>
      <c r="B254" s="2522"/>
      <c r="C254" s="2522"/>
      <c r="D254" s="2522"/>
      <c r="E254" s="1275"/>
      <c r="I254" s="1266"/>
      <c r="J254" s="1266"/>
      <c r="K254" s="1266"/>
      <c r="L254" s="1266"/>
      <c r="M254" s="1266"/>
      <c r="N254" s="1266"/>
      <c r="O254" s="1266"/>
      <c r="P254" s="1333"/>
      <c r="R254" s="1276"/>
      <c r="S254" s="1276"/>
      <c r="T254" s="1276"/>
      <c r="U254" s="1276"/>
      <c r="V254" s="1276"/>
      <c r="W254" s="1276"/>
      <c r="X254" s="1276"/>
      <c r="Y254" s="1276"/>
    </row>
    <row r="255" spans="1:25">
      <c r="A255" s="2522"/>
      <c r="B255" s="2522"/>
      <c r="C255" s="2522"/>
      <c r="D255" s="2522"/>
      <c r="E255" s="1275"/>
      <c r="I255" s="1266"/>
      <c r="J255" s="1266"/>
      <c r="K255" s="1266"/>
      <c r="L255" s="1266"/>
      <c r="M255" s="1266"/>
      <c r="N255" s="1266"/>
      <c r="O255" s="1266"/>
      <c r="P255" s="1333"/>
      <c r="R255" s="1276"/>
      <c r="S255" s="1276"/>
      <c r="T255" s="1276"/>
      <c r="U255" s="1276"/>
      <c r="V255" s="1276"/>
      <c r="W255" s="1276"/>
      <c r="X255" s="1276"/>
      <c r="Y255" s="1276"/>
    </row>
    <row r="256" spans="1:25">
      <c r="A256" s="2522"/>
      <c r="B256" s="2522"/>
      <c r="C256" s="2522"/>
      <c r="D256" s="2522"/>
      <c r="E256" s="1275"/>
      <c r="I256" s="1266"/>
      <c r="J256" s="1266"/>
      <c r="K256" s="1266"/>
      <c r="L256" s="1266"/>
      <c r="M256" s="1266"/>
      <c r="N256" s="1266"/>
      <c r="O256" s="1266"/>
      <c r="P256" s="1333"/>
      <c r="R256" s="1276"/>
      <c r="S256" s="1276"/>
      <c r="T256" s="1276"/>
      <c r="U256" s="1276"/>
      <c r="V256" s="1276"/>
      <c r="W256" s="1276"/>
      <c r="X256" s="1276"/>
      <c r="Y256" s="1276"/>
    </row>
    <row r="257" spans="1:25">
      <c r="A257" s="2522"/>
      <c r="B257" s="2522"/>
      <c r="C257" s="2522"/>
      <c r="D257" s="2522"/>
      <c r="E257" s="1275"/>
      <c r="I257" s="1266"/>
      <c r="J257" s="1266"/>
      <c r="K257" s="1266"/>
      <c r="L257" s="1266"/>
      <c r="M257" s="1266"/>
      <c r="N257" s="1266"/>
      <c r="O257" s="1266"/>
      <c r="P257" s="1333"/>
      <c r="R257" s="1276"/>
      <c r="S257" s="1276"/>
      <c r="T257" s="1276"/>
      <c r="U257" s="1276"/>
      <c r="V257" s="1276"/>
      <c r="W257" s="1276"/>
      <c r="X257" s="1276"/>
      <c r="Y257" s="1276"/>
    </row>
    <row r="258" spans="1:25">
      <c r="A258" s="2522"/>
      <c r="B258" s="2522"/>
      <c r="C258" s="2522"/>
      <c r="D258" s="2522"/>
      <c r="E258" s="1275"/>
      <c r="I258" s="1266"/>
      <c r="J258" s="1266"/>
      <c r="K258" s="1266"/>
      <c r="L258" s="1266"/>
      <c r="M258" s="1266"/>
      <c r="N258" s="1266"/>
      <c r="O258" s="1266"/>
      <c r="P258" s="1333"/>
      <c r="R258" s="1276"/>
      <c r="S258" s="1276"/>
      <c r="T258" s="1276"/>
      <c r="U258" s="1276"/>
      <c r="V258" s="1276"/>
      <c r="W258" s="1276"/>
      <c r="X258" s="1276"/>
      <c r="Y258" s="1276"/>
    </row>
    <row r="259" spans="1:25">
      <c r="A259" s="2522"/>
      <c r="B259" s="2522"/>
      <c r="C259" s="2522"/>
      <c r="D259" s="2522"/>
      <c r="E259" s="1275"/>
      <c r="I259" s="1266"/>
      <c r="J259" s="1266"/>
      <c r="K259" s="1266"/>
      <c r="L259" s="1266"/>
      <c r="M259" s="1266"/>
      <c r="N259" s="1266"/>
      <c r="O259" s="1266"/>
      <c r="P259" s="1333"/>
      <c r="R259" s="1276"/>
      <c r="S259" s="1276"/>
      <c r="T259" s="1276"/>
      <c r="U259" s="1276"/>
      <c r="V259" s="1276"/>
      <c r="W259" s="1276"/>
      <c r="X259" s="1276"/>
      <c r="Y259" s="1276"/>
    </row>
    <row r="260" spans="1:25">
      <c r="A260" s="2522"/>
      <c r="B260" s="2522"/>
      <c r="C260" s="2522"/>
      <c r="D260" s="2522"/>
      <c r="E260" s="1275"/>
      <c r="I260" s="1266"/>
      <c r="J260" s="1266"/>
      <c r="K260" s="1266"/>
      <c r="L260" s="1266"/>
      <c r="M260" s="1266"/>
      <c r="N260" s="1266"/>
      <c r="O260" s="1266"/>
      <c r="P260" s="1333"/>
      <c r="R260" s="1276"/>
      <c r="S260" s="1276"/>
      <c r="T260" s="1276"/>
      <c r="U260" s="1276"/>
      <c r="V260" s="1276"/>
      <c r="W260" s="1276"/>
      <c r="X260" s="1276"/>
      <c r="Y260" s="1276"/>
    </row>
    <row r="261" spans="1:25">
      <c r="A261" s="2522"/>
      <c r="B261" s="2522"/>
      <c r="C261" s="2522"/>
      <c r="D261" s="2522"/>
      <c r="E261" s="1275"/>
      <c r="I261" s="1266"/>
      <c r="J261" s="1266"/>
      <c r="K261" s="1266"/>
      <c r="L261" s="1266"/>
      <c r="M261" s="1266"/>
      <c r="N261" s="1266"/>
      <c r="O261" s="1266"/>
      <c r="P261" s="1333"/>
      <c r="R261" s="1276"/>
      <c r="S261" s="1276"/>
      <c r="T261" s="1276"/>
      <c r="U261" s="1276"/>
      <c r="V261" s="1276"/>
      <c r="W261" s="1276"/>
      <c r="X261" s="1276"/>
      <c r="Y261" s="1276"/>
    </row>
    <row r="262" spans="1:25">
      <c r="A262" s="2522"/>
      <c r="B262" s="2522"/>
      <c r="C262" s="2522"/>
      <c r="D262" s="2522"/>
      <c r="E262" s="1275"/>
      <c r="I262" s="1266"/>
      <c r="J262" s="1266"/>
      <c r="K262" s="1266"/>
      <c r="L262" s="1266"/>
      <c r="M262" s="1266"/>
      <c r="N262" s="1266"/>
      <c r="O262" s="1266"/>
      <c r="P262" s="1333"/>
      <c r="R262" s="1276"/>
      <c r="S262" s="1276"/>
      <c r="T262" s="1276"/>
      <c r="U262" s="1276"/>
      <c r="V262" s="1276"/>
      <c r="W262" s="1276"/>
      <c r="X262" s="1276"/>
      <c r="Y262" s="1276"/>
    </row>
    <row r="263" spans="1:25">
      <c r="A263" s="2522"/>
      <c r="B263" s="2522"/>
      <c r="C263" s="2522"/>
      <c r="D263" s="2522"/>
      <c r="E263" s="1275"/>
      <c r="I263" s="1266"/>
      <c r="J263" s="1266"/>
      <c r="K263" s="1266"/>
      <c r="L263" s="1266"/>
      <c r="M263" s="1266"/>
      <c r="N263" s="1266"/>
      <c r="O263" s="1266"/>
      <c r="P263" s="1333"/>
      <c r="R263" s="1276"/>
      <c r="S263" s="1276"/>
      <c r="T263" s="1276"/>
      <c r="U263" s="1276"/>
      <c r="V263" s="1276"/>
      <c r="W263" s="1276"/>
      <c r="X263" s="1276"/>
      <c r="Y263" s="1276"/>
    </row>
    <row r="264" spans="1:25">
      <c r="A264" s="2522"/>
      <c r="B264" s="2522"/>
      <c r="C264" s="2522"/>
      <c r="D264" s="2522"/>
      <c r="E264" s="1275"/>
      <c r="I264" s="1266"/>
      <c r="J264" s="1266"/>
      <c r="K264" s="1266"/>
      <c r="L264" s="1266"/>
      <c r="M264" s="1266"/>
      <c r="N264" s="1266"/>
      <c r="O264" s="1266"/>
      <c r="P264" s="1333"/>
      <c r="R264" s="1276"/>
      <c r="S264" s="1276"/>
      <c r="T264" s="1276"/>
      <c r="U264" s="1276"/>
      <c r="V264" s="1276"/>
      <c r="W264" s="1276"/>
      <c r="X264" s="1276"/>
      <c r="Y264" s="1276"/>
    </row>
    <row r="265" spans="1:25">
      <c r="A265" s="2522"/>
      <c r="B265" s="2522"/>
      <c r="C265" s="2522"/>
      <c r="D265" s="2522"/>
      <c r="E265" s="1275"/>
      <c r="I265" s="1266"/>
      <c r="J265" s="1266"/>
      <c r="K265" s="1266"/>
      <c r="L265" s="1266"/>
      <c r="M265" s="1266"/>
      <c r="N265" s="1266"/>
      <c r="O265" s="1266"/>
      <c r="P265" s="1333"/>
      <c r="R265" s="1276"/>
      <c r="S265" s="1276"/>
      <c r="T265" s="1276"/>
      <c r="U265" s="1276"/>
      <c r="V265" s="1276"/>
      <c r="W265" s="1276"/>
      <c r="X265" s="1276"/>
      <c r="Y265" s="1276"/>
    </row>
    <row r="266" spans="1:25">
      <c r="A266" s="2522"/>
      <c r="B266" s="2522"/>
      <c r="C266" s="2522"/>
      <c r="D266" s="2522"/>
      <c r="E266" s="1275"/>
      <c r="I266" s="1266"/>
      <c r="J266" s="1266"/>
      <c r="K266" s="1266"/>
      <c r="L266" s="1266"/>
      <c r="M266" s="1266"/>
      <c r="N266" s="1266"/>
      <c r="O266" s="1266"/>
      <c r="P266" s="1333"/>
      <c r="R266" s="1276"/>
      <c r="S266" s="1276"/>
      <c r="T266" s="1276"/>
      <c r="U266" s="1276"/>
      <c r="V266" s="1276"/>
      <c r="W266" s="1276"/>
      <c r="X266" s="1276"/>
      <c r="Y266" s="1276"/>
    </row>
    <row r="267" spans="1:25">
      <c r="A267" s="2522"/>
      <c r="B267" s="2522"/>
      <c r="C267" s="2522"/>
      <c r="D267" s="2522"/>
      <c r="E267" s="1275"/>
      <c r="I267" s="1266"/>
      <c r="J267" s="1266"/>
      <c r="K267" s="1266"/>
      <c r="L267" s="1266"/>
      <c r="M267" s="1266"/>
      <c r="N267" s="1266"/>
      <c r="O267" s="1266"/>
      <c r="P267" s="1333"/>
      <c r="R267" s="1276"/>
      <c r="S267" s="1276"/>
      <c r="T267" s="1276"/>
      <c r="U267" s="1276"/>
      <c r="V267" s="1276"/>
      <c r="W267" s="1276"/>
      <c r="X267" s="1276"/>
      <c r="Y267" s="1276"/>
    </row>
    <row r="268" spans="1:25">
      <c r="A268" s="2522"/>
      <c r="B268" s="2522"/>
      <c r="C268" s="2522"/>
      <c r="D268" s="2522"/>
      <c r="E268" s="1275"/>
      <c r="I268" s="1266"/>
      <c r="J268" s="1266"/>
      <c r="K268" s="1266"/>
      <c r="L268" s="1266"/>
      <c r="M268" s="1266"/>
      <c r="N268" s="1266"/>
      <c r="O268" s="1266"/>
      <c r="P268" s="1333"/>
      <c r="R268" s="1276"/>
      <c r="S268" s="1276"/>
      <c r="T268" s="1276"/>
      <c r="U268" s="1276"/>
      <c r="V268" s="1276"/>
      <c r="W268" s="1276"/>
      <c r="X268" s="1276"/>
      <c r="Y268" s="1276"/>
    </row>
    <row r="269" spans="1:25">
      <c r="A269" s="2522"/>
      <c r="B269" s="2522"/>
      <c r="C269" s="2522"/>
      <c r="D269" s="2522"/>
      <c r="E269" s="1275"/>
      <c r="I269" s="1266"/>
      <c r="J269" s="1266"/>
      <c r="K269" s="1266"/>
      <c r="L269" s="1266"/>
      <c r="M269" s="1266"/>
      <c r="N269" s="1266"/>
      <c r="O269" s="1266"/>
      <c r="P269" s="1333"/>
      <c r="R269" s="1276"/>
      <c r="S269" s="1276"/>
      <c r="T269" s="1276"/>
      <c r="U269" s="1276"/>
      <c r="V269" s="1276"/>
      <c r="W269" s="1276"/>
      <c r="X269" s="1276"/>
      <c r="Y269" s="1276"/>
    </row>
    <row r="270" spans="1:25">
      <c r="A270" s="2522"/>
      <c r="B270" s="2522"/>
      <c r="C270" s="2522"/>
      <c r="D270" s="2522"/>
      <c r="E270" s="1275"/>
      <c r="I270" s="1266"/>
      <c r="J270" s="1266"/>
      <c r="K270" s="1266"/>
      <c r="L270" s="1266"/>
      <c r="M270" s="1266"/>
      <c r="N270" s="1266"/>
      <c r="O270" s="1266"/>
      <c r="P270" s="1333"/>
      <c r="R270" s="1276"/>
      <c r="S270" s="1276"/>
      <c r="T270" s="1276"/>
      <c r="U270" s="1276"/>
      <c r="V270" s="1276"/>
      <c r="W270" s="1276"/>
      <c r="X270" s="1276"/>
      <c r="Y270" s="1276"/>
    </row>
    <row r="271" spans="1:25">
      <c r="A271" s="2522"/>
      <c r="B271" s="2522"/>
      <c r="C271" s="2522"/>
      <c r="D271" s="2522"/>
      <c r="E271" s="1275"/>
      <c r="I271" s="1266"/>
      <c r="J271" s="1266"/>
      <c r="K271" s="1266"/>
      <c r="L271" s="1266"/>
      <c r="M271" s="1266"/>
      <c r="N271" s="1266"/>
      <c r="O271" s="1266"/>
      <c r="P271" s="1333"/>
      <c r="R271" s="1276"/>
      <c r="S271" s="1276"/>
      <c r="T271" s="1276"/>
      <c r="U271" s="1276"/>
      <c r="V271" s="1276"/>
      <c r="W271" s="1276"/>
      <c r="X271" s="1276"/>
      <c r="Y271" s="1276"/>
    </row>
    <row r="272" spans="1:25">
      <c r="A272" s="2522"/>
      <c r="B272" s="2522"/>
      <c r="C272" s="2522"/>
      <c r="D272" s="2522"/>
      <c r="E272" s="1275"/>
      <c r="I272" s="1266"/>
      <c r="J272" s="1266"/>
      <c r="K272" s="1266"/>
      <c r="L272" s="1266"/>
      <c r="M272" s="1266"/>
      <c r="N272" s="1266"/>
      <c r="O272" s="1266"/>
      <c r="P272" s="1333"/>
      <c r="R272" s="1276"/>
      <c r="S272" s="1276"/>
      <c r="T272" s="1276"/>
      <c r="U272" s="1276"/>
      <c r="V272" s="1276"/>
      <c r="W272" s="1276"/>
      <c r="X272" s="1276"/>
      <c r="Y272" s="1276"/>
    </row>
    <row r="273" spans="1:25">
      <c r="A273" s="2522"/>
      <c r="B273" s="2522"/>
      <c r="C273" s="2522"/>
      <c r="D273" s="2522"/>
      <c r="E273" s="1275"/>
      <c r="I273" s="1266"/>
      <c r="J273" s="1266"/>
      <c r="K273" s="1266"/>
      <c r="L273" s="1266"/>
      <c r="M273" s="1266"/>
      <c r="N273" s="1266"/>
      <c r="O273" s="1266"/>
      <c r="P273" s="1333"/>
      <c r="R273" s="1276"/>
      <c r="S273" s="1276"/>
      <c r="T273" s="1276"/>
      <c r="U273" s="1276"/>
      <c r="V273" s="1276"/>
      <c r="W273" s="1276"/>
      <c r="X273" s="1276"/>
      <c r="Y273" s="1276"/>
    </row>
    <row r="274" spans="1:25">
      <c r="A274" s="2522"/>
      <c r="B274" s="2522"/>
      <c r="C274" s="2522"/>
      <c r="D274" s="2522"/>
      <c r="E274" s="1275"/>
      <c r="I274" s="1266"/>
      <c r="J274" s="1266"/>
      <c r="K274" s="1266"/>
      <c r="L274" s="1266"/>
      <c r="M274" s="1266"/>
      <c r="N274" s="1266"/>
      <c r="O274" s="1266"/>
      <c r="P274" s="1333"/>
      <c r="R274" s="1276"/>
      <c r="S274" s="1276"/>
      <c r="T274" s="1276"/>
      <c r="U274" s="1276"/>
      <c r="V274" s="1276"/>
      <c r="W274" s="1276"/>
      <c r="X274" s="1276"/>
      <c r="Y274" s="1276"/>
    </row>
    <row r="275" spans="1:25">
      <c r="A275" s="2522"/>
      <c r="B275" s="2522"/>
      <c r="C275" s="2522"/>
      <c r="D275" s="2522"/>
      <c r="E275" s="1275"/>
      <c r="I275" s="1266"/>
      <c r="J275" s="1266"/>
      <c r="K275" s="1266"/>
      <c r="L275" s="1266"/>
      <c r="M275" s="1266"/>
      <c r="N275" s="1266"/>
      <c r="O275" s="1266"/>
      <c r="P275" s="1333"/>
      <c r="R275" s="1276"/>
      <c r="S275" s="1276"/>
      <c r="T275" s="1276"/>
      <c r="U275" s="1276"/>
      <c r="V275" s="1276"/>
      <c r="W275" s="1276"/>
      <c r="X275" s="1276"/>
      <c r="Y275" s="1276"/>
    </row>
    <row r="276" spans="1:25">
      <c r="A276" s="2522"/>
      <c r="B276" s="2522"/>
      <c r="C276" s="2522"/>
      <c r="D276" s="2522"/>
      <c r="E276" s="1275"/>
      <c r="I276" s="1266"/>
      <c r="J276" s="1266"/>
      <c r="K276" s="1266"/>
      <c r="L276" s="1266"/>
      <c r="M276" s="1266"/>
      <c r="N276" s="1266"/>
      <c r="O276" s="1266"/>
      <c r="P276" s="1333"/>
      <c r="R276" s="1276"/>
      <c r="S276" s="1276"/>
      <c r="T276" s="1276"/>
      <c r="U276" s="1276"/>
      <c r="V276" s="1276"/>
      <c r="W276" s="1276"/>
      <c r="X276" s="1276"/>
      <c r="Y276" s="1276"/>
    </row>
    <row r="277" spans="1:25">
      <c r="A277" s="2522"/>
      <c r="B277" s="2522"/>
      <c r="C277" s="2522"/>
      <c r="D277" s="2522"/>
      <c r="E277" s="1275"/>
      <c r="I277" s="1266"/>
      <c r="J277" s="1266"/>
      <c r="K277" s="1266"/>
      <c r="L277" s="1266"/>
      <c r="M277" s="1266"/>
      <c r="N277" s="1266"/>
      <c r="O277" s="1266"/>
      <c r="P277" s="1333"/>
      <c r="R277" s="1276"/>
      <c r="S277" s="1276"/>
      <c r="T277" s="1276"/>
      <c r="U277" s="1276"/>
      <c r="V277" s="1276"/>
      <c r="W277" s="1276"/>
      <c r="X277" s="1276"/>
      <c r="Y277" s="1276"/>
    </row>
    <row r="278" spans="1:25">
      <c r="A278" s="2522"/>
      <c r="B278" s="2522"/>
      <c r="C278" s="2522"/>
      <c r="D278" s="2522"/>
      <c r="E278" s="1275"/>
      <c r="I278" s="1266"/>
      <c r="J278" s="1266"/>
      <c r="K278" s="1266"/>
      <c r="L278" s="1266"/>
      <c r="M278" s="1266"/>
      <c r="N278" s="1266"/>
      <c r="O278" s="1266"/>
      <c r="P278" s="1333"/>
      <c r="R278" s="1276"/>
      <c r="S278" s="1276"/>
      <c r="T278" s="1276"/>
      <c r="U278" s="1276"/>
      <c r="V278" s="1276"/>
      <c r="W278" s="1276"/>
      <c r="X278" s="1276"/>
      <c r="Y278" s="1276"/>
    </row>
    <row r="279" spans="1:25">
      <c r="A279" s="2522"/>
      <c r="B279" s="2522"/>
      <c r="C279" s="2522"/>
      <c r="D279" s="2522"/>
      <c r="E279" s="1275"/>
      <c r="I279" s="1266"/>
      <c r="J279" s="1266"/>
      <c r="K279" s="1266"/>
      <c r="L279" s="1266"/>
      <c r="M279" s="1266"/>
      <c r="N279" s="1266"/>
      <c r="O279" s="1266"/>
      <c r="P279" s="1333"/>
      <c r="R279" s="1276"/>
      <c r="S279" s="1276"/>
      <c r="T279" s="1276"/>
      <c r="U279" s="1276"/>
      <c r="V279" s="1276"/>
      <c r="W279" s="1276"/>
      <c r="X279" s="1276"/>
      <c r="Y279" s="1276"/>
    </row>
    <row r="280" spans="1:25">
      <c r="A280" s="2522"/>
      <c r="B280" s="2522"/>
      <c r="C280" s="2522"/>
      <c r="D280" s="2522"/>
      <c r="E280" s="1275"/>
      <c r="I280" s="1266"/>
      <c r="J280" s="1266"/>
      <c r="K280" s="1266"/>
      <c r="L280" s="1266"/>
      <c r="M280" s="1266"/>
      <c r="N280" s="1266"/>
      <c r="O280" s="1266"/>
      <c r="P280" s="1333"/>
      <c r="R280" s="1276"/>
      <c r="S280" s="1276"/>
      <c r="T280" s="1276"/>
      <c r="U280" s="1276"/>
      <c r="V280" s="1276"/>
      <c r="W280" s="1276"/>
      <c r="X280" s="1276"/>
      <c r="Y280" s="1276"/>
    </row>
    <row r="281" spans="1:25">
      <c r="A281" s="2522"/>
      <c r="B281" s="2522"/>
      <c r="C281" s="2522"/>
      <c r="D281" s="2522"/>
      <c r="E281" s="1275"/>
      <c r="I281" s="1266"/>
      <c r="J281" s="1266"/>
      <c r="K281" s="1266"/>
      <c r="L281" s="1266"/>
      <c r="M281" s="1266"/>
      <c r="N281" s="1266"/>
      <c r="O281" s="1266"/>
      <c r="P281" s="1333"/>
      <c r="R281" s="1276"/>
      <c r="S281" s="1276"/>
      <c r="T281" s="1276"/>
      <c r="U281" s="1276"/>
      <c r="V281" s="1276"/>
      <c r="W281" s="1276"/>
      <c r="X281" s="1276"/>
      <c r="Y281" s="1276"/>
    </row>
    <row r="282" spans="1:25">
      <c r="A282" s="2522"/>
      <c r="B282" s="2522"/>
      <c r="C282" s="2522"/>
      <c r="D282" s="2522"/>
      <c r="E282" s="1275"/>
      <c r="I282" s="1266"/>
      <c r="J282" s="1266"/>
      <c r="K282" s="1266"/>
      <c r="L282" s="1266"/>
      <c r="M282" s="1266"/>
      <c r="N282" s="1266"/>
      <c r="O282" s="1266"/>
      <c r="P282" s="1333"/>
      <c r="R282" s="1276"/>
      <c r="S282" s="1276"/>
      <c r="T282" s="1276"/>
      <c r="U282" s="1276"/>
      <c r="V282" s="1276"/>
      <c r="W282" s="1276"/>
      <c r="X282" s="1276"/>
      <c r="Y282" s="1276"/>
    </row>
    <row r="283" spans="1:25">
      <c r="A283" s="2522"/>
      <c r="B283" s="2522"/>
      <c r="C283" s="2522"/>
      <c r="D283" s="2522"/>
      <c r="E283" s="1275"/>
      <c r="I283" s="1266"/>
      <c r="J283" s="1266"/>
      <c r="K283" s="1266"/>
      <c r="L283" s="1266"/>
      <c r="M283" s="1266"/>
      <c r="N283" s="1266"/>
      <c r="O283" s="1266"/>
      <c r="P283" s="1333"/>
      <c r="R283" s="1276"/>
      <c r="S283" s="1276"/>
      <c r="T283" s="1276"/>
      <c r="U283" s="1276"/>
      <c r="V283" s="1276"/>
      <c r="W283" s="1276"/>
      <c r="X283" s="1276"/>
      <c r="Y283" s="1276"/>
    </row>
    <row r="284" spans="1:25">
      <c r="A284" s="2522"/>
      <c r="B284" s="2522"/>
      <c r="C284" s="2522"/>
      <c r="D284" s="2522"/>
      <c r="E284" s="1275"/>
      <c r="I284" s="1266"/>
      <c r="J284" s="1266"/>
      <c r="K284" s="1266"/>
      <c r="L284" s="1266"/>
      <c r="M284" s="1266"/>
      <c r="N284" s="1266"/>
      <c r="O284" s="1266"/>
      <c r="P284" s="1333"/>
      <c r="R284" s="1276"/>
      <c r="S284" s="1276"/>
      <c r="T284" s="1276"/>
      <c r="U284" s="1276"/>
      <c r="V284" s="1276"/>
      <c r="W284" s="1276"/>
      <c r="X284" s="1276"/>
      <c r="Y284" s="1276"/>
    </row>
    <row r="285" spans="1:25">
      <c r="A285" s="2522"/>
      <c r="B285" s="2522"/>
      <c r="C285" s="2522"/>
      <c r="D285" s="2522"/>
      <c r="E285" s="1275"/>
      <c r="I285" s="1266"/>
      <c r="J285" s="1266"/>
      <c r="K285" s="1266"/>
      <c r="L285" s="1266"/>
      <c r="M285" s="1266"/>
      <c r="N285" s="1266"/>
      <c r="O285" s="1266"/>
      <c r="P285" s="1333"/>
      <c r="R285" s="1276"/>
      <c r="S285" s="1276"/>
      <c r="T285" s="1276"/>
      <c r="U285" s="1276"/>
      <c r="V285" s="1276"/>
      <c r="W285" s="1276"/>
      <c r="X285" s="1276"/>
      <c r="Y285" s="1276"/>
    </row>
    <row r="286" spans="1:25">
      <c r="A286" s="2522"/>
      <c r="B286" s="2522"/>
      <c r="C286" s="2522"/>
      <c r="D286" s="2522"/>
      <c r="E286" s="1275"/>
      <c r="I286" s="1266"/>
      <c r="J286" s="1266"/>
      <c r="K286" s="1266"/>
      <c r="L286" s="1266"/>
      <c r="M286" s="1266"/>
      <c r="N286" s="1266"/>
      <c r="O286" s="1266"/>
      <c r="P286" s="1333"/>
      <c r="R286" s="1276"/>
      <c r="S286" s="1276"/>
      <c r="T286" s="1276"/>
      <c r="U286" s="1276"/>
      <c r="V286" s="1276"/>
      <c r="W286" s="1276"/>
      <c r="X286" s="1276"/>
      <c r="Y286" s="1276"/>
    </row>
    <row r="287" spans="1:25">
      <c r="A287" s="2522"/>
      <c r="B287" s="2522"/>
      <c r="C287" s="2522"/>
      <c r="D287" s="2522"/>
      <c r="E287" s="1275"/>
      <c r="I287" s="1266"/>
      <c r="J287" s="1266"/>
      <c r="K287" s="1266"/>
      <c r="L287" s="1266"/>
      <c r="M287" s="1266"/>
      <c r="N287" s="1266"/>
      <c r="O287" s="1266"/>
      <c r="P287" s="1333"/>
      <c r="R287" s="1276"/>
      <c r="S287" s="1276"/>
      <c r="T287" s="1276"/>
      <c r="U287" s="1276"/>
      <c r="V287" s="1276"/>
      <c r="W287" s="1276"/>
      <c r="X287" s="1276"/>
      <c r="Y287" s="1276"/>
    </row>
    <row r="288" spans="1:25">
      <c r="A288" s="2522"/>
      <c r="B288" s="2522"/>
      <c r="C288" s="2522"/>
      <c r="D288" s="2522"/>
      <c r="E288" s="1275"/>
      <c r="I288" s="1266"/>
      <c r="J288" s="1266"/>
      <c r="K288" s="1266"/>
      <c r="L288" s="1266"/>
      <c r="M288" s="1266"/>
      <c r="N288" s="1266"/>
      <c r="O288" s="1266"/>
      <c r="P288" s="1333"/>
      <c r="R288" s="1276"/>
      <c r="S288" s="1276"/>
      <c r="T288" s="1276"/>
      <c r="U288" s="1276"/>
      <c r="V288" s="1276"/>
      <c r="W288" s="1276"/>
      <c r="X288" s="1276"/>
      <c r="Y288" s="1276"/>
    </row>
    <row r="289" spans="1:25">
      <c r="A289" s="2522"/>
      <c r="B289" s="2522"/>
      <c r="C289" s="2522"/>
      <c r="D289" s="2522"/>
      <c r="E289" s="1275"/>
      <c r="I289" s="1266"/>
      <c r="J289" s="1266"/>
      <c r="K289" s="1266"/>
      <c r="L289" s="1266"/>
      <c r="M289" s="1266"/>
      <c r="N289" s="1266"/>
      <c r="O289" s="1266"/>
      <c r="P289" s="1333"/>
      <c r="R289" s="1276"/>
      <c r="S289" s="1276"/>
      <c r="T289" s="1276"/>
      <c r="U289" s="1276"/>
      <c r="V289" s="1276"/>
      <c r="W289" s="1276"/>
      <c r="X289" s="1276"/>
      <c r="Y289" s="1276"/>
    </row>
    <row r="290" spans="1:25">
      <c r="A290" s="2522"/>
      <c r="B290" s="2522"/>
      <c r="C290" s="2522"/>
      <c r="D290" s="2522"/>
      <c r="E290" s="1275"/>
      <c r="I290" s="1266"/>
      <c r="J290" s="1266"/>
      <c r="K290" s="1266"/>
      <c r="L290" s="1266"/>
      <c r="M290" s="1266"/>
      <c r="N290" s="1266"/>
      <c r="O290" s="1266"/>
      <c r="P290" s="1333"/>
      <c r="R290" s="1276"/>
      <c r="S290" s="1276"/>
      <c r="T290" s="1276"/>
      <c r="U290" s="1276"/>
      <c r="V290" s="1276"/>
      <c r="W290" s="1276"/>
      <c r="X290" s="1276"/>
      <c r="Y290" s="1276"/>
    </row>
    <row r="291" spans="1:25">
      <c r="A291" s="2522"/>
      <c r="B291" s="2522"/>
      <c r="C291" s="2522"/>
      <c r="D291" s="2522"/>
      <c r="E291" s="1275"/>
      <c r="I291" s="1266"/>
      <c r="J291" s="1266"/>
      <c r="K291" s="1266"/>
      <c r="L291" s="1266"/>
      <c r="M291" s="1266"/>
      <c r="N291" s="1266"/>
      <c r="O291" s="1266"/>
      <c r="P291" s="1333"/>
      <c r="R291" s="1276"/>
      <c r="S291" s="1276"/>
      <c r="T291" s="1276"/>
      <c r="U291" s="1276"/>
      <c r="V291" s="1276"/>
      <c r="W291" s="1276"/>
      <c r="X291" s="1276"/>
      <c r="Y291" s="1276"/>
    </row>
    <row r="292" spans="1:25">
      <c r="A292" s="2522"/>
      <c r="B292" s="2522"/>
      <c r="C292" s="2522"/>
      <c r="D292" s="2522"/>
      <c r="E292" s="1275"/>
      <c r="I292" s="1266"/>
      <c r="J292" s="1266"/>
      <c r="K292" s="1266"/>
      <c r="L292" s="1266"/>
      <c r="M292" s="1266"/>
      <c r="N292" s="1266"/>
      <c r="O292" s="1266"/>
      <c r="P292" s="1333"/>
      <c r="R292" s="1276"/>
      <c r="S292" s="1276"/>
      <c r="T292" s="1276"/>
      <c r="U292" s="1276"/>
      <c r="V292" s="1276"/>
      <c r="W292" s="1276"/>
      <c r="X292" s="1276"/>
      <c r="Y292" s="1276"/>
    </row>
    <row r="293" spans="1:25">
      <c r="A293" s="2522"/>
      <c r="B293" s="2522"/>
      <c r="C293" s="2522"/>
      <c r="D293" s="2522"/>
      <c r="E293" s="1275"/>
      <c r="I293" s="1266"/>
      <c r="J293" s="1266"/>
      <c r="K293" s="1266"/>
      <c r="L293" s="1266"/>
      <c r="M293" s="1266"/>
      <c r="N293" s="1266"/>
      <c r="O293" s="1266"/>
      <c r="P293" s="1333"/>
      <c r="R293" s="1276"/>
      <c r="S293" s="1276"/>
      <c r="T293" s="1276"/>
      <c r="U293" s="1276"/>
      <c r="V293" s="1276"/>
      <c r="W293" s="1276"/>
      <c r="X293" s="1276"/>
      <c r="Y293" s="1276"/>
    </row>
    <row r="294" spans="1:25">
      <c r="A294" s="2522"/>
      <c r="B294" s="2522"/>
      <c r="C294" s="2522"/>
      <c r="D294" s="2522"/>
      <c r="E294" s="1275"/>
      <c r="I294" s="1266"/>
      <c r="J294" s="1266"/>
      <c r="K294" s="1266"/>
      <c r="L294" s="1266"/>
      <c r="M294" s="1266"/>
      <c r="N294" s="1266"/>
      <c r="O294" s="1266"/>
      <c r="P294" s="1333"/>
      <c r="R294" s="1276"/>
      <c r="S294" s="1276"/>
      <c r="T294" s="1276"/>
      <c r="U294" s="1276"/>
      <c r="V294" s="1276"/>
      <c r="W294" s="1276"/>
      <c r="X294" s="1276"/>
      <c r="Y294" s="1276"/>
    </row>
    <row r="295" spans="1:25">
      <c r="A295" s="2522"/>
      <c r="B295" s="2522"/>
      <c r="C295" s="2522"/>
      <c r="D295" s="2522"/>
      <c r="E295" s="1275"/>
      <c r="I295" s="1266"/>
      <c r="J295" s="1266"/>
      <c r="K295" s="1266"/>
      <c r="L295" s="1266"/>
      <c r="M295" s="1266"/>
      <c r="N295" s="1266"/>
      <c r="O295" s="1266"/>
      <c r="P295" s="1333"/>
      <c r="R295" s="1276"/>
      <c r="S295" s="1276"/>
      <c r="T295" s="1276"/>
      <c r="U295" s="1276"/>
      <c r="V295" s="1276"/>
      <c r="W295" s="1276"/>
      <c r="X295" s="1276"/>
      <c r="Y295" s="1276"/>
    </row>
    <row r="296" spans="1:25">
      <c r="A296" s="2522"/>
      <c r="B296" s="2522"/>
      <c r="C296" s="2522"/>
      <c r="D296" s="2522"/>
      <c r="E296" s="1275"/>
      <c r="I296" s="1266"/>
      <c r="J296" s="1266"/>
      <c r="K296" s="1266"/>
      <c r="L296" s="1266"/>
      <c r="M296" s="1266"/>
      <c r="N296" s="1266"/>
      <c r="O296" s="1266"/>
      <c r="P296" s="1333"/>
      <c r="R296" s="1276"/>
      <c r="S296" s="1276"/>
      <c r="T296" s="1276"/>
      <c r="U296" s="1276"/>
      <c r="V296" s="1276"/>
      <c r="W296" s="1276"/>
      <c r="X296" s="1276"/>
      <c r="Y296" s="1276"/>
    </row>
    <row r="297" spans="1:25">
      <c r="A297" s="2522"/>
      <c r="B297" s="2522"/>
      <c r="C297" s="2522"/>
      <c r="D297" s="2522"/>
      <c r="E297" s="1275"/>
      <c r="I297" s="1266"/>
      <c r="J297" s="1266"/>
      <c r="K297" s="1266"/>
      <c r="L297" s="1266"/>
      <c r="M297" s="1266"/>
      <c r="N297" s="1266"/>
      <c r="O297" s="1266"/>
      <c r="P297" s="1333"/>
      <c r="R297" s="1276"/>
      <c r="S297" s="1276"/>
      <c r="T297" s="1276"/>
      <c r="U297" s="1276"/>
      <c r="V297" s="1276"/>
      <c r="W297" s="1276"/>
      <c r="X297" s="1276"/>
      <c r="Y297" s="1276"/>
    </row>
    <row r="298" spans="1:25">
      <c r="A298" s="2522"/>
      <c r="B298" s="2522"/>
      <c r="C298" s="2522"/>
      <c r="D298" s="2522"/>
      <c r="E298" s="1275"/>
      <c r="I298" s="1266"/>
      <c r="J298" s="1266"/>
      <c r="K298" s="1266"/>
      <c r="L298" s="1266"/>
      <c r="M298" s="1266"/>
      <c r="N298" s="1266"/>
      <c r="O298" s="1266"/>
      <c r="P298" s="1333"/>
      <c r="R298" s="1276"/>
      <c r="S298" s="1276"/>
      <c r="T298" s="1276"/>
      <c r="U298" s="1276"/>
      <c r="V298" s="1276"/>
      <c r="W298" s="1276"/>
      <c r="X298" s="1276"/>
      <c r="Y298" s="1276"/>
    </row>
    <row r="299" spans="1:25">
      <c r="A299" s="2522"/>
      <c r="B299" s="2522"/>
      <c r="C299" s="2522"/>
      <c r="D299" s="2522"/>
      <c r="E299" s="1275"/>
      <c r="I299" s="1266"/>
      <c r="J299" s="1266"/>
      <c r="K299" s="1266"/>
      <c r="L299" s="1266"/>
      <c r="M299" s="1266"/>
      <c r="N299" s="1266"/>
      <c r="O299" s="1266"/>
      <c r="P299" s="1333"/>
      <c r="R299" s="1276"/>
      <c r="S299" s="1276"/>
      <c r="T299" s="1276"/>
      <c r="U299" s="1276"/>
      <c r="V299" s="1276"/>
      <c r="W299" s="1276"/>
      <c r="X299" s="1276"/>
      <c r="Y299" s="1276"/>
    </row>
    <row r="300" spans="1:25">
      <c r="A300" s="2522"/>
      <c r="B300" s="2522"/>
      <c r="C300" s="2522"/>
      <c r="D300" s="2522"/>
      <c r="E300" s="1275"/>
      <c r="I300" s="1266"/>
      <c r="J300" s="1266"/>
      <c r="K300" s="1266"/>
      <c r="L300" s="1266"/>
      <c r="M300" s="1266"/>
      <c r="N300" s="1266"/>
      <c r="O300" s="1266"/>
      <c r="P300" s="1333"/>
      <c r="R300" s="1276"/>
      <c r="S300" s="1276"/>
      <c r="T300" s="1276"/>
      <c r="U300" s="1276"/>
      <c r="V300" s="1276"/>
      <c r="W300" s="1276"/>
      <c r="X300" s="1276"/>
      <c r="Y300" s="1276"/>
    </row>
    <row r="301" spans="1:25">
      <c r="A301" s="2522"/>
      <c r="B301" s="2522"/>
      <c r="C301" s="2522"/>
      <c r="D301" s="2522"/>
      <c r="E301" s="1275"/>
      <c r="I301" s="1266"/>
      <c r="J301" s="1266"/>
      <c r="K301" s="1266"/>
      <c r="L301" s="1266"/>
      <c r="M301" s="1266"/>
      <c r="N301" s="1266"/>
      <c r="O301" s="1266"/>
      <c r="P301" s="1333"/>
      <c r="R301" s="1276"/>
      <c r="S301" s="1276"/>
      <c r="T301" s="1276"/>
      <c r="U301" s="1276"/>
      <c r="V301" s="1276"/>
      <c r="W301" s="1276"/>
      <c r="X301" s="1276"/>
      <c r="Y301" s="1276"/>
    </row>
    <row r="302" spans="1:25">
      <c r="A302" s="2522"/>
      <c r="B302" s="2522"/>
      <c r="C302" s="2522"/>
      <c r="D302" s="2522"/>
      <c r="E302" s="1275"/>
      <c r="I302" s="1266"/>
      <c r="J302" s="1266"/>
      <c r="K302" s="1266"/>
      <c r="L302" s="1266"/>
      <c r="M302" s="1266"/>
      <c r="N302" s="1266"/>
      <c r="O302" s="1266"/>
      <c r="P302" s="1333"/>
      <c r="R302" s="1276"/>
      <c r="S302" s="1276"/>
      <c r="T302" s="1276"/>
      <c r="U302" s="1276"/>
      <c r="V302" s="1276"/>
      <c r="W302" s="1276"/>
      <c r="X302" s="1276"/>
      <c r="Y302" s="1276"/>
    </row>
    <row r="303" spans="1:25">
      <c r="A303" s="2522"/>
      <c r="B303" s="2522"/>
      <c r="C303" s="2522"/>
      <c r="D303" s="2522"/>
      <c r="E303" s="1275"/>
      <c r="I303" s="1266"/>
      <c r="J303" s="1266"/>
      <c r="K303" s="1266"/>
      <c r="L303" s="1266"/>
      <c r="M303" s="1266"/>
      <c r="N303" s="1266"/>
      <c r="O303" s="1266"/>
      <c r="P303" s="1333"/>
      <c r="R303" s="1276"/>
      <c r="S303" s="1276"/>
      <c r="T303" s="1276"/>
      <c r="U303" s="1276"/>
      <c r="V303" s="1276"/>
      <c r="W303" s="1276"/>
      <c r="X303" s="1276"/>
      <c r="Y303" s="1276"/>
    </row>
    <row r="304" spans="1:25">
      <c r="A304" s="2522"/>
      <c r="B304" s="2522"/>
      <c r="C304" s="2522"/>
      <c r="D304" s="2522"/>
      <c r="E304" s="1275"/>
      <c r="I304" s="1266"/>
      <c r="J304" s="1266"/>
      <c r="K304" s="1266"/>
      <c r="L304" s="1266"/>
      <c r="M304" s="1266"/>
      <c r="N304" s="1266"/>
      <c r="O304" s="1266"/>
      <c r="P304" s="1333"/>
      <c r="R304" s="1276"/>
      <c r="S304" s="1276"/>
      <c r="T304" s="1276"/>
      <c r="U304" s="1276"/>
      <c r="V304" s="1276"/>
      <c r="W304" s="1276"/>
      <c r="X304" s="1276"/>
      <c r="Y304" s="1276"/>
    </row>
    <row r="305" spans="1:25">
      <c r="A305" s="2522"/>
      <c r="B305" s="2522"/>
      <c r="C305" s="2522"/>
      <c r="D305" s="2522"/>
      <c r="E305" s="1275"/>
      <c r="I305" s="1266"/>
      <c r="J305" s="1266"/>
      <c r="K305" s="1266"/>
      <c r="L305" s="1266"/>
      <c r="M305" s="1266"/>
      <c r="N305" s="1266"/>
      <c r="O305" s="1266"/>
      <c r="P305" s="1333"/>
      <c r="R305" s="1276"/>
      <c r="S305" s="1276"/>
      <c r="T305" s="1276"/>
      <c r="U305" s="1276"/>
      <c r="V305" s="1276"/>
      <c r="W305" s="1276"/>
      <c r="X305" s="1276"/>
      <c r="Y305" s="1276"/>
    </row>
    <row r="306" spans="1:25">
      <c r="A306" s="2522"/>
      <c r="B306" s="2522"/>
      <c r="C306" s="2522"/>
      <c r="D306" s="2522"/>
      <c r="E306" s="1275"/>
      <c r="I306" s="1266"/>
      <c r="J306" s="1266"/>
      <c r="K306" s="1266"/>
      <c r="L306" s="1266"/>
      <c r="M306" s="1266"/>
      <c r="N306" s="1266"/>
      <c r="O306" s="1266"/>
      <c r="P306" s="1333"/>
      <c r="R306" s="1276"/>
      <c r="S306" s="1276"/>
      <c r="T306" s="1276"/>
      <c r="U306" s="1276"/>
      <c r="V306" s="1276"/>
      <c r="W306" s="1276"/>
      <c r="X306" s="1276"/>
      <c r="Y306" s="1276"/>
    </row>
    <row r="307" spans="1:25">
      <c r="A307" s="2522"/>
      <c r="B307" s="2522"/>
      <c r="C307" s="2522"/>
      <c r="D307" s="2522"/>
      <c r="E307" s="1275"/>
      <c r="I307" s="1266"/>
      <c r="J307" s="1266"/>
      <c r="K307" s="1266"/>
      <c r="L307" s="1266"/>
      <c r="M307" s="1266"/>
      <c r="N307" s="1266"/>
      <c r="O307" s="1266"/>
      <c r="P307" s="1333"/>
      <c r="R307" s="1276"/>
      <c r="S307" s="1276"/>
      <c r="T307" s="1276"/>
      <c r="U307" s="1276"/>
      <c r="V307" s="1276"/>
      <c r="W307" s="1276"/>
      <c r="X307" s="1276"/>
      <c r="Y307" s="1276"/>
    </row>
    <row r="308" spans="1:25">
      <c r="A308" s="2522"/>
      <c r="B308" s="2522"/>
      <c r="C308" s="2522"/>
      <c r="D308" s="2522"/>
      <c r="E308" s="1275"/>
      <c r="I308" s="1266"/>
      <c r="J308" s="1266"/>
      <c r="K308" s="1266"/>
      <c r="L308" s="1266"/>
      <c r="M308" s="1266"/>
      <c r="N308" s="1266"/>
      <c r="O308" s="1266"/>
      <c r="P308" s="1259"/>
      <c r="R308" s="1276"/>
      <c r="S308" s="1276"/>
      <c r="T308" s="1276"/>
      <c r="U308" s="1276"/>
      <c r="V308" s="1276"/>
      <c r="W308" s="1276"/>
      <c r="X308" s="1276"/>
      <c r="Y308" s="1276"/>
    </row>
    <row r="309" spans="1:25">
      <c r="A309" s="2522"/>
      <c r="B309" s="2522"/>
      <c r="C309" s="2522"/>
      <c r="D309" s="2522"/>
      <c r="E309" s="1275"/>
      <c r="I309" s="1266"/>
      <c r="J309" s="1266"/>
      <c r="K309" s="1266"/>
      <c r="L309" s="1266"/>
      <c r="M309" s="1266"/>
      <c r="N309" s="1266"/>
      <c r="O309" s="1266"/>
      <c r="P309" s="1259"/>
      <c r="R309" s="1276"/>
      <c r="S309" s="1276"/>
      <c r="T309" s="1276"/>
      <c r="U309" s="1276"/>
      <c r="V309" s="1276"/>
      <c r="W309" s="1276"/>
      <c r="X309" s="1276"/>
      <c r="Y309" s="1276"/>
    </row>
    <row r="310" spans="1:25">
      <c r="A310" s="2522"/>
      <c r="B310" s="2522"/>
      <c r="C310" s="2522"/>
      <c r="D310" s="2522"/>
      <c r="E310" s="1275"/>
      <c r="I310" s="1266"/>
      <c r="J310" s="1266"/>
      <c r="K310" s="1266"/>
      <c r="L310" s="1266"/>
      <c r="M310" s="1266"/>
      <c r="N310" s="1266"/>
      <c r="O310" s="1266"/>
      <c r="P310" s="1259"/>
      <c r="R310" s="1276"/>
      <c r="S310" s="1276"/>
      <c r="T310" s="1276"/>
      <c r="U310" s="1276"/>
      <c r="V310" s="1276"/>
      <c r="W310" s="1276"/>
      <c r="X310" s="1276"/>
      <c r="Y310" s="1276"/>
    </row>
    <row r="311" spans="1:25">
      <c r="A311" s="2522"/>
      <c r="B311" s="2522"/>
      <c r="C311" s="2522"/>
      <c r="D311" s="2522"/>
      <c r="E311" s="1275"/>
      <c r="I311" s="1266"/>
      <c r="J311" s="1266"/>
      <c r="K311" s="1266"/>
      <c r="L311" s="1266"/>
      <c r="M311" s="1266"/>
      <c r="N311" s="1266"/>
      <c r="O311" s="1266"/>
      <c r="P311" s="1259"/>
      <c r="R311" s="1276"/>
      <c r="S311" s="1276"/>
      <c r="T311" s="1276"/>
      <c r="U311" s="1276"/>
      <c r="V311" s="1276"/>
      <c r="W311" s="1276"/>
      <c r="X311" s="1276"/>
      <c r="Y311" s="1276"/>
    </row>
    <row r="312" spans="1:25">
      <c r="A312" s="2522"/>
      <c r="B312" s="2522"/>
      <c r="C312" s="2522"/>
      <c r="D312" s="2522"/>
      <c r="E312" s="1275"/>
      <c r="I312" s="1266"/>
      <c r="J312" s="1266"/>
      <c r="K312" s="1266"/>
      <c r="L312" s="1266"/>
      <c r="M312" s="1266"/>
      <c r="N312" s="1266"/>
      <c r="O312" s="1266"/>
      <c r="P312" s="1259"/>
      <c r="R312" s="1276"/>
      <c r="S312" s="1276"/>
      <c r="T312" s="1276"/>
      <c r="U312" s="1276"/>
      <c r="V312" s="1276"/>
      <c r="W312" s="1276"/>
      <c r="X312" s="1276"/>
      <c r="Y312" s="1276"/>
    </row>
    <row r="313" spans="1:25">
      <c r="A313" s="2522"/>
      <c r="B313" s="2522"/>
      <c r="C313" s="2522"/>
      <c r="D313" s="2522"/>
      <c r="E313" s="1275"/>
      <c r="I313" s="1266"/>
      <c r="J313" s="1266"/>
      <c r="K313" s="1266"/>
      <c r="L313" s="1266"/>
      <c r="M313" s="1266"/>
      <c r="N313" s="1266"/>
      <c r="O313" s="1266"/>
      <c r="P313" s="1259"/>
      <c r="R313" s="1276"/>
      <c r="S313" s="1276"/>
      <c r="T313" s="1276"/>
      <c r="U313" s="1276"/>
      <c r="V313" s="1276"/>
      <c r="W313" s="1276"/>
      <c r="X313" s="1276"/>
      <c r="Y313" s="1276"/>
    </row>
    <row r="314" spans="1:25">
      <c r="A314" s="2522"/>
      <c r="B314" s="2522"/>
      <c r="C314" s="2522"/>
      <c r="D314" s="2522"/>
      <c r="E314" s="1275"/>
      <c r="I314" s="1266"/>
      <c r="J314" s="1266"/>
      <c r="K314" s="1266"/>
      <c r="L314" s="1266"/>
      <c r="M314" s="1266"/>
      <c r="N314" s="1266"/>
      <c r="O314" s="1266"/>
      <c r="P314" s="1259"/>
      <c r="R314" s="1276"/>
      <c r="S314" s="1276"/>
      <c r="T314" s="1276"/>
      <c r="U314" s="1276"/>
      <c r="V314" s="1276"/>
      <c r="W314" s="1276"/>
      <c r="X314" s="1276"/>
      <c r="Y314" s="1276"/>
    </row>
    <row r="315" spans="1:25">
      <c r="A315" s="2522"/>
      <c r="B315" s="2522"/>
      <c r="C315" s="2522"/>
      <c r="D315" s="2522"/>
      <c r="E315" s="1275"/>
      <c r="I315" s="1266"/>
      <c r="J315" s="1266"/>
      <c r="K315" s="1266"/>
      <c r="L315" s="1266"/>
      <c r="M315" s="1266"/>
      <c r="N315" s="1266"/>
      <c r="O315" s="1266"/>
      <c r="P315" s="1259"/>
      <c r="R315" s="1276"/>
      <c r="S315" s="1276"/>
      <c r="T315" s="1276"/>
      <c r="U315" s="1276"/>
      <c r="V315" s="1276"/>
      <c r="W315" s="1276"/>
      <c r="X315" s="1276"/>
      <c r="Y315" s="1276"/>
    </row>
    <row r="316" spans="1:25">
      <c r="A316" s="2522"/>
      <c r="B316" s="2522"/>
      <c r="C316" s="2522"/>
      <c r="D316" s="2522"/>
      <c r="E316" s="1275"/>
      <c r="I316" s="1266"/>
      <c r="J316" s="1266"/>
      <c r="K316" s="1266"/>
      <c r="L316" s="1266"/>
      <c r="M316" s="1266"/>
      <c r="N316" s="1266"/>
      <c r="O316" s="1266"/>
      <c r="P316" s="1259"/>
      <c r="R316" s="1276"/>
      <c r="S316" s="1276"/>
      <c r="T316" s="1276"/>
      <c r="U316" s="1276"/>
      <c r="V316" s="1276"/>
      <c r="W316" s="1276"/>
      <c r="X316" s="1276"/>
      <c r="Y316" s="1276"/>
    </row>
    <row r="317" spans="1:25">
      <c r="A317" s="2522"/>
      <c r="B317" s="2522"/>
      <c r="C317" s="2522"/>
      <c r="D317" s="2522"/>
      <c r="E317" s="1275"/>
      <c r="I317" s="1266"/>
      <c r="J317" s="1266"/>
      <c r="K317" s="1266"/>
      <c r="L317" s="1266"/>
      <c r="M317" s="1266"/>
      <c r="N317" s="1266"/>
      <c r="O317" s="1266"/>
      <c r="P317" s="1259"/>
      <c r="R317" s="1276"/>
      <c r="S317" s="1276"/>
      <c r="T317" s="1276"/>
      <c r="U317" s="1276"/>
      <c r="V317" s="1276"/>
      <c r="W317" s="1276"/>
      <c r="X317" s="1276"/>
      <c r="Y317" s="1276"/>
    </row>
    <row r="318" spans="1:25">
      <c r="A318" s="2522"/>
      <c r="B318" s="2522"/>
      <c r="C318" s="2522"/>
      <c r="D318" s="2522"/>
      <c r="E318" s="1275"/>
      <c r="I318" s="1266"/>
      <c r="J318" s="1266"/>
      <c r="K318" s="1266"/>
      <c r="L318" s="1266"/>
      <c r="M318" s="1266"/>
      <c r="N318" s="1266"/>
      <c r="O318" s="1266"/>
      <c r="P318" s="1259"/>
      <c r="R318" s="1276"/>
      <c r="S318" s="1276"/>
      <c r="T318" s="1276"/>
      <c r="U318" s="1276"/>
      <c r="V318" s="1276"/>
      <c r="W318" s="1276"/>
      <c r="X318" s="1276"/>
      <c r="Y318" s="1276"/>
    </row>
    <row r="319" spans="1:25">
      <c r="A319" s="2522"/>
      <c r="B319" s="2522"/>
      <c r="C319" s="2522"/>
      <c r="D319" s="2522"/>
      <c r="E319" s="1275"/>
      <c r="I319" s="1266"/>
      <c r="J319" s="1266"/>
      <c r="K319" s="1266"/>
      <c r="L319" s="1266"/>
      <c r="M319" s="1266"/>
      <c r="N319" s="1266"/>
      <c r="O319" s="1266"/>
      <c r="P319" s="1259"/>
      <c r="R319" s="1276"/>
      <c r="S319" s="1276"/>
      <c r="T319" s="1276"/>
      <c r="U319" s="1276"/>
      <c r="V319" s="1276"/>
      <c r="W319" s="1276"/>
      <c r="X319" s="1276"/>
      <c r="Y319" s="1276"/>
    </row>
    <row r="320" spans="1:25">
      <c r="A320" s="2522"/>
      <c r="B320" s="2522"/>
      <c r="C320" s="2522"/>
      <c r="D320" s="2522"/>
      <c r="E320" s="1275"/>
      <c r="I320" s="1266"/>
      <c r="J320" s="1266"/>
      <c r="K320" s="1266"/>
      <c r="L320" s="1266"/>
      <c r="M320" s="1266"/>
      <c r="N320" s="1266"/>
      <c r="O320" s="1266"/>
      <c r="P320" s="1259"/>
      <c r="R320" s="1276"/>
      <c r="S320" s="1276"/>
      <c r="T320" s="1276"/>
      <c r="U320" s="1276"/>
      <c r="V320" s="1276"/>
      <c r="W320" s="1276"/>
      <c r="X320" s="1276"/>
      <c r="Y320" s="1276"/>
    </row>
    <row r="321" spans="1:25">
      <c r="A321" s="2522"/>
      <c r="B321" s="2522"/>
      <c r="C321" s="2522"/>
      <c r="D321" s="2522"/>
      <c r="E321" s="1275"/>
      <c r="I321" s="1266"/>
      <c r="J321" s="1266"/>
      <c r="K321" s="1266"/>
      <c r="L321" s="1266"/>
      <c r="M321" s="1266"/>
      <c r="N321" s="1266"/>
      <c r="O321" s="1266"/>
      <c r="P321" s="1259"/>
      <c r="R321" s="1276"/>
      <c r="S321" s="1276"/>
      <c r="T321" s="1276"/>
      <c r="U321" s="1276"/>
      <c r="V321" s="1276"/>
      <c r="W321" s="1276"/>
      <c r="X321" s="1276"/>
      <c r="Y321" s="1276"/>
    </row>
    <row r="322" spans="1:25">
      <c r="A322" s="2522"/>
      <c r="B322" s="2522"/>
      <c r="C322" s="2522"/>
      <c r="D322" s="2522"/>
      <c r="E322" s="1275"/>
      <c r="I322" s="1266"/>
      <c r="J322" s="1266"/>
      <c r="K322" s="1266"/>
      <c r="L322" s="1266"/>
      <c r="M322" s="1266"/>
      <c r="N322" s="1266"/>
      <c r="O322" s="1266"/>
      <c r="P322" s="1277"/>
      <c r="R322" s="1276"/>
      <c r="S322" s="1276"/>
      <c r="T322" s="1276"/>
      <c r="U322" s="1276"/>
      <c r="V322" s="1276"/>
      <c r="W322" s="1276"/>
      <c r="X322" s="1276"/>
      <c r="Y322" s="1276"/>
    </row>
    <row r="323" spans="1:25">
      <c r="A323" s="2522"/>
      <c r="B323" s="2522"/>
      <c r="C323" s="2522"/>
      <c r="D323" s="2522"/>
      <c r="E323" s="1275"/>
      <c r="I323" s="1266"/>
      <c r="J323" s="1266"/>
      <c r="K323" s="1266"/>
      <c r="L323" s="1266"/>
      <c r="M323" s="1266"/>
      <c r="N323" s="1266"/>
      <c r="O323" s="1266"/>
      <c r="P323" s="1259"/>
      <c r="R323" s="1276"/>
      <c r="S323" s="1276"/>
      <c r="T323" s="1276"/>
      <c r="U323" s="1276"/>
      <c r="V323" s="1276"/>
      <c r="W323" s="1276"/>
      <c r="X323" s="1276"/>
      <c r="Y323" s="1276"/>
    </row>
    <row r="324" spans="1:25">
      <c r="A324" s="2522"/>
      <c r="B324" s="2522"/>
      <c r="C324" s="2522"/>
      <c r="D324" s="2522"/>
      <c r="E324" s="1275"/>
      <c r="I324" s="1266"/>
      <c r="J324" s="1266"/>
      <c r="K324" s="1266"/>
      <c r="L324" s="1266"/>
      <c r="M324" s="1266"/>
      <c r="N324" s="1266"/>
      <c r="O324" s="1266"/>
      <c r="P324" s="1259"/>
      <c r="R324" s="1276"/>
      <c r="S324" s="1276"/>
      <c r="T324" s="1276"/>
      <c r="U324" s="1276"/>
      <c r="V324" s="1276"/>
      <c r="W324" s="1276"/>
      <c r="X324" s="1276"/>
      <c r="Y324" s="1276"/>
    </row>
    <row r="325" spans="1:25">
      <c r="A325" s="2522"/>
      <c r="B325" s="2522"/>
      <c r="C325" s="2522"/>
      <c r="D325" s="2522"/>
      <c r="E325" s="1275"/>
      <c r="I325" s="1266"/>
      <c r="J325" s="1266"/>
      <c r="K325" s="1266"/>
      <c r="L325" s="1266"/>
      <c r="M325" s="1266"/>
      <c r="N325" s="1266"/>
      <c r="O325" s="1266"/>
      <c r="P325" s="1259"/>
      <c r="R325" s="1276"/>
      <c r="S325" s="1276"/>
      <c r="T325" s="1276"/>
      <c r="U325" s="1276"/>
      <c r="V325" s="1276"/>
      <c r="W325" s="1276"/>
      <c r="X325" s="1276"/>
      <c r="Y325" s="1276"/>
    </row>
    <row r="326" spans="1:25">
      <c r="A326" s="2522"/>
      <c r="B326" s="2522"/>
      <c r="C326" s="2522"/>
      <c r="D326" s="2522"/>
      <c r="E326" s="1275"/>
      <c r="I326" s="1266"/>
      <c r="J326" s="1266"/>
      <c r="K326" s="1266"/>
      <c r="L326" s="1266"/>
      <c r="M326" s="1266"/>
      <c r="N326" s="1266"/>
      <c r="O326" s="1266"/>
      <c r="P326" s="1259"/>
      <c r="R326" s="1276"/>
      <c r="S326" s="1276"/>
      <c r="T326" s="1276"/>
      <c r="U326" s="1276"/>
      <c r="V326" s="1276"/>
      <c r="W326" s="1276"/>
      <c r="X326" s="1276"/>
      <c r="Y326" s="1276"/>
    </row>
    <row r="327" spans="1:25">
      <c r="A327" s="2522"/>
      <c r="B327" s="2522"/>
      <c r="C327" s="2522"/>
      <c r="D327" s="2522"/>
      <c r="E327" s="1275"/>
      <c r="I327" s="1266"/>
      <c r="J327" s="1266"/>
      <c r="K327" s="1266"/>
      <c r="L327" s="1266"/>
      <c r="M327" s="1266"/>
      <c r="N327" s="1266"/>
      <c r="O327" s="1266"/>
      <c r="P327" s="1259"/>
      <c r="R327" s="1276"/>
      <c r="S327" s="1276"/>
      <c r="T327" s="1276"/>
      <c r="U327" s="1276"/>
      <c r="V327" s="1276"/>
      <c r="W327" s="1276"/>
      <c r="X327" s="1276"/>
      <c r="Y327" s="1276"/>
    </row>
    <row r="328" spans="1:25">
      <c r="A328" s="2522"/>
      <c r="B328" s="2522"/>
      <c r="C328" s="2522"/>
      <c r="D328" s="2522"/>
      <c r="E328" s="1275"/>
      <c r="I328" s="1266"/>
      <c r="J328" s="1266"/>
      <c r="K328" s="1266"/>
      <c r="L328" s="1266"/>
      <c r="M328" s="1266"/>
      <c r="N328" s="1266"/>
      <c r="O328" s="1266"/>
      <c r="P328" s="1259"/>
      <c r="R328" s="1276"/>
      <c r="S328" s="1276"/>
      <c r="T328" s="1276"/>
      <c r="U328" s="1276"/>
      <c r="V328" s="1276"/>
      <c r="W328" s="1276"/>
      <c r="X328" s="1276"/>
      <c r="Y328" s="1276"/>
    </row>
    <row r="329" spans="1:25">
      <c r="A329" s="2522"/>
      <c r="B329" s="2522"/>
      <c r="C329" s="2522"/>
      <c r="D329" s="2522"/>
      <c r="E329" s="1275"/>
      <c r="I329" s="1266"/>
      <c r="J329" s="1266"/>
      <c r="K329" s="1266"/>
      <c r="L329" s="1266"/>
      <c r="M329" s="1266"/>
      <c r="N329" s="1266"/>
      <c r="O329" s="1266"/>
      <c r="P329" s="1259"/>
      <c r="R329" s="1276"/>
      <c r="S329" s="1276"/>
      <c r="T329" s="1276"/>
      <c r="U329" s="1276"/>
      <c r="V329" s="1276"/>
      <c r="W329" s="1276"/>
      <c r="X329" s="1276"/>
      <c r="Y329" s="1276"/>
    </row>
    <row r="330" spans="1:25">
      <c r="A330" s="2522"/>
      <c r="B330" s="2522"/>
      <c r="C330" s="2522"/>
      <c r="D330" s="2522"/>
      <c r="E330" s="1275"/>
      <c r="I330" s="1266"/>
      <c r="J330" s="1266"/>
      <c r="K330" s="1266"/>
      <c r="L330" s="1266"/>
      <c r="M330" s="1266"/>
      <c r="N330" s="1266"/>
      <c r="O330" s="1266"/>
      <c r="P330" s="1259"/>
      <c r="R330" s="1276"/>
      <c r="S330" s="1276"/>
      <c r="T330" s="1276"/>
      <c r="U330" s="1276"/>
      <c r="V330" s="1276"/>
      <c r="W330" s="1276"/>
      <c r="X330" s="1276"/>
      <c r="Y330" s="1276"/>
    </row>
    <row r="331" spans="1:25">
      <c r="A331" s="2522"/>
      <c r="B331" s="2522"/>
      <c r="C331" s="2522"/>
      <c r="D331" s="2522"/>
      <c r="E331" s="1275"/>
      <c r="I331" s="1266"/>
      <c r="J331" s="1266"/>
      <c r="K331" s="1266"/>
      <c r="L331" s="1266"/>
      <c r="M331" s="1266"/>
      <c r="N331" s="1266"/>
      <c r="O331" s="1266"/>
      <c r="P331" s="1277"/>
      <c r="R331" s="1276"/>
      <c r="S331" s="1276"/>
      <c r="T331" s="1276"/>
      <c r="U331" s="1276"/>
      <c r="V331" s="1276"/>
      <c r="W331" s="1276"/>
      <c r="X331" s="1276"/>
      <c r="Y331" s="1276"/>
    </row>
    <row r="332" spans="1:25">
      <c r="A332" s="2522"/>
      <c r="B332" s="2522"/>
      <c r="C332" s="2522"/>
      <c r="D332" s="2522"/>
      <c r="E332" s="1275"/>
      <c r="I332" s="1266"/>
      <c r="J332" s="1266"/>
      <c r="K332" s="1266"/>
      <c r="L332" s="1266"/>
      <c r="M332" s="1266"/>
      <c r="N332" s="1266"/>
      <c r="O332" s="1266"/>
      <c r="P332" s="1259"/>
      <c r="R332" s="1276"/>
      <c r="S332" s="1276"/>
      <c r="T332" s="1276"/>
      <c r="U332" s="1276"/>
      <c r="V332" s="1276"/>
      <c r="W332" s="1276"/>
      <c r="X332" s="1276"/>
      <c r="Y332" s="1276"/>
    </row>
    <row r="333" spans="1:25">
      <c r="A333" s="2522"/>
      <c r="B333" s="2522"/>
      <c r="C333" s="2522"/>
      <c r="D333" s="2522"/>
      <c r="E333" s="1275"/>
      <c r="I333" s="1266"/>
      <c r="J333" s="1266"/>
      <c r="K333" s="1266"/>
      <c r="L333" s="1266"/>
      <c r="M333" s="1266"/>
      <c r="N333" s="1266"/>
      <c r="O333" s="1266"/>
      <c r="P333" s="1259"/>
      <c r="R333" s="1276"/>
      <c r="S333" s="1276"/>
      <c r="T333" s="1276"/>
      <c r="U333" s="1276"/>
      <c r="V333" s="1276"/>
      <c r="W333" s="1276"/>
      <c r="X333" s="1276"/>
      <c r="Y333" s="1276"/>
    </row>
    <row r="334" spans="1:25">
      <c r="A334" s="2522"/>
      <c r="B334" s="2522"/>
      <c r="C334" s="2522"/>
      <c r="D334" s="2522"/>
      <c r="E334" s="1275"/>
      <c r="I334" s="1266"/>
      <c r="J334" s="1266"/>
      <c r="K334" s="1266"/>
      <c r="L334" s="1266"/>
      <c r="M334" s="1266"/>
      <c r="N334" s="1266"/>
      <c r="O334" s="1266"/>
      <c r="P334" s="1259"/>
      <c r="R334" s="1276"/>
      <c r="S334" s="1276"/>
      <c r="T334" s="1276"/>
      <c r="U334" s="1276"/>
      <c r="V334" s="1276"/>
      <c r="W334" s="1276"/>
      <c r="X334" s="1276"/>
      <c r="Y334" s="1276"/>
    </row>
    <row r="335" spans="1:25">
      <c r="A335" s="2522"/>
      <c r="B335" s="2522"/>
      <c r="C335" s="2522"/>
      <c r="D335" s="2522"/>
      <c r="E335" s="1275"/>
      <c r="I335" s="1266"/>
      <c r="J335" s="1266"/>
      <c r="K335" s="1266"/>
      <c r="L335" s="1266"/>
      <c r="M335" s="1266"/>
      <c r="N335" s="1266"/>
      <c r="O335" s="1266"/>
      <c r="P335" s="1259"/>
      <c r="R335" s="1276"/>
      <c r="S335" s="1276"/>
      <c r="T335" s="1276"/>
      <c r="U335" s="1276"/>
      <c r="V335" s="1276"/>
      <c r="W335" s="1276"/>
      <c r="X335" s="1276"/>
      <c r="Y335" s="1276"/>
    </row>
    <row r="336" spans="1:25">
      <c r="A336" s="2522"/>
      <c r="B336" s="2522"/>
      <c r="C336" s="2522"/>
      <c r="D336" s="2522"/>
      <c r="E336" s="1275"/>
      <c r="I336" s="1266"/>
      <c r="J336" s="1266"/>
      <c r="K336" s="1266"/>
      <c r="L336" s="1266"/>
      <c r="M336" s="1266"/>
      <c r="N336" s="1266"/>
      <c r="O336" s="1266"/>
      <c r="P336" s="1259"/>
      <c r="R336" s="1276"/>
      <c r="S336" s="1276"/>
      <c r="T336" s="1276"/>
      <c r="U336" s="1276"/>
      <c r="V336" s="1276"/>
      <c r="W336" s="1276"/>
      <c r="X336" s="1276"/>
      <c r="Y336" s="1276"/>
    </row>
    <row r="337" spans="1:25">
      <c r="A337" s="2522"/>
      <c r="B337" s="2522"/>
      <c r="C337" s="2522"/>
      <c r="D337" s="2522"/>
      <c r="E337" s="1275"/>
      <c r="I337" s="1266"/>
      <c r="J337" s="1266"/>
      <c r="K337" s="1266"/>
      <c r="L337" s="1266"/>
      <c r="M337" s="1266"/>
      <c r="N337" s="1266"/>
      <c r="O337" s="1266"/>
      <c r="P337" s="1259"/>
      <c r="R337" s="1276"/>
      <c r="S337" s="1276"/>
      <c r="T337" s="1276"/>
      <c r="U337" s="1276"/>
      <c r="V337" s="1276"/>
      <c r="W337" s="1276"/>
      <c r="X337" s="1276"/>
      <c r="Y337" s="1276"/>
    </row>
    <row r="338" spans="1:25">
      <c r="A338" s="2522"/>
      <c r="B338" s="2522"/>
      <c r="C338" s="2522"/>
      <c r="D338" s="2522"/>
      <c r="E338" s="1275"/>
      <c r="I338" s="1266"/>
      <c r="J338" s="1266"/>
      <c r="K338" s="1266"/>
      <c r="L338" s="1266"/>
      <c r="M338" s="1266"/>
      <c r="N338" s="1266"/>
      <c r="O338" s="1266"/>
      <c r="P338" s="1259"/>
      <c r="R338" s="1276"/>
      <c r="S338" s="1276"/>
      <c r="T338" s="1276"/>
      <c r="U338" s="1276"/>
      <c r="V338" s="1276"/>
      <c r="W338" s="1276"/>
      <c r="X338" s="1276"/>
      <c r="Y338" s="1276"/>
    </row>
    <row r="339" spans="1:25">
      <c r="A339" s="2522"/>
      <c r="B339" s="2522"/>
      <c r="C339" s="2522"/>
      <c r="D339" s="2522"/>
      <c r="E339" s="1275"/>
      <c r="I339" s="1266"/>
      <c r="J339" s="1266"/>
      <c r="K339" s="1266"/>
      <c r="L339" s="1266"/>
      <c r="M339" s="1266"/>
      <c r="N339" s="1266"/>
      <c r="O339" s="1266"/>
      <c r="P339" s="1259"/>
      <c r="R339" s="1276"/>
      <c r="S339" s="1276"/>
      <c r="T339" s="1276"/>
      <c r="U339" s="1276"/>
      <c r="V339" s="1276"/>
      <c r="W339" s="1276"/>
      <c r="X339" s="1276"/>
      <c r="Y339" s="1276"/>
    </row>
    <row r="340" spans="1:25">
      <c r="A340" s="2522"/>
      <c r="B340" s="2522"/>
      <c r="C340" s="2522"/>
      <c r="D340" s="2522"/>
      <c r="E340" s="1275"/>
      <c r="I340" s="1266"/>
      <c r="J340" s="1266"/>
      <c r="K340" s="1266"/>
      <c r="L340" s="1266"/>
      <c r="M340" s="1266"/>
      <c r="N340" s="1266"/>
      <c r="O340" s="1266"/>
      <c r="P340" s="1259"/>
      <c r="R340" s="1276"/>
      <c r="S340" s="1276"/>
      <c r="T340" s="1276"/>
      <c r="U340" s="1276"/>
      <c r="V340" s="1276"/>
      <c r="W340" s="1276"/>
      <c r="X340" s="1276"/>
      <c r="Y340" s="1276"/>
    </row>
    <row r="341" spans="1:25">
      <c r="A341" s="2522"/>
      <c r="B341" s="2522"/>
      <c r="C341" s="2522"/>
      <c r="D341" s="2522"/>
      <c r="E341" s="1275"/>
      <c r="I341" s="1266"/>
      <c r="J341" s="1266"/>
      <c r="K341" s="1266"/>
      <c r="L341" s="1266"/>
      <c r="M341" s="1266"/>
      <c r="N341" s="1266"/>
      <c r="O341" s="1266"/>
      <c r="P341" s="1259"/>
      <c r="R341" s="1276"/>
      <c r="S341" s="1276"/>
      <c r="T341" s="1276"/>
      <c r="U341" s="1276"/>
      <c r="V341" s="1276"/>
      <c r="W341" s="1276"/>
      <c r="X341" s="1276"/>
      <c r="Y341" s="1276"/>
    </row>
    <row r="342" spans="1:25">
      <c r="A342" s="2522"/>
      <c r="B342" s="2522"/>
      <c r="C342" s="2522"/>
      <c r="D342" s="2522"/>
      <c r="E342" s="1275"/>
      <c r="I342" s="1266"/>
      <c r="J342" s="1266"/>
      <c r="K342" s="1266"/>
      <c r="L342" s="1266"/>
      <c r="M342" s="1266"/>
      <c r="N342" s="1266"/>
      <c r="O342" s="1266"/>
      <c r="P342" s="1259"/>
      <c r="R342" s="1276"/>
      <c r="S342" s="1276"/>
      <c r="T342" s="1276"/>
      <c r="U342" s="1276"/>
      <c r="V342" s="1276"/>
      <c r="W342" s="1276"/>
      <c r="X342" s="1276"/>
      <c r="Y342" s="1276"/>
    </row>
    <row r="343" spans="1:25">
      <c r="A343" s="2522"/>
      <c r="B343" s="2522"/>
      <c r="C343" s="2522"/>
      <c r="D343" s="2522"/>
      <c r="E343" s="1275"/>
      <c r="I343" s="1266"/>
      <c r="J343" s="1266"/>
      <c r="K343" s="1266"/>
      <c r="L343" s="1266"/>
      <c r="M343" s="1266"/>
      <c r="N343" s="1266"/>
      <c r="O343" s="1266"/>
      <c r="P343" s="1259"/>
      <c r="R343" s="1276"/>
      <c r="S343" s="1276"/>
      <c r="T343" s="1276"/>
      <c r="U343" s="1276"/>
      <c r="V343" s="1276"/>
      <c r="W343" s="1276"/>
      <c r="X343" s="1276"/>
      <c r="Y343" s="1276"/>
    </row>
    <row r="344" spans="1:25">
      <c r="A344" s="2522"/>
      <c r="B344" s="2522"/>
      <c r="C344" s="2522"/>
      <c r="D344" s="2522"/>
      <c r="E344" s="1275"/>
      <c r="I344" s="1266"/>
      <c r="J344" s="1266"/>
      <c r="K344" s="1266"/>
      <c r="L344" s="1266"/>
      <c r="M344" s="1266"/>
      <c r="N344" s="1266"/>
      <c r="O344" s="1266"/>
      <c r="P344" s="1259"/>
      <c r="R344" s="1276"/>
      <c r="S344" s="1276"/>
      <c r="T344" s="1276"/>
      <c r="U344" s="1276"/>
      <c r="V344" s="1276"/>
      <c r="W344" s="1276"/>
      <c r="X344" s="1276"/>
      <c r="Y344" s="1276"/>
    </row>
    <row r="345" spans="1:25">
      <c r="A345" s="2522"/>
      <c r="B345" s="2522"/>
      <c r="C345" s="2522"/>
      <c r="D345" s="2522"/>
      <c r="E345" s="1275"/>
      <c r="I345" s="1266"/>
      <c r="J345" s="1266"/>
      <c r="K345" s="1266"/>
      <c r="L345" s="1266"/>
      <c r="M345" s="1266"/>
      <c r="N345" s="1266"/>
      <c r="O345" s="1266"/>
      <c r="P345" s="1259"/>
      <c r="R345" s="1276"/>
      <c r="S345" s="1276"/>
      <c r="T345" s="1276"/>
      <c r="U345" s="1276"/>
      <c r="V345" s="1276"/>
      <c r="W345" s="1276"/>
      <c r="X345" s="1276"/>
      <c r="Y345" s="1276"/>
    </row>
    <row r="346" spans="1:25">
      <c r="A346" s="2522"/>
      <c r="B346" s="2522"/>
      <c r="C346" s="2522"/>
      <c r="D346" s="2522"/>
      <c r="E346" s="1275"/>
      <c r="I346" s="1266"/>
      <c r="J346" s="1266"/>
      <c r="K346" s="1266"/>
      <c r="L346" s="1266"/>
      <c r="M346" s="1266"/>
      <c r="N346" s="1266"/>
      <c r="O346" s="1266"/>
      <c r="P346" s="1259"/>
      <c r="R346" s="1276"/>
      <c r="S346" s="1276"/>
      <c r="T346" s="1276"/>
      <c r="U346" s="1276"/>
      <c r="V346" s="1276"/>
      <c r="W346" s="1276"/>
      <c r="X346" s="1276"/>
      <c r="Y346" s="1276"/>
    </row>
    <row r="347" spans="1:25">
      <c r="A347" s="2522"/>
      <c r="B347" s="2522"/>
      <c r="C347" s="2522"/>
      <c r="D347" s="2522"/>
      <c r="E347" s="1275"/>
      <c r="I347" s="1266"/>
      <c r="J347" s="1266"/>
      <c r="K347" s="1266"/>
      <c r="L347" s="1266"/>
      <c r="M347" s="1266"/>
      <c r="N347" s="1266"/>
      <c r="O347" s="1266"/>
      <c r="P347" s="1259"/>
      <c r="R347" s="1276"/>
      <c r="S347" s="1276"/>
      <c r="T347" s="1276"/>
      <c r="U347" s="1276"/>
      <c r="V347" s="1276"/>
      <c r="W347" s="1276"/>
      <c r="X347" s="1276"/>
      <c r="Y347" s="1276"/>
    </row>
    <row r="348" spans="1:25">
      <c r="A348" s="2522"/>
      <c r="B348" s="2522"/>
      <c r="C348" s="2522"/>
      <c r="D348" s="2522"/>
      <c r="E348" s="1275"/>
      <c r="I348" s="1266"/>
      <c r="J348" s="1266"/>
      <c r="K348" s="1266"/>
      <c r="L348" s="1266"/>
      <c r="M348" s="1266"/>
      <c r="N348" s="1266"/>
      <c r="O348" s="1266"/>
      <c r="P348" s="1259"/>
      <c r="R348" s="1276"/>
      <c r="S348" s="1276"/>
      <c r="T348" s="1276"/>
      <c r="U348" s="1276"/>
      <c r="V348" s="1276"/>
      <c r="W348" s="1276"/>
      <c r="X348" s="1276"/>
      <c r="Y348" s="1276"/>
    </row>
    <row r="349" spans="1:25">
      <c r="A349" s="2522"/>
      <c r="B349" s="2522"/>
      <c r="C349" s="2522"/>
      <c r="D349" s="2522"/>
      <c r="E349" s="1275"/>
      <c r="I349" s="1266"/>
      <c r="J349" s="1266"/>
      <c r="K349" s="1266"/>
      <c r="L349" s="1266"/>
      <c r="M349" s="1266"/>
      <c r="N349" s="1266"/>
      <c r="O349" s="1266"/>
      <c r="P349" s="1259"/>
      <c r="R349" s="1276"/>
      <c r="S349" s="1276"/>
      <c r="T349" s="1276"/>
      <c r="U349" s="1276"/>
      <c r="V349" s="1276"/>
      <c r="W349" s="1276"/>
      <c r="X349" s="1276"/>
      <c r="Y349" s="1276"/>
    </row>
    <row r="350" spans="1:25">
      <c r="A350" s="2522"/>
      <c r="B350" s="2522"/>
      <c r="C350" s="2522"/>
      <c r="D350" s="2522"/>
      <c r="E350" s="1275"/>
      <c r="I350" s="1266"/>
      <c r="J350" s="1266"/>
      <c r="K350" s="1266"/>
      <c r="L350" s="1266"/>
      <c r="M350" s="1266"/>
      <c r="N350" s="1266"/>
      <c r="O350" s="1266"/>
      <c r="P350" s="1277"/>
      <c r="R350" s="1276"/>
      <c r="S350" s="1276"/>
      <c r="T350" s="1276"/>
      <c r="U350" s="1276"/>
      <c r="V350" s="1276"/>
      <c r="W350" s="1276"/>
      <c r="X350" s="1276"/>
      <c r="Y350" s="1276"/>
    </row>
    <row r="351" spans="1:25">
      <c r="A351" s="2522"/>
      <c r="B351" s="2522"/>
      <c r="C351" s="2522"/>
      <c r="D351" s="2522"/>
      <c r="E351" s="1275"/>
      <c r="I351" s="1266"/>
      <c r="J351" s="1266"/>
      <c r="K351" s="1266"/>
      <c r="L351" s="1266"/>
      <c r="M351" s="1266"/>
      <c r="N351" s="1266"/>
      <c r="O351" s="1266"/>
      <c r="P351" s="1259"/>
      <c r="R351" s="1276"/>
      <c r="S351" s="1276"/>
      <c r="T351" s="1276"/>
      <c r="U351" s="1276"/>
      <c r="V351" s="1276"/>
      <c r="W351" s="1276"/>
      <c r="X351" s="1276"/>
      <c r="Y351" s="1276"/>
    </row>
    <row r="352" spans="1:25">
      <c r="A352" s="2522"/>
      <c r="B352" s="2522"/>
      <c r="C352" s="2522"/>
      <c r="D352" s="2522"/>
      <c r="E352" s="1275"/>
      <c r="I352" s="1266"/>
      <c r="J352" s="1266"/>
      <c r="K352" s="1266"/>
      <c r="L352" s="1266"/>
      <c r="M352" s="1266"/>
      <c r="N352" s="1266"/>
      <c r="O352" s="1266"/>
      <c r="P352" s="1259"/>
      <c r="R352" s="1276"/>
      <c r="S352" s="1276"/>
      <c r="T352" s="1276"/>
      <c r="U352" s="1276"/>
      <c r="V352" s="1276"/>
      <c r="W352" s="1276"/>
      <c r="X352" s="1276"/>
      <c r="Y352" s="1276"/>
    </row>
    <row r="353" spans="1:25">
      <c r="A353" s="2522"/>
      <c r="B353" s="2522"/>
      <c r="C353" s="2522"/>
      <c r="D353" s="2522"/>
      <c r="E353" s="1275"/>
      <c r="I353" s="1266"/>
      <c r="J353" s="1266"/>
      <c r="K353" s="1266"/>
      <c r="L353" s="1266"/>
      <c r="M353" s="1266"/>
      <c r="N353" s="1266"/>
      <c r="O353" s="1266"/>
      <c r="P353" s="1259"/>
      <c r="R353" s="1276"/>
      <c r="S353" s="1276"/>
      <c r="T353" s="1276"/>
      <c r="U353" s="1276"/>
      <c r="V353" s="1276"/>
      <c r="W353" s="1276"/>
      <c r="X353" s="1276"/>
      <c r="Y353" s="1276"/>
    </row>
    <row r="354" spans="1:25">
      <c r="A354" s="2522"/>
      <c r="B354" s="2522"/>
      <c r="C354" s="2522"/>
      <c r="D354" s="2522"/>
      <c r="E354" s="1275"/>
      <c r="I354" s="1266"/>
      <c r="J354" s="1266"/>
      <c r="K354" s="1266"/>
      <c r="L354" s="1266"/>
      <c r="M354" s="1266"/>
      <c r="N354" s="1266"/>
      <c r="O354" s="1266"/>
      <c r="P354" s="1277"/>
      <c r="R354" s="1276"/>
      <c r="S354" s="1276"/>
      <c r="T354" s="1276"/>
      <c r="U354" s="1276"/>
      <c r="V354" s="1276"/>
      <c r="W354" s="1276"/>
      <c r="X354" s="1276"/>
      <c r="Y354" s="1276"/>
    </row>
    <row r="355" spans="1:25">
      <c r="A355" s="2522"/>
      <c r="B355" s="2522"/>
      <c r="C355" s="2522"/>
      <c r="D355" s="2522"/>
      <c r="E355" s="1275"/>
      <c r="I355" s="1266"/>
      <c r="J355" s="1266"/>
      <c r="K355" s="1266"/>
      <c r="L355" s="1266"/>
      <c r="M355" s="1266"/>
      <c r="N355" s="1266"/>
      <c r="O355" s="1266"/>
      <c r="P355" s="1259"/>
      <c r="R355" s="1276"/>
      <c r="S355" s="1276"/>
      <c r="T355" s="1276"/>
      <c r="U355" s="1276"/>
      <c r="V355" s="1276"/>
      <c r="W355" s="1276"/>
      <c r="X355" s="1276"/>
      <c r="Y355" s="1276"/>
    </row>
    <row r="356" spans="1:25">
      <c r="A356" s="2522"/>
      <c r="B356" s="2522"/>
      <c r="C356" s="2522"/>
      <c r="D356" s="2522"/>
      <c r="E356" s="1275"/>
      <c r="I356" s="1266"/>
      <c r="J356" s="1266"/>
      <c r="K356" s="1266"/>
      <c r="L356" s="1266"/>
      <c r="M356" s="1266"/>
      <c r="N356" s="1266"/>
      <c r="O356" s="1266"/>
      <c r="P356" s="1259"/>
      <c r="R356" s="1276"/>
      <c r="S356" s="1276"/>
      <c r="T356" s="1276"/>
      <c r="U356" s="1276"/>
      <c r="V356" s="1276"/>
      <c r="W356" s="1276"/>
      <c r="X356" s="1276"/>
      <c r="Y356" s="1276"/>
    </row>
    <row r="357" spans="1:25">
      <c r="A357" s="2522"/>
      <c r="B357" s="2522"/>
      <c r="C357" s="2522"/>
      <c r="D357" s="2522"/>
      <c r="E357" s="1275"/>
      <c r="I357" s="1266"/>
      <c r="J357" s="1266"/>
      <c r="K357" s="1266"/>
      <c r="L357" s="1266"/>
      <c r="M357" s="1266"/>
      <c r="N357" s="1266"/>
      <c r="O357" s="1266"/>
      <c r="P357" s="1259"/>
      <c r="R357" s="1276"/>
      <c r="S357" s="1276"/>
      <c r="T357" s="1276"/>
      <c r="U357" s="1276"/>
      <c r="V357" s="1276"/>
      <c r="W357" s="1276"/>
      <c r="X357" s="1276"/>
      <c r="Y357" s="1276"/>
    </row>
    <row r="358" spans="1:25">
      <c r="A358" s="2522"/>
      <c r="B358" s="2522"/>
      <c r="C358" s="2522"/>
      <c r="D358" s="2522"/>
      <c r="E358" s="1275"/>
      <c r="I358" s="1266"/>
      <c r="J358" s="1266"/>
      <c r="K358" s="1266"/>
      <c r="L358" s="1266"/>
      <c r="M358" s="1266"/>
      <c r="N358" s="1266"/>
      <c r="O358" s="1266"/>
      <c r="P358" s="1259"/>
      <c r="R358" s="1276"/>
      <c r="S358" s="1276"/>
      <c r="T358" s="1276"/>
      <c r="U358" s="1276"/>
      <c r="V358" s="1276"/>
      <c r="W358" s="1276"/>
      <c r="X358" s="1276"/>
      <c r="Y358" s="1276"/>
    </row>
    <row r="359" spans="1:25">
      <c r="A359" s="2522"/>
      <c r="B359" s="2522"/>
      <c r="C359" s="2522"/>
      <c r="D359" s="2522"/>
      <c r="E359" s="1275"/>
      <c r="I359" s="1266"/>
      <c r="J359" s="1266"/>
      <c r="K359" s="1266"/>
      <c r="L359" s="1266"/>
      <c r="M359" s="1266"/>
      <c r="N359" s="1266"/>
      <c r="O359" s="1266"/>
      <c r="P359" s="1259"/>
      <c r="R359" s="1276"/>
      <c r="S359" s="1276"/>
      <c r="T359" s="1276"/>
      <c r="U359" s="1276"/>
      <c r="V359" s="1276"/>
      <c r="W359" s="1276"/>
      <c r="X359" s="1276"/>
      <c r="Y359" s="1276"/>
    </row>
    <row r="360" spans="1:25">
      <c r="A360" s="2522"/>
      <c r="B360" s="2522"/>
      <c r="C360" s="2522"/>
      <c r="D360" s="2522"/>
      <c r="E360" s="1275"/>
      <c r="R360" s="1276"/>
      <c r="S360" s="1276"/>
      <c r="T360" s="1276"/>
      <c r="U360" s="1276"/>
      <c r="V360" s="1276"/>
      <c r="W360" s="1276"/>
      <c r="X360" s="1276"/>
      <c r="Y360" s="1276"/>
    </row>
    <row r="361" spans="1:25">
      <c r="A361" s="2522"/>
      <c r="B361" s="2522"/>
      <c r="C361" s="2522"/>
      <c r="D361" s="2522"/>
      <c r="E361" s="1275"/>
      <c r="R361" s="1276"/>
      <c r="S361" s="1276"/>
      <c r="T361" s="1276"/>
      <c r="U361" s="1276"/>
      <c r="V361" s="1276"/>
      <c r="W361" s="1276"/>
      <c r="X361" s="1276"/>
      <c r="Y361" s="1276"/>
    </row>
    <row r="362" spans="1:25">
      <c r="A362" s="2522"/>
      <c r="B362" s="2522"/>
      <c r="C362" s="2522"/>
      <c r="D362" s="2522"/>
      <c r="E362" s="1275"/>
      <c r="R362" s="1276"/>
      <c r="S362" s="1276"/>
      <c r="T362" s="1276"/>
      <c r="U362" s="1276"/>
      <c r="V362" s="1276"/>
      <c r="W362" s="1276"/>
      <c r="X362" s="1276"/>
      <c r="Y362" s="1276"/>
    </row>
    <row r="363" spans="1:25">
      <c r="A363" s="2522"/>
      <c r="B363" s="2522"/>
      <c r="C363" s="2522"/>
      <c r="D363" s="2522"/>
      <c r="E363" s="1275"/>
      <c r="R363" s="1276"/>
      <c r="S363" s="1276"/>
      <c r="T363" s="1276"/>
      <c r="U363" s="1276"/>
      <c r="V363" s="1276"/>
      <c r="W363" s="1276"/>
      <c r="X363" s="1276"/>
      <c r="Y363" s="1276"/>
    </row>
    <row r="364" spans="1:25">
      <c r="A364" s="2522"/>
      <c r="B364" s="2522"/>
      <c r="C364" s="2522"/>
      <c r="D364" s="2522"/>
      <c r="E364" s="1275"/>
      <c r="R364" s="1276"/>
      <c r="S364" s="1276"/>
      <c r="T364" s="1276"/>
      <c r="U364" s="1276"/>
      <c r="V364" s="1276"/>
      <c r="W364" s="1276"/>
      <c r="X364" s="1276"/>
      <c r="Y364" s="1276"/>
    </row>
    <row r="365" spans="1:25">
      <c r="A365" s="2522"/>
      <c r="B365" s="2522"/>
      <c r="C365" s="2522"/>
      <c r="D365" s="2522"/>
      <c r="E365" s="1275"/>
      <c r="R365" s="1276"/>
      <c r="S365" s="1276"/>
      <c r="T365" s="1276"/>
      <c r="U365" s="1276"/>
      <c r="V365" s="1276"/>
      <c r="W365" s="1276"/>
      <c r="X365" s="1276"/>
      <c r="Y365" s="1276"/>
    </row>
    <row r="366" spans="1:25">
      <c r="A366" s="2522"/>
      <c r="B366" s="2522"/>
      <c r="C366" s="2522"/>
      <c r="D366" s="2522"/>
      <c r="E366" s="1275"/>
      <c r="R366" s="1276"/>
      <c r="S366" s="1276"/>
      <c r="T366" s="1276"/>
      <c r="U366" s="1276"/>
      <c r="V366" s="1276"/>
      <c r="W366" s="1276"/>
      <c r="X366" s="1276"/>
      <c r="Y366" s="1276"/>
    </row>
    <row r="367" spans="1:25">
      <c r="A367" s="2522"/>
      <c r="B367" s="2522"/>
      <c r="C367" s="2522"/>
      <c r="D367" s="2522"/>
      <c r="E367" s="1275"/>
      <c r="R367" s="1276"/>
      <c r="S367" s="1276"/>
      <c r="T367" s="1276"/>
      <c r="U367" s="1276"/>
      <c r="V367" s="1276"/>
      <c r="W367" s="1276"/>
      <c r="X367" s="1276"/>
      <c r="Y367" s="1276"/>
    </row>
    <row r="368" spans="1:25">
      <c r="A368" s="2522"/>
      <c r="B368" s="2522"/>
      <c r="C368" s="2522"/>
      <c r="D368" s="2522"/>
      <c r="E368" s="1275"/>
      <c r="R368" s="1276"/>
      <c r="S368" s="1276"/>
      <c r="T368" s="1276"/>
      <c r="U368" s="1276"/>
      <c r="V368" s="1276"/>
      <c r="W368" s="1276"/>
      <c r="X368" s="1276"/>
      <c r="Y368" s="1276"/>
    </row>
    <row r="369" spans="1:25">
      <c r="A369" s="2522"/>
      <c r="B369" s="2522"/>
      <c r="C369" s="2522"/>
      <c r="D369" s="2522"/>
      <c r="E369" s="1275"/>
      <c r="R369" s="1276"/>
      <c r="S369" s="1276"/>
      <c r="T369" s="1276"/>
      <c r="U369" s="1276"/>
      <c r="V369" s="1276"/>
      <c r="W369" s="1276"/>
      <c r="X369" s="1276"/>
      <c r="Y369" s="1276"/>
    </row>
    <row r="370" spans="1:25">
      <c r="A370" s="2522"/>
      <c r="B370" s="2522"/>
      <c r="C370" s="2522"/>
      <c r="D370" s="2522"/>
      <c r="E370" s="1275"/>
      <c r="R370" s="1276"/>
      <c r="S370" s="1276"/>
      <c r="T370" s="1276"/>
      <c r="U370" s="1276"/>
      <c r="V370" s="1276"/>
      <c r="W370" s="1276"/>
      <c r="X370" s="1276"/>
      <c r="Y370" s="1276"/>
    </row>
    <row r="371" spans="1:25">
      <c r="A371" s="2522"/>
      <c r="B371" s="2522"/>
      <c r="C371" s="2522"/>
      <c r="D371" s="2522"/>
      <c r="E371" s="1275"/>
      <c r="R371" s="1276"/>
      <c r="S371" s="1276"/>
      <c r="T371" s="1276"/>
      <c r="U371" s="1276"/>
      <c r="V371" s="1276"/>
      <c r="W371" s="1276"/>
      <c r="X371" s="1276"/>
      <c r="Y371" s="1276"/>
    </row>
    <row r="372" spans="1:25">
      <c r="A372" s="2522"/>
      <c r="B372" s="2522"/>
      <c r="C372" s="2522"/>
      <c r="D372" s="2522"/>
      <c r="E372" s="1275"/>
      <c r="R372" s="1276"/>
      <c r="S372" s="1276"/>
      <c r="T372" s="1276"/>
      <c r="U372" s="1276"/>
      <c r="V372" s="1276"/>
      <c r="W372" s="1276"/>
      <c r="X372" s="1276"/>
      <c r="Y372" s="1276"/>
    </row>
    <row r="373" spans="1:25">
      <c r="A373" s="2522"/>
      <c r="B373" s="2522"/>
      <c r="C373" s="2522"/>
      <c r="D373" s="2522"/>
      <c r="E373" s="1275"/>
      <c r="R373" s="1276"/>
      <c r="S373" s="1276"/>
      <c r="T373" s="1276"/>
      <c r="U373" s="1276"/>
      <c r="V373" s="1276"/>
      <c r="W373" s="1276"/>
      <c r="X373" s="1276"/>
      <c r="Y373" s="1276"/>
    </row>
    <row r="374" spans="1:25">
      <c r="A374" s="2522"/>
      <c r="B374" s="2522"/>
      <c r="C374" s="2522"/>
      <c r="D374" s="2522"/>
      <c r="E374" s="1275"/>
      <c r="R374" s="1276"/>
      <c r="S374" s="1276"/>
      <c r="T374" s="1276"/>
      <c r="U374" s="1276"/>
      <c r="V374" s="1276"/>
      <c r="W374" s="1276"/>
      <c r="X374" s="1276"/>
      <c r="Y374" s="1276"/>
    </row>
    <row r="375" spans="1:25">
      <c r="A375" s="2522"/>
      <c r="B375" s="2522"/>
      <c r="C375" s="2522"/>
      <c r="D375" s="2522"/>
      <c r="E375" s="1275"/>
      <c r="R375" s="1276"/>
      <c r="S375" s="1276"/>
      <c r="T375" s="1276"/>
      <c r="U375" s="1276"/>
      <c r="V375" s="1276"/>
      <c r="W375" s="1276"/>
      <c r="X375" s="1276"/>
      <c r="Y375" s="1276"/>
    </row>
    <row r="376" spans="1:25">
      <c r="A376" s="2522"/>
      <c r="B376" s="2522"/>
      <c r="C376" s="2522"/>
      <c r="D376" s="2522"/>
      <c r="E376" s="1275"/>
      <c r="R376" s="1276"/>
      <c r="S376" s="1276"/>
      <c r="T376" s="1276"/>
      <c r="U376" s="1276"/>
      <c r="V376" s="1276"/>
      <c r="W376" s="1276"/>
      <c r="X376" s="1276"/>
      <c r="Y376" s="1276"/>
    </row>
    <row r="377" spans="1:25">
      <c r="A377" s="2522"/>
      <c r="B377" s="2522"/>
      <c r="C377" s="2522"/>
      <c r="D377" s="2522"/>
      <c r="E377" s="1275"/>
      <c r="R377" s="1276"/>
      <c r="S377" s="1276"/>
      <c r="T377" s="1276"/>
      <c r="U377" s="1276"/>
      <c r="V377" s="1276"/>
      <c r="W377" s="1276"/>
      <c r="X377" s="1276"/>
      <c r="Y377" s="1276"/>
    </row>
    <row r="378" spans="1:25">
      <c r="A378" s="2522"/>
      <c r="B378" s="2522"/>
      <c r="C378" s="2522"/>
      <c r="D378" s="2522"/>
      <c r="E378" s="1275"/>
      <c r="R378" s="1276"/>
      <c r="S378" s="1276"/>
      <c r="T378" s="1276"/>
      <c r="U378" s="1276"/>
      <c r="V378" s="1276"/>
      <c r="W378" s="1276"/>
      <c r="X378" s="1276"/>
      <c r="Y378" s="1276"/>
    </row>
    <row r="379" spans="1:25">
      <c r="A379" s="2522"/>
      <c r="B379" s="2522"/>
      <c r="C379" s="2522"/>
      <c r="D379" s="2522"/>
      <c r="E379" s="1275"/>
      <c r="R379" s="1276"/>
      <c r="S379" s="1276"/>
      <c r="T379" s="1276"/>
      <c r="U379" s="1276"/>
      <c r="V379" s="1276"/>
      <c r="W379" s="1276"/>
      <c r="X379" s="1276"/>
      <c r="Y379" s="1276"/>
    </row>
    <row r="380" spans="1:25">
      <c r="A380" s="2522"/>
      <c r="B380" s="2522"/>
      <c r="C380" s="2522"/>
      <c r="D380" s="2522"/>
      <c r="E380" s="1275"/>
      <c r="R380" s="1276"/>
      <c r="S380" s="1276"/>
      <c r="T380" s="1276"/>
      <c r="U380" s="1276"/>
      <c r="V380" s="1276"/>
      <c r="W380" s="1276"/>
      <c r="X380" s="1276"/>
      <c r="Y380" s="1276"/>
    </row>
    <row r="381" spans="1:25">
      <c r="A381" s="2522"/>
      <c r="B381" s="2522"/>
      <c r="C381" s="2522"/>
      <c r="D381" s="2522"/>
      <c r="E381" s="1275"/>
      <c r="R381" s="1276"/>
      <c r="S381" s="1276"/>
      <c r="T381" s="1276"/>
      <c r="U381" s="1276"/>
      <c r="V381" s="1276"/>
      <c r="W381" s="1276"/>
      <c r="X381" s="1276"/>
      <c r="Y381" s="1276"/>
    </row>
    <row r="382" spans="1:25">
      <c r="A382" s="2522"/>
      <c r="B382" s="2522"/>
      <c r="C382" s="2522"/>
      <c r="D382" s="2522"/>
      <c r="E382" s="1275"/>
      <c r="R382" s="1276"/>
      <c r="S382" s="1276"/>
      <c r="T382" s="1276"/>
      <c r="U382" s="1276"/>
      <c r="V382" s="1276"/>
      <c r="W382" s="1276"/>
      <c r="X382" s="1276"/>
      <c r="Y382" s="1276"/>
    </row>
    <row r="383" spans="1:25">
      <c r="A383" s="2522"/>
      <c r="B383" s="2522"/>
      <c r="C383" s="2522"/>
      <c r="D383" s="2522"/>
      <c r="E383" s="1275"/>
      <c r="R383" s="1276"/>
      <c r="S383" s="1276"/>
      <c r="T383" s="1276"/>
      <c r="U383" s="1276"/>
      <c r="V383" s="1276"/>
      <c r="W383" s="1276"/>
      <c r="X383" s="1276"/>
      <c r="Y383" s="1276"/>
    </row>
    <row r="384" spans="1:25">
      <c r="A384" s="2522"/>
      <c r="B384" s="2522"/>
      <c r="C384" s="2522"/>
      <c r="D384" s="2522"/>
      <c r="E384" s="1275"/>
      <c r="R384" s="1276"/>
      <c r="S384" s="1276"/>
      <c r="T384" s="1276"/>
      <c r="U384" s="1276"/>
      <c r="V384" s="1276"/>
      <c r="W384" s="1276"/>
      <c r="X384" s="1276"/>
      <c r="Y384" s="1276"/>
    </row>
    <row r="385" spans="1:25">
      <c r="A385" s="2522"/>
      <c r="B385" s="2522"/>
      <c r="C385" s="2522"/>
      <c r="D385" s="2522"/>
      <c r="E385" s="1275"/>
      <c r="R385" s="1276"/>
      <c r="S385" s="1276"/>
      <c r="T385" s="1276"/>
      <c r="U385" s="1276"/>
      <c r="V385" s="1276"/>
      <c r="W385" s="1276"/>
      <c r="X385" s="1276"/>
      <c r="Y385" s="1276"/>
    </row>
    <row r="386" spans="1:25">
      <c r="A386" s="2522"/>
      <c r="B386" s="2522"/>
      <c r="C386" s="2522"/>
      <c r="D386" s="2522"/>
      <c r="E386" s="1275"/>
      <c r="R386" s="1276"/>
      <c r="S386" s="1276"/>
      <c r="T386" s="1276"/>
      <c r="U386" s="1276"/>
      <c r="V386" s="1276"/>
      <c r="W386" s="1276"/>
      <c r="X386" s="1276"/>
      <c r="Y386" s="1276"/>
    </row>
    <row r="387" spans="1:25">
      <c r="A387" s="2522"/>
      <c r="B387" s="2522"/>
      <c r="C387" s="2522"/>
      <c r="D387" s="2522"/>
      <c r="E387" s="1275"/>
      <c r="R387" s="1276"/>
      <c r="S387" s="1276"/>
      <c r="T387" s="1276"/>
      <c r="U387" s="1276"/>
      <c r="V387" s="1276"/>
      <c r="W387" s="1276"/>
      <c r="X387" s="1276"/>
      <c r="Y387" s="1276"/>
    </row>
    <row r="388" spans="1:25">
      <c r="A388" s="2522"/>
      <c r="B388" s="2522"/>
      <c r="C388" s="2522"/>
      <c r="D388" s="2522"/>
      <c r="E388" s="1275"/>
      <c r="R388" s="1276"/>
      <c r="S388" s="1276"/>
      <c r="T388" s="1276"/>
      <c r="U388" s="1276"/>
      <c r="V388" s="1276"/>
      <c r="W388" s="1276"/>
      <c r="X388" s="1276"/>
      <c r="Y388" s="1276"/>
    </row>
    <row r="389" spans="1:25">
      <c r="A389" s="2522"/>
      <c r="B389" s="2522"/>
      <c r="C389" s="2522"/>
      <c r="D389" s="2522"/>
      <c r="E389" s="1275"/>
      <c r="R389" s="1276"/>
      <c r="S389" s="1276"/>
      <c r="T389" s="1276"/>
      <c r="U389" s="1276"/>
      <c r="V389" s="1276"/>
      <c r="W389" s="1276"/>
      <c r="X389" s="1276"/>
      <c r="Y389" s="1276"/>
    </row>
    <row r="390" spans="1:25">
      <c r="A390" s="2522"/>
      <c r="B390" s="2522"/>
      <c r="C390" s="2522"/>
      <c r="D390" s="2522"/>
      <c r="E390" s="1275"/>
      <c r="R390" s="1276"/>
      <c r="S390" s="1276"/>
      <c r="T390" s="1276"/>
      <c r="U390" s="1276"/>
      <c r="V390" s="1276"/>
      <c r="W390" s="1276"/>
      <c r="X390" s="1276"/>
      <c r="Y390" s="1276"/>
    </row>
    <row r="391" spans="1:25">
      <c r="A391" s="2522"/>
      <c r="B391" s="2522"/>
      <c r="C391" s="2522"/>
      <c r="D391" s="2522"/>
      <c r="E391" s="1275"/>
      <c r="R391" s="1276"/>
      <c r="S391" s="1276"/>
      <c r="T391" s="1276"/>
      <c r="U391" s="1276"/>
      <c r="V391" s="1276"/>
      <c r="W391" s="1276"/>
      <c r="X391" s="1276"/>
      <c r="Y391" s="1276"/>
    </row>
    <row r="392" spans="1:25">
      <c r="A392" s="2522"/>
      <c r="B392" s="2522"/>
      <c r="C392" s="2522"/>
      <c r="D392" s="2522"/>
      <c r="E392" s="1275"/>
      <c r="R392" s="1276"/>
      <c r="S392" s="1276"/>
      <c r="T392" s="1276"/>
      <c r="U392" s="1276"/>
      <c r="V392" s="1276"/>
      <c r="W392" s="1276"/>
      <c r="X392" s="1276"/>
      <c r="Y392" s="1276"/>
    </row>
    <row r="393" spans="1:25">
      <c r="A393" s="2522"/>
      <c r="B393" s="2522"/>
      <c r="C393" s="2522"/>
      <c r="D393" s="2522"/>
      <c r="E393" s="1275"/>
      <c r="R393" s="1276"/>
      <c r="S393" s="1276"/>
      <c r="T393" s="1276"/>
      <c r="U393" s="1276"/>
      <c r="V393" s="1276"/>
      <c r="W393" s="1276"/>
      <c r="X393" s="1276"/>
      <c r="Y393" s="1276"/>
    </row>
    <row r="394" spans="1:25">
      <c r="A394" s="2522"/>
      <c r="B394" s="2522"/>
      <c r="C394" s="2522"/>
      <c r="D394" s="2522"/>
      <c r="E394" s="1275"/>
      <c r="R394" s="1276"/>
      <c r="S394" s="1276"/>
      <c r="T394" s="1276"/>
      <c r="U394" s="1276"/>
      <c r="V394" s="1276"/>
      <c r="W394" s="1276"/>
      <c r="X394" s="1276"/>
      <c r="Y394" s="1276"/>
    </row>
    <row r="395" spans="1:25">
      <c r="A395" s="2522"/>
      <c r="B395" s="2522"/>
      <c r="C395" s="2522"/>
      <c r="D395" s="2522"/>
      <c r="E395" s="1275"/>
      <c r="R395" s="1276"/>
      <c r="S395" s="1276"/>
      <c r="T395" s="1276"/>
      <c r="U395" s="1276"/>
      <c r="V395" s="1276"/>
      <c r="W395" s="1276"/>
      <c r="X395" s="1276"/>
      <c r="Y395" s="1276"/>
    </row>
    <row r="396" spans="1:25">
      <c r="A396" s="2522"/>
      <c r="B396" s="2522"/>
      <c r="C396" s="2522"/>
      <c r="D396" s="2522"/>
      <c r="E396" s="1275"/>
      <c r="R396" s="1276"/>
      <c r="S396" s="1276"/>
      <c r="T396" s="1276"/>
      <c r="U396" s="1276"/>
      <c r="V396" s="1276"/>
      <c r="W396" s="1276"/>
      <c r="X396" s="1276"/>
      <c r="Y396" s="1276"/>
    </row>
    <row r="397" spans="1:25">
      <c r="A397" s="2522"/>
      <c r="B397" s="2522"/>
      <c r="C397" s="2522"/>
      <c r="D397" s="2522"/>
      <c r="E397" s="1275"/>
      <c r="R397" s="1276"/>
      <c r="S397" s="1276"/>
      <c r="T397" s="1276"/>
      <c r="U397" s="1276"/>
      <c r="V397" s="1276"/>
      <c r="W397" s="1276"/>
      <c r="X397" s="1276"/>
      <c r="Y397" s="1276"/>
    </row>
    <row r="398" spans="1:25">
      <c r="A398" s="2522"/>
      <c r="B398" s="2522"/>
      <c r="C398" s="2522"/>
      <c r="D398" s="2522"/>
      <c r="E398" s="1275"/>
      <c r="R398" s="1276"/>
      <c r="S398" s="1276"/>
      <c r="T398" s="1276"/>
      <c r="U398" s="1276"/>
      <c r="V398" s="1276"/>
      <c r="W398" s="1276"/>
      <c r="X398" s="1276"/>
      <c r="Y398" s="1276"/>
    </row>
    <row r="399" spans="1:25">
      <c r="A399" s="2522"/>
      <c r="B399" s="2522"/>
      <c r="C399" s="2522"/>
      <c r="D399" s="2522"/>
      <c r="E399" s="1275"/>
      <c r="R399" s="1276"/>
      <c r="S399" s="1276"/>
      <c r="T399" s="1276"/>
      <c r="U399" s="1276"/>
      <c r="V399" s="1276"/>
      <c r="W399" s="1276"/>
      <c r="X399" s="1276"/>
      <c r="Y399" s="1276"/>
    </row>
    <row r="400" spans="1:25">
      <c r="A400" s="2522"/>
      <c r="B400" s="2522"/>
      <c r="C400" s="2522"/>
      <c r="D400" s="2522"/>
      <c r="E400" s="1275"/>
      <c r="R400" s="1276"/>
      <c r="S400" s="1276"/>
      <c r="T400" s="1276"/>
      <c r="U400" s="1276"/>
      <c r="V400" s="1276"/>
      <c r="W400" s="1276"/>
      <c r="X400" s="1276"/>
      <c r="Y400" s="1276"/>
    </row>
    <row r="401" spans="1:25">
      <c r="A401" s="2522"/>
      <c r="B401" s="2522"/>
      <c r="C401" s="2522"/>
      <c r="D401" s="2522"/>
      <c r="E401" s="1275"/>
      <c r="R401" s="1276"/>
      <c r="S401" s="1276"/>
      <c r="T401" s="1276"/>
      <c r="U401" s="1276"/>
      <c r="V401" s="1276"/>
      <c r="W401" s="1276"/>
      <c r="X401" s="1276"/>
      <c r="Y401" s="1276"/>
    </row>
    <row r="402" spans="1:25">
      <c r="A402" s="2522"/>
      <c r="B402" s="2522"/>
      <c r="C402" s="2522"/>
      <c r="D402" s="2522"/>
      <c r="E402" s="1275"/>
      <c r="R402" s="1276"/>
      <c r="S402" s="1276"/>
      <c r="T402" s="1276"/>
      <c r="U402" s="1276"/>
      <c r="V402" s="1276"/>
      <c r="W402" s="1276"/>
      <c r="X402" s="1276"/>
      <c r="Y402" s="1276"/>
    </row>
    <row r="403" spans="1:25">
      <c r="A403" s="2522"/>
      <c r="B403" s="2522"/>
      <c r="C403" s="2522"/>
      <c r="D403" s="2522"/>
      <c r="E403" s="1275"/>
      <c r="R403" s="1276"/>
      <c r="S403" s="1276"/>
      <c r="T403" s="1276"/>
      <c r="U403" s="1276"/>
      <c r="V403" s="1276"/>
      <c r="W403" s="1276"/>
      <c r="X403" s="1276"/>
      <c r="Y403" s="1276"/>
    </row>
    <row r="404" spans="1:25">
      <c r="A404" s="2522"/>
      <c r="B404" s="2522"/>
      <c r="C404" s="2522"/>
      <c r="D404" s="2522"/>
      <c r="E404" s="1275"/>
      <c r="R404" s="1276"/>
      <c r="S404" s="1276"/>
      <c r="T404" s="1276"/>
      <c r="U404" s="1276"/>
      <c r="V404" s="1276"/>
      <c r="W404" s="1276"/>
      <c r="X404" s="1276"/>
      <c r="Y404" s="1276"/>
    </row>
    <row r="405" spans="1:25">
      <c r="A405" s="2522"/>
      <c r="B405" s="2522"/>
      <c r="C405" s="2522"/>
      <c r="D405" s="2522"/>
      <c r="E405" s="1275"/>
      <c r="R405" s="1276"/>
      <c r="S405" s="1276"/>
      <c r="T405" s="1276"/>
      <c r="U405" s="1276"/>
      <c r="V405" s="1276"/>
      <c r="W405" s="1276"/>
      <c r="X405" s="1276"/>
      <c r="Y405" s="1276"/>
    </row>
    <row r="406" spans="1:25">
      <c r="A406" s="2522"/>
      <c r="B406" s="2522"/>
      <c r="C406" s="2522"/>
      <c r="D406" s="2522"/>
      <c r="E406" s="1275"/>
      <c r="R406" s="1276"/>
      <c r="S406" s="1276"/>
      <c r="T406" s="1276"/>
      <c r="U406" s="1276"/>
      <c r="V406" s="1276"/>
      <c r="W406" s="1276"/>
      <c r="X406" s="1276"/>
      <c r="Y406" s="1276"/>
    </row>
    <row r="407" spans="1:25">
      <c r="A407" s="2522"/>
      <c r="B407" s="2522"/>
      <c r="C407" s="2522"/>
      <c r="D407" s="2522"/>
      <c r="E407" s="1275"/>
      <c r="R407" s="1276"/>
      <c r="S407" s="1276"/>
      <c r="T407" s="1276"/>
      <c r="U407" s="1276"/>
      <c r="V407" s="1276"/>
      <c r="W407" s="1276"/>
      <c r="X407" s="1276"/>
      <c r="Y407" s="1276"/>
    </row>
    <row r="408" spans="1:25">
      <c r="A408" s="2522"/>
      <c r="B408" s="2522"/>
      <c r="C408" s="2522"/>
      <c r="D408" s="2522"/>
      <c r="E408" s="1275"/>
      <c r="R408" s="1276"/>
      <c r="S408" s="1276"/>
      <c r="T408" s="1276"/>
      <c r="U408" s="1276"/>
      <c r="V408" s="1276"/>
      <c r="W408" s="1276"/>
      <c r="X408" s="1276"/>
      <c r="Y408" s="1276"/>
    </row>
    <row r="409" spans="1:25">
      <c r="A409" s="2522"/>
      <c r="B409" s="2522"/>
      <c r="C409" s="2522"/>
      <c r="D409" s="2522"/>
      <c r="E409" s="1275"/>
      <c r="R409" s="1276"/>
      <c r="S409" s="1276"/>
      <c r="T409" s="1276"/>
      <c r="U409" s="1276"/>
      <c r="V409" s="1276"/>
      <c r="W409" s="1276"/>
      <c r="X409" s="1276"/>
      <c r="Y409" s="1276"/>
    </row>
    <row r="410" spans="1:25">
      <c r="A410" s="2522"/>
      <c r="B410" s="2522"/>
      <c r="C410" s="2522"/>
      <c r="D410" s="2522"/>
      <c r="E410" s="1275"/>
      <c r="R410" s="1276"/>
      <c r="S410" s="1276"/>
      <c r="T410" s="1276"/>
      <c r="U410" s="1276"/>
      <c r="V410" s="1276"/>
      <c r="W410" s="1276"/>
      <c r="X410" s="1276"/>
      <c r="Y410" s="1276"/>
    </row>
    <row r="411" spans="1:25">
      <c r="A411" s="2522"/>
      <c r="B411" s="2522"/>
      <c r="C411" s="2522"/>
      <c r="D411" s="2522"/>
      <c r="E411" s="1275"/>
      <c r="R411" s="1276"/>
      <c r="S411" s="1276"/>
      <c r="T411" s="1276"/>
      <c r="U411" s="1276"/>
      <c r="V411" s="1276"/>
      <c r="W411" s="1276"/>
      <c r="X411" s="1276"/>
      <c r="Y411" s="1276"/>
    </row>
    <row r="412" spans="1:25">
      <c r="A412" s="2522"/>
      <c r="B412" s="2522"/>
      <c r="C412" s="2522"/>
      <c r="D412" s="2522"/>
      <c r="E412" s="1275"/>
      <c r="R412" s="1276"/>
      <c r="S412" s="1276"/>
      <c r="T412" s="1276"/>
      <c r="U412" s="1276"/>
      <c r="V412" s="1276"/>
      <c r="W412" s="1276"/>
      <c r="X412" s="1276"/>
      <c r="Y412" s="1276"/>
    </row>
    <row r="413" spans="1:25">
      <c r="A413" s="2522"/>
      <c r="B413" s="2522"/>
      <c r="C413" s="2522"/>
      <c r="D413" s="2522"/>
      <c r="E413" s="1275"/>
      <c r="R413" s="1276"/>
      <c r="S413" s="1276"/>
      <c r="T413" s="1276"/>
      <c r="U413" s="1276"/>
      <c r="V413" s="1276"/>
      <c r="W413" s="1276"/>
      <c r="X413" s="1276"/>
      <c r="Y413" s="1276"/>
    </row>
    <row r="414" spans="1:25">
      <c r="A414" s="2522"/>
      <c r="B414" s="2522"/>
      <c r="C414" s="2522"/>
      <c r="D414" s="2522"/>
      <c r="E414" s="1275"/>
      <c r="R414" s="1276"/>
      <c r="S414" s="1276"/>
      <c r="T414" s="1276"/>
      <c r="U414" s="1276"/>
      <c r="V414" s="1276"/>
      <c r="W414" s="1276"/>
      <c r="X414" s="1276"/>
      <c r="Y414" s="1276"/>
    </row>
    <row r="415" spans="1:25">
      <c r="A415" s="2522"/>
      <c r="B415" s="2522"/>
      <c r="C415" s="2522"/>
      <c r="D415" s="2522"/>
      <c r="E415" s="1275"/>
      <c r="R415" s="1276"/>
      <c r="S415" s="1276"/>
      <c r="T415" s="1276"/>
      <c r="U415" s="1276"/>
      <c r="V415" s="1276"/>
      <c r="W415" s="1276"/>
      <c r="X415" s="1276"/>
      <c r="Y415" s="1276"/>
    </row>
    <row r="416" spans="1:25">
      <c r="A416" s="2522"/>
      <c r="B416" s="2522"/>
      <c r="C416" s="2522"/>
      <c r="D416" s="2522"/>
      <c r="E416" s="1275"/>
      <c r="R416" s="1276"/>
      <c r="S416" s="1276"/>
      <c r="T416" s="1276"/>
      <c r="U416" s="1276"/>
      <c r="V416" s="1276"/>
      <c r="W416" s="1276"/>
      <c r="X416" s="1276"/>
      <c r="Y416" s="1276"/>
    </row>
    <row r="417" spans="1:25">
      <c r="A417" s="2522"/>
      <c r="B417" s="2522"/>
      <c r="C417" s="2522"/>
      <c r="D417" s="2522"/>
      <c r="E417" s="1275"/>
      <c r="R417" s="1276"/>
      <c r="S417" s="1276"/>
      <c r="T417" s="1276"/>
      <c r="U417" s="1276"/>
      <c r="V417" s="1276"/>
      <c r="W417" s="1276"/>
      <c r="X417" s="1276"/>
      <c r="Y417" s="1276"/>
    </row>
    <row r="418" spans="1:25">
      <c r="A418" s="2522"/>
      <c r="B418" s="2522"/>
      <c r="C418" s="2522"/>
      <c r="D418" s="2522"/>
      <c r="E418" s="1275"/>
      <c r="R418" s="1276"/>
      <c r="S418" s="1276"/>
      <c r="T418" s="1276"/>
      <c r="U418" s="1276"/>
      <c r="V418" s="1276"/>
      <c r="W418" s="1276"/>
      <c r="X418" s="1276"/>
      <c r="Y418" s="1276"/>
    </row>
    <row r="419" spans="1:25">
      <c r="A419" s="2522"/>
      <c r="B419" s="2522"/>
      <c r="C419" s="2522"/>
      <c r="D419" s="2522"/>
      <c r="E419" s="1275"/>
      <c r="R419" s="1276"/>
      <c r="S419" s="1276"/>
      <c r="T419" s="1276"/>
      <c r="U419" s="1276"/>
      <c r="V419" s="1276"/>
      <c r="W419" s="1276"/>
      <c r="X419" s="1276"/>
      <c r="Y419" s="1276"/>
    </row>
    <row r="420" spans="1:25">
      <c r="A420" s="2522"/>
      <c r="B420" s="2522"/>
      <c r="C420" s="2522"/>
      <c r="D420" s="2522"/>
      <c r="E420" s="1275"/>
      <c r="R420" s="1276"/>
      <c r="S420" s="1276"/>
      <c r="T420" s="1276"/>
      <c r="U420" s="1276"/>
      <c r="V420" s="1276"/>
      <c r="W420" s="1276"/>
      <c r="X420" s="1276"/>
      <c r="Y420" s="1276"/>
    </row>
    <row r="421" spans="1:25">
      <c r="A421" s="2522"/>
      <c r="B421" s="2522"/>
      <c r="C421" s="2522"/>
      <c r="D421" s="2522"/>
      <c r="E421" s="1275"/>
      <c r="R421" s="1276"/>
      <c r="S421" s="1276"/>
      <c r="T421" s="1276"/>
      <c r="U421" s="1276"/>
      <c r="V421" s="1276"/>
      <c r="W421" s="1276"/>
      <c r="X421" s="1276"/>
      <c r="Y421" s="1276"/>
    </row>
    <row r="422" spans="1:25">
      <c r="A422" s="2522"/>
      <c r="B422" s="2522"/>
      <c r="C422" s="2522"/>
      <c r="D422" s="2522"/>
      <c r="E422" s="1275"/>
      <c r="R422" s="1276"/>
      <c r="S422" s="1276"/>
      <c r="T422" s="1276"/>
      <c r="U422" s="1276"/>
      <c r="V422" s="1276"/>
      <c r="W422" s="1276"/>
      <c r="X422" s="1276"/>
      <c r="Y422" s="1276"/>
    </row>
    <row r="423" spans="1:25">
      <c r="A423" s="2522"/>
      <c r="B423" s="2522"/>
      <c r="C423" s="2522"/>
      <c r="D423" s="2522"/>
      <c r="E423" s="1275"/>
      <c r="R423" s="1276"/>
      <c r="S423" s="1276"/>
      <c r="T423" s="1276"/>
      <c r="U423" s="1276"/>
      <c r="V423" s="1276"/>
      <c r="W423" s="1276"/>
      <c r="X423" s="1276"/>
      <c r="Y423" s="1276"/>
    </row>
    <row r="424" spans="1:25">
      <c r="A424" s="2522"/>
      <c r="B424" s="2522"/>
      <c r="C424" s="2522"/>
      <c r="D424" s="2522"/>
      <c r="E424" s="1275"/>
      <c r="R424" s="1276"/>
      <c r="S424" s="1276"/>
      <c r="T424" s="1276"/>
      <c r="U424" s="1276"/>
      <c r="V424" s="1276"/>
      <c r="W424" s="1276"/>
      <c r="X424" s="1276"/>
      <c r="Y424" s="1276"/>
    </row>
    <row r="425" spans="1:25">
      <c r="A425" s="2522"/>
      <c r="B425" s="2522"/>
      <c r="C425" s="2522"/>
      <c r="D425" s="2522"/>
      <c r="E425" s="1275"/>
      <c r="R425" s="1276"/>
      <c r="S425" s="1276"/>
      <c r="T425" s="1276"/>
      <c r="U425" s="1276"/>
      <c r="V425" s="1276"/>
      <c r="W425" s="1276"/>
      <c r="X425" s="1276"/>
      <c r="Y425" s="1276"/>
    </row>
    <row r="426" spans="1:25">
      <c r="A426" s="2522"/>
      <c r="B426" s="2522"/>
      <c r="C426" s="2522"/>
      <c r="D426" s="2522"/>
      <c r="E426" s="1275"/>
      <c r="R426" s="1276"/>
      <c r="S426" s="1276"/>
      <c r="T426" s="1276"/>
      <c r="U426" s="1276"/>
      <c r="V426" s="1276"/>
      <c r="W426" s="1276"/>
      <c r="X426" s="1276"/>
      <c r="Y426" s="1276"/>
    </row>
    <row r="427" spans="1:25">
      <c r="A427" s="2522"/>
      <c r="B427" s="2522"/>
      <c r="C427" s="2522"/>
      <c r="D427" s="2522"/>
      <c r="E427" s="1275"/>
      <c r="R427" s="1276"/>
      <c r="S427" s="1276"/>
      <c r="T427" s="1276"/>
      <c r="U427" s="1276"/>
      <c r="V427" s="1276"/>
      <c r="W427" s="1276"/>
      <c r="X427" s="1276"/>
      <c r="Y427" s="1276"/>
    </row>
    <row r="428" spans="1:25">
      <c r="A428" s="2522"/>
      <c r="B428" s="2522"/>
      <c r="C428" s="2522"/>
      <c r="D428" s="2522"/>
      <c r="E428" s="1275"/>
      <c r="R428" s="1276"/>
      <c r="S428" s="1276"/>
      <c r="T428" s="1276"/>
      <c r="U428" s="1276"/>
      <c r="V428" s="1276"/>
      <c r="W428" s="1276"/>
      <c r="X428" s="1276"/>
      <c r="Y428" s="1276"/>
    </row>
    <row r="429" spans="1:25">
      <c r="A429" s="2522"/>
      <c r="B429" s="2522"/>
      <c r="C429" s="2522"/>
      <c r="D429" s="2522"/>
      <c r="E429" s="1275"/>
      <c r="R429" s="1276"/>
      <c r="S429" s="1276"/>
      <c r="T429" s="1276"/>
      <c r="U429" s="1276"/>
      <c r="V429" s="1276"/>
      <c r="W429" s="1276"/>
      <c r="X429" s="1276"/>
      <c r="Y429" s="1276"/>
    </row>
    <row r="430" spans="1:25">
      <c r="A430" s="2522"/>
      <c r="B430" s="2522"/>
      <c r="C430" s="2522"/>
      <c r="D430" s="2522"/>
      <c r="E430" s="1275"/>
      <c r="R430" s="1276"/>
      <c r="S430" s="1276"/>
      <c r="T430" s="1276"/>
      <c r="U430" s="1276"/>
      <c r="V430" s="1276"/>
      <c r="W430" s="1276"/>
      <c r="X430" s="1276"/>
      <c r="Y430" s="1276"/>
    </row>
    <row r="431" spans="1:25">
      <c r="A431" s="2522"/>
      <c r="B431" s="2522"/>
      <c r="C431" s="2522"/>
      <c r="D431" s="2522"/>
      <c r="E431" s="1275"/>
      <c r="R431" s="1276"/>
      <c r="S431" s="1276"/>
      <c r="T431" s="1276"/>
      <c r="U431" s="1276"/>
      <c r="V431" s="1276"/>
      <c r="W431" s="1276"/>
      <c r="X431" s="1276"/>
      <c r="Y431" s="1276"/>
    </row>
    <row r="432" spans="1:25">
      <c r="A432" s="2522"/>
      <c r="B432" s="2522"/>
      <c r="C432" s="2522"/>
      <c r="D432" s="2522"/>
      <c r="E432" s="1275"/>
      <c r="R432" s="1276"/>
      <c r="S432" s="1276"/>
      <c r="T432" s="1276"/>
      <c r="U432" s="1276"/>
      <c r="V432" s="1276"/>
      <c r="W432" s="1276"/>
      <c r="X432" s="1276"/>
      <c r="Y432" s="1276"/>
    </row>
    <row r="433" spans="1:25">
      <c r="A433" s="2522"/>
      <c r="B433" s="2522"/>
      <c r="C433" s="2522"/>
      <c r="D433" s="2522"/>
      <c r="E433" s="1275"/>
      <c r="R433" s="1276"/>
      <c r="S433" s="1276"/>
      <c r="T433" s="1276"/>
      <c r="U433" s="1276"/>
      <c r="V433" s="1276"/>
      <c r="W433" s="1276"/>
      <c r="X433" s="1276"/>
      <c r="Y433" s="1276"/>
    </row>
    <row r="434" spans="1:25">
      <c r="A434" s="2522"/>
      <c r="B434" s="2522"/>
      <c r="C434" s="2522"/>
      <c r="D434" s="2522"/>
      <c r="E434" s="1275"/>
      <c r="R434" s="1276"/>
      <c r="S434" s="1276"/>
      <c r="T434" s="1276"/>
      <c r="U434" s="1276"/>
      <c r="V434" s="1276"/>
      <c r="W434" s="1276"/>
      <c r="X434" s="1276"/>
      <c r="Y434" s="1276"/>
    </row>
    <row r="435" spans="1:25">
      <c r="A435" s="2522"/>
      <c r="B435" s="2522"/>
      <c r="C435" s="2522"/>
      <c r="D435" s="2522"/>
      <c r="E435" s="1275"/>
      <c r="R435" s="1276"/>
      <c r="S435" s="1276"/>
      <c r="T435" s="1276"/>
      <c r="U435" s="1276"/>
      <c r="V435" s="1276"/>
      <c r="W435" s="1276"/>
      <c r="X435" s="1276"/>
      <c r="Y435" s="1276"/>
    </row>
    <row r="436" spans="1:25">
      <c r="A436" s="2522"/>
      <c r="B436" s="2522"/>
      <c r="C436" s="2522"/>
      <c r="D436" s="2522"/>
      <c r="E436" s="1275"/>
      <c r="R436" s="1276"/>
      <c r="S436" s="1276"/>
      <c r="T436" s="1276"/>
      <c r="U436" s="1276"/>
      <c r="V436" s="1276"/>
      <c r="W436" s="1276"/>
      <c r="X436" s="1276"/>
      <c r="Y436" s="1276"/>
    </row>
    <row r="437" spans="1:25">
      <c r="A437" s="2522"/>
      <c r="B437" s="2522"/>
      <c r="C437" s="2522"/>
      <c r="D437" s="2522"/>
      <c r="E437" s="1275"/>
      <c r="R437" s="1276"/>
      <c r="S437" s="1276"/>
      <c r="T437" s="1276"/>
      <c r="U437" s="1276"/>
      <c r="V437" s="1276"/>
      <c r="W437" s="1276"/>
      <c r="X437" s="1276"/>
      <c r="Y437" s="1276"/>
    </row>
    <row r="438" spans="1:25">
      <c r="A438" s="2522"/>
      <c r="B438" s="2522"/>
      <c r="C438" s="2522"/>
      <c r="D438" s="2522"/>
      <c r="E438" s="1275"/>
      <c r="R438" s="1276"/>
      <c r="S438" s="1276"/>
      <c r="T438" s="1276"/>
      <c r="U438" s="1276"/>
      <c r="V438" s="1276"/>
      <c r="W438" s="1276"/>
      <c r="X438" s="1276"/>
      <c r="Y438" s="1276"/>
    </row>
    <row r="439" spans="1:25">
      <c r="A439" s="2522"/>
      <c r="B439" s="2522"/>
      <c r="C439" s="2522"/>
      <c r="D439" s="2522"/>
      <c r="E439" s="1275"/>
      <c r="R439" s="1276"/>
      <c r="S439" s="1276"/>
      <c r="T439" s="1276"/>
      <c r="U439" s="1276"/>
      <c r="V439" s="1276"/>
      <c r="W439" s="1276"/>
      <c r="X439" s="1276"/>
      <c r="Y439" s="1276"/>
    </row>
    <row r="440" spans="1:25">
      <c r="A440" s="2522"/>
      <c r="B440" s="2522"/>
      <c r="C440" s="2522"/>
      <c r="D440" s="2522"/>
      <c r="E440" s="1275"/>
      <c r="R440" s="1276"/>
      <c r="S440" s="1276"/>
      <c r="T440" s="1276"/>
      <c r="U440" s="1276"/>
      <c r="V440" s="1276"/>
      <c r="W440" s="1276"/>
      <c r="X440" s="1276"/>
      <c r="Y440" s="1276"/>
    </row>
    <row r="441" spans="1:25">
      <c r="A441" s="2522"/>
      <c r="B441" s="2522"/>
      <c r="C441" s="2522"/>
      <c r="D441" s="2522"/>
      <c r="E441" s="1275"/>
      <c r="R441" s="1276"/>
      <c r="S441" s="1276"/>
      <c r="T441" s="1276"/>
      <c r="U441" s="1276"/>
      <c r="V441" s="1276"/>
      <c r="W441" s="1276"/>
      <c r="X441" s="1276"/>
      <c r="Y441" s="1276"/>
    </row>
    <row r="442" spans="1:25">
      <c r="A442" s="2522"/>
      <c r="B442" s="2522"/>
      <c r="C442" s="2522"/>
      <c r="D442" s="2522"/>
      <c r="E442" s="1275"/>
      <c r="R442" s="1276"/>
      <c r="S442" s="1276"/>
      <c r="T442" s="1276"/>
      <c r="U442" s="1276"/>
      <c r="V442" s="1276"/>
      <c r="W442" s="1276"/>
      <c r="X442" s="1276"/>
      <c r="Y442" s="1276"/>
    </row>
    <row r="443" spans="1:25">
      <c r="A443" s="2522"/>
      <c r="B443" s="2522"/>
      <c r="C443" s="2522"/>
      <c r="D443" s="2522"/>
      <c r="E443" s="1275"/>
      <c r="R443" s="1276"/>
      <c r="S443" s="1276"/>
      <c r="T443" s="1276"/>
      <c r="U443" s="1276"/>
      <c r="V443" s="1276"/>
      <c r="W443" s="1276"/>
      <c r="X443" s="1276"/>
      <c r="Y443" s="1276"/>
    </row>
    <row r="444" spans="1:25">
      <c r="A444" s="2522"/>
      <c r="B444" s="2522"/>
      <c r="C444" s="2522"/>
      <c r="D444" s="2522"/>
      <c r="E444" s="1275"/>
      <c r="R444" s="1276"/>
      <c r="S444" s="1276"/>
      <c r="T444" s="1276"/>
      <c r="U444" s="1276"/>
      <c r="V444" s="1276"/>
      <c r="W444" s="1276"/>
      <c r="X444" s="1276"/>
      <c r="Y444" s="1276"/>
    </row>
    <row r="445" spans="1:25">
      <c r="A445" s="2522"/>
      <c r="B445" s="2522"/>
      <c r="C445" s="2522"/>
      <c r="D445" s="2522"/>
      <c r="E445" s="1275"/>
      <c r="R445" s="1276"/>
      <c r="S445" s="1276"/>
      <c r="T445" s="1276"/>
      <c r="U445" s="1276"/>
      <c r="V445" s="1276"/>
      <c r="W445" s="1276"/>
      <c r="X445" s="1276"/>
      <c r="Y445" s="1276"/>
    </row>
    <row r="446" spans="1:25">
      <c r="A446" s="2522"/>
      <c r="B446" s="2522"/>
      <c r="C446" s="2522"/>
      <c r="D446" s="2522"/>
      <c r="E446" s="1275"/>
      <c r="R446" s="1276"/>
      <c r="S446" s="1276"/>
      <c r="T446" s="1276"/>
      <c r="U446" s="1276"/>
      <c r="V446" s="1276"/>
      <c r="W446" s="1276"/>
      <c r="X446" s="1276"/>
      <c r="Y446" s="1276"/>
    </row>
    <row r="447" spans="1:25">
      <c r="A447" s="2522"/>
      <c r="B447" s="2522"/>
      <c r="C447" s="2522"/>
      <c r="D447" s="2522"/>
      <c r="E447" s="1275"/>
      <c r="R447" s="1276"/>
      <c r="S447" s="1276"/>
      <c r="T447" s="1276"/>
      <c r="U447" s="1276"/>
      <c r="V447" s="1276"/>
      <c r="W447" s="1276"/>
      <c r="X447" s="1276"/>
      <c r="Y447" s="1276"/>
    </row>
    <row r="448" spans="1:25">
      <c r="A448" s="2522"/>
      <c r="B448" s="2522"/>
      <c r="C448" s="2522"/>
      <c r="D448" s="2522"/>
      <c r="E448" s="1275"/>
      <c r="R448" s="1276"/>
      <c r="S448" s="1276"/>
      <c r="T448" s="1276"/>
      <c r="U448" s="1276"/>
      <c r="V448" s="1276"/>
      <c r="W448" s="1276"/>
      <c r="X448" s="1276"/>
      <c r="Y448" s="1276"/>
    </row>
    <row r="449" spans="1:25">
      <c r="A449" s="2522"/>
      <c r="B449" s="2522"/>
      <c r="C449" s="2522"/>
      <c r="D449" s="2522"/>
      <c r="E449" s="1275"/>
      <c r="R449" s="1276"/>
      <c r="S449" s="1276"/>
      <c r="T449" s="1276"/>
      <c r="U449" s="1276"/>
      <c r="V449" s="1276"/>
      <c r="W449" s="1276"/>
      <c r="X449" s="1276"/>
      <c r="Y449" s="1276"/>
    </row>
    <row r="450" spans="1:25">
      <c r="A450" s="2522"/>
      <c r="B450" s="2522"/>
      <c r="C450" s="2522"/>
      <c r="D450" s="2522"/>
      <c r="E450" s="1275"/>
      <c r="R450" s="1276"/>
      <c r="S450" s="1276"/>
      <c r="T450" s="1276"/>
      <c r="U450" s="1276"/>
      <c r="V450" s="1276"/>
      <c r="W450" s="1276"/>
      <c r="X450" s="1276"/>
      <c r="Y450" s="1276"/>
    </row>
    <row r="451" spans="1:25">
      <c r="A451" s="2522"/>
      <c r="B451" s="2522"/>
      <c r="C451" s="2522"/>
      <c r="D451" s="2522"/>
      <c r="E451" s="1275"/>
      <c r="R451" s="1276"/>
      <c r="S451" s="1276"/>
      <c r="T451" s="1276"/>
      <c r="U451" s="1276"/>
      <c r="V451" s="1276"/>
      <c r="W451" s="1276"/>
      <c r="X451" s="1276"/>
      <c r="Y451" s="1276"/>
    </row>
    <row r="452" spans="1:25">
      <c r="A452" s="2522"/>
      <c r="B452" s="2522"/>
      <c r="C452" s="2522"/>
      <c r="D452" s="2522"/>
      <c r="E452" s="1275"/>
      <c r="R452" s="1276"/>
      <c r="S452" s="1276"/>
      <c r="T452" s="1276"/>
      <c r="U452" s="1276"/>
      <c r="V452" s="1276"/>
      <c r="W452" s="1276"/>
      <c r="X452" s="1276"/>
      <c r="Y452" s="1276"/>
    </row>
    <row r="453" spans="1:25">
      <c r="A453" s="2522"/>
      <c r="B453" s="2522"/>
      <c r="C453" s="2522"/>
      <c r="D453" s="2522"/>
      <c r="E453" s="1275"/>
      <c r="R453" s="1276"/>
      <c r="S453" s="1276"/>
      <c r="T453" s="1276"/>
      <c r="U453" s="1276"/>
      <c r="V453" s="1276"/>
      <c r="W453" s="1276"/>
      <c r="X453" s="1276"/>
      <c r="Y453" s="1276"/>
    </row>
    <row r="454" spans="1:25">
      <c r="A454" s="2522"/>
      <c r="B454" s="2522"/>
      <c r="C454" s="2522"/>
      <c r="D454" s="2522"/>
      <c r="E454" s="1275"/>
      <c r="R454" s="1276"/>
      <c r="S454" s="1276"/>
      <c r="T454" s="1276"/>
      <c r="U454" s="1276"/>
      <c r="V454" s="1276"/>
      <c r="W454" s="1276"/>
      <c r="X454" s="1276"/>
      <c r="Y454" s="1276"/>
    </row>
    <row r="455" spans="1:25">
      <c r="A455" s="2522"/>
      <c r="B455" s="2522"/>
      <c r="C455" s="2522"/>
      <c r="D455" s="2522"/>
      <c r="E455" s="1275"/>
      <c r="R455" s="1276"/>
      <c r="S455" s="1276"/>
      <c r="T455" s="1276"/>
      <c r="U455" s="1276"/>
      <c r="V455" s="1276"/>
      <c r="W455" s="1276"/>
      <c r="X455" s="1276"/>
      <c r="Y455" s="1276"/>
    </row>
    <row r="456" spans="1:25">
      <c r="A456" s="2522"/>
      <c r="B456" s="2522"/>
      <c r="C456" s="2522"/>
      <c r="D456" s="2522"/>
      <c r="E456" s="1275"/>
      <c r="R456" s="1276"/>
      <c r="S456" s="1276"/>
      <c r="T456" s="1276"/>
      <c r="U456" s="1276"/>
      <c r="V456" s="1276"/>
      <c r="W456" s="1276"/>
      <c r="X456" s="1276"/>
      <c r="Y456" s="1276"/>
    </row>
    <row r="457" spans="1:25">
      <c r="A457" s="2522"/>
      <c r="B457" s="2522"/>
      <c r="C457" s="2522"/>
      <c r="D457" s="2522"/>
      <c r="E457" s="1275"/>
      <c r="R457" s="1276"/>
      <c r="S457" s="1276"/>
      <c r="T457" s="1276"/>
      <c r="U457" s="1276"/>
      <c r="V457" s="1276"/>
      <c r="W457" s="1276"/>
      <c r="X457" s="1276"/>
      <c r="Y457" s="1276"/>
    </row>
    <row r="458" spans="1:25">
      <c r="A458" s="2522"/>
      <c r="B458" s="2522"/>
      <c r="C458" s="2522"/>
      <c r="D458" s="2522"/>
      <c r="E458" s="1275"/>
      <c r="R458" s="1276"/>
      <c r="S458" s="1276"/>
      <c r="T458" s="1276"/>
      <c r="U458" s="1276"/>
      <c r="V458" s="1276"/>
      <c r="W458" s="1276"/>
      <c r="X458" s="1276"/>
      <c r="Y458" s="1276"/>
    </row>
    <row r="459" spans="1:25">
      <c r="A459" s="2522"/>
      <c r="B459" s="2522"/>
      <c r="C459" s="2522"/>
      <c r="D459" s="2522"/>
      <c r="E459" s="1275"/>
      <c r="R459" s="1276"/>
      <c r="S459" s="1276"/>
      <c r="T459" s="1276"/>
      <c r="U459" s="1276"/>
      <c r="V459" s="1276"/>
      <c r="W459" s="1276"/>
      <c r="X459" s="1276"/>
      <c r="Y459" s="1276"/>
    </row>
    <row r="460" spans="1:25">
      <c r="A460" s="2522"/>
      <c r="B460" s="2522"/>
      <c r="C460" s="2522"/>
      <c r="D460" s="2522"/>
      <c r="E460" s="1275"/>
      <c r="R460" s="1276"/>
      <c r="S460" s="1276"/>
      <c r="T460" s="1276"/>
      <c r="U460" s="1276"/>
      <c r="V460" s="1276"/>
      <c r="W460" s="1276"/>
      <c r="X460" s="1276"/>
      <c r="Y460" s="1276"/>
    </row>
    <row r="461" spans="1:25">
      <c r="A461" s="2522"/>
      <c r="B461" s="2522"/>
      <c r="C461" s="2522"/>
      <c r="D461" s="2522"/>
      <c r="E461" s="1275"/>
      <c r="R461" s="1276"/>
      <c r="S461" s="1276"/>
      <c r="T461" s="1276"/>
      <c r="U461" s="1276"/>
      <c r="V461" s="1276"/>
      <c r="W461" s="1276"/>
      <c r="X461" s="1276"/>
      <c r="Y461" s="1276"/>
    </row>
    <row r="462" spans="1:25">
      <c r="A462" s="2522"/>
      <c r="B462" s="2522"/>
      <c r="C462" s="2522"/>
      <c r="D462" s="2522"/>
      <c r="E462" s="1275"/>
      <c r="R462" s="1276"/>
      <c r="S462" s="1276"/>
      <c r="T462" s="1276"/>
      <c r="U462" s="1276"/>
      <c r="V462" s="1276"/>
      <c r="W462" s="1276"/>
      <c r="X462" s="1276"/>
      <c r="Y462" s="1276"/>
    </row>
    <row r="463" spans="1:25">
      <c r="A463" s="2522"/>
      <c r="B463" s="2522"/>
      <c r="C463" s="2522"/>
      <c r="D463" s="2522"/>
      <c r="E463" s="1275"/>
      <c r="R463" s="1276"/>
      <c r="S463" s="1276"/>
      <c r="T463" s="1276"/>
      <c r="U463" s="1276"/>
      <c r="V463" s="1276"/>
      <c r="W463" s="1276"/>
      <c r="X463" s="1276"/>
      <c r="Y463" s="1276"/>
    </row>
    <row r="464" spans="1:25">
      <c r="A464" s="2522"/>
      <c r="B464" s="2522"/>
      <c r="C464" s="2522"/>
      <c r="D464" s="2522"/>
      <c r="E464" s="1275"/>
      <c r="R464" s="1276"/>
      <c r="S464" s="1276"/>
      <c r="T464" s="1276"/>
      <c r="U464" s="1276"/>
      <c r="V464" s="1276"/>
      <c r="W464" s="1276"/>
      <c r="X464" s="1276"/>
      <c r="Y464" s="1276"/>
    </row>
    <row r="465" spans="1:25">
      <c r="A465" s="2522"/>
      <c r="B465" s="2522"/>
      <c r="C465" s="2522"/>
      <c r="D465" s="2522"/>
      <c r="E465" s="1275"/>
      <c r="R465" s="1276"/>
      <c r="S465" s="1276"/>
      <c r="T465" s="1276"/>
      <c r="U465" s="1276"/>
      <c r="V465" s="1276"/>
      <c r="W465" s="1276"/>
      <c r="X465" s="1276"/>
      <c r="Y465" s="1276"/>
    </row>
    <row r="466" spans="1:25">
      <c r="A466" s="2522"/>
      <c r="B466" s="2522"/>
      <c r="C466" s="2522"/>
      <c r="D466" s="2522"/>
      <c r="E466" s="1275"/>
      <c r="R466" s="1276"/>
      <c r="S466" s="1276"/>
      <c r="T466" s="1276"/>
      <c r="U466" s="1276"/>
      <c r="V466" s="1276"/>
      <c r="W466" s="1276"/>
      <c r="X466" s="1276"/>
      <c r="Y466" s="1276"/>
    </row>
    <row r="467" spans="1:25">
      <c r="A467" s="2522"/>
      <c r="B467" s="2522"/>
      <c r="C467" s="2522"/>
      <c r="D467" s="2522"/>
      <c r="E467" s="1275"/>
      <c r="R467" s="1276"/>
      <c r="S467" s="1276"/>
      <c r="T467" s="1276"/>
      <c r="U467" s="1276"/>
      <c r="V467" s="1276"/>
      <c r="W467" s="1276"/>
      <c r="X467" s="1276"/>
      <c r="Y467" s="1276"/>
    </row>
    <row r="468" spans="1:25">
      <c r="A468" s="2522"/>
      <c r="B468" s="2522"/>
      <c r="C468" s="2522"/>
      <c r="D468" s="2522"/>
      <c r="E468" s="1275"/>
      <c r="R468" s="1276"/>
      <c r="S468" s="1276"/>
      <c r="T468" s="1276"/>
      <c r="U468" s="1276"/>
      <c r="V468" s="1276"/>
      <c r="W468" s="1276"/>
      <c r="X468" s="1276"/>
      <c r="Y468" s="1276"/>
    </row>
    <row r="469" spans="1:25">
      <c r="A469" s="2522"/>
      <c r="B469" s="2522"/>
      <c r="C469" s="2522"/>
      <c r="D469" s="2522"/>
      <c r="E469" s="1275"/>
      <c r="R469" s="1276"/>
      <c r="S469" s="1276"/>
      <c r="T469" s="1276"/>
      <c r="U469" s="1276"/>
      <c r="V469" s="1276"/>
      <c r="W469" s="1276"/>
      <c r="X469" s="1276"/>
      <c r="Y469" s="1276"/>
    </row>
    <row r="470" spans="1:25">
      <c r="A470" s="2522"/>
      <c r="B470" s="2522"/>
      <c r="C470" s="2522"/>
      <c r="D470" s="2522"/>
      <c r="E470" s="1275"/>
      <c r="R470" s="1276"/>
      <c r="S470" s="1276"/>
      <c r="T470" s="1276"/>
      <c r="U470" s="1276"/>
      <c r="V470" s="1276"/>
      <c r="W470" s="1276"/>
      <c r="X470" s="1276"/>
      <c r="Y470" s="1276"/>
    </row>
    <row r="471" spans="1:25">
      <c r="A471" s="2522"/>
      <c r="B471" s="2522"/>
      <c r="C471" s="2522"/>
      <c r="D471" s="2522"/>
      <c r="E471" s="1275"/>
      <c r="R471" s="1276"/>
      <c r="S471" s="1276"/>
      <c r="T471" s="1276"/>
      <c r="U471" s="1276"/>
      <c r="V471" s="1276"/>
      <c r="W471" s="1276"/>
      <c r="X471" s="1276"/>
      <c r="Y471" s="1276"/>
    </row>
    <row r="472" spans="1:25">
      <c r="A472" s="2522"/>
      <c r="B472" s="2522"/>
      <c r="C472" s="2522"/>
      <c r="D472" s="2522"/>
      <c r="E472" s="1275"/>
      <c r="R472" s="1276"/>
      <c r="S472" s="1276"/>
      <c r="T472" s="1276"/>
      <c r="U472" s="1276"/>
      <c r="V472" s="1276"/>
      <c r="W472" s="1276"/>
      <c r="X472" s="1276"/>
      <c r="Y472" s="1276"/>
    </row>
    <row r="473" spans="1:25">
      <c r="A473" s="2522"/>
      <c r="B473" s="2522"/>
      <c r="C473" s="2522"/>
      <c r="D473" s="2522"/>
      <c r="E473" s="1275"/>
      <c r="R473" s="1276"/>
      <c r="S473" s="1276"/>
      <c r="T473" s="1276"/>
      <c r="U473" s="1276"/>
      <c r="V473" s="1276"/>
      <c r="W473" s="1276"/>
      <c r="X473" s="1276"/>
      <c r="Y473" s="1276"/>
    </row>
    <row r="474" spans="1:25">
      <c r="A474" s="2522"/>
      <c r="B474" s="2522"/>
      <c r="C474" s="2522"/>
      <c r="D474" s="2522"/>
      <c r="E474" s="1275"/>
      <c r="R474" s="1276"/>
      <c r="S474" s="1276"/>
      <c r="T474" s="1276"/>
      <c r="U474" s="1276"/>
      <c r="V474" s="1276"/>
      <c r="W474" s="1276"/>
      <c r="X474" s="1276"/>
      <c r="Y474" s="1276"/>
    </row>
    <row r="475" spans="1:25">
      <c r="A475" s="2522"/>
      <c r="B475" s="2522"/>
      <c r="C475" s="2522"/>
      <c r="D475" s="2522"/>
      <c r="E475" s="1275"/>
      <c r="R475" s="1276"/>
      <c r="S475" s="1276"/>
      <c r="T475" s="1276"/>
      <c r="U475" s="1276"/>
      <c r="V475" s="1276"/>
      <c r="W475" s="1276"/>
      <c r="X475" s="1276"/>
      <c r="Y475" s="1276"/>
    </row>
    <row r="476" spans="1:25">
      <c r="A476" s="2522"/>
      <c r="B476" s="2522"/>
      <c r="C476" s="2522"/>
      <c r="D476" s="2522"/>
      <c r="E476" s="1275"/>
      <c r="R476" s="1276"/>
      <c r="S476" s="1276"/>
      <c r="T476" s="1276"/>
      <c r="U476" s="1276"/>
      <c r="V476" s="1276"/>
      <c r="W476" s="1276"/>
      <c r="X476" s="1276"/>
      <c r="Y476" s="1276"/>
    </row>
    <row r="477" spans="1:25">
      <c r="A477" s="2522"/>
      <c r="B477" s="2522"/>
      <c r="C477" s="2522"/>
      <c r="D477" s="2522"/>
      <c r="E477" s="1275"/>
      <c r="R477" s="1276"/>
      <c r="S477" s="1276"/>
      <c r="T477" s="1276"/>
      <c r="U477" s="1276"/>
      <c r="V477" s="1276"/>
      <c r="W477" s="1276"/>
      <c r="X477" s="1276"/>
      <c r="Y477" s="1276"/>
    </row>
    <row r="478" spans="1:25">
      <c r="A478" s="2522"/>
      <c r="B478" s="2522"/>
      <c r="C478" s="2522"/>
      <c r="D478" s="2522"/>
      <c r="E478" s="1275"/>
      <c r="R478" s="1276"/>
      <c r="S478" s="1276"/>
      <c r="T478" s="1276"/>
      <c r="U478" s="1276"/>
      <c r="V478" s="1276"/>
      <c r="W478" s="1276"/>
      <c r="X478" s="1276"/>
      <c r="Y478" s="1276"/>
    </row>
    <row r="479" spans="1:25">
      <c r="A479" s="2522"/>
      <c r="B479" s="2522"/>
      <c r="C479" s="2522"/>
      <c r="D479" s="2522"/>
      <c r="E479" s="1275"/>
      <c r="R479" s="1276"/>
      <c r="S479" s="1276"/>
      <c r="T479" s="1276"/>
      <c r="U479" s="1276"/>
      <c r="V479" s="1276"/>
      <c r="W479" s="1276"/>
      <c r="X479" s="1276"/>
      <c r="Y479" s="1276"/>
    </row>
    <row r="480" spans="1:25">
      <c r="A480" s="2522"/>
      <c r="B480" s="2522"/>
      <c r="C480" s="2522"/>
      <c r="D480" s="2522"/>
      <c r="E480" s="1275"/>
      <c r="R480" s="1276"/>
      <c r="S480" s="1276"/>
      <c r="T480" s="1276"/>
      <c r="U480" s="1276"/>
      <c r="V480" s="1276"/>
      <c r="W480" s="1276"/>
      <c r="X480" s="1276"/>
      <c r="Y480" s="1276"/>
    </row>
    <row r="481" spans="1:25">
      <c r="A481" s="2522"/>
      <c r="B481" s="2522"/>
      <c r="C481" s="2522"/>
      <c r="D481" s="2522"/>
      <c r="E481" s="1275"/>
      <c r="R481" s="1276"/>
      <c r="S481" s="1276"/>
      <c r="T481" s="1276"/>
      <c r="U481" s="1276"/>
      <c r="V481" s="1276"/>
      <c r="W481" s="1276"/>
      <c r="X481" s="1276"/>
      <c r="Y481" s="1276"/>
    </row>
    <row r="482" spans="1:25">
      <c r="A482" s="2522"/>
      <c r="B482" s="2522"/>
      <c r="C482" s="2522"/>
      <c r="D482" s="2522"/>
      <c r="E482" s="1275"/>
      <c r="R482" s="1276"/>
      <c r="S482" s="1276"/>
      <c r="T482" s="1276"/>
      <c r="U482" s="1276"/>
      <c r="V482" s="1276"/>
      <c r="W482" s="1276"/>
      <c r="X482" s="1276"/>
      <c r="Y482" s="1276"/>
    </row>
    <row r="483" spans="1:25">
      <c r="A483" s="2522"/>
      <c r="B483" s="2522"/>
      <c r="C483" s="2522"/>
      <c r="D483" s="2522"/>
      <c r="E483" s="1275"/>
      <c r="R483" s="1276"/>
      <c r="S483" s="1276"/>
      <c r="T483" s="1276"/>
      <c r="U483" s="1276"/>
      <c r="V483" s="1276"/>
      <c r="W483" s="1276"/>
      <c r="X483" s="1276"/>
      <c r="Y483" s="1276"/>
    </row>
    <row r="484" spans="1:25">
      <c r="A484" s="2522"/>
      <c r="B484" s="2522"/>
      <c r="C484" s="2522"/>
      <c r="D484" s="2522"/>
      <c r="E484" s="1275"/>
      <c r="R484" s="1276"/>
      <c r="S484" s="1276"/>
      <c r="T484" s="1276"/>
      <c r="U484" s="1276"/>
      <c r="V484" s="1276"/>
      <c r="W484" s="1276"/>
      <c r="X484" s="1276"/>
      <c r="Y484" s="1276"/>
    </row>
    <row r="485" spans="1:25">
      <c r="A485" s="2522"/>
      <c r="B485" s="2522"/>
      <c r="C485" s="2522"/>
      <c r="D485" s="2522"/>
      <c r="E485" s="1275"/>
      <c r="R485" s="1276"/>
      <c r="S485" s="1276"/>
      <c r="T485" s="1276"/>
      <c r="U485" s="1276"/>
      <c r="V485" s="1276"/>
      <c r="W485" s="1276"/>
      <c r="X485" s="1276"/>
      <c r="Y485" s="1276"/>
    </row>
    <row r="486" spans="1:25">
      <c r="A486" s="2522"/>
      <c r="B486" s="2522"/>
      <c r="C486" s="2522"/>
      <c r="D486" s="2522"/>
      <c r="E486" s="1275"/>
      <c r="R486" s="1276"/>
      <c r="S486" s="1276"/>
      <c r="T486" s="1276"/>
      <c r="U486" s="1276"/>
      <c r="V486" s="1276"/>
      <c r="W486" s="1276"/>
      <c r="X486" s="1276"/>
      <c r="Y486" s="1276"/>
    </row>
    <row r="487" spans="1:25">
      <c r="A487" s="2522"/>
      <c r="B487" s="2522"/>
      <c r="C487" s="2522"/>
      <c r="D487" s="2522"/>
      <c r="E487" s="1275"/>
      <c r="R487" s="1276"/>
      <c r="S487" s="1276"/>
      <c r="T487" s="1276"/>
      <c r="U487" s="1276"/>
      <c r="V487" s="1276"/>
      <c r="W487" s="1276"/>
      <c r="X487" s="1276"/>
      <c r="Y487" s="1276"/>
    </row>
    <row r="488" spans="1:25">
      <c r="A488" s="2522"/>
      <c r="B488" s="2522"/>
      <c r="C488" s="2522"/>
      <c r="D488" s="2522"/>
      <c r="E488" s="1275"/>
      <c r="R488" s="1276"/>
      <c r="S488" s="1276"/>
      <c r="T488" s="1276"/>
      <c r="U488" s="1276"/>
      <c r="V488" s="1276"/>
      <c r="W488" s="1276"/>
      <c r="X488" s="1276"/>
      <c r="Y488" s="1276"/>
    </row>
    <row r="489" spans="1:25">
      <c r="A489" s="2522"/>
      <c r="B489" s="2522"/>
      <c r="C489" s="2522"/>
      <c r="D489" s="2522"/>
      <c r="E489" s="1275"/>
      <c r="R489" s="1276"/>
      <c r="S489" s="1276"/>
      <c r="T489" s="1276"/>
      <c r="U489" s="1276"/>
      <c r="V489" s="1276"/>
      <c r="W489" s="1276"/>
      <c r="X489" s="1276"/>
      <c r="Y489" s="1276"/>
    </row>
    <row r="490" spans="1:25">
      <c r="A490" s="2522"/>
      <c r="B490" s="2522"/>
      <c r="C490" s="2522"/>
      <c r="D490" s="2522"/>
      <c r="E490" s="1275"/>
      <c r="R490" s="1276"/>
      <c r="S490" s="1276"/>
      <c r="T490" s="1276"/>
      <c r="U490" s="1276"/>
      <c r="V490" s="1276"/>
      <c r="W490" s="1276"/>
      <c r="X490" s="1276"/>
      <c r="Y490" s="1276"/>
    </row>
    <row r="491" spans="1:25">
      <c r="A491" s="2522"/>
      <c r="B491" s="2522"/>
      <c r="C491" s="2522"/>
      <c r="D491" s="2522"/>
      <c r="E491" s="1275"/>
      <c r="R491" s="1276"/>
      <c r="S491" s="1276"/>
      <c r="T491" s="1276"/>
      <c r="U491" s="1276"/>
      <c r="V491" s="1276"/>
      <c r="W491" s="1276"/>
      <c r="X491" s="1276"/>
      <c r="Y491" s="1276"/>
    </row>
    <row r="492" spans="1:25">
      <c r="A492" s="2522"/>
      <c r="B492" s="2522"/>
      <c r="C492" s="2522"/>
      <c r="D492" s="2522"/>
      <c r="E492" s="1275"/>
      <c r="R492" s="1276"/>
      <c r="S492" s="1276"/>
      <c r="T492" s="1276"/>
      <c r="U492" s="1276"/>
      <c r="V492" s="1276"/>
      <c r="W492" s="1276"/>
      <c r="X492" s="1276"/>
      <c r="Y492" s="1276"/>
    </row>
    <row r="493" spans="1:25">
      <c r="A493" s="2522"/>
      <c r="B493" s="2522"/>
      <c r="C493" s="2522"/>
      <c r="D493" s="2522"/>
      <c r="E493" s="1275"/>
      <c r="R493" s="1276"/>
      <c r="S493" s="1276"/>
      <c r="T493" s="1276"/>
      <c r="U493" s="1276"/>
      <c r="V493" s="1276"/>
      <c r="W493" s="1276"/>
      <c r="X493" s="1276"/>
      <c r="Y493" s="1276"/>
    </row>
    <row r="494" spans="1:25">
      <c r="A494" s="2522"/>
      <c r="B494" s="2522"/>
      <c r="C494" s="2522"/>
      <c r="D494" s="2522"/>
      <c r="E494" s="1275"/>
      <c r="R494" s="1276"/>
      <c r="S494" s="1276"/>
      <c r="T494" s="1276"/>
      <c r="U494" s="1276"/>
      <c r="V494" s="1276"/>
      <c r="W494" s="1276"/>
      <c r="X494" s="1276"/>
      <c r="Y494" s="1276"/>
    </row>
    <row r="495" spans="1:25">
      <c r="A495" s="2522"/>
      <c r="B495" s="2522"/>
      <c r="C495" s="2522"/>
      <c r="D495" s="2522"/>
      <c r="E495" s="1275"/>
      <c r="R495" s="1276"/>
      <c r="S495" s="1276"/>
      <c r="T495" s="1276"/>
      <c r="U495" s="1276"/>
      <c r="V495" s="1276"/>
      <c r="W495" s="1276"/>
      <c r="X495" s="1276"/>
      <c r="Y495" s="1276"/>
    </row>
    <row r="496" spans="1:25">
      <c r="A496" s="2522"/>
      <c r="B496" s="2522"/>
      <c r="C496" s="2522"/>
      <c r="D496" s="2522"/>
      <c r="E496" s="1275"/>
      <c r="R496" s="1276"/>
      <c r="S496" s="1276"/>
      <c r="T496" s="1276"/>
      <c r="U496" s="1276"/>
      <c r="V496" s="1276"/>
      <c r="W496" s="1276"/>
      <c r="X496" s="1276"/>
      <c r="Y496" s="1276"/>
    </row>
    <row r="497" spans="1:25">
      <c r="A497" s="2522"/>
      <c r="B497" s="2522"/>
      <c r="C497" s="2522"/>
      <c r="D497" s="2522"/>
      <c r="E497" s="1275"/>
      <c r="R497" s="1276"/>
      <c r="S497" s="1276"/>
      <c r="T497" s="1276"/>
      <c r="U497" s="1276"/>
      <c r="V497" s="1276"/>
      <c r="W497" s="1276"/>
      <c r="X497" s="1276"/>
      <c r="Y497" s="1276"/>
    </row>
    <row r="498" spans="1:25">
      <c r="A498" s="2522"/>
      <c r="B498" s="2522"/>
      <c r="C498" s="2522"/>
      <c r="D498" s="2522"/>
      <c r="E498" s="1275"/>
      <c r="R498" s="1276"/>
      <c r="S498" s="1276"/>
      <c r="T498" s="1276"/>
      <c r="U498" s="1276"/>
      <c r="V498" s="1276"/>
      <c r="W498" s="1276"/>
      <c r="X498" s="1276"/>
      <c r="Y498" s="1276"/>
    </row>
    <row r="499" spans="1:25">
      <c r="A499" s="2522"/>
      <c r="B499" s="2522"/>
      <c r="C499" s="2522"/>
      <c r="D499" s="2522"/>
      <c r="E499" s="1275"/>
      <c r="R499" s="1276"/>
      <c r="S499" s="1276"/>
      <c r="T499" s="1276"/>
      <c r="U499" s="1276"/>
      <c r="V499" s="1276"/>
      <c r="W499" s="1276"/>
      <c r="X499" s="1276"/>
      <c r="Y499" s="1276"/>
    </row>
    <row r="500" spans="1:25">
      <c r="A500" s="2522"/>
      <c r="B500" s="2522"/>
      <c r="C500" s="2522"/>
      <c r="D500" s="2522"/>
      <c r="E500" s="1275"/>
      <c r="R500" s="1276"/>
      <c r="S500" s="1276"/>
      <c r="T500" s="1276"/>
      <c r="U500" s="1276"/>
      <c r="V500" s="1276"/>
      <c r="W500" s="1276"/>
      <c r="X500" s="1276"/>
      <c r="Y500" s="1276"/>
    </row>
    <row r="501" spans="1:25">
      <c r="A501" s="2522"/>
      <c r="B501" s="2522"/>
      <c r="C501" s="2522"/>
      <c r="D501" s="2522"/>
      <c r="E501" s="1275"/>
      <c r="R501" s="1276"/>
      <c r="S501" s="1276"/>
      <c r="T501" s="1276"/>
      <c r="U501" s="1276"/>
      <c r="V501" s="1276"/>
      <c r="W501" s="1276"/>
      <c r="X501" s="1276"/>
      <c r="Y501" s="1276"/>
    </row>
    <row r="502" spans="1:25">
      <c r="A502" s="2522"/>
      <c r="B502" s="2522"/>
      <c r="C502" s="2522"/>
      <c r="D502" s="2522"/>
      <c r="E502" s="1275"/>
      <c r="R502" s="1276"/>
      <c r="S502" s="1276"/>
      <c r="T502" s="1276"/>
      <c r="U502" s="1276"/>
      <c r="V502" s="1276"/>
      <c r="W502" s="1276"/>
      <c r="X502" s="1276"/>
      <c r="Y502" s="1276"/>
    </row>
    <row r="503" spans="1:25">
      <c r="A503" s="2522"/>
      <c r="B503" s="2522"/>
      <c r="C503" s="2522"/>
      <c r="D503" s="2522"/>
      <c r="E503" s="1275"/>
      <c r="R503" s="1276"/>
      <c r="S503" s="1276"/>
      <c r="T503" s="1276"/>
      <c r="U503" s="1276"/>
      <c r="V503" s="1276"/>
      <c r="W503" s="1276"/>
      <c r="X503" s="1276"/>
      <c r="Y503" s="1276"/>
    </row>
    <row r="504" spans="1:25">
      <c r="A504" s="2522"/>
      <c r="B504" s="2522"/>
      <c r="C504" s="2522"/>
      <c r="D504" s="2522"/>
      <c r="E504" s="1275"/>
      <c r="R504" s="1276"/>
      <c r="S504" s="1276"/>
      <c r="T504" s="1276"/>
      <c r="U504" s="1276"/>
      <c r="V504" s="1276"/>
      <c r="W504" s="1276"/>
      <c r="X504" s="1276"/>
      <c r="Y504" s="1276"/>
    </row>
    <row r="505" spans="1:25">
      <c r="A505" s="2522"/>
      <c r="B505" s="2522"/>
      <c r="C505" s="2522"/>
      <c r="D505" s="2522"/>
      <c r="E505" s="1275"/>
      <c r="R505" s="1276"/>
      <c r="S505" s="1276"/>
      <c r="T505" s="1276"/>
      <c r="U505" s="1276"/>
      <c r="V505" s="1276"/>
      <c r="W505" s="1276"/>
      <c r="X505" s="1276"/>
      <c r="Y505" s="1276"/>
    </row>
    <row r="506" spans="1:25">
      <c r="A506" s="2522"/>
      <c r="B506" s="2522"/>
      <c r="C506" s="2522"/>
      <c r="D506" s="2522"/>
      <c r="E506" s="1275"/>
      <c r="R506" s="1276"/>
      <c r="S506" s="1276"/>
      <c r="T506" s="1276"/>
      <c r="U506" s="1276"/>
      <c r="V506" s="1276"/>
      <c r="W506" s="1276"/>
      <c r="X506" s="1276"/>
      <c r="Y506" s="1276"/>
    </row>
    <row r="507" spans="1:25">
      <c r="A507" s="2522"/>
      <c r="B507" s="2522"/>
      <c r="C507" s="2522"/>
      <c r="D507" s="2522"/>
      <c r="E507" s="1275"/>
      <c r="R507" s="1276"/>
      <c r="S507" s="1276"/>
      <c r="T507" s="1276"/>
      <c r="U507" s="1276"/>
      <c r="V507" s="1276"/>
      <c r="W507" s="1276"/>
      <c r="X507" s="1276"/>
      <c r="Y507" s="1276"/>
    </row>
    <row r="508" spans="1:25">
      <c r="A508" s="2522"/>
      <c r="B508" s="2522"/>
      <c r="C508" s="2522"/>
      <c r="D508" s="2522"/>
      <c r="E508" s="1275"/>
      <c r="R508" s="1276"/>
      <c r="S508" s="1276"/>
      <c r="T508" s="1276"/>
      <c r="U508" s="1276"/>
      <c r="V508" s="1276"/>
      <c r="W508" s="1276"/>
      <c r="X508" s="1276"/>
      <c r="Y508" s="1276"/>
    </row>
    <row r="509" spans="1:25">
      <c r="A509" s="2522"/>
      <c r="B509" s="2522"/>
      <c r="C509" s="2522"/>
      <c r="D509" s="2522"/>
      <c r="E509" s="1275"/>
      <c r="R509" s="1276"/>
      <c r="S509" s="1276"/>
      <c r="T509" s="1276"/>
      <c r="U509" s="1276"/>
      <c r="V509" s="1276"/>
      <c r="W509" s="1276"/>
      <c r="X509" s="1276"/>
      <c r="Y509" s="1276"/>
    </row>
    <row r="510" spans="1:25">
      <c r="A510" s="2522"/>
      <c r="B510" s="2522"/>
      <c r="C510" s="2522"/>
      <c r="D510" s="2522"/>
      <c r="E510" s="1275"/>
      <c r="R510" s="1276"/>
      <c r="S510" s="1276"/>
      <c r="T510" s="1276"/>
      <c r="U510" s="1276"/>
      <c r="V510" s="1276"/>
      <c r="W510" s="1276"/>
      <c r="X510" s="1276"/>
      <c r="Y510" s="1276"/>
    </row>
    <row r="511" spans="1:25">
      <c r="A511" s="2522"/>
      <c r="B511" s="2522"/>
      <c r="C511" s="2522"/>
      <c r="D511" s="2522"/>
      <c r="E511" s="1275"/>
      <c r="R511" s="1276"/>
      <c r="S511" s="1276"/>
      <c r="T511" s="1276"/>
      <c r="U511" s="1276"/>
      <c r="V511" s="1276"/>
      <c r="W511" s="1276"/>
      <c r="X511" s="1276"/>
      <c r="Y511" s="1276"/>
    </row>
    <row r="512" spans="1:25">
      <c r="A512" s="2522"/>
      <c r="B512" s="2522"/>
      <c r="C512" s="2522"/>
      <c r="D512" s="2522"/>
      <c r="E512" s="1275"/>
      <c r="R512" s="1276"/>
      <c r="S512" s="1276"/>
      <c r="T512" s="1276"/>
      <c r="U512" s="1276"/>
      <c r="V512" s="1276"/>
      <c r="W512" s="1276"/>
      <c r="X512" s="1276"/>
      <c r="Y512" s="1276"/>
    </row>
    <row r="513" spans="1:25">
      <c r="A513" s="2522"/>
      <c r="B513" s="2522"/>
      <c r="C513" s="2522"/>
      <c r="D513" s="2522"/>
      <c r="E513" s="1275"/>
      <c r="R513" s="1276"/>
      <c r="S513" s="1276"/>
      <c r="T513" s="1276"/>
      <c r="U513" s="1276"/>
      <c r="V513" s="1276"/>
      <c r="W513" s="1276"/>
      <c r="X513" s="1276"/>
      <c r="Y513" s="1276"/>
    </row>
    <row r="514" spans="1:25">
      <c r="A514" s="2522"/>
      <c r="B514" s="2522"/>
      <c r="C514" s="2522"/>
      <c r="D514" s="2522"/>
      <c r="E514" s="1275"/>
      <c r="R514" s="1276"/>
      <c r="S514" s="1276"/>
      <c r="T514" s="1276"/>
      <c r="U514" s="1276"/>
      <c r="V514" s="1276"/>
      <c r="W514" s="1276"/>
      <c r="X514" s="1276"/>
      <c r="Y514" s="1276"/>
    </row>
    <row r="515" spans="1:25">
      <c r="A515" s="2522"/>
      <c r="B515" s="2522"/>
      <c r="C515" s="2522"/>
      <c r="D515" s="2522"/>
      <c r="E515" s="1275"/>
      <c r="R515" s="1276"/>
      <c r="S515" s="1276"/>
      <c r="T515" s="1276"/>
      <c r="U515" s="1276"/>
      <c r="V515" s="1276"/>
      <c r="W515" s="1276"/>
      <c r="X515" s="1276"/>
      <c r="Y515" s="1276"/>
    </row>
    <row r="516" spans="1:25">
      <c r="A516" s="2522"/>
      <c r="B516" s="2522"/>
      <c r="C516" s="2522"/>
      <c r="D516" s="2522"/>
      <c r="E516" s="1275"/>
      <c r="R516" s="1276"/>
      <c r="S516" s="1276"/>
      <c r="T516" s="1276"/>
      <c r="U516" s="1276"/>
      <c r="V516" s="1276"/>
      <c r="W516" s="1276"/>
      <c r="X516" s="1276"/>
      <c r="Y516" s="1276"/>
    </row>
    <row r="517" spans="1:25">
      <c r="A517" s="2522"/>
      <c r="B517" s="2522"/>
      <c r="C517" s="2522"/>
      <c r="D517" s="2522"/>
      <c r="E517" s="1275"/>
      <c r="R517" s="1276"/>
      <c r="S517" s="1276"/>
      <c r="T517" s="1276"/>
      <c r="U517" s="1276"/>
      <c r="V517" s="1276"/>
      <c r="W517" s="1276"/>
      <c r="X517" s="1276"/>
      <c r="Y517" s="1276"/>
    </row>
    <row r="518" spans="1:25">
      <c r="A518" s="2522"/>
      <c r="B518" s="2522"/>
      <c r="C518" s="2522"/>
      <c r="D518" s="2522"/>
      <c r="E518" s="1275"/>
      <c r="R518" s="1276"/>
      <c r="S518" s="1276"/>
      <c r="T518" s="1276"/>
      <c r="U518" s="1276"/>
      <c r="V518" s="1276"/>
      <c r="W518" s="1276"/>
      <c r="X518" s="1276"/>
      <c r="Y518" s="1276"/>
    </row>
    <row r="519" spans="1:25">
      <c r="A519" s="2522"/>
      <c r="B519" s="2522"/>
      <c r="C519" s="2522"/>
      <c r="D519" s="2522"/>
      <c r="E519" s="1275"/>
      <c r="R519" s="1276"/>
      <c r="S519" s="1276"/>
      <c r="T519" s="1276"/>
      <c r="U519" s="1276"/>
      <c r="V519" s="1276"/>
      <c r="W519" s="1276"/>
      <c r="X519" s="1276"/>
      <c r="Y519" s="1276"/>
    </row>
    <row r="520" spans="1:25">
      <c r="A520" s="2522"/>
      <c r="B520" s="2522"/>
      <c r="C520" s="2522"/>
      <c r="D520" s="2522"/>
      <c r="E520" s="1275"/>
      <c r="R520" s="1276"/>
      <c r="S520" s="1276"/>
      <c r="T520" s="1276"/>
      <c r="U520" s="1276"/>
      <c r="V520" s="1276"/>
      <c r="W520" s="1276"/>
      <c r="X520" s="1276"/>
      <c r="Y520" s="1276"/>
    </row>
    <row r="521" spans="1:25">
      <c r="A521" s="2522"/>
      <c r="B521" s="2522"/>
      <c r="C521" s="2522"/>
      <c r="D521" s="2522"/>
      <c r="E521" s="1275"/>
      <c r="R521" s="1276"/>
      <c r="S521" s="1276"/>
      <c r="T521" s="1276"/>
      <c r="U521" s="1276"/>
      <c r="V521" s="1276"/>
      <c r="W521" s="1276"/>
      <c r="X521" s="1276"/>
      <c r="Y521" s="1276"/>
    </row>
    <row r="522" spans="1:25">
      <c r="A522" s="2522"/>
      <c r="B522" s="2522"/>
      <c r="C522" s="2522"/>
      <c r="D522" s="2522"/>
      <c r="E522" s="1275"/>
      <c r="R522" s="1276"/>
      <c r="S522" s="1276"/>
      <c r="T522" s="1276"/>
      <c r="U522" s="1276"/>
      <c r="V522" s="1276"/>
      <c r="W522" s="1276"/>
      <c r="X522" s="1276"/>
      <c r="Y522" s="1276"/>
    </row>
    <row r="523" spans="1:25">
      <c r="A523" s="2522"/>
      <c r="B523" s="2522"/>
      <c r="C523" s="2522"/>
      <c r="D523" s="2522"/>
      <c r="E523" s="1275"/>
      <c r="R523" s="1276"/>
      <c r="S523" s="1276"/>
      <c r="T523" s="1276"/>
      <c r="U523" s="1276"/>
      <c r="V523" s="1276"/>
      <c r="W523" s="1276"/>
      <c r="X523" s="1276"/>
      <c r="Y523" s="1276"/>
    </row>
    <row r="524" spans="1:25">
      <c r="A524" s="2522"/>
      <c r="B524" s="2522"/>
      <c r="C524" s="2522"/>
      <c r="D524" s="2522"/>
      <c r="E524" s="1275"/>
      <c r="R524" s="1276"/>
      <c r="S524" s="1276"/>
      <c r="T524" s="1276"/>
      <c r="U524" s="1276"/>
      <c r="V524" s="1276"/>
      <c r="W524" s="1276"/>
      <c r="X524" s="1276"/>
      <c r="Y524" s="1276"/>
    </row>
    <row r="525" spans="1:25">
      <c r="A525" s="2522"/>
      <c r="B525" s="2522"/>
      <c r="C525" s="2522"/>
      <c r="D525" s="2522"/>
      <c r="E525" s="1275"/>
      <c r="R525" s="1276"/>
      <c r="S525" s="1276"/>
      <c r="T525" s="1276"/>
      <c r="U525" s="1276"/>
      <c r="V525" s="1276"/>
      <c r="W525" s="1276"/>
      <c r="X525" s="1276"/>
      <c r="Y525" s="1276"/>
    </row>
    <row r="526" spans="1:25">
      <c r="A526" s="2522"/>
      <c r="B526" s="2522"/>
      <c r="C526" s="2522"/>
      <c r="D526" s="2522"/>
      <c r="E526" s="1275"/>
      <c r="R526" s="1276"/>
      <c r="S526" s="1276"/>
      <c r="T526" s="1276"/>
      <c r="U526" s="1276"/>
      <c r="V526" s="1276"/>
      <c r="W526" s="1276"/>
      <c r="X526" s="1276"/>
      <c r="Y526" s="1276"/>
    </row>
    <row r="527" spans="1:25">
      <c r="A527" s="2522"/>
      <c r="B527" s="2522"/>
      <c r="C527" s="2522"/>
      <c r="D527" s="2522"/>
      <c r="E527" s="1275"/>
      <c r="R527" s="1276"/>
      <c r="S527" s="1276"/>
      <c r="T527" s="1276"/>
      <c r="U527" s="1276"/>
      <c r="V527" s="1276"/>
      <c r="W527" s="1276"/>
      <c r="X527" s="1276"/>
      <c r="Y527" s="1276"/>
    </row>
    <row r="528" spans="1:25">
      <c r="A528" s="2522"/>
      <c r="B528" s="2522"/>
      <c r="C528" s="2522"/>
      <c r="D528" s="2522"/>
      <c r="E528" s="1275"/>
      <c r="R528" s="1276"/>
      <c r="S528" s="1276"/>
      <c r="T528" s="1276"/>
      <c r="U528" s="1276"/>
      <c r="V528" s="1276"/>
      <c r="W528" s="1276"/>
      <c r="X528" s="1276"/>
      <c r="Y528" s="1276"/>
    </row>
    <row r="529" spans="1:25">
      <c r="A529" s="2522"/>
      <c r="B529" s="2522"/>
      <c r="C529" s="2522"/>
      <c r="D529" s="2522"/>
      <c r="E529" s="1275"/>
      <c r="R529" s="1276"/>
      <c r="S529" s="1276"/>
      <c r="T529" s="1276"/>
      <c r="U529" s="1276"/>
      <c r="V529" s="1276"/>
      <c r="W529" s="1276"/>
      <c r="X529" s="1276"/>
      <c r="Y529" s="1276"/>
    </row>
    <row r="530" spans="1:25">
      <c r="A530" s="2522"/>
      <c r="B530" s="2522"/>
      <c r="C530" s="2522"/>
      <c r="D530" s="2522"/>
      <c r="E530" s="1275"/>
      <c r="R530" s="1276"/>
      <c r="S530" s="1276"/>
      <c r="T530" s="1276"/>
      <c r="U530" s="1276"/>
      <c r="V530" s="1276"/>
      <c r="W530" s="1276"/>
      <c r="X530" s="1276"/>
      <c r="Y530" s="1276"/>
    </row>
    <row r="531" spans="1:25">
      <c r="A531" s="2522"/>
      <c r="B531" s="2522"/>
      <c r="C531" s="2522"/>
      <c r="D531" s="2522"/>
      <c r="E531" s="1275"/>
      <c r="R531" s="1276"/>
      <c r="S531" s="1276"/>
      <c r="T531" s="1276"/>
      <c r="U531" s="1276"/>
      <c r="V531" s="1276"/>
      <c r="W531" s="1276"/>
      <c r="X531" s="1276"/>
      <c r="Y531" s="1276"/>
    </row>
    <row r="532" spans="1:25">
      <c r="A532" s="2522"/>
      <c r="B532" s="2522"/>
      <c r="C532" s="2522"/>
      <c r="D532" s="2522"/>
      <c r="E532" s="1275"/>
      <c r="R532" s="1276"/>
      <c r="S532" s="1276"/>
      <c r="T532" s="1276"/>
      <c r="U532" s="1276"/>
      <c r="V532" s="1276"/>
      <c r="W532" s="1276"/>
      <c r="X532" s="1276"/>
      <c r="Y532" s="1276"/>
    </row>
    <row r="533" spans="1:25">
      <c r="A533" s="2522"/>
      <c r="B533" s="2522"/>
      <c r="C533" s="2522"/>
      <c r="D533" s="2522"/>
      <c r="E533" s="1275"/>
      <c r="R533" s="1276"/>
      <c r="S533" s="1276"/>
      <c r="T533" s="1276"/>
      <c r="U533" s="1276"/>
      <c r="V533" s="1276"/>
      <c r="W533" s="1276"/>
      <c r="X533" s="1276"/>
      <c r="Y533" s="1276"/>
    </row>
    <row r="534" spans="1:25">
      <c r="A534" s="2522"/>
      <c r="B534" s="2522"/>
      <c r="C534" s="2522"/>
      <c r="D534" s="2522"/>
      <c r="E534" s="1275"/>
      <c r="R534" s="1276"/>
      <c r="S534" s="1276"/>
      <c r="T534" s="1276"/>
      <c r="U534" s="1276"/>
      <c r="V534" s="1276"/>
      <c r="W534" s="1276"/>
      <c r="X534" s="1276"/>
      <c r="Y534" s="1276"/>
    </row>
    <row r="535" spans="1:25">
      <c r="A535" s="2522"/>
      <c r="B535" s="2522"/>
      <c r="C535" s="2522"/>
      <c r="D535" s="2522"/>
      <c r="E535" s="1275"/>
      <c r="R535" s="1276"/>
      <c r="S535" s="1276"/>
      <c r="T535" s="1276"/>
      <c r="U535" s="1276"/>
      <c r="V535" s="1276"/>
      <c r="W535" s="1276"/>
      <c r="X535" s="1276"/>
      <c r="Y535" s="1276"/>
    </row>
    <row r="536" spans="1:25">
      <c r="A536" s="2522"/>
      <c r="B536" s="2522"/>
      <c r="C536" s="2522"/>
      <c r="D536" s="2522"/>
      <c r="E536" s="1275"/>
      <c r="R536" s="1276"/>
      <c r="S536" s="1276"/>
      <c r="T536" s="1276"/>
      <c r="U536" s="1276"/>
      <c r="V536" s="1276"/>
      <c r="W536" s="1276"/>
      <c r="X536" s="1276"/>
      <c r="Y536" s="1276"/>
    </row>
    <row r="537" spans="1:25">
      <c r="A537" s="2522"/>
      <c r="B537" s="2522"/>
      <c r="C537" s="2522"/>
      <c r="D537" s="2522"/>
      <c r="E537" s="1275"/>
      <c r="R537" s="1276"/>
      <c r="S537" s="1276"/>
      <c r="T537" s="1276"/>
      <c r="U537" s="1276"/>
      <c r="V537" s="1276"/>
      <c r="W537" s="1276"/>
      <c r="X537" s="1276"/>
      <c r="Y537" s="1276"/>
    </row>
    <row r="538" spans="1:25">
      <c r="A538" s="2522"/>
      <c r="B538" s="2522"/>
      <c r="C538" s="2522"/>
      <c r="D538" s="2522"/>
      <c r="E538" s="1275"/>
      <c r="R538" s="1276"/>
      <c r="S538" s="1276"/>
      <c r="T538" s="1276"/>
      <c r="U538" s="1276"/>
      <c r="V538" s="1276"/>
      <c r="W538" s="1276"/>
      <c r="X538" s="1276"/>
      <c r="Y538" s="1276"/>
    </row>
    <row r="539" spans="1:25">
      <c r="A539" s="2522"/>
      <c r="B539" s="2522"/>
      <c r="C539" s="2522"/>
      <c r="D539" s="2522"/>
      <c r="E539" s="1275"/>
      <c r="R539" s="1276"/>
      <c r="S539" s="1276"/>
      <c r="T539" s="1276"/>
      <c r="U539" s="1276"/>
      <c r="V539" s="1276"/>
      <c r="W539" s="1276"/>
      <c r="X539" s="1276"/>
      <c r="Y539" s="1276"/>
    </row>
    <row r="540" spans="1:25">
      <c r="A540" s="2522"/>
      <c r="B540" s="2522"/>
      <c r="C540" s="2522"/>
      <c r="D540" s="2522"/>
      <c r="E540" s="1275"/>
      <c r="R540" s="1276"/>
      <c r="S540" s="1276"/>
      <c r="T540" s="1276"/>
      <c r="U540" s="1276"/>
      <c r="V540" s="1276"/>
      <c r="W540" s="1276"/>
      <c r="X540" s="1276"/>
      <c r="Y540" s="1276"/>
    </row>
    <row r="541" spans="1:25">
      <c r="A541" s="2522"/>
      <c r="B541" s="2522"/>
      <c r="C541" s="2522"/>
      <c r="D541" s="2522"/>
      <c r="E541" s="1275"/>
      <c r="R541" s="1276"/>
      <c r="S541" s="1276"/>
      <c r="T541" s="1276"/>
      <c r="U541" s="1276"/>
      <c r="V541" s="1276"/>
      <c r="W541" s="1276"/>
      <c r="X541" s="1276"/>
      <c r="Y541" s="1276"/>
    </row>
    <row r="542" spans="1:25">
      <c r="A542" s="2522"/>
      <c r="B542" s="2522"/>
      <c r="C542" s="2522"/>
      <c r="D542" s="2522"/>
      <c r="E542" s="1275"/>
      <c r="R542" s="1276"/>
      <c r="S542" s="1276"/>
      <c r="T542" s="1276"/>
      <c r="U542" s="1276"/>
      <c r="V542" s="1276"/>
      <c r="W542" s="1276"/>
      <c r="X542" s="1276"/>
      <c r="Y542" s="1276"/>
    </row>
    <row r="543" spans="1:25">
      <c r="A543" s="2522"/>
      <c r="B543" s="2522"/>
      <c r="C543" s="2522"/>
      <c r="D543" s="2522"/>
      <c r="E543" s="1275"/>
      <c r="R543" s="1276"/>
      <c r="S543" s="1276"/>
      <c r="T543" s="1276"/>
      <c r="U543" s="1276"/>
      <c r="V543" s="1276"/>
      <c r="W543" s="1276"/>
      <c r="X543" s="1276"/>
      <c r="Y543" s="1276"/>
    </row>
    <row r="544" spans="1:25">
      <c r="A544" s="2522"/>
      <c r="B544" s="2522"/>
      <c r="C544" s="2522"/>
      <c r="D544" s="2522"/>
      <c r="E544" s="1275"/>
      <c r="R544" s="1276"/>
      <c r="S544" s="1276"/>
      <c r="T544" s="1276"/>
      <c r="U544" s="1276"/>
      <c r="V544" s="1276"/>
      <c r="W544" s="1276"/>
      <c r="X544" s="1276"/>
      <c r="Y544" s="1276"/>
    </row>
    <row r="545" spans="1:25">
      <c r="A545" s="2522"/>
      <c r="B545" s="2522"/>
      <c r="C545" s="2522"/>
      <c r="D545" s="2522"/>
      <c r="E545" s="1275"/>
      <c r="R545" s="1276"/>
      <c r="S545" s="1276"/>
      <c r="T545" s="1276"/>
      <c r="U545" s="1276"/>
      <c r="V545" s="1276"/>
      <c r="W545" s="1276"/>
      <c r="X545" s="1276"/>
      <c r="Y545" s="1276"/>
    </row>
    <row r="546" spans="1:25">
      <c r="A546" s="2522"/>
      <c r="B546" s="2522"/>
      <c r="C546" s="2522"/>
      <c r="D546" s="2522"/>
      <c r="E546" s="1275"/>
      <c r="R546" s="1276"/>
      <c r="S546" s="1276"/>
      <c r="T546" s="1276"/>
      <c r="U546" s="1276"/>
      <c r="V546" s="1276"/>
      <c r="W546" s="1276"/>
      <c r="X546" s="1276"/>
      <c r="Y546" s="1276"/>
    </row>
    <row r="547" spans="1:25">
      <c r="A547" s="2522"/>
      <c r="B547" s="2522"/>
      <c r="C547" s="2522"/>
      <c r="D547" s="2522"/>
      <c r="E547" s="1275"/>
      <c r="R547" s="1276"/>
      <c r="S547" s="1276"/>
      <c r="T547" s="1276"/>
      <c r="U547" s="1276"/>
      <c r="V547" s="1276"/>
      <c r="W547" s="1276"/>
      <c r="X547" s="1276"/>
      <c r="Y547" s="1276"/>
    </row>
    <row r="548" spans="1:25">
      <c r="A548" s="2522"/>
      <c r="B548" s="2522"/>
      <c r="C548" s="2522"/>
      <c r="D548" s="2522"/>
      <c r="E548" s="1275"/>
      <c r="R548" s="1276"/>
      <c r="S548" s="1276"/>
      <c r="T548" s="1276"/>
      <c r="U548" s="1276"/>
      <c r="V548" s="1276"/>
      <c r="W548" s="1276"/>
      <c r="X548" s="1276"/>
      <c r="Y548" s="1276"/>
    </row>
    <row r="549" spans="1:25">
      <c r="A549" s="2522"/>
      <c r="B549" s="2522"/>
      <c r="C549" s="2522"/>
      <c r="D549" s="2522"/>
      <c r="E549" s="1275"/>
      <c r="R549" s="1276"/>
      <c r="S549" s="1276"/>
      <c r="T549" s="1276"/>
      <c r="U549" s="1276"/>
      <c r="V549" s="1276"/>
      <c r="W549" s="1276"/>
      <c r="X549" s="1276"/>
      <c r="Y549" s="1276"/>
    </row>
    <row r="550" spans="1:25">
      <c r="A550" s="2522"/>
      <c r="B550" s="2522"/>
      <c r="C550" s="2522"/>
      <c r="D550" s="2522"/>
      <c r="E550" s="1275"/>
      <c r="R550" s="1276"/>
      <c r="S550" s="1276"/>
      <c r="T550" s="1276"/>
      <c r="U550" s="1276"/>
      <c r="V550" s="1276"/>
      <c r="W550" s="1276"/>
      <c r="X550" s="1276"/>
      <c r="Y550" s="1276"/>
    </row>
    <row r="551" spans="1:25">
      <c r="A551" s="2522"/>
      <c r="B551" s="2522"/>
      <c r="C551" s="2522"/>
      <c r="D551" s="2522"/>
      <c r="E551" s="1275"/>
      <c r="R551" s="1276"/>
      <c r="S551" s="1276"/>
      <c r="T551" s="1276"/>
      <c r="U551" s="1276"/>
      <c r="V551" s="1276"/>
      <c r="W551" s="1276"/>
      <c r="X551" s="1276"/>
      <c r="Y551" s="1276"/>
    </row>
    <row r="552" spans="1:25">
      <c r="A552" s="2522"/>
      <c r="B552" s="2522"/>
      <c r="C552" s="2522"/>
      <c r="D552" s="2522"/>
      <c r="E552" s="1275"/>
      <c r="R552" s="1276"/>
      <c r="S552" s="1276"/>
      <c r="T552" s="1276"/>
      <c r="U552" s="1276"/>
      <c r="V552" s="1276"/>
      <c r="W552" s="1276"/>
      <c r="X552" s="1276"/>
      <c r="Y552" s="1276"/>
    </row>
    <row r="553" spans="1:25">
      <c r="A553" s="2522"/>
      <c r="B553" s="2522"/>
      <c r="C553" s="2522"/>
      <c r="D553" s="2522"/>
      <c r="E553" s="1275"/>
      <c r="R553" s="1276"/>
      <c r="S553" s="1276"/>
      <c r="T553" s="1276"/>
      <c r="U553" s="1276"/>
      <c r="V553" s="1276"/>
      <c r="W553" s="1276"/>
      <c r="X553" s="1276"/>
      <c r="Y553" s="1276"/>
    </row>
    <row r="554" spans="1:25">
      <c r="A554" s="2522"/>
      <c r="B554" s="2522"/>
      <c r="C554" s="2522"/>
      <c r="D554" s="2522"/>
      <c r="E554" s="1275"/>
      <c r="R554" s="1276"/>
      <c r="S554" s="1276"/>
      <c r="T554" s="1276"/>
      <c r="U554" s="1276"/>
      <c r="V554" s="1276"/>
      <c r="W554" s="1276"/>
      <c r="X554" s="1276"/>
      <c r="Y554" s="1276"/>
    </row>
    <row r="555" spans="1:25">
      <c r="A555" s="2522"/>
      <c r="B555" s="2522"/>
      <c r="C555" s="2522"/>
      <c r="D555" s="2522"/>
      <c r="E555" s="1275"/>
      <c r="R555" s="1276"/>
      <c r="S555" s="1276"/>
      <c r="T555" s="1276"/>
      <c r="U555" s="1276"/>
      <c r="V555" s="1276"/>
      <c r="W555" s="1276"/>
      <c r="X555" s="1276"/>
      <c r="Y555" s="1276"/>
    </row>
    <row r="556" spans="1:25">
      <c r="A556" s="2522"/>
      <c r="B556" s="2522"/>
      <c r="C556" s="2522"/>
      <c r="D556" s="2522"/>
      <c r="E556" s="1275"/>
      <c r="R556" s="1276"/>
      <c r="S556" s="1276"/>
      <c r="T556" s="1276"/>
      <c r="U556" s="1276"/>
      <c r="V556" s="1276"/>
      <c r="W556" s="1276"/>
      <c r="X556" s="1276"/>
      <c r="Y556" s="1276"/>
    </row>
    <row r="557" spans="1:25">
      <c r="A557" s="2522"/>
      <c r="B557" s="2522"/>
      <c r="C557" s="2522"/>
      <c r="D557" s="2522"/>
      <c r="E557" s="1275"/>
      <c r="R557" s="1276"/>
      <c r="S557" s="1276"/>
      <c r="T557" s="1276"/>
      <c r="U557" s="1276"/>
      <c r="V557" s="1276"/>
      <c r="W557" s="1276"/>
      <c r="X557" s="1276"/>
      <c r="Y557" s="1276"/>
    </row>
    <row r="558" spans="1:25">
      <c r="A558" s="2522"/>
      <c r="B558" s="2522"/>
      <c r="C558" s="2522"/>
      <c r="D558" s="2522"/>
      <c r="E558" s="1275"/>
      <c r="R558" s="1276"/>
      <c r="S558" s="1276"/>
      <c r="T558" s="1276"/>
      <c r="U558" s="1276"/>
      <c r="V558" s="1276"/>
      <c r="W558" s="1276"/>
      <c r="X558" s="1276"/>
      <c r="Y558" s="1276"/>
    </row>
    <row r="559" spans="1:25">
      <c r="A559" s="2522"/>
      <c r="B559" s="2522"/>
      <c r="C559" s="2522"/>
      <c r="D559" s="2522"/>
      <c r="E559" s="1275"/>
      <c r="R559" s="1276"/>
      <c r="S559" s="1276"/>
      <c r="T559" s="1276"/>
      <c r="U559" s="1276"/>
      <c r="V559" s="1276"/>
      <c r="W559" s="1276"/>
      <c r="X559" s="1276"/>
      <c r="Y559" s="1276"/>
    </row>
    <row r="560" spans="1:25">
      <c r="A560" s="2522"/>
      <c r="B560" s="2522"/>
      <c r="C560" s="2522"/>
      <c r="D560" s="2522"/>
      <c r="E560" s="1275"/>
      <c r="R560" s="1276"/>
      <c r="S560" s="1276"/>
      <c r="T560" s="1276"/>
      <c r="U560" s="1276"/>
      <c r="V560" s="1276"/>
      <c r="W560" s="1276"/>
      <c r="X560" s="1276"/>
      <c r="Y560" s="1276"/>
    </row>
    <row r="561" spans="1:25">
      <c r="A561" s="2522"/>
      <c r="B561" s="2522"/>
      <c r="C561" s="2522"/>
      <c r="D561" s="2522"/>
      <c r="E561" s="1275"/>
      <c r="R561" s="1276"/>
      <c r="S561" s="1276"/>
      <c r="T561" s="1276"/>
      <c r="U561" s="1276"/>
      <c r="V561" s="1276"/>
      <c r="W561" s="1276"/>
      <c r="X561" s="1276"/>
      <c r="Y561" s="1276"/>
    </row>
    <row r="562" spans="1:25">
      <c r="A562" s="2522"/>
      <c r="B562" s="2522"/>
      <c r="C562" s="2522"/>
      <c r="D562" s="2522"/>
      <c r="E562" s="1275"/>
      <c r="R562" s="1276"/>
      <c r="S562" s="1276"/>
      <c r="T562" s="1276"/>
      <c r="U562" s="1276"/>
      <c r="V562" s="1276"/>
      <c r="W562" s="1276"/>
      <c r="X562" s="1276"/>
      <c r="Y562" s="1276"/>
    </row>
    <row r="563" spans="1:25">
      <c r="A563" s="2522"/>
      <c r="B563" s="2522"/>
      <c r="C563" s="2522"/>
      <c r="D563" s="2522"/>
      <c r="E563" s="1275"/>
      <c r="R563" s="1276"/>
      <c r="S563" s="1276"/>
      <c r="T563" s="1276"/>
      <c r="U563" s="1276"/>
      <c r="V563" s="1276"/>
      <c r="W563" s="1276"/>
      <c r="X563" s="1276"/>
      <c r="Y563" s="1276"/>
    </row>
    <row r="564" spans="1:25">
      <c r="A564" s="2522"/>
      <c r="B564" s="2522"/>
      <c r="C564" s="2522"/>
      <c r="D564" s="2522"/>
      <c r="E564" s="1275"/>
      <c r="R564" s="1276"/>
      <c r="S564" s="1276"/>
      <c r="T564" s="1276"/>
      <c r="U564" s="1276"/>
      <c r="V564" s="1276"/>
      <c r="W564" s="1276"/>
      <c r="X564" s="1276"/>
      <c r="Y564" s="1276"/>
    </row>
    <row r="565" spans="1:25">
      <c r="A565" s="2522"/>
      <c r="B565" s="2522"/>
      <c r="C565" s="2522"/>
      <c r="D565" s="2522"/>
      <c r="E565" s="1275"/>
      <c r="R565" s="1276"/>
      <c r="S565" s="1276"/>
      <c r="T565" s="1276"/>
      <c r="U565" s="1276"/>
      <c r="V565" s="1276"/>
      <c r="W565" s="1276"/>
      <c r="X565" s="1276"/>
      <c r="Y565" s="1276"/>
    </row>
    <row r="566" spans="1:25">
      <c r="A566" s="2522"/>
      <c r="B566" s="2522"/>
      <c r="C566" s="2522"/>
      <c r="D566" s="2522"/>
      <c r="E566" s="1275"/>
      <c r="R566" s="1276"/>
      <c r="S566" s="1276"/>
      <c r="T566" s="1276"/>
      <c r="U566" s="1276"/>
      <c r="V566" s="1276"/>
      <c r="W566" s="1276"/>
      <c r="X566" s="1276"/>
      <c r="Y566" s="1276"/>
    </row>
    <row r="567" spans="1:25">
      <c r="A567" s="2522"/>
      <c r="B567" s="2522"/>
      <c r="C567" s="2522"/>
      <c r="D567" s="2522"/>
      <c r="E567" s="1275"/>
      <c r="R567" s="1276"/>
      <c r="S567" s="1276"/>
      <c r="T567" s="1276"/>
      <c r="U567" s="1276"/>
      <c r="V567" s="1276"/>
      <c r="W567" s="1276"/>
      <c r="X567" s="1276"/>
      <c r="Y567" s="1276"/>
    </row>
    <row r="568" spans="1:25">
      <c r="A568" s="2522"/>
      <c r="B568" s="2522"/>
      <c r="C568" s="2522"/>
      <c r="D568" s="2522"/>
      <c r="E568" s="1275"/>
      <c r="R568" s="1276"/>
      <c r="S568" s="1276"/>
      <c r="T568" s="1276"/>
      <c r="U568" s="1276"/>
      <c r="V568" s="1276"/>
      <c r="W568" s="1276"/>
      <c r="X568" s="1276"/>
      <c r="Y568" s="1276"/>
    </row>
    <row r="569" spans="1:25">
      <c r="A569" s="2522"/>
      <c r="B569" s="2522"/>
      <c r="C569" s="2522"/>
      <c r="D569" s="2522"/>
      <c r="E569" s="1275"/>
      <c r="R569" s="1276"/>
      <c r="S569" s="1276"/>
      <c r="T569" s="1276"/>
      <c r="U569" s="1276"/>
      <c r="V569" s="1276"/>
      <c r="W569" s="1276"/>
      <c r="X569" s="1276"/>
      <c r="Y569" s="1276"/>
    </row>
    <row r="570" spans="1:25">
      <c r="A570" s="2522"/>
      <c r="B570" s="2522"/>
      <c r="C570" s="2522"/>
      <c r="D570" s="2522"/>
      <c r="E570" s="1275"/>
      <c r="R570" s="1276"/>
      <c r="S570" s="1276"/>
      <c r="T570" s="1276"/>
      <c r="U570" s="1276"/>
      <c r="V570" s="1276"/>
      <c r="W570" s="1276"/>
      <c r="X570" s="1276"/>
      <c r="Y570" s="1276"/>
    </row>
    <row r="571" spans="1:25">
      <c r="A571" s="2522"/>
      <c r="B571" s="2522"/>
      <c r="C571" s="2522"/>
      <c r="D571" s="2522"/>
      <c r="E571" s="1275"/>
      <c r="R571" s="1276"/>
      <c r="S571" s="1276"/>
      <c r="T571" s="1276"/>
      <c r="U571" s="1276"/>
      <c r="V571" s="1276"/>
      <c r="W571" s="1276"/>
      <c r="X571" s="1276"/>
      <c r="Y571" s="1276"/>
    </row>
    <row r="572" spans="1:25">
      <c r="A572" s="2522"/>
      <c r="B572" s="2522"/>
      <c r="C572" s="2522"/>
      <c r="D572" s="2522"/>
      <c r="E572" s="1275"/>
      <c r="R572" s="1276"/>
      <c r="S572" s="1276"/>
      <c r="T572" s="1276"/>
      <c r="U572" s="1276"/>
      <c r="V572" s="1276"/>
      <c r="W572" s="1276"/>
      <c r="X572" s="1276"/>
      <c r="Y572" s="1276"/>
    </row>
    <row r="573" spans="1:25">
      <c r="A573" s="2522"/>
      <c r="B573" s="2522"/>
      <c r="C573" s="2522"/>
      <c r="D573" s="2522"/>
      <c r="E573" s="1275"/>
      <c r="R573" s="1276"/>
      <c r="S573" s="1276"/>
      <c r="T573" s="1276"/>
      <c r="U573" s="1276"/>
      <c r="V573" s="1276"/>
      <c r="W573" s="1276"/>
      <c r="X573" s="1276"/>
      <c r="Y573" s="1276"/>
    </row>
    <row r="574" spans="1:25">
      <c r="A574" s="2522"/>
      <c r="B574" s="2522"/>
      <c r="C574" s="2522"/>
      <c r="D574" s="2522"/>
      <c r="E574" s="1275"/>
      <c r="R574" s="1276"/>
      <c r="S574" s="1276"/>
      <c r="T574" s="1276"/>
      <c r="U574" s="1276"/>
      <c r="V574" s="1276"/>
      <c r="W574" s="1276"/>
      <c r="X574" s="1276"/>
      <c r="Y574" s="1276"/>
    </row>
    <row r="575" spans="1:25">
      <c r="A575" s="2522"/>
      <c r="B575" s="2522"/>
      <c r="C575" s="2522"/>
      <c r="D575" s="2522"/>
      <c r="E575" s="1275"/>
      <c r="R575" s="1276"/>
      <c r="S575" s="1276"/>
      <c r="T575" s="1276"/>
      <c r="U575" s="1276"/>
      <c r="V575" s="1276"/>
      <c r="W575" s="1276"/>
      <c r="X575" s="1276"/>
      <c r="Y575" s="1276"/>
    </row>
    <row r="576" spans="1:25">
      <c r="A576" s="2522"/>
      <c r="B576" s="2522"/>
      <c r="C576" s="2522"/>
      <c r="D576" s="2522"/>
      <c r="E576" s="1275"/>
      <c r="R576" s="1276"/>
      <c r="S576" s="1276"/>
      <c r="T576" s="1276"/>
      <c r="U576" s="1276"/>
      <c r="V576" s="1276"/>
      <c r="W576" s="1276"/>
      <c r="X576" s="1276"/>
      <c r="Y576" s="1276"/>
    </row>
    <row r="577" spans="1:25">
      <c r="A577" s="2522"/>
      <c r="B577" s="2522"/>
      <c r="C577" s="2522"/>
      <c r="D577" s="2522"/>
      <c r="E577" s="1275"/>
      <c r="R577" s="1276"/>
      <c r="S577" s="1276"/>
      <c r="T577" s="1276"/>
      <c r="U577" s="1276"/>
      <c r="V577" s="1276"/>
      <c r="W577" s="1276"/>
      <c r="X577" s="1276"/>
      <c r="Y577" s="1276"/>
    </row>
    <row r="578" spans="1:25">
      <c r="A578" s="2522"/>
      <c r="B578" s="2522"/>
      <c r="C578" s="2522"/>
      <c r="D578" s="2522"/>
      <c r="E578" s="1275"/>
      <c r="R578" s="1276"/>
      <c r="S578" s="1276"/>
      <c r="T578" s="1276"/>
      <c r="U578" s="1276"/>
      <c r="V578" s="1276"/>
      <c r="W578" s="1276"/>
      <c r="X578" s="1276"/>
      <c r="Y578" s="1276"/>
    </row>
    <row r="579" spans="1:25">
      <c r="A579" s="2522"/>
      <c r="B579" s="2522"/>
      <c r="C579" s="2522"/>
      <c r="D579" s="2522"/>
      <c r="E579" s="1275"/>
      <c r="R579" s="1276"/>
      <c r="S579" s="1276"/>
      <c r="T579" s="1276"/>
      <c r="U579" s="1276"/>
      <c r="V579" s="1276"/>
      <c r="W579" s="1276"/>
      <c r="X579" s="1276"/>
      <c r="Y579" s="1276"/>
    </row>
    <row r="580" spans="1:25">
      <c r="A580" s="2522"/>
      <c r="B580" s="2522"/>
      <c r="C580" s="2522"/>
      <c r="D580" s="2522"/>
      <c r="E580" s="1275"/>
      <c r="R580" s="1276"/>
      <c r="S580" s="1276"/>
      <c r="T580" s="1276"/>
      <c r="U580" s="1276"/>
      <c r="V580" s="1276"/>
      <c r="W580" s="1276"/>
      <c r="X580" s="1276"/>
      <c r="Y580" s="1276"/>
    </row>
    <row r="581" spans="1:25">
      <c r="A581" s="2522"/>
      <c r="B581" s="2522"/>
      <c r="C581" s="2522"/>
      <c r="D581" s="2522"/>
      <c r="E581" s="1275"/>
      <c r="R581" s="1276"/>
      <c r="S581" s="1276"/>
      <c r="T581" s="1276"/>
      <c r="U581" s="1276"/>
      <c r="V581" s="1276"/>
      <c r="W581" s="1276"/>
      <c r="X581" s="1276"/>
      <c r="Y581" s="1276"/>
    </row>
    <row r="582" spans="1:25">
      <c r="A582" s="2522"/>
      <c r="B582" s="2522"/>
      <c r="C582" s="2522"/>
      <c r="D582" s="2522"/>
      <c r="E582" s="1275"/>
      <c r="R582" s="1276"/>
      <c r="S582" s="1276"/>
      <c r="T582" s="1276"/>
      <c r="U582" s="1276"/>
      <c r="V582" s="1276"/>
      <c r="W582" s="1276"/>
      <c r="X582" s="1276"/>
      <c r="Y582" s="1276"/>
    </row>
    <row r="583" spans="1:25">
      <c r="A583" s="2522"/>
      <c r="B583" s="2522"/>
      <c r="C583" s="2522"/>
      <c r="D583" s="2522"/>
      <c r="E583" s="1275"/>
      <c r="R583" s="1276"/>
      <c r="S583" s="1276"/>
      <c r="T583" s="1276"/>
      <c r="U583" s="1276"/>
      <c r="V583" s="1276"/>
      <c r="W583" s="1276"/>
      <c r="X583" s="1276"/>
      <c r="Y583" s="1276"/>
    </row>
    <row r="584" spans="1:25">
      <c r="A584" s="2522"/>
      <c r="B584" s="2522"/>
      <c r="C584" s="2522"/>
      <c r="D584" s="2522"/>
      <c r="E584" s="1275"/>
      <c r="R584" s="1276"/>
      <c r="S584" s="1276"/>
      <c r="T584" s="1276"/>
      <c r="U584" s="1276"/>
      <c r="V584" s="1276"/>
      <c r="W584" s="1276"/>
      <c r="X584" s="1276"/>
      <c r="Y584" s="1276"/>
    </row>
    <row r="585" spans="1:25">
      <c r="A585" s="2522"/>
      <c r="B585" s="2522"/>
      <c r="C585" s="2522"/>
      <c r="D585" s="2522"/>
      <c r="E585" s="1275"/>
      <c r="R585" s="1276"/>
      <c r="S585" s="1276"/>
      <c r="T585" s="1276"/>
      <c r="U585" s="1276"/>
      <c r="V585" s="1276"/>
      <c r="W585" s="1276"/>
      <c r="X585" s="1276"/>
      <c r="Y585" s="1276"/>
    </row>
    <row r="586" spans="1:25">
      <c r="A586" s="2522"/>
      <c r="B586" s="2522"/>
      <c r="C586" s="2522"/>
      <c r="D586" s="2522"/>
      <c r="E586" s="1275"/>
      <c r="R586" s="1276"/>
      <c r="S586" s="1276"/>
      <c r="T586" s="1276"/>
      <c r="U586" s="1276"/>
      <c r="V586" s="1276"/>
      <c r="W586" s="1276"/>
      <c r="X586" s="1276"/>
      <c r="Y586" s="1276"/>
    </row>
    <row r="587" spans="1:25">
      <c r="A587" s="2522"/>
      <c r="B587" s="2522"/>
      <c r="C587" s="2522"/>
      <c r="D587" s="2522"/>
      <c r="E587" s="1275"/>
      <c r="R587" s="1276"/>
      <c r="S587" s="1276"/>
      <c r="T587" s="1276"/>
      <c r="U587" s="1276"/>
      <c r="V587" s="1276"/>
      <c r="W587" s="1276"/>
      <c r="X587" s="1276"/>
      <c r="Y587" s="1276"/>
    </row>
    <row r="588" spans="1:25">
      <c r="A588" s="2522"/>
      <c r="B588" s="2522"/>
      <c r="C588" s="2522"/>
      <c r="D588" s="2522"/>
      <c r="E588" s="1275"/>
      <c r="R588" s="1276"/>
      <c r="S588" s="1276"/>
      <c r="T588" s="1276"/>
      <c r="U588" s="1276"/>
      <c r="V588" s="1276"/>
      <c r="W588" s="1276"/>
      <c r="X588" s="1276"/>
      <c r="Y588" s="1276"/>
    </row>
    <row r="589" spans="1:25">
      <c r="A589" s="2522"/>
      <c r="B589" s="2522"/>
      <c r="C589" s="2522"/>
      <c r="D589" s="2522"/>
      <c r="E589" s="1275"/>
      <c r="R589" s="1276"/>
      <c r="S589" s="1276"/>
      <c r="T589" s="1276"/>
      <c r="U589" s="1276"/>
      <c r="V589" s="1276"/>
      <c r="W589" s="1276"/>
      <c r="X589" s="1276"/>
      <c r="Y589" s="1276"/>
    </row>
    <row r="590" spans="1:25">
      <c r="A590" s="2522"/>
      <c r="B590" s="2522"/>
      <c r="C590" s="2522"/>
      <c r="D590" s="2522"/>
      <c r="E590" s="1275"/>
      <c r="R590" s="1276"/>
      <c r="S590" s="1276"/>
      <c r="T590" s="1276"/>
      <c r="U590" s="1276"/>
      <c r="V590" s="1276"/>
      <c r="W590" s="1276"/>
      <c r="X590" s="1276"/>
      <c r="Y590" s="1276"/>
    </row>
    <row r="591" spans="1:25">
      <c r="A591" s="2522"/>
      <c r="B591" s="2522"/>
      <c r="C591" s="2522"/>
      <c r="D591" s="2522"/>
      <c r="E591" s="1275"/>
      <c r="R591" s="1276"/>
      <c r="S591" s="1276"/>
      <c r="T591" s="1276"/>
      <c r="U591" s="1276"/>
      <c r="V591" s="1276"/>
      <c r="W591" s="1276"/>
      <c r="X591" s="1276"/>
      <c r="Y591" s="1276"/>
    </row>
    <row r="592" spans="1:25">
      <c r="A592" s="2522"/>
      <c r="B592" s="2522"/>
      <c r="C592" s="2522"/>
      <c r="D592" s="2522"/>
      <c r="E592" s="1275"/>
      <c r="R592" s="1276"/>
      <c r="S592" s="1276"/>
      <c r="T592" s="1276"/>
      <c r="U592" s="1276"/>
      <c r="V592" s="1276"/>
      <c r="W592" s="1276"/>
      <c r="X592" s="1276"/>
      <c r="Y592" s="1276"/>
    </row>
    <row r="593" spans="1:25">
      <c r="A593" s="2522"/>
      <c r="B593" s="2522"/>
      <c r="C593" s="2522"/>
      <c r="D593" s="2522"/>
      <c r="E593" s="1275"/>
      <c r="R593" s="1276"/>
      <c r="S593" s="1276"/>
      <c r="T593" s="1276"/>
      <c r="U593" s="1276"/>
      <c r="V593" s="1276"/>
      <c r="W593" s="1276"/>
      <c r="X593" s="1276"/>
      <c r="Y593" s="1276"/>
    </row>
    <row r="594" spans="1:25">
      <c r="A594" s="2522"/>
      <c r="B594" s="2522"/>
      <c r="C594" s="2522"/>
      <c r="D594" s="2522"/>
      <c r="E594" s="1275"/>
      <c r="R594" s="1276"/>
      <c r="S594" s="1276"/>
      <c r="T594" s="1276"/>
      <c r="U594" s="1276"/>
      <c r="V594" s="1276"/>
      <c r="W594" s="1276"/>
      <c r="X594" s="1276"/>
      <c r="Y594" s="1276"/>
    </row>
    <row r="595" spans="1:25">
      <c r="A595" s="2522"/>
      <c r="B595" s="2522"/>
      <c r="C595" s="2522"/>
      <c r="D595" s="2522"/>
      <c r="E595" s="1275"/>
      <c r="R595" s="1276"/>
      <c r="S595" s="1276"/>
      <c r="T595" s="1276"/>
      <c r="U595" s="1276"/>
      <c r="V595" s="1276"/>
      <c r="W595" s="1276"/>
      <c r="X595" s="1276"/>
      <c r="Y595" s="1276"/>
    </row>
    <row r="596" spans="1:25">
      <c r="A596" s="2522"/>
      <c r="B596" s="2522"/>
      <c r="C596" s="2522"/>
      <c r="D596" s="2522"/>
      <c r="E596" s="1275"/>
      <c r="R596" s="1276"/>
      <c r="S596" s="1276"/>
      <c r="T596" s="1276"/>
      <c r="U596" s="1276"/>
      <c r="V596" s="1276"/>
      <c r="W596" s="1276"/>
      <c r="X596" s="1276"/>
      <c r="Y596" s="1276"/>
    </row>
    <row r="597" spans="1:25">
      <c r="A597" s="2522"/>
      <c r="B597" s="2522"/>
      <c r="C597" s="2522"/>
      <c r="D597" s="2522"/>
      <c r="E597" s="1275"/>
      <c r="R597" s="1276"/>
      <c r="S597" s="1276"/>
      <c r="T597" s="1276"/>
      <c r="U597" s="1276"/>
      <c r="V597" s="1276"/>
      <c r="W597" s="1276"/>
      <c r="X597" s="1276"/>
      <c r="Y597" s="1276"/>
    </row>
    <row r="598" spans="1:25">
      <c r="A598" s="2522"/>
      <c r="B598" s="2522"/>
      <c r="C598" s="2522"/>
      <c r="D598" s="2522"/>
      <c r="E598" s="1275"/>
      <c r="R598" s="1276"/>
      <c r="S598" s="1276"/>
      <c r="T598" s="1276"/>
      <c r="U598" s="1276"/>
      <c r="V598" s="1276"/>
      <c r="W598" s="1276"/>
      <c r="X598" s="1276"/>
      <c r="Y598" s="1276"/>
    </row>
    <row r="599" spans="1:25">
      <c r="A599" s="2522"/>
      <c r="B599" s="2522"/>
      <c r="C599" s="2522"/>
      <c r="D599" s="2522"/>
      <c r="E599" s="1275"/>
      <c r="R599" s="1276"/>
      <c r="S599" s="1276"/>
      <c r="T599" s="1276"/>
      <c r="U599" s="1276"/>
      <c r="V599" s="1276"/>
      <c r="W599" s="1276"/>
      <c r="X599" s="1276"/>
      <c r="Y599" s="1276"/>
    </row>
    <row r="600" spans="1:25">
      <c r="A600" s="2522"/>
      <c r="B600" s="2522"/>
      <c r="C600" s="2522"/>
      <c r="D600" s="2522"/>
      <c r="E600" s="1275"/>
      <c r="R600" s="1276"/>
      <c r="S600" s="1276"/>
      <c r="T600" s="1276"/>
      <c r="U600" s="1276"/>
      <c r="V600" s="1276"/>
      <c r="W600" s="1276"/>
      <c r="X600" s="1276"/>
      <c r="Y600" s="1276"/>
    </row>
    <row r="601" spans="1:25">
      <c r="A601" s="2522"/>
      <c r="B601" s="2522"/>
      <c r="C601" s="2522"/>
      <c r="D601" s="2522"/>
      <c r="E601" s="1275"/>
      <c r="R601" s="1276"/>
      <c r="S601" s="1276"/>
      <c r="T601" s="1276"/>
      <c r="U601" s="1276"/>
      <c r="V601" s="1276"/>
      <c r="W601" s="1276"/>
      <c r="X601" s="1276"/>
      <c r="Y601" s="1276"/>
    </row>
    <row r="602" spans="1:25">
      <c r="A602" s="2522"/>
      <c r="B602" s="2522"/>
      <c r="C602" s="2522"/>
      <c r="D602" s="2522"/>
      <c r="E602" s="1275"/>
      <c r="R602" s="1276"/>
      <c r="S602" s="1276"/>
      <c r="T602" s="1276"/>
      <c r="U602" s="1276"/>
      <c r="V602" s="1276"/>
      <c r="W602" s="1276"/>
      <c r="X602" s="1276"/>
      <c r="Y602" s="1276"/>
    </row>
    <row r="603" spans="1:25">
      <c r="A603" s="2522"/>
      <c r="B603" s="2522"/>
      <c r="C603" s="2522"/>
      <c r="D603" s="2522"/>
      <c r="E603" s="1275"/>
      <c r="R603" s="1276"/>
      <c r="S603" s="1276"/>
      <c r="T603" s="1276"/>
      <c r="U603" s="1276"/>
      <c r="V603" s="1276"/>
      <c r="W603" s="1276"/>
      <c r="X603" s="1276"/>
      <c r="Y603" s="1276"/>
    </row>
    <row r="604" spans="1:25">
      <c r="A604" s="2522"/>
      <c r="B604" s="2522"/>
      <c r="C604" s="2522"/>
      <c r="D604" s="2522"/>
      <c r="E604" s="1275"/>
      <c r="R604" s="1276"/>
      <c r="S604" s="1276"/>
      <c r="T604" s="1276"/>
      <c r="U604" s="1276"/>
      <c r="V604" s="1276"/>
      <c r="W604" s="1276"/>
      <c r="X604" s="1276"/>
      <c r="Y604" s="1276"/>
    </row>
    <row r="605" spans="1:25">
      <c r="A605" s="2522"/>
      <c r="B605" s="2522"/>
      <c r="C605" s="2522"/>
      <c r="D605" s="2522"/>
      <c r="E605" s="1275"/>
      <c r="R605" s="1276"/>
      <c r="S605" s="1276"/>
      <c r="T605" s="1276"/>
      <c r="U605" s="1276"/>
      <c r="V605" s="1276"/>
      <c r="W605" s="1276"/>
      <c r="X605" s="1276"/>
      <c r="Y605" s="1276"/>
    </row>
    <row r="606" spans="1:25">
      <c r="A606" s="2522"/>
      <c r="B606" s="2522"/>
      <c r="C606" s="2522"/>
      <c r="D606" s="2522"/>
      <c r="E606" s="1275"/>
      <c r="R606" s="1276"/>
      <c r="S606" s="1276"/>
      <c r="T606" s="1276"/>
      <c r="U606" s="1276"/>
      <c r="V606" s="1276"/>
      <c r="W606" s="1276"/>
      <c r="X606" s="1276"/>
      <c r="Y606" s="1276"/>
    </row>
    <row r="607" spans="1:25">
      <c r="A607" s="2522"/>
      <c r="B607" s="2522"/>
      <c r="C607" s="2522"/>
      <c r="D607" s="2522"/>
      <c r="E607" s="1275"/>
      <c r="R607" s="1276"/>
      <c r="S607" s="1276"/>
      <c r="T607" s="1276"/>
      <c r="U607" s="1276"/>
      <c r="V607" s="1276"/>
      <c r="W607" s="1276"/>
      <c r="X607" s="1276"/>
      <c r="Y607" s="1276"/>
    </row>
    <row r="608" spans="1:25">
      <c r="A608" s="2522"/>
      <c r="B608" s="2522"/>
      <c r="C608" s="2522"/>
      <c r="D608" s="2522"/>
      <c r="E608" s="1275"/>
      <c r="R608" s="1276"/>
      <c r="S608" s="1276"/>
      <c r="T608" s="1276"/>
      <c r="U608" s="1276"/>
      <c r="V608" s="1276"/>
      <c r="W608" s="1276"/>
      <c r="X608" s="1276"/>
      <c r="Y608" s="1276"/>
    </row>
    <row r="609" spans="1:25">
      <c r="A609" s="2522"/>
      <c r="B609" s="2522"/>
      <c r="C609" s="2522"/>
      <c r="D609" s="2522"/>
      <c r="E609" s="1275"/>
      <c r="R609" s="1276"/>
      <c r="S609" s="1276"/>
      <c r="T609" s="1276"/>
      <c r="U609" s="1276"/>
      <c r="V609" s="1276"/>
      <c r="W609" s="1276"/>
      <c r="X609" s="1276"/>
      <c r="Y609" s="1276"/>
    </row>
    <row r="610" spans="1:25">
      <c r="A610" s="2522"/>
      <c r="B610" s="2522"/>
      <c r="C610" s="2522"/>
      <c r="D610" s="2522"/>
      <c r="E610" s="1275"/>
      <c r="R610" s="1276"/>
      <c r="S610" s="1276"/>
      <c r="T610" s="1276"/>
      <c r="U610" s="1276"/>
      <c r="V610" s="1276"/>
      <c r="W610" s="1276"/>
      <c r="X610" s="1276"/>
      <c r="Y610" s="1276"/>
    </row>
    <row r="611" spans="1:25">
      <c r="A611" s="2522"/>
      <c r="B611" s="2522"/>
      <c r="C611" s="2522"/>
      <c r="D611" s="2522"/>
      <c r="E611" s="1275"/>
      <c r="R611" s="1276"/>
      <c r="S611" s="1276"/>
      <c r="T611" s="1276"/>
      <c r="U611" s="1276"/>
      <c r="V611" s="1276"/>
      <c r="W611" s="1276"/>
      <c r="X611" s="1276"/>
      <c r="Y611" s="1276"/>
    </row>
    <row r="612" spans="1:25">
      <c r="A612" s="2522"/>
      <c r="B612" s="2522"/>
      <c r="C612" s="2522"/>
      <c r="D612" s="2522"/>
      <c r="E612" s="1275"/>
      <c r="R612" s="1276"/>
      <c r="S612" s="1276"/>
      <c r="T612" s="1276"/>
      <c r="U612" s="1276"/>
      <c r="V612" s="1276"/>
      <c r="W612" s="1276"/>
      <c r="X612" s="1276"/>
      <c r="Y612" s="1276"/>
    </row>
    <row r="613" spans="1:25">
      <c r="A613" s="2522"/>
      <c r="B613" s="2522"/>
      <c r="C613" s="2522"/>
      <c r="D613" s="2522"/>
      <c r="E613" s="1275"/>
      <c r="R613" s="1276"/>
      <c r="S613" s="1276"/>
      <c r="T613" s="1276"/>
      <c r="U613" s="1276"/>
      <c r="V613" s="1276"/>
      <c r="W613" s="1276"/>
      <c r="X613" s="1276"/>
      <c r="Y613" s="1276"/>
    </row>
    <row r="614" spans="1:25">
      <c r="A614" s="2522"/>
      <c r="B614" s="2522"/>
      <c r="C614" s="2522"/>
      <c r="D614" s="2522"/>
      <c r="E614" s="1275"/>
      <c r="R614" s="1276"/>
      <c r="S614" s="1276"/>
      <c r="T614" s="1276"/>
      <c r="U614" s="1276"/>
      <c r="V614" s="1276"/>
      <c r="W614" s="1276"/>
      <c r="X614" s="1276"/>
      <c r="Y614" s="1276"/>
    </row>
    <row r="615" spans="1:25">
      <c r="A615" s="2522"/>
      <c r="B615" s="2522"/>
      <c r="C615" s="2522"/>
      <c r="D615" s="2522"/>
      <c r="E615" s="1275"/>
      <c r="R615" s="1276"/>
      <c r="S615" s="1276"/>
      <c r="T615" s="1276"/>
      <c r="U615" s="1276"/>
      <c r="V615" s="1276"/>
      <c r="W615" s="1276"/>
      <c r="X615" s="1276"/>
      <c r="Y615" s="1276"/>
    </row>
    <row r="616" spans="1:25">
      <c r="A616" s="2522"/>
      <c r="B616" s="2522"/>
      <c r="C616" s="2522"/>
      <c r="D616" s="2522"/>
      <c r="E616" s="1275"/>
      <c r="R616" s="1276"/>
      <c r="S616" s="1276"/>
      <c r="T616" s="1276"/>
      <c r="U616" s="1276"/>
      <c r="V616" s="1276"/>
      <c r="W616" s="1276"/>
      <c r="X616" s="1276"/>
      <c r="Y616" s="1276"/>
    </row>
    <row r="617" spans="1:25">
      <c r="A617" s="2522"/>
      <c r="B617" s="2522"/>
      <c r="C617" s="2522"/>
      <c r="D617" s="2522"/>
      <c r="E617" s="1275"/>
      <c r="R617" s="1276"/>
      <c r="S617" s="1276"/>
      <c r="T617" s="1276"/>
      <c r="U617" s="1276"/>
      <c r="V617" s="1276"/>
      <c r="W617" s="1276"/>
      <c r="X617" s="1276"/>
      <c r="Y617" s="1276"/>
    </row>
    <row r="618" spans="1:25">
      <c r="A618" s="2522"/>
      <c r="B618" s="2522"/>
      <c r="C618" s="2522"/>
      <c r="D618" s="2522"/>
      <c r="E618" s="1275"/>
      <c r="R618" s="1276"/>
      <c r="S618" s="1276"/>
      <c r="T618" s="1276"/>
      <c r="U618" s="1276"/>
      <c r="V618" s="1276"/>
      <c r="W618" s="1276"/>
      <c r="X618" s="1276"/>
      <c r="Y618" s="1276"/>
    </row>
    <row r="619" spans="1:25">
      <c r="A619" s="2522"/>
      <c r="B619" s="2522"/>
      <c r="C619" s="2522"/>
      <c r="D619" s="2522"/>
      <c r="E619" s="1275"/>
      <c r="R619" s="1276"/>
      <c r="S619" s="1276"/>
      <c r="T619" s="1276"/>
      <c r="U619" s="1276"/>
      <c r="V619" s="1276"/>
      <c r="W619" s="1276"/>
      <c r="X619" s="1276"/>
      <c r="Y619" s="1276"/>
    </row>
    <row r="620" spans="1:25">
      <c r="A620" s="2522"/>
      <c r="B620" s="2522"/>
      <c r="C620" s="2522"/>
      <c r="D620" s="2522"/>
      <c r="E620" s="1275"/>
      <c r="R620" s="1276"/>
      <c r="S620" s="1276"/>
      <c r="T620" s="1276"/>
      <c r="U620" s="1276"/>
      <c r="V620" s="1276"/>
      <c r="W620" s="1276"/>
      <c r="X620" s="1276"/>
      <c r="Y620" s="1276"/>
    </row>
    <row r="621" spans="1:25">
      <c r="A621" s="2522"/>
      <c r="B621" s="2522"/>
      <c r="C621" s="2522"/>
      <c r="D621" s="2522"/>
      <c r="E621" s="1275"/>
      <c r="R621" s="1276"/>
      <c r="S621" s="1276"/>
      <c r="T621" s="1276"/>
      <c r="U621" s="1276"/>
      <c r="V621" s="1276"/>
      <c r="W621" s="1276"/>
      <c r="X621" s="1276"/>
      <c r="Y621" s="1276"/>
    </row>
    <row r="622" spans="1:25">
      <c r="A622" s="2522"/>
      <c r="B622" s="2522"/>
      <c r="C622" s="2522"/>
      <c r="D622" s="2522"/>
      <c r="E622" s="1275"/>
      <c r="R622" s="1276"/>
      <c r="S622" s="1276"/>
      <c r="T622" s="1276"/>
      <c r="U622" s="1276"/>
      <c r="V622" s="1276"/>
      <c r="W622" s="1276"/>
      <c r="X622" s="1276"/>
      <c r="Y622" s="1276"/>
    </row>
    <row r="623" spans="1:25">
      <c r="A623" s="2522"/>
      <c r="B623" s="2522"/>
      <c r="C623" s="2522"/>
      <c r="D623" s="2522"/>
      <c r="E623" s="1275"/>
      <c r="R623" s="1276"/>
      <c r="S623" s="1276"/>
      <c r="T623" s="1276"/>
      <c r="U623" s="1276"/>
      <c r="V623" s="1276"/>
      <c r="W623" s="1276"/>
      <c r="X623" s="1276"/>
      <c r="Y623" s="1276"/>
    </row>
    <row r="624" spans="1:25">
      <c r="A624" s="2522"/>
      <c r="B624" s="2522"/>
      <c r="C624" s="2522"/>
      <c r="D624" s="2522"/>
      <c r="E624" s="1275"/>
      <c r="R624" s="1276"/>
      <c r="S624" s="1276"/>
      <c r="T624" s="1276"/>
      <c r="U624" s="1276"/>
      <c r="V624" s="1276"/>
      <c r="W624" s="1276"/>
      <c r="X624" s="1276"/>
      <c r="Y624" s="1276"/>
    </row>
    <row r="625" spans="1:25">
      <c r="A625" s="2522"/>
      <c r="B625" s="2522"/>
      <c r="C625" s="2522"/>
      <c r="D625" s="2522"/>
      <c r="E625" s="1275"/>
      <c r="R625" s="1276"/>
      <c r="S625" s="1276"/>
      <c r="T625" s="1276"/>
      <c r="U625" s="1276"/>
      <c r="V625" s="1276"/>
      <c r="W625" s="1276"/>
      <c r="X625" s="1276"/>
      <c r="Y625" s="1276"/>
    </row>
    <row r="626" spans="1:25">
      <c r="A626" s="2522"/>
      <c r="B626" s="2522"/>
      <c r="C626" s="2522"/>
      <c r="D626" s="2522"/>
      <c r="E626" s="1275"/>
      <c r="R626" s="1276"/>
      <c r="S626" s="1276"/>
      <c r="T626" s="1276"/>
      <c r="U626" s="1276"/>
      <c r="V626" s="1276"/>
      <c r="W626" s="1276"/>
      <c r="X626" s="1276"/>
      <c r="Y626" s="1276"/>
    </row>
    <row r="627" spans="1:25">
      <c r="A627" s="2522"/>
      <c r="B627" s="2522"/>
      <c r="C627" s="2522"/>
      <c r="D627" s="2522"/>
      <c r="E627" s="1275"/>
      <c r="R627" s="1276"/>
      <c r="S627" s="1276"/>
      <c r="T627" s="1276"/>
      <c r="U627" s="1276"/>
      <c r="V627" s="1276"/>
      <c r="W627" s="1276"/>
      <c r="X627" s="1276"/>
      <c r="Y627" s="1276"/>
    </row>
    <row r="628" spans="1:25">
      <c r="A628" s="2522"/>
      <c r="B628" s="2522"/>
      <c r="C628" s="2522"/>
      <c r="D628" s="2522"/>
      <c r="E628" s="1275"/>
      <c r="R628" s="1276"/>
      <c r="S628" s="1276"/>
      <c r="T628" s="1276"/>
      <c r="U628" s="1276"/>
      <c r="V628" s="1276"/>
      <c r="W628" s="1276"/>
      <c r="X628" s="1276"/>
      <c r="Y628" s="1276"/>
    </row>
    <row r="629" spans="1:25">
      <c r="A629" s="2522"/>
      <c r="B629" s="2522"/>
      <c r="C629" s="2522"/>
      <c r="D629" s="2522"/>
      <c r="E629" s="1275"/>
      <c r="R629" s="1276"/>
      <c r="S629" s="1276"/>
      <c r="T629" s="1276"/>
      <c r="U629" s="1276"/>
      <c r="V629" s="1276"/>
      <c r="W629" s="1276"/>
      <c r="X629" s="1276"/>
      <c r="Y629" s="1276"/>
    </row>
    <row r="630" spans="1:25">
      <c r="A630" s="2522"/>
      <c r="B630" s="2522"/>
      <c r="C630" s="2522"/>
      <c r="D630" s="2522"/>
      <c r="E630" s="1275"/>
      <c r="R630" s="1276"/>
      <c r="S630" s="1276"/>
      <c r="T630" s="1276"/>
      <c r="U630" s="1276"/>
      <c r="V630" s="1276"/>
      <c r="W630" s="1276"/>
      <c r="X630" s="1276"/>
      <c r="Y630" s="1276"/>
    </row>
    <row r="631" spans="1:25">
      <c r="A631" s="2522"/>
      <c r="B631" s="2522"/>
      <c r="C631" s="2522"/>
      <c r="D631" s="2522"/>
      <c r="E631" s="1275"/>
      <c r="R631" s="1276"/>
      <c r="S631" s="1276"/>
      <c r="T631" s="1276"/>
      <c r="U631" s="1276"/>
      <c r="V631" s="1276"/>
      <c r="W631" s="1276"/>
      <c r="X631" s="1276"/>
      <c r="Y631" s="1276"/>
    </row>
    <row r="632" spans="1:25">
      <c r="A632" s="2522"/>
      <c r="B632" s="2522"/>
      <c r="C632" s="2522"/>
      <c r="D632" s="2522"/>
      <c r="E632" s="1275"/>
      <c r="R632" s="1276"/>
      <c r="S632" s="1276"/>
      <c r="T632" s="1276"/>
      <c r="U632" s="1276"/>
      <c r="V632" s="1276"/>
      <c r="W632" s="1276"/>
      <c r="X632" s="1276"/>
      <c r="Y632" s="1276"/>
    </row>
    <row r="633" spans="1:25">
      <c r="A633" s="2522"/>
      <c r="B633" s="2522"/>
      <c r="C633" s="2522"/>
      <c r="D633" s="2522"/>
      <c r="E633" s="1275"/>
      <c r="R633" s="1276"/>
      <c r="S633" s="1276"/>
      <c r="T633" s="1276"/>
      <c r="U633" s="1276"/>
      <c r="V633" s="1276"/>
      <c r="W633" s="1276"/>
      <c r="X633" s="1276"/>
      <c r="Y633" s="1276"/>
    </row>
    <row r="634" spans="1:25">
      <c r="A634" s="2522"/>
      <c r="B634" s="2522"/>
      <c r="C634" s="2522"/>
      <c r="D634" s="2522"/>
      <c r="E634" s="1275"/>
      <c r="R634" s="1276"/>
      <c r="S634" s="1276"/>
      <c r="T634" s="1276"/>
      <c r="U634" s="1276"/>
      <c r="V634" s="1276"/>
      <c r="W634" s="1276"/>
      <c r="X634" s="1276"/>
      <c r="Y634" s="1276"/>
    </row>
    <row r="635" spans="1:25">
      <c r="A635" s="2522"/>
      <c r="B635" s="2522"/>
      <c r="C635" s="2522"/>
      <c r="D635" s="2522"/>
      <c r="E635" s="1275"/>
      <c r="R635" s="1276"/>
      <c r="S635" s="1276"/>
      <c r="T635" s="1276"/>
      <c r="U635" s="1276"/>
      <c r="V635" s="1276"/>
      <c r="W635" s="1276"/>
      <c r="X635" s="1276"/>
      <c r="Y635" s="1276"/>
    </row>
    <row r="636" spans="1:25">
      <c r="A636" s="2522"/>
      <c r="B636" s="2522"/>
      <c r="C636" s="2522"/>
      <c r="D636" s="2522"/>
      <c r="E636" s="1275"/>
      <c r="R636" s="1276"/>
      <c r="S636" s="1276"/>
      <c r="T636" s="1276"/>
      <c r="U636" s="1276"/>
      <c r="V636" s="1276"/>
      <c r="W636" s="1276"/>
      <c r="X636" s="1276"/>
      <c r="Y636" s="1276"/>
    </row>
    <row r="637" spans="1:25">
      <c r="A637" s="2522"/>
      <c r="B637" s="2522"/>
      <c r="C637" s="2522"/>
      <c r="D637" s="2522"/>
      <c r="E637" s="1275"/>
      <c r="R637" s="1276"/>
      <c r="S637" s="1276"/>
      <c r="T637" s="1276"/>
      <c r="U637" s="1276"/>
      <c r="V637" s="1276"/>
      <c r="W637" s="1276"/>
      <c r="X637" s="1276"/>
      <c r="Y637" s="1276"/>
    </row>
    <row r="638" spans="1:25">
      <c r="A638" s="2522"/>
      <c r="B638" s="2522"/>
      <c r="C638" s="2522"/>
      <c r="D638" s="2522"/>
      <c r="E638" s="1275"/>
      <c r="R638" s="1276"/>
      <c r="S638" s="1276"/>
      <c r="T638" s="1276"/>
      <c r="U638" s="1276"/>
      <c r="V638" s="1276"/>
      <c r="W638" s="1276"/>
      <c r="X638" s="1276"/>
      <c r="Y638" s="1276"/>
    </row>
    <row r="639" spans="1:25">
      <c r="A639" s="2522"/>
      <c r="B639" s="2522"/>
      <c r="C639" s="2522"/>
      <c r="D639" s="2522"/>
      <c r="E639" s="1275"/>
      <c r="R639" s="1276"/>
      <c r="S639" s="1276"/>
      <c r="T639" s="1276"/>
      <c r="U639" s="1276"/>
      <c r="V639" s="1276"/>
      <c r="W639" s="1276"/>
      <c r="X639" s="1276"/>
      <c r="Y639" s="1276"/>
    </row>
    <row r="640" spans="1:25">
      <c r="A640" s="2522"/>
      <c r="B640" s="2522"/>
      <c r="C640" s="2522"/>
      <c r="D640" s="2522"/>
      <c r="E640" s="1275"/>
      <c r="R640" s="1276"/>
      <c r="S640" s="1276"/>
      <c r="T640" s="1276"/>
      <c r="U640" s="1276"/>
      <c r="V640" s="1276"/>
      <c r="W640" s="1276"/>
      <c r="X640" s="1276"/>
      <c r="Y640" s="1276"/>
    </row>
    <row r="641" spans="1:25">
      <c r="A641" s="2522"/>
      <c r="B641" s="2522"/>
      <c r="C641" s="2522"/>
      <c r="D641" s="2522"/>
      <c r="E641" s="1275"/>
      <c r="R641" s="1276"/>
      <c r="S641" s="1276"/>
      <c r="T641" s="1276"/>
      <c r="U641" s="1276"/>
      <c r="V641" s="1276"/>
      <c r="W641" s="1276"/>
      <c r="X641" s="1276"/>
      <c r="Y641" s="1276"/>
    </row>
    <row r="642" spans="1:25">
      <c r="A642" s="2522"/>
      <c r="B642" s="2522"/>
      <c r="C642" s="2522"/>
      <c r="D642" s="2522"/>
      <c r="E642" s="1275"/>
      <c r="R642" s="1276"/>
      <c r="S642" s="1276"/>
      <c r="T642" s="1276"/>
      <c r="U642" s="1276"/>
      <c r="V642" s="1276"/>
      <c r="W642" s="1276"/>
      <c r="X642" s="1276"/>
      <c r="Y642" s="1276"/>
    </row>
    <row r="643" spans="1:25">
      <c r="A643" s="2522"/>
      <c r="B643" s="2522"/>
      <c r="C643" s="2522"/>
      <c r="D643" s="2522"/>
      <c r="E643" s="1275"/>
      <c r="R643" s="1276"/>
      <c r="S643" s="1276"/>
      <c r="T643" s="1276"/>
      <c r="U643" s="1276"/>
      <c r="V643" s="1276"/>
      <c r="W643" s="1276"/>
      <c r="X643" s="1276"/>
      <c r="Y643" s="1276"/>
    </row>
    <row r="644" spans="1:25">
      <c r="A644" s="2522"/>
      <c r="B644" s="2522"/>
      <c r="C644" s="2522"/>
      <c r="D644" s="2522"/>
      <c r="E644" s="1275"/>
      <c r="R644" s="1276"/>
      <c r="S644" s="1276"/>
      <c r="T644" s="1276"/>
      <c r="U644" s="1276"/>
      <c r="V644" s="1276"/>
      <c r="W644" s="1276"/>
      <c r="X644" s="1276"/>
      <c r="Y644" s="1276"/>
    </row>
    <row r="645" spans="1:25">
      <c r="A645" s="2522"/>
      <c r="B645" s="2522"/>
      <c r="C645" s="2522"/>
      <c r="D645" s="2522"/>
      <c r="E645" s="1275"/>
      <c r="R645" s="1276"/>
      <c r="S645" s="1276"/>
      <c r="T645" s="1276"/>
      <c r="U645" s="1276"/>
      <c r="V645" s="1276"/>
      <c r="W645" s="1276"/>
      <c r="X645" s="1276"/>
      <c r="Y645" s="1276"/>
    </row>
    <row r="646" spans="1:25">
      <c r="A646" s="2522"/>
      <c r="B646" s="2522"/>
      <c r="C646" s="2522"/>
      <c r="D646" s="2522"/>
      <c r="E646" s="1275"/>
      <c r="R646" s="1276"/>
      <c r="S646" s="1276"/>
      <c r="T646" s="1276"/>
      <c r="U646" s="1276"/>
      <c r="V646" s="1276"/>
      <c r="W646" s="1276"/>
      <c r="X646" s="1276"/>
      <c r="Y646" s="1276"/>
    </row>
    <row r="647" spans="1:25">
      <c r="A647" s="2522"/>
      <c r="B647" s="2522"/>
      <c r="C647" s="2522"/>
      <c r="D647" s="2522"/>
      <c r="E647" s="1275"/>
      <c r="R647" s="1276"/>
      <c r="S647" s="1276"/>
      <c r="T647" s="1276"/>
      <c r="U647" s="1276"/>
      <c r="V647" s="1276"/>
      <c r="W647" s="1276"/>
      <c r="X647" s="1276"/>
      <c r="Y647" s="1276"/>
    </row>
    <row r="648" spans="1:25">
      <c r="A648" s="2522"/>
      <c r="B648" s="2522"/>
      <c r="C648" s="2522"/>
      <c r="D648" s="2522"/>
      <c r="E648" s="1275"/>
      <c r="R648" s="1276"/>
      <c r="S648" s="1276"/>
      <c r="T648" s="1276"/>
      <c r="U648" s="1276"/>
      <c r="V648" s="1276"/>
      <c r="W648" s="1276"/>
      <c r="X648" s="1276"/>
      <c r="Y648" s="1276"/>
    </row>
    <row r="649" spans="1:25">
      <c r="A649" s="2522"/>
      <c r="B649" s="2522"/>
      <c r="C649" s="2522"/>
      <c r="D649" s="2522"/>
      <c r="E649" s="1275"/>
      <c r="R649" s="1276"/>
      <c r="S649" s="1276"/>
      <c r="T649" s="1276"/>
      <c r="U649" s="1276"/>
      <c r="V649" s="1276"/>
      <c r="W649" s="1276"/>
      <c r="X649" s="1276"/>
      <c r="Y649" s="1276"/>
    </row>
    <row r="650" spans="1:25">
      <c r="A650" s="2522"/>
      <c r="B650" s="2522"/>
      <c r="C650" s="2522"/>
      <c r="D650" s="2522"/>
      <c r="E650" s="1275"/>
      <c r="R650" s="1276"/>
      <c r="S650" s="1276"/>
      <c r="T650" s="1276"/>
      <c r="U650" s="1276"/>
      <c r="V650" s="1276"/>
      <c r="W650" s="1276"/>
      <c r="X650" s="1276"/>
      <c r="Y650" s="1276"/>
    </row>
    <row r="651" spans="1:25">
      <c r="A651" s="2522"/>
      <c r="B651" s="2522"/>
      <c r="C651" s="2522"/>
      <c r="D651" s="2522"/>
      <c r="E651" s="1275"/>
      <c r="R651" s="1276"/>
      <c r="S651" s="1276"/>
      <c r="T651" s="1276"/>
      <c r="U651" s="1276"/>
      <c r="V651" s="1276"/>
      <c r="W651" s="1276"/>
      <c r="X651" s="1276"/>
      <c r="Y651" s="1276"/>
    </row>
    <row r="652" spans="1:25">
      <c r="A652" s="2522"/>
      <c r="B652" s="2522"/>
      <c r="C652" s="2522"/>
      <c r="D652" s="2522"/>
      <c r="E652" s="1275"/>
      <c r="R652" s="1276"/>
      <c r="S652" s="1276"/>
      <c r="T652" s="1276"/>
      <c r="U652" s="1276"/>
      <c r="V652" s="1276"/>
      <c r="W652" s="1276"/>
      <c r="X652" s="1276"/>
      <c r="Y652" s="1276"/>
    </row>
    <row r="653" spans="1:25">
      <c r="A653" s="2522"/>
      <c r="B653" s="2522"/>
      <c r="C653" s="2522"/>
      <c r="D653" s="2522"/>
      <c r="E653" s="1275"/>
      <c r="R653" s="1276"/>
      <c r="S653" s="1276"/>
      <c r="T653" s="1276"/>
      <c r="U653" s="1276"/>
      <c r="V653" s="1276"/>
      <c r="W653" s="1276"/>
      <c r="X653" s="1276"/>
      <c r="Y653" s="1276"/>
    </row>
    <row r="654" spans="1:25">
      <c r="A654" s="2522"/>
      <c r="B654" s="2522"/>
      <c r="C654" s="2522"/>
      <c r="D654" s="2522"/>
      <c r="E654" s="1275"/>
      <c r="R654" s="1276"/>
      <c r="S654" s="1276"/>
      <c r="T654" s="1276"/>
      <c r="U654" s="1276"/>
      <c r="V654" s="1276"/>
      <c r="W654" s="1276"/>
      <c r="X654" s="1276"/>
      <c r="Y654" s="1276"/>
    </row>
    <row r="655" spans="1:25">
      <c r="A655" s="2522"/>
      <c r="B655" s="2522"/>
      <c r="C655" s="2522"/>
      <c r="D655" s="2522"/>
      <c r="E655" s="1275"/>
      <c r="R655" s="1276"/>
      <c r="S655" s="1276"/>
      <c r="T655" s="1276"/>
      <c r="U655" s="1276"/>
      <c r="V655" s="1276"/>
      <c r="W655" s="1276"/>
      <c r="X655" s="1276"/>
      <c r="Y655" s="1276"/>
    </row>
    <row r="656" spans="1:25">
      <c r="A656" s="2522"/>
      <c r="B656" s="2522"/>
      <c r="C656" s="2522"/>
      <c r="D656" s="2522"/>
      <c r="E656" s="1275"/>
      <c r="R656" s="1276"/>
      <c r="S656" s="1276"/>
      <c r="T656" s="1276"/>
      <c r="U656" s="1276"/>
      <c r="V656" s="1276"/>
      <c r="W656" s="1276"/>
      <c r="X656" s="1276"/>
      <c r="Y656" s="1276"/>
    </row>
    <row r="657" spans="1:25">
      <c r="A657" s="2522"/>
      <c r="B657" s="2522"/>
      <c r="C657" s="2522"/>
      <c r="D657" s="2522"/>
      <c r="E657" s="1275"/>
      <c r="R657" s="1276"/>
      <c r="S657" s="1276"/>
      <c r="T657" s="1276"/>
      <c r="U657" s="1276"/>
      <c r="V657" s="1276"/>
      <c r="W657" s="1276"/>
      <c r="X657" s="1276"/>
      <c r="Y657" s="1276"/>
    </row>
    <row r="658" spans="1:25">
      <c r="A658" s="2522"/>
      <c r="B658" s="2522"/>
      <c r="C658" s="2522"/>
      <c r="D658" s="2522"/>
      <c r="E658" s="1275"/>
      <c r="R658" s="1276"/>
      <c r="S658" s="1276"/>
      <c r="T658" s="1276"/>
      <c r="U658" s="1276"/>
      <c r="V658" s="1276"/>
      <c r="W658" s="1276"/>
      <c r="X658" s="1276"/>
      <c r="Y658" s="1276"/>
    </row>
    <row r="659" spans="1:25">
      <c r="A659" s="2522"/>
      <c r="B659" s="2522"/>
      <c r="C659" s="2522"/>
      <c r="D659" s="2522"/>
      <c r="E659" s="1275"/>
      <c r="R659" s="1276"/>
      <c r="S659" s="1276"/>
      <c r="T659" s="1276"/>
      <c r="U659" s="1276"/>
      <c r="V659" s="1276"/>
      <c r="W659" s="1276"/>
      <c r="X659" s="1276"/>
      <c r="Y659" s="1276"/>
    </row>
    <row r="660" spans="1:25">
      <c r="A660" s="2522"/>
      <c r="B660" s="2522"/>
      <c r="C660" s="2522"/>
      <c r="D660" s="2522"/>
      <c r="E660" s="1275"/>
      <c r="R660" s="1276"/>
      <c r="S660" s="1276"/>
      <c r="T660" s="1276"/>
      <c r="U660" s="1276"/>
      <c r="V660" s="1276"/>
      <c r="W660" s="1276"/>
      <c r="X660" s="1276"/>
      <c r="Y660" s="1276"/>
    </row>
    <row r="661" spans="1:25">
      <c r="A661" s="2522"/>
      <c r="B661" s="2522"/>
      <c r="C661" s="2522"/>
      <c r="D661" s="2522"/>
      <c r="E661" s="1275"/>
      <c r="R661" s="1276"/>
      <c r="S661" s="1276"/>
      <c r="T661" s="1276"/>
      <c r="U661" s="1276"/>
      <c r="V661" s="1276"/>
      <c r="W661" s="1276"/>
      <c r="X661" s="1276"/>
      <c r="Y661" s="1276"/>
    </row>
    <row r="662" spans="1:25">
      <c r="A662" s="2522"/>
      <c r="B662" s="2522"/>
      <c r="C662" s="2522"/>
      <c r="D662" s="2522"/>
      <c r="E662" s="1275"/>
      <c r="R662" s="1276"/>
      <c r="S662" s="1276"/>
      <c r="T662" s="1276"/>
      <c r="U662" s="1276"/>
      <c r="V662" s="1276"/>
      <c r="W662" s="1276"/>
      <c r="X662" s="1276"/>
      <c r="Y662" s="1276"/>
    </row>
    <row r="663" spans="1:25">
      <c r="A663" s="2522"/>
      <c r="B663" s="2522"/>
      <c r="C663" s="2522"/>
      <c r="D663" s="2522"/>
      <c r="E663" s="1275"/>
      <c r="R663" s="1276"/>
      <c r="S663" s="1276"/>
      <c r="T663" s="1276"/>
      <c r="U663" s="1276"/>
      <c r="V663" s="1276"/>
      <c r="W663" s="1276"/>
      <c r="X663" s="1276"/>
      <c r="Y663" s="1276"/>
    </row>
    <row r="664" spans="1:25">
      <c r="A664" s="2522"/>
      <c r="B664" s="2522"/>
      <c r="C664" s="2522"/>
      <c r="D664" s="2522"/>
      <c r="E664" s="1275"/>
      <c r="R664" s="1276"/>
      <c r="S664" s="1276"/>
      <c r="T664" s="1276"/>
      <c r="U664" s="1276"/>
      <c r="V664" s="1276"/>
      <c r="W664" s="1276"/>
      <c r="X664" s="1276"/>
      <c r="Y664" s="1276"/>
    </row>
    <row r="665" spans="1:25">
      <c r="A665" s="2522"/>
      <c r="B665" s="2522"/>
      <c r="C665" s="2522"/>
      <c r="D665" s="2522"/>
      <c r="E665" s="1275"/>
      <c r="R665" s="1276"/>
      <c r="S665" s="1276"/>
      <c r="T665" s="1276"/>
      <c r="U665" s="1276"/>
      <c r="V665" s="1276"/>
      <c r="W665" s="1276"/>
      <c r="X665" s="1276"/>
      <c r="Y665" s="1276"/>
    </row>
    <row r="666" spans="1:25">
      <c r="A666" s="2522"/>
      <c r="B666" s="2522"/>
      <c r="C666" s="2522"/>
      <c r="D666" s="2522"/>
      <c r="E666" s="1275"/>
      <c r="R666" s="1276"/>
      <c r="S666" s="1276"/>
      <c r="T666" s="1276"/>
      <c r="U666" s="1276"/>
      <c r="V666" s="1276"/>
      <c r="W666" s="1276"/>
      <c r="X666" s="1276"/>
      <c r="Y666" s="1276"/>
    </row>
    <row r="667" spans="1:25">
      <c r="A667" s="2522"/>
      <c r="B667" s="2522"/>
      <c r="C667" s="2522"/>
      <c r="D667" s="2522"/>
      <c r="E667" s="1275"/>
      <c r="R667" s="1276"/>
      <c r="S667" s="1276"/>
      <c r="T667" s="1276"/>
      <c r="U667" s="1276"/>
      <c r="V667" s="1276"/>
      <c r="W667" s="1276"/>
      <c r="X667" s="1276"/>
      <c r="Y667" s="1276"/>
    </row>
    <row r="668" spans="1:25">
      <c r="A668" s="2522"/>
      <c r="B668" s="2522"/>
      <c r="C668" s="2522"/>
      <c r="D668" s="2522"/>
      <c r="E668" s="1275"/>
      <c r="R668" s="1276"/>
      <c r="S668" s="1276"/>
      <c r="T668" s="1276"/>
      <c r="U668" s="1276"/>
      <c r="V668" s="1276"/>
      <c r="W668" s="1276"/>
      <c r="X668" s="1276"/>
      <c r="Y668" s="1276"/>
    </row>
    <row r="669" spans="1:25">
      <c r="A669" s="2522"/>
      <c r="B669" s="2522"/>
      <c r="C669" s="2522"/>
      <c r="D669" s="2522"/>
      <c r="E669" s="1275"/>
      <c r="R669" s="1276"/>
      <c r="S669" s="1276"/>
      <c r="T669" s="1276"/>
      <c r="U669" s="1276"/>
      <c r="V669" s="1276"/>
      <c r="W669" s="1276"/>
      <c r="X669" s="1276"/>
      <c r="Y669" s="1276"/>
    </row>
    <row r="670" spans="1:25">
      <c r="A670" s="2522"/>
      <c r="B670" s="2522"/>
      <c r="C670" s="2522"/>
      <c r="D670" s="2522"/>
      <c r="E670" s="1275"/>
      <c r="R670" s="1276"/>
      <c r="S670" s="1276"/>
      <c r="T670" s="1276"/>
      <c r="U670" s="1276"/>
      <c r="V670" s="1276"/>
      <c r="W670" s="1276"/>
      <c r="X670" s="1276"/>
      <c r="Y670" s="1276"/>
    </row>
    <row r="671" spans="1:25">
      <c r="A671" s="2522"/>
      <c r="B671" s="2522"/>
      <c r="C671" s="2522"/>
      <c r="D671" s="2522"/>
      <c r="E671" s="1275"/>
      <c r="R671" s="1276"/>
      <c r="S671" s="1276"/>
      <c r="T671" s="1276"/>
      <c r="U671" s="1276"/>
      <c r="V671" s="1276"/>
      <c r="W671" s="1276"/>
      <c r="X671" s="1276"/>
      <c r="Y671" s="1276"/>
    </row>
    <row r="672" spans="1:25">
      <c r="A672" s="2522"/>
      <c r="B672" s="2522"/>
      <c r="C672" s="2522"/>
      <c r="D672" s="2522"/>
      <c r="E672" s="1275"/>
      <c r="R672" s="1276"/>
      <c r="S672" s="1276"/>
      <c r="T672" s="1276"/>
      <c r="U672" s="1276"/>
      <c r="V672" s="1276"/>
      <c r="W672" s="1276"/>
      <c r="X672" s="1276"/>
      <c r="Y672" s="1276"/>
    </row>
    <row r="673" spans="1:25">
      <c r="A673" s="2522"/>
      <c r="B673" s="2522"/>
      <c r="C673" s="2522"/>
      <c r="D673" s="2522"/>
      <c r="E673" s="1275"/>
      <c r="R673" s="1276"/>
      <c r="S673" s="1276"/>
      <c r="T673" s="1276"/>
      <c r="U673" s="1276"/>
      <c r="V673" s="1276"/>
      <c r="W673" s="1276"/>
      <c r="X673" s="1276"/>
      <c r="Y673" s="1276"/>
    </row>
    <row r="674" spans="1:25">
      <c r="A674" s="2522"/>
      <c r="B674" s="2522"/>
      <c r="C674" s="2522"/>
      <c r="D674" s="2522"/>
      <c r="E674" s="1275"/>
      <c r="R674" s="1276"/>
      <c r="S674" s="1276"/>
      <c r="T674" s="1276"/>
      <c r="U674" s="1276"/>
      <c r="V674" s="1276"/>
      <c r="W674" s="1276"/>
      <c r="X674" s="1276"/>
      <c r="Y674" s="1276"/>
    </row>
    <row r="675" spans="1:25">
      <c r="A675" s="2522"/>
      <c r="B675" s="2522"/>
      <c r="C675" s="2522"/>
      <c r="D675" s="2522"/>
      <c r="E675" s="1275"/>
      <c r="R675" s="1276"/>
      <c r="S675" s="1276"/>
      <c r="T675" s="1276"/>
      <c r="U675" s="1276"/>
      <c r="V675" s="1276"/>
      <c r="W675" s="1276"/>
      <c r="X675" s="1276"/>
      <c r="Y675" s="1276"/>
    </row>
    <row r="676" spans="1:25">
      <c r="A676" s="2522"/>
      <c r="B676" s="2522"/>
      <c r="C676" s="2522"/>
      <c r="D676" s="2522"/>
      <c r="E676" s="1275"/>
      <c r="R676" s="1276"/>
      <c r="S676" s="1276"/>
      <c r="T676" s="1276"/>
      <c r="U676" s="1276"/>
      <c r="V676" s="1276"/>
      <c r="W676" s="1276"/>
      <c r="X676" s="1276"/>
      <c r="Y676" s="1276"/>
    </row>
    <row r="677" spans="1:25">
      <c r="A677" s="2522"/>
      <c r="B677" s="2522"/>
      <c r="C677" s="2522"/>
      <c r="D677" s="2522"/>
      <c r="E677" s="1275"/>
      <c r="R677" s="1276"/>
      <c r="S677" s="1276"/>
      <c r="T677" s="1276"/>
      <c r="U677" s="1276"/>
      <c r="V677" s="1276"/>
      <c r="W677" s="1276"/>
      <c r="X677" s="1276"/>
      <c r="Y677" s="1276"/>
    </row>
    <row r="678" spans="1:25">
      <c r="A678" s="2522"/>
      <c r="B678" s="2522"/>
      <c r="C678" s="2522"/>
      <c r="D678" s="2522"/>
      <c r="E678" s="1275"/>
      <c r="R678" s="1276"/>
      <c r="S678" s="1276"/>
      <c r="T678" s="1276"/>
      <c r="U678" s="1276"/>
      <c r="V678" s="1276"/>
      <c r="W678" s="1276"/>
      <c r="X678" s="1276"/>
      <c r="Y678" s="1276"/>
    </row>
    <row r="679" spans="1:25">
      <c r="A679" s="2522"/>
      <c r="B679" s="2522"/>
      <c r="C679" s="2522"/>
      <c r="D679" s="2522"/>
      <c r="E679" s="1275"/>
      <c r="R679" s="1276"/>
      <c r="S679" s="1276"/>
      <c r="T679" s="1276"/>
      <c r="U679" s="1276"/>
      <c r="V679" s="1276"/>
      <c r="W679" s="1276"/>
      <c r="X679" s="1276"/>
      <c r="Y679" s="1276"/>
    </row>
    <row r="680" spans="1:25">
      <c r="A680" s="2522"/>
      <c r="B680" s="2522"/>
      <c r="C680" s="2522"/>
      <c r="D680" s="2522"/>
      <c r="E680" s="1275"/>
      <c r="R680" s="1276"/>
      <c r="S680" s="1276"/>
      <c r="T680" s="1276"/>
      <c r="U680" s="1276"/>
      <c r="V680" s="1276"/>
      <c r="W680" s="1276"/>
      <c r="X680" s="1276"/>
      <c r="Y680" s="1276"/>
    </row>
    <row r="681" spans="1:25">
      <c r="A681" s="2522"/>
      <c r="B681" s="2522"/>
      <c r="C681" s="2522"/>
      <c r="D681" s="2522"/>
      <c r="E681" s="1275"/>
      <c r="R681" s="1276"/>
      <c r="S681" s="1276"/>
      <c r="T681" s="1276"/>
      <c r="U681" s="1276"/>
      <c r="V681" s="1276"/>
      <c r="W681" s="1276"/>
      <c r="X681" s="1276"/>
      <c r="Y681" s="1276"/>
    </row>
    <row r="682" spans="1:25">
      <c r="A682" s="2522"/>
      <c r="B682" s="2522"/>
      <c r="C682" s="2522"/>
      <c r="D682" s="2522"/>
      <c r="E682" s="1275"/>
      <c r="R682" s="1276"/>
      <c r="S682" s="1276"/>
      <c r="T682" s="1276"/>
      <c r="U682" s="1276"/>
      <c r="V682" s="1276"/>
      <c r="W682" s="1276"/>
      <c r="X682" s="1276"/>
      <c r="Y682" s="1276"/>
    </row>
    <row r="683" spans="1:25">
      <c r="A683" s="2522"/>
      <c r="B683" s="2522"/>
      <c r="C683" s="2522"/>
      <c r="D683" s="2522"/>
      <c r="E683" s="1275"/>
      <c r="R683" s="1276"/>
      <c r="S683" s="1276"/>
      <c r="T683" s="1276"/>
      <c r="U683" s="1276"/>
      <c r="V683" s="1276"/>
      <c r="W683" s="1276"/>
      <c r="X683" s="1276"/>
      <c r="Y683" s="1276"/>
    </row>
    <row r="684" spans="1:25">
      <c r="A684" s="2522"/>
      <c r="B684" s="2522"/>
      <c r="C684" s="2522"/>
      <c r="D684" s="2522"/>
      <c r="E684" s="1275"/>
      <c r="R684" s="1276"/>
      <c r="S684" s="1276"/>
      <c r="T684" s="1276"/>
      <c r="U684" s="1276"/>
      <c r="V684" s="1276"/>
      <c r="W684" s="1276"/>
      <c r="X684" s="1276"/>
      <c r="Y684" s="1276"/>
    </row>
    <row r="685" spans="1:25">
      <c r="A685" s="2522"/>
      <c r="B685" s="2522"/>
      <c r="C685" s="2522"/>
      <c r="D685" s="2522"/>
      <c r="E685" s="1275"/>
      <c r="R685" s="1276"/>
      <c r="S685" s="1276"/>
      <c r="T685" s="1276"/>
      <c r="U685" s="1276"/>
      <c r="V685" s="1276"/>
      <c r="W685" s="1276"/>
      <c r="X685" s="1276"/>
      <c r="Y685" s="1276"/>
    </row>
    <row r="686" spans="1:25">
      <c r="A686" s="2522"/>
      <c r="B686" s="2522"/>
      <c r="C686" s="2522"/>
      <c r="D686" s="2522"/>
      <c r="E686" s="1275"/>
      <c r="R686" s="1276"/>
      <c r="S686" s="1276"/>
      <c r="T686" s="1276"/>
      <c r="U686" s="1276"/>
      <c r="V686" s="1276"/>
      <c r="W686" s="1276"/>
      <c r="X686" s="1276"/>
      <c r="Y686" s="1276"/>
    </row>
    <row r="687" spans="1:25">
      <c r="A687" s="2522"/>
      <c r="B687" s="2522"/>
      <c r="C687" s="2522"/>
      <c r="D687" s="2522"/>
      <c r="E687" s="1275"/>
      <c r="R687" s="1276"/>
      <c r="S687" s="1276"/>
      <c r="T687" s="1276"/>
      <c r="U687" s="1276"/>
      <c r="V687" s="1276"/>
      <c r="W687" s="1276"/>
      <c r="X687" s="1276"/>
      <c r="Y687" s="1276"/>
    </row>
    <row r="688" spans="1:25">
      <c r="A688" s="2522"/>
      <c r="B688" s="2522"/>
      <c r="C688" s="2522"/>
      <c r="D688" s="2522"/>
      <c r="E688" s="1275"/>
      <c r="R688" s="1276"/>
      <c r="S688" s="1276"/>
      <c r="T688" s="1276"/>
      <c r="U688" s="1276"/>
      <c r="V688" s="1276"/>
      <c r="W688" s="1276"/>
      <c r="X688" s="1276"/>
      <c r="Y688" s="1276"/>
    </row>
    <row r="689" spans="1:25">
      <c r="A689" s="2522"/>
      <c r="B689" s="2522"/>
      <c r="C689" s="2522"/>
      <c r="D689" s="2522"/>
      <c r="E689" s="1275"/>
      <c r="R689" s="1276"/>
      <c r="S689" s="1276"/>
      <c r="T689" s="1276"/>
      <c r="U689" s="1276"/>
      <c r="V689" s="1276"/>
      <c r="W689" s="1276"/>
      <c r="X689" s="1276"/>
      <c r="Y689" s="1276"/>
    </row>
    <row r="690" spans="1:25">
      <c r="A690" s="2522"/>
      <c r="B690" s="2522"/>
      <c r="C690" s="2522"/>
      <c r="D690" s="2522"/>
      <c r="E690" s="1275"/>
      <c r="R690" s="1276"/>
      <c r="S690" s="1276"/>
      <c r="T690" s="1276"/>
      <c r="U690" s="1276"/>
      <c r="V690" s="1276"/>
      <c r="W690" s="1276"/>
      <c r="X690" s="1276"/>
      <c r="Y690" s="1276"/>
    </row>
    <row r="691" spans="1:25">
      <c r="A691" s="2522"/>
      <c r="B691" s="2522"/>
      <c r="C691" s="2522"/>
      <c r="D691" s="2522"/>
      <c r="E691" s="1275"/>
      <c r="R691" s="1276"/>
      <c r="S691" s="1276"/>
      <c r="T691" s="1276"/>
      <c r="U691" s="1276"/>
      <c r="V691" s="1276"/>
      <c r="W691" s="1276"/>
      <c r="X691" s="1276"/>
      <c r="Y691" s="1276"/>
    </row>
    <row r="692" spans="1:25">
      <c r="A692" s="2522"/>
      <c r="B692" s="2522"/>
      <c r="C692" s="2522"/>
      <c r="D692" s="2522"/>
      <c r="E692" s="1275"/>
      <c r="R692" s="1276"/>
      <c r="S692" s="1276"/>
      <c r="T692" s="1276"/>
      <c r="U692" s="1276"/>
      <c r="V692" s="1276"/>
      <c r="W692" s="1276"/>
      <c r="X692" s="1276"/>
      <c r="Y692" s="1276"/>
    </row>
    <row r="693" spans="1:25">
      <c r="A693" s="2522"/>
      <c r="B693" s="2522"/>
      <c r="C693" s="2522"/>
      <c r="D693" s="2522"/>
      <c r="E693" s="1275"/>
      <c r="R693" s="1276"/>
      <c r="S693" s="1276"/>
      <c r="T693" s="1276"/>
      <c r="U693" s="1276"/>
      <c r="V693" s="1276"/>
      <c r="W693" s="1276"/>
      <c r="X693" s="1276"/>
      <c r="Y693" s="1276"/>
    </row>
    <row r="694" spans="1:25">
      <c r="A694" s="2522"/>
      <c r="B694" s="2522"/>
      <c r="C694" s="2522"/>
      <c r="D694" s="2522"/>
      <c r="E694" s="1275"/>
      <c r="R694" s="1276"/>
      <c r="S694" s="1276"/>
      <c r="T694" s="1276"/>
      <c r="U694" s="1276"/>
      <c r="V694" s="1276"/>
      <c r="W694" s="1276"/>
      <c r="X694" s="1276"/>
      <c r="Y694" s="1276"/>
    </row>
    <row r="695" spans="1:25">
      <c r="A695" s="2522"/>
      <c r="B695" s="2522"/>
      <c r="C695" s="2522"/>
      <c r="D695" s="2522"/>
      <c r="E695" s="1275"/>
      <c r="R695" s="1276"/>
      <c r="S695" s="1276"/>
      <c r="T695" s="1276"/>
      <c r="U695" s="1276"/>
      <c r="V695" s="1276"/>
      <c r="W695" s="1276"/>
      <c r="X695" s="1276"/>
      <c r="Y695" s="1276"/>
    </row>
    <row r="696" spans="1:25">
      <c r="A696" s="2522"/>
      <c r="B696" s="2522"/>
      <c r="C696" s="2522"/>
      <c r="D696" s="2522"/>
      <c r="E696" s="1275"/>
      <c r="R696" s="1276"/>
      <c r="S696" s="1276"/>
      <c r="T696" s="1276"/>
      <c r="U696" s="1276"/>
      <c r="V696" s="1276"/>
      <c r="W696" s="1276"/>
      <c r="X696" s="1276"/>
      <c r="Y696" s="1276"/>
    </row>
    <row r="697" spans="1:25">
      <c r="A697" s="2522"/>
      <c r="B697" s="2522"/>
      <c r="C697" s="2522"/>
      <c r="D697" s="2522"/>
      <c r="E697" s="1275"/>
      <c r="R697" s="1276"/>
      <c r="S697" s="1276"/>
      <c r="T697" s="1276"/>
      <c r="U697" s="1276"/>
      <c r="V697" s="1276"/>
      <c r="W697" s="1276"/>
      <c r="X697" s="1276"/>
      <c r="Y697" s="1276"/>
    </row>
    <row r="698" spans="1:25">
      <c r="A698" s="2522"/>
      <c r="B698" s="2522"/>
      <c r="C698" s="2522"/>
      <c r="D698" s="2522"/>
      <c r="E698" s="1275"/>
      <c r="R698" s="1276"/>
      <c r="S698" s="1276"/>
      <c r="T698" s="1276"/>
      <c r="U698" s="1276"/>
      <c r="V698" s="1276"/>
      <c r="W698" s="1276"/>
      <c r="X698" s="1276"/>
      <c r="Y698" s="1276"/>
    </row>
    <row r="699" spans="1:25">
      <c r="A699" s="2522"/>
      <c r="B699" s="2522"/>
      <c r="C699" s="2522"/>
      <c r="D699" s="2522"/>
      <c r="E699" s="1275"/>
      <c r="R699" s="1276"/>
      <c r="S699" s="1276"/>
      <c r="T699" s="1276"/>
      <c r="U699" s="1276"/>
      <c r="V699" s="1276"/>
      <c r="W699" s="1276"/>
      <c r="X699" s="1276"/>
      <c r="Y699" s="1276"/>
    </row>
    <row r="700" spans="1:25">
      <c r="A700" s="2522"/>
      <c r="B700" s="2522"/>
      <c r="C700" s="2522"/>
      <c r="D700" s="2522"/>
      <c r="E700" s="1275"/>
      <c r="R700" s="1276"/>
      <c r="S700" s="1276"/>
      <c r="T700" s="1276"/>
      <c r="U700" s="1276"/>
      <c r="V700" s="1276"/>
      <c r="W700" s="1276"/>
      <c r="X700" s="1276"/>
      <c r="Y700" s="1276"/>
    </row>
    <row r="701" spans="1:25">
      <c r="A701" s="2522"/>
      <c r="B701" s="2522"/>
      <c r="C701" s="2522"/>
      <c r="D701" s="2522"/>
      <c r="E701" s="1275"/>
      <c r="R701" s="1276"/>
      <c r="S701" s="1276"/>
      <c r="T701" s="1276"/>
      <c r="U701" s="1276"/>
      <c r="V701" s="1276"/>
      <c r="W701" s="1276"/>
      <c r="X701" s="1276"/>
      <c r="Y701" s="1276"/>
    </row>
    <row r="702" spans="1:25">
      <c r="A702" s="2522"/>
      <c r="B702" s="2522"/>
      <c r="C702" s="2522"/>
      <c r="D702" s="2522"/>
      <c r="E702" s="1275"/>
      <c r="R702" s="1276"/>
      <c r="S702" s="1276"/>
      <c r="T702" s="1276"/>
      <c r="U702" s="1276"/>
      <c r="V702" s="1276"/>
      <c r="W702" s="1276"/>
      <c r="X702" s="1276"/>
      <c r="Y702" s="1276"/>
    </row>
    <row r="703" spans="1:25">
      <c r="A703" s="2522"/>
      <c r="B703" s="2522"/>
      <c r="C703" s="2522"/>
      <c r="D703" s="2522"/>
      <c r="E703" s="1275"/>
      <c r="R703" s="1276"/>
      <c r="S703" s="1276"/>
      <c r="T703" s="1276"/>
      <c r="U703" s="1276"/>
      <c r="V703" s="1276"/>
      <c r="W703" s="1276"/>
      <c r="X703" s="1276"/>
      <c r="Y703" s="1276"/>
    </row>
    <row r="704" spans="1:25">
      <c r="A704" s="2522"/>
      <c r="B704" s="2522"/>
      <c r="C704" s="2522"/>
      <c r="D704" s="2522"/>
      <c r="E704" s="1275"/>
      <c r="R704" s="1276"/>
      <c r="S704" s="1276"/>
      <c r="T704" s="1276"/>
      <c r="U704" s="1276"/>
      <c r="V704" s="1276"/>
      <c r="W704" s="1276"/>
      <c r="X704" s="1276"/>
      <c r="Y704" s="1276"/>
    </row>
    <row r="705" spans="1:25">
      <c r="A705" s="2522"/>
      <c r="B705" s="2522"/>
      <c r="C705" s="2522"/>
      <c r="D705" s="2522"/>
      <c r="E705" s="1275"/>
      <c r="R705" s="1276"/>
      <c r="S705" s="1276"/>
      <c r="T705" s="1276"/>
      <c r="U705" s="1276"/>
      <c r="V705" s="1276"/>
      <c r="W705" s="1276"/>
      <c r="X705" s="1276"/>
      <c r="Y705" s="1276"/>
    </row>
    <row r="706" spans="1:25">
      <c r="A706" s="2522"/>
      <c r="B706" s="2522"/>
      <c r="C706" s="2522"/>
      <c r="D706" s="2522"/>
      <c r="E706" s="1275"/>
      <c r="R706" s="1276"/>
      <c r="S706" s="1276"/>
      <c r="T706" s="1276"/>
      <c r="U706" s="1276"/>
      <c r="V706" s="1276"/>
      <c r="W706" s="1276"/>
      <c r="X706" s="1276"/>
      <c r="Y706" s="1276"/>
    </row>
    <row r="707" spans="1:25">
      <c r="A707" s="2522"/>
      <c r="B707" s="2522"/>
      <c r="C707" s="2522"/>
      <c r="D707" s="2522"/>
      <c r="E707" s="1275"/>
      <c r="R707" s="1276"/>
      <c r="S707" s="1276"/>
      <c r="T707" s="1276"/>
      <c r="U707" s="1276"/>
      <c r="V707" s="1276"/>
      <c r="W707" s="1276"/>
      <c r="X707" s="1276"/>
      <c r="Y707" s="1276"/>
    </row>
    <row r="708" spans="1:25">
      <c r="A708" s="2522"/>
      <c r="B708" s="2522"/>
      <c r="C708" s="2522"/>
      <c r="D708" s="2522"/>
      <c r="E708" s="1275"/>
      <c r="R708" s="1276"/>
      <c r="S708" s="1276"/>
      <c r="T708" s="1276"/>
      <c r="U708" s="1276"/>
      <c r="V708" s="1276"/>
      <c r="W708" s="1276"/>
      <c r="X708" s="1276"/>
      <c r="Y708" s="1276"/>
    </row>
    <row r="709" spans="1:25">
      <c r="A709" s="2522"/>
      <c r="B709" s="2522"/>
      <c r="C709" s="2522"/>
      <c r="D709" s="2522"/>
      <c r="E709" s="1275"/>
      <c r="R709" s="1276"/>
      <c r="S709" s="1276"/>
      <c r="T709" s="1276"/>
      <c r="U709" s="1276"/>
      <c r="V709" s="1276"/>
      <c r="W709" s="1276"/>
      <c r="X709" s="1276"/>
      <c r="Y709" s="1276"/>
    </row>
    <row r="710" spans="1:25">
      <c r="A710" s="2522"/>
      <c r="B710" s="2522"/>
      <c r="C710" s="2522"/>
      <c r="D710" s="2522"/>
      <c r="E710" s="1275"/>
      <c r="R710" s="1276"/>
      <c r="S710" s="1276"/>
      <c r="T710" s="1276"/>
      <c r="U710" s="1276"/>
      <c r="V710" s="1276"/>
      <c r="W710" s="1276"/>
      <c r="X710" s="1276"/>
      <c r="Y710" s="1276"/>
    </row>
    <row r="711" spans="1:25">
      <c r="A711" s="2522"/>
      <c r="B711" s="2522"/>
      <c r="C711" s="2522"/>
      <c r="D711" s="2522"/>
      <c r="E711" s="1275"/>
      <c r="R711" s="1276"/>
      <c r="S711" s="1276"/>
      <c r="T711" s="1276"/>
      <c r="U711" s="1276"/>
      <c r="V711" s="1276"/>
      <c r="W711" s="1276"/>
      <c r="X711" s="1276"/>
      <c r="Y711" s="1276"/>
    </row>
    <row r="712" spans="1:25">
      <c r="A712" s="2522"/>
      <c r="B712" s="2522"/>
      <c r="C712" s="2522"/>
      <c r="D712" s="2522"/>
      <c r="E712" s="1275"/>
      <c r="R712" s="1276"/>
      <c r="S712" s="1276"/>
      <c r="T712" s="1276"/>
      <c r="U712" s="1276"/>
      <c r="V712" s="1276"/>
      <c r="W712" s="1276"/>
      <c r="X712" s="1276"/>
      <c r="Y712" s="1276"/>
    </row>
    <row r="713" spans="1:25">
      <c r="A713" s="2522"/>
      <c r="B713" s="2522"/>
      <c r="C713" s="2522"/>
      <c r="D713" s="2522"/>
      <c r="E713" s="1275"/>
      <c r="R713" s="1276"/>
      <c r="S713" s="1276"/>
      <c r="T713" s="1276"/>
      <c r="U713" s="1276"/>
      <c r="V713" s="1276"/>
      <c r="W713" s="1276"/>
      <c r="X713" s="1276"/>
      <c r="Y713" s="1276"/>
    </row>
    <row r="714" spans="1:25">
      <c r="A714" s="2522"/>
      <c r="B714" s="2522"/>
      <c r="C714" s="2522"/>
      <c r="D714" s="2522"/>
      <c r="E714" s="1275"/>
      <c r="R714" s="1276"/>
      <c r="S714" s="1276"/>
      <c r="T714" s="1276"/>
      <c r="U714" s="1276"/>
      <c r="V714" s="1276"/>
      <c r="W714" s="1276"/>
      <c r="X714" s="1276"/>
      <c r="Y714" s="1276"/>
    </row>
    <row r="715" spans="1:25">
      <c r="A715" s="2522"/>
      <c r="B715" s="2522"/>
      <c r="C715" s="2522"/>
      <c r="D715" s="2522"/>
      <c r="E715" s="1275"/>
      <c r="R715" s="1276"/>
      <c r="S715" s="1276"/>
      <c r="T715" s="1276"/>
      <c r="U715" s="1276"/>
      <c r="V715" s="1276"/>
      <c r="W715" s="1276"/>
      <c r="X715" s="1276"/>
      <c r="Y715" s="1276"/>
    </row>
    <row r="716" spans="1:25">
      <c r="A716" s="2522"/>
      <c r="B716" s="2522"/>
      <c r="C716" s="2522"/>
      <c r="D716" s="2522"/>
      <c r="E716" s="1275"/>
      <c r="R716" s="1276"/>
      <c r="S716" s="1276"/>
      <c r="T716" s="1276"/>
      <c r="U716" s="1276"/>
      <c r="V716" s="1276"/>
      <c r="W716" s="1276"/>
      <c r="X716" s="1276"/>
      <c r="Y716" s="1276"/>
    </row>
    <row r="717" spans="1:25">
      <c r="A717" s="2522"/>
      <c r="B717" s="2522"/>
      <c r="C717" s="2522"/>
      <c r="D717" s="2522"/>
      <c r="E717" s="1275"/>
      <c r="R717" s="1276"/>
      <c r="S717" s="1276"/>
      <c r="T717" s="1276"/>
      <c r="U717" s="1276"/>
      <c r="V717" s="1276"/>
      <c r="W717" s="1276"/>
      <c r="X717" s="1276"/>
      <c r="Y717" s="1276"/>
    </row>
    <row r="718" spans="1:25">
      <c r="A718" s="2522"/>
      <c r="B718" s="2522"/>
      <c r="C718" s="2522"/>
      <c r="D718" s="2522"/>
      <c r="E718" s="1275"/>
      <c r="R718" s="1276"/>
      <c r="S718" s="1276"/>
      <c r="T718" s="1276"/>
      <c r="U718" s="1276"/>
      <c r="V718" s="1276"/>
      <c r="W718" s="1276"/>
      <c r="X718" s="1276"/>
      <c r="Y718" s="1276"/>
    </row>
    <row r="719" spans="1:25">
      <c r="A719" s="2522"/>
      <c r="B719" s="2522"/>
      <c r="C719" s="2522"/>
      <c r="D719" s="2522"/>
      <c r="E719" s="1275"/>
      <c r="R719" s="1276"/>
      <c r="S719" s="1276"/>
      <c r="T719" s="1276"/>
      <c r="U719" s="1276"/>
      <c r="V719" s="1276"/>
      <c r="W719" s="1276"/>
      <c r="X719" s="1276"/>
      <c r="Y719" s="1276"/>
    </row>
    <row r="720" spans="1:25">
      <c r="A720" s="2522"/>
      <c r="B720" s="2522"/>
      <c r="C720" s="2522"/>
      <c r="D720" s="2522"/>
      <c r="E720" s="1275"/>
      <c r="R720" s="1276"/>
      <c r="S720" s="1276"/>
      <c r="T720" s="1276"/>
      <c r="U720" s="1276"/>
      <c r="V720" s="1276"/>
      <c r="W720" s="1276"/>
      <c r="X720" s="1276"/>
      <c r="Y720" s="1276"/>
    </row>
    <row r="721" spans="1:25">
      <c r="A721" s="2522"/>
      <c r="B721" s="2522"/>
      <c r="C721" s="2522"/>
      <c r="D721" s="2522"/>
      <c r="E721" s="1275"/>
      <c r="R721" s="1276"/>
      <c r="S721" s="1276"/>
      <c r="T721" s="1276"/>
      <c r="U721" s="1276"/>
      <c r="V721" s="1276"/>
      <c r="W721" s="1276"/>
      <c r="X721" s="1276"/>
      <c r="Y721" s="1276"/>
    </row>
    <row r="722" spans="1:25">
      <c r="A722" s="2522"/>
      <c r="B722" s="2522"/>
      <c r="C722" s="2522"/>
      <c r="D722" s="2522"/>
      <c r="E722" s="1275"/>
      <c r="R722" s="1276"/>
      <c r="S722" s="1276"/>
      <c r="T722" s="1276"/>
      <c r="U722" s="1276"/>
      <c r="V722" s="1276"/>
      <c r="W722" s="1276"/>
      <c r="X722" s="1276"/>
      <c r="Y722" s="1276"/>
    </row>
    <row r="723" spans="1:25">
      <c r="A723" s="2522"/>
      <c r="B723" s="2522"/>
      <c r="C723" s="2522"/>
      <c r="D723" s="2522"/>
      <c r="E723" s="1275"/>
      <c r="R723" s="1276"/>
      <c r="S723" s="1276"/>
      <c r="T723" s="1276"/>
      <c r="U723" s="1276"/>
      <c r="V723" s="1276"/>
      <c r="W723" s="1276"/>
      <c r="X723" s="1276"/>
      <c r="Y723" s="1276"/>
    </row>
    <row r="724" spans="1:25">
      <c r="A724" s="2522"/>
      <c r="B724" s="2522"/>
      <c r="C724" s="2522"/>
      <c r="D724" s="2522"/>
      <c r="E724" s="1275"/>
      <c r="R724" s="1276"/>
      <c r="S724" s="1276"/>
      <c r="T724" s="1276"/>
      <c r="U724" s="1276"/>
      <c r="V724" s="1276"/>
      <c r="W724" s="1276"/>
      <c r="X724" s="1276"/>
      <c r="Y724" s="1276"/>
    </row>
    <row r="725" spans="1:25">
      <c r="A725" s="2522"/>
      <c r="B725" s="2522"/>
      <c r="C725" s="2522"/>
      <c r="D725" s="2522"/>
      <c r="E725" s="1275"/>
      <c r="R725" s="1276"/>
      <c r="S725" s="1276"/>
      <c r="T725" s="1276"/>
      <c r="U725" s="1276"/>
      <c r="V725" s="1276"/>
      <c r="W725" s="1276"/>
      <c r="X725" s="1276"/>
      <c r="Y725" s="1276"/>
    </row>
    <row r="726" spans="1:25">
      <c r="A726" s="2522"/>
      <c r="B726" s="2522"/>
      <c r="C726" s="2522"/>
      <c r="D726" s="2522"/>
      <c r="E726" s="1275"/>
      <c r="R726" s="1276"/>
      <c r="S726" s="1276"/>
      <c r="T726" s="1276"/>
      <c r="U726" s="1276"/>
      <c r="V726" s="1276"/>
      <c r="W726" s="1276"/>
      <c r="X726" s="1276"/>
      <c r="Y726" s="1276"/>
    </row>
    <row r="727" spans="1:25">
      <c r="A727" s="2522"/>
      <c r="B727" s="2522"/>
      <c r="C727" s="2522"/>
      <c r="D727" s="2522"/>
      <c r="E727" s="1275"/>
      <c r="R727" s="1276"/>
      <c r="S727" s="1276"/>
      <c r="T727" s="1276"/>
      <c r="U727" s="1276"/>
      <c r="V727" s="1276"/>
      <c r="W727" s="1276"/>
      <c r="X727" s="1276"/>
      <c r="Y727" s="1276"/>
    </row>
    <row r="728" spans="1:25">
      <c r="A728" s="2522"/>
      <c r="B728" s="2522"/>
      <c r="C728" s="2522"/>
      <c r="D728" s="2522"/>
      <c r="E728" s="1275"/>
      <c r="R728" s="1276"/>
      <c r="S728" s="1276"/>
      <c r="T728" s="1276"/>
      <c r="U728" s="1276"/>
      <c r="V728" s="1276"/>
      <c r="W728" s="1276"/>
      <c r="X728" s="1276"/>
      <c r="Y728" s="1276"/>
    </row>
    <row r="729" spans="1:25">
      <c r="A729" s="2522"/>
      <c r="B729" s="2522"/>
      <c r="C729" s="2522"/>
      <c r="D729" s="2522"/>
      <c r="E729" s="1275"/>
      <c r="R729" s="1276"/>
      <c r="S729" s="1276"/>
      <c r="T729" s="1276"/>
      <c r="U729" s="1276"/>
      <c r="V729" s="1276"/>
      <c r="W729" s="1276"/>
      <c r="X729" s="1276"/>
      <c r="Y729" s="1276"/>
    </row>
    <row r="730" spans="1:25">
      <c r="A730" s="2522"/>
      <c r="B730" s="2522"/>
      <c r="C730" s="2522"/>
      <c r="D730" s="2522"/>
      <c r="E730" s="1275"/>
      <c r="R730" s="1276"/>
      <c r="S730" s="1276"/>
      <c r="T730" s="1276"/>
      <c r="U730" s="1276"/>
      <c r="V730" s="1276"/>
      <c r="W730" s="1276"/>
      <c r="X730" s="1276"/>
      <c r="Y730" s="1276"/>
    </row>
    <row r="731" spans="1:25">
      <c r="A731" s="2522"/>
      <c r="B731" s="2522"/>
      <c r="C731" s="2522"/>
      <c r="D731" s="2522"/>
      <c r="E731" s="1275"/>
      <c r="R731" s="1276"/>
      <c r="S731" s="1276"/>
      <c r="T731" s="1276"/>
      <c r="U731" s="1276"/>
      <c r="V731" s="1276"/>
      <c r="W731" s="1276"/>
      <c r="X731" s="1276"/>
      <c r="Y731" s="1276"/>
    </row>
    <row r="732" spans="1:25">
      <c r="A732" s="2522"/>
      <c r="B732" s="2522"/>
      <c r="C732" s="2522"/>
      <c r="D732" s="2522"/>
      <c r="E732" s="1275"/>
      <c r="R732" s="1276"/>
      <c r="S732" s="1276"/>
      <c r="T732" s="1276"/>
      <c r="U732" s="1276"/>
      <c r="V732" s="1276"/>
      <c r="W732" s="1276"/>
      <c r="X732" s="1276"/>
      <c r="Y732" s="1276"/>
    </row>
    <row r="733" spans="1:25">
      <c r="A733" s="2522"/>
      <c r="B733" s="2522"/>
      <c r="C733" s="2522"/>
      <c r="D733" s="2522"/>
      <c r="E733" s="1275"/>
      <c r="R733" s="1276"/>
      <c r="S733" s="1276"/>
      <c r="T733" s="1276"/>
      <c r="U733" s="1276"/>
      <c r="V733" s="1276"/>
      <c r="W733" s="1276"/>
      <c r="X733" s="1276"/>
      <c r="Y733" s="1276"/>
    </row>
    <row r="734" spans="1:25">
      <c r="A734" s="2522"/>
      <c r="B734" s="2522"/>
      <c r="C734" s="2522"/>
      <c r="D734" s="2522"/>
      <c r="E734" s="1275"/>
      <c r="R734" s="1276"/>
      <c r="S734" s="1276"/>
      <c r="T734" s="1276"/>
      <c r="U734" s="1276"/>
      <c r="V734" s="1276"/>
      <c r="W734" s="1276"/>
      <c r="X734" s="1276"/>
      <c r="Y734" s="1276"/>
    </row>
    <row r="735" spans="1:25">
      <c r="A735" s="2522"/>
      <c r="B735" s="2522"/>
      <c r="C735" s="2522"/>
      <c r="D735" s="2522"/>
      <c r="E735" s="1275"/>
      <c r="R735" s="1276"/>
      <c r="S735" s="1276"/>
      <c r="T735" s="1276"/>
      <c r="U735" s="1276"/>
      <c r="V735" s="1276"/>
      <c r="W735" s="1276"/>
      <c r="X735" s="1276"/>
      <c r="Y735" s="1276"/>
    </row>
    <row r="736" spans="1:25">
      <c r="A736" s="2522"/>
      <c r="B736" s="2522"/>
      <c r="C736" s="2522"/>
      <c r="D736" s="2522"/>
      <c r="E736" s="1275"/>
      <c r="R736" s="1276"/>
      <c r="S736" s="1276"/>
      <c r="T736" s="1276"/>
      <c r="U736" s="1276"/>
      <c r="V736" s="1276"/>
      <c r="W736" s="1276"/>
      <c r="X736" s="1276"/>
      <c r="Y736" s="1276"/>
    </row>
    <row r="737" spans="1:25">
      <c r="A737" s="2522"/>
      <c r="B737" s="2522"/>
      <c r="C737" s="2522"/>
      <c r="D737" s="2522"/>
      <c r="E737" s="1275"/>
      <c r="R737" s="1276"/>
      <c r="S737" s="1276"/>
      <c r="T737" s="1276"/>
      <c r="U737" s="1276"/>
      <c r="V737" s="1276"/>
      <c r="W737" s="1276"/>
      <c r="X737" s="1276"/>
      <c r="Y737" s="1276"/>
    </row>
    <row r="738" spans="1:25">
      <c r="A738" s="2522"/>
      <c r="B738" s="2522"/>
      <c r="C738" s="2522"/>
      <c r="D738" s="2522"/>
      <c r="E738" s="1275"/>
      <c r="R738" s="1276"/>
      <c r="S738" s="1276"/>
      <c r="T738" s="1276"/>
      <c r="U738" s="1276"/>
      <c r="V738" s="1276"/>
      <c r="W738" s="1276"/>
      <c r="X738" s="1276"/>
      <c r="Y738" s="1276"/>
    </row>
    <row r="739" spans="1:25">
      <c r="A739" s="2522"/>
      <c r="B739" s="2522"/>
      <c r="C739" s="2522"/>
      <c r="D739" s="2522"/>
      <c r="E739" s="1275"/>
      <c r="R739" s="1276"/>
      <c r="S739" s="1276"/>
      <c r="T739" s="1276"/>
      <c r="U739" s="1276"/>
      <c r="V739" s="1276"/>
      <c r="W739" s="1276"/>
      <c r="X739" s="1276"/>
      <c r="Y739" s="1276"/>
    </row>
    <row r="740" spans="1:25">
      <c r="A740" s="2522"/>
      <c r="B740" s="2522"/>
      <c r="C740" s="2522"/>
      <c r="D740" s="2522"/>
      <c r="E740" s="1275"/>
      <c r="R740" s="1276"/>
      <c r="S740" s="1276"/>
      <c r="T740" s="1276"/>
      <c r="U740" s="1276"/>
      <c r="V740" s="1276"/>
      <c r="W740" s="1276"/>
      <c r="X740" s="1276"/>
      <c r="Y740" s="1276"/>
    </row>
    <row r="741" spans="1:25">
      <c r="A741" s="2522"/>
      <c r="B741" s="2522"/>
      <c r="C741" s="2522"/>
      <c r="D741" s="2522"/>
      <c r="E741" s="1275"/>
      <c r="R741" s="1276"/>
      <c r="S741" s="1276"/>
      <c r="T741" s="1276"/>
      <c r="U741" s="1276"/>
      <c r="V741" s="1276"/>
      <c r="W741" s="1276"/>
      <c r="X741" s="1276"/>
      <c r="Y741" s="1276"/>
    </row>
    <row r="742" spans="1:25">
      <c r="A742" s="2522"/>
      <c r="B742" s="2522"/>
      <c r="C742" s="2522"/>
      <c r="D742" s="2522"/>
      <c r="E742" s="1275"/>
      <c r="R742" s="1276"/>
      <c r="S742" s="1276"/>
      <c r="T742" s="1276"/>
      <c r="U742" s="1276"/>
      <c r="V742" s="1276"/>
      <c r="W742" s="1276"/>
      <c r="X742" s="1276"/>
      <c r="Y742" s="1276"/>
    </row>
    <row r="743" spans="1:25">
      <c r="A743" s="2522"/>
      <c r="B743" s="2522"/>
      <c r="C743" s="2522"/>
      <c r="D743" s="2522"/>
      <c r="E743" s="1275"/>
      <c r="R743" s="1276"/>
      <c r="S743" s="1276"/>
      <c r="T743" s="1276"/>
      <c r="U743" s="1276"/>
      <c r="V743" s="1276"/>
      <c r="W743" s="1276"/>
      <c r="X743" s="1276"/>
      <c r="Y743" s="1276"/>
    </row>
    <row r="744" spans="1:25">
      <c r="A744" s="2522"/>
      <c r="B744" s="2522"/>
      <c r="C744" s="2522"/>
      <c r="D744" s="2522"/>
      <c r="E744" s="1275"/>
      <c r="R744" s="1276"/>
      <c r="S744" s="1276"/>
      <c r="T744" s="1276"/>
      <c r="U744" s="1276"/>
      <c r="V744" s="1276"/>
      <c r="W744" s="1276"/>
      <c r="X744" s="1276"/>
      <c r="Y744" s="1276"/>
    </row>
    <row r="745" spans="1:25">
      <c r="A745" s="2522"/>
      <c r="B745" s="2522"/>
      <c r="C745" s="2522"/>
      <c r="D745" s="2522"/>
      <c r="E745" s="1275"/>
      <c r="R745" s="1276"/>
      <c r="S745" s="1276"/>
      <c r="T745" s="1276"/>
      <c r="U745" s="1276"/>
      <c r="V745" s="1276"/>
      <c r="W745" s="1276"/>
      <c r="X745" s="1276"/>
      <c r="Y745" s="1276"/>
    </row>
    <row r="746" spans="1:25">
      <c r="A746" s="2522"/>
      <c r="B746" s="2522"/>
      <c r="C746" s="2522"/>
      <c r="D746" s="2522"/>
      <c r="E746" s="1275"/>
      <c r="R746" s="1276"/>
      <c r="S746" s="1276"/>
      <c r="T746" s="1276"/>
      <c r="U746" s="1276"/>
      <c r="V746" s="1276"/>
      <c r="W746" s="1276"/>
      <c r="X746" s="1276"/>
      <c r="Y746" s="1276"/>
    </row>
    <row r="747" spans="1:25">
      <c r="A747" s="2522"/>
      <c r="B747" s="2522"/>
      <c r="C747" s="2522"/>
      <c r="D747" s="2522"/>
      <c r="E747" s="1275"/>
      <c r="R747" s="1276"/>
      <c r="S747" s="1276"/>
      <c r="T747" s="1276"/>
      <c r="U747" s="1276"/>
      <c r="V747" s="1276"/>
      <c r="W747" s="1276"/>
      <c r="X747" s="1276"/>
      <c r="Y747" s="1276"/>
    </row>
    <row r="748" spans="1:25">
      <c r="A748" s="2522"/>
      <c r="B748" s="2522"/>
      <c r="C748" s="2522"/>
      <c r="D748" s="2522"/>
      <c r="E748" s="1275"/>
      <c r="R748" s="1276"/>
      <c r="S748" s="1276"/>
      <c r="T748" s="1276"/>
      <c r="U748" s="1276"/>
      <c r="V748" s="1276"/>
      <c r="W748" s="1276"/>
      <c r="X748" s="1276"/>
      <c r="Y748" s="1276"/>
    </row>
    <row r="749" spans="1:25">
      <c r="A749" s="2522"/>
      <c r="B749" s="2522"/>
      <c r="C749" s="2522"/>
      <c r="D749" s="2522"/>
      <c r="E749" s="1275"/>
      <c r="R749" s="1276"/>
      <c r="S749" s="1276"/>
      <c r="T749" s="1276"/>
      <c r="U749" s="1276"/>
      <c r="V749" s="1276"/>
      <c r="W749" s="1276"/>
      <c r="X749" s="1276"/>
      <c r="Y749" s="1276"/>
    </row>
    <row r="750" spans="1:25">
      <c r="A750" s="2522"/>
      <c r="B750" s="2522"/>
      <c r="C750" s="2522"/>
      <c r="D750" s="2522"/>
      <c r="E750" s="1275"/>
      <c r="R750" s="1276"/>
      <c r="S750" s="1276"/>
      <c r="T750" s="1276"/>
      <c r="U750" s="1276"/>
      <c r="V750" s="1276"/>
      <c r="W750" s="1276"/>
      <c r="X750" s="1276"/>
      <c r="Y750" s="1276"/>
    </row>
    <row r="751" spans="1:25">
      <c r="A751" s="2522"/>
      <c r="B751" s="2522"/>
      <c r="C751" s="2522"/>
      <c r="D751" s="2522"/>
      <c r="E751" s="1275"/>
      <c r="R751" s="1276"/>
      <c r="S751" s="1276"/>
      <c r="T751" s="1276"/>
      <c r="U751" s="1276"/>
      <c r="V751" s="1276"/>
      <c r="W751" s="1276"/>
      <c r="X751" s="1276"/>
      <c r="Y751" s="1276"/>
    </row>
    <row r="752" spans="1:25">
      <c r="A752" s="2522"/>
      <c r="B752" s="2522"/>
      <c r="C752" s="2522"/>
      <c r="D752" s="2522"/>
      <c r="E752" s="1275"/>
      <c r="R752" s="1276"/>
      <c r="S752" s="1276"/>
      <c r="T752" s="1276"/>
      <c r="U752" s="1276"/>
      <c r="V752" s="1276"/>
      <c r="W752" s="1276"/>
      <c r="X752" s="1276"/>
      <c r="Y752" s="1276"/>
    </row>
    <row r="753" spans="1:25">
      <c r="A753" s="2522"/>
      <c r="B753" s="2522"/>
      <c r="C753" s="2522"/>
      <c r="D753" s="2522"/>
      <c r="E753" s="1275"/>
      <c r="R753" s="1276"/>
      <c r="S753" s="1276"/>
      <c r="T753" s="1276"/>
      <c r="U753" s="1276"/>
      <c r="V753" s="1276"/>
      <c r="W753" s="1276"/>
      <c r="X753" s="1276"/>
      <c r="Y753" s="1276"/>
    </row>
    <row r="754" spans="1:25">
      <c r="A754" s="2522"/>
      <c r="B754" s="2522"/>
      <c r="C754" s="2522"/>
      <c r="D754" s="2522"/>
      <c r="E754" s="1275"/>
      <c r="R754" s="1276"/>
      <c r="S754" s="1276"/>
      <c r="T754" s="1276"/>
      <c r="U754" s="1276"/>
      <c r="V754" s="1276"/>
      <c r="W754" s="1276"/>
      <c r="X754" s="1276"/>
      <c r="Y754" s="1276"/>
    </row>
    <row r="755" spans="1:25">
      <c r="A755" s="2522"/>
      <c r="B755" s="2522"/>
      <c r="C755" s="2522"/>
      <c r="D755" s="2522"/>
      <c r="E755" s="1275"/>
      <c r="R755" s="1276"/>
      <c r="S755" s="1276"/>
      <c r="T755" s="1276"/>
      <c r="U755" s="1276"/>
      <c r="V755" s="1276"/>
      <c r="W755" s="1276"/>
      <c r="X755" s="1276"/>
      <c r="Y755" s="1276"/>
    </row>
    <row r="756" spans="1:25">
      <c r="A756" s="2522"/>
      <c r="B756" s="2522"/>
      <c r="C756" s="2522"/>
      <c r="D756" s="2522"/>
      <c r="E756" s="1275"/>
      <c r="R756" s="1276"/>
      <c r="S756" s="1276"/>
      <c r="T756" s="1276"/>
      <c r="U756" s="1276"/>
      <c r="V756" s="1276"/>
      <c r="W756" s="1276"/>
      <c r="X756" s="1276"/>
      <c r="Y756" s="1276"/>
    </row>
    <row r="757" spans="1:25">
      <c r="A757" s="2522"/>
      <c r="B757" s="2522"/>
      <c r="C757" s="2522"/>
      <c r="D757" s="2522"/>
      <c r="E757" s="1275"/>
      <c r="R757" s="1276"/>
      <c r="S757" s="1276"/>
      <c r="T757" s="1276"/>
      <c r="U757" s="1276"/>
      <c r="V757" s="1276"/>
      <c r="W757" s="1276"/>
      <c r="X757" s="1276"/>
      <c r="Y757" s="1276"/>
    </row>
    <row r="758" spans="1:25">
      <c r="A758" s="2522"/>
      <c r="B758" s="2522"/>
      <c r="C758" s="2522"/>
      <c r="D758" s="2522"/>
      <c r="E758" s="1275"/>
      <c r="R758" s="1276"/>
      <c r="S758" s="1276"/>
      <c r="T758" s="1276"/>
      <c r="U758" s="1276"/>
      <c r="V758" s="1276"/>
      <c r="W758" s="1276"/>
      <c r="X758" s="1276"/>
      <c r="Y758" s="1276"/>
    </row>
    <row r="759" spans="1:25">
      <c r="A759" s="2522"/>
      <c r="B759" s="2522"/>
      <c r="C759" s="2522"/>
      <c r="D759" s="2522"/>
      <c r="E759" s="1275"/>
      <c r="R759" s="1276"/>
      <c r="S759" s="1276"/>
      <c r="T759" s="1276"/>
      <c r="U759" s="1276"/>
      <c r="V759" s="1276"/>
      <c r="W759" s="1276"/>
      <c r="X759" s="1276"/>
      <c r="Y759" s="1276"/>
    </row>
    <row r="760" spans="1:25">
      <c r="A760" s="2522"/>
      <c r="B760" s="2522"/>
      <c r="C760" s="2522"/>
      <c r="D760" s="2522"/>
      <c r="E760" s="1275"/>
      <c r="R760" s="1276"/>
      <c r="S760" s="1276"/>
      <c r="T760" s="1276"/>
      <c r="U760" s="1276"/>
      <c r="V760" s="1276"/>
      <c r="W760" s="1276"/>
      <c r="X760" s="1276"/>
      <c r="Y760" s="1276"/>
    </row>
    <row r="761" spans="1:25">
      <c r="A761" s="2522"/>
      <c r="B761" s="2522"/>
      <c r="C761" s="2522"/>
      <c r="D761" s="2522"/>
      <c r="E761" s="1275"/>
      <c r="R761" s="1276"/>
      <c r="S761" s="1276"/>
      <c r="T761" s="1276"/>
      <c r="U761" s="1276"/>
      <c r="V761" s="1276"/>
      <c r="W761" s="1276"/>
      <c r="X761" s="1276"/>
      <c r="Y761" s="1276"/>
    </row>
    <row r="762" spans="1:25">
      <c r="A762" s="2522"/>
      <c r="B762" s="2522"/>
      <c r="C762" s="2522"/>
      <c r="D762" s="2522"/>
      <c r="E762" s="1275"/>
      <c r="R762" s="1276"/>
      <c r="S762" s="1276"/>
      <c r="T762" s="1276"/>
      <c r="U762" s="1276"/>
      <c r="V762" s="1276"/>
      <c r="W762" s="1276"/>
      <c r="X762" s="1276"/>
      <c r="Y762" s="1276"/>
    </row>
    <row r="763" spans="1:25">
      <c r="A763" s="2522"/>
      <c r="B763" s="2522"/>
      <c r="C763" s="2522"/>
      <c r="D763" s="2522"/>
      <c r="E763" s="1275"/>
      <c r="R763" s="1276"/>
      <c r="S763" s="1276"/>
      <c r="T763" s="1276"/>
      <c r="U763" s="1276"/>
      <c r="V763" s="1276"/>
      <c r="W763" s="1276"/>
      <c r="X763" s="1276"/>
      <c r="Y763" s="1276"/>
    </row>
    <row r="764" spans="1:25">
      <c r="A764" s="2522"/>
      <c r="B764" s="2522"/>
      <c r="C764" s="2522"/>
      <c r="D764" s="2522"/>
      <c r="E764" s="1275"/>
      <c r="R764" s="1276"/>
      <c r="S764" s="1276"/>
      <c r="T764" s="1276"/>
      <c r="U764" s="1276"/>
      <c r="V764" s="1276"/>
      <c r="W764" s="1276"/>
      <c r="X764" s="1276"/>
      <c r="Y764" s="1276"/>
    </row>
    <row r="765" spans="1:25">
      <c r="A765" s="2522"/>
      <c r="B765" s="2522"/>
      <c r="C765" s="2522"/>
      <c r="D765" s="2522"/>
      <c r="E765" s="1275"/>
      <c r="R765" s="1276"/>
      <c r="S765" s="1276"/>
      <c r="T765" s="1276"/>
      <c r="U765" s="1276"/>
      <c r="V765" s="1276"/>
      <c r="W765" s="1276"/>
      <c r="X765" s="1276"/>
      <c r="Y765" s="1276"/>
    </row>
    <row r="766" spans="1:25">
      <c r="A766" s="2522"/>
      <c r="B766" s="2522"/>
      <c r="C766" s="2522"/>
      <c r="D766" s="2522"/>
      <c r="E766" s="1275"/>
      <c r="R766" s="1276"/>
      <c r="S766" s="1276"/>
      <c r="T766" s="1276"/>
      <c r="U766" s="1276"/>
      <c r="V766" s="1276"/>
      <c r="W766" s="1276"/>
      <c r="X766" s="1276"/>
      <c r="Y766" s="1276"/>
    </row>
    <row r="767" spans="1:25">
      <c r="A767" s="2522"/>
      <c r="B767" s="2522"/>
      <c r="C767" s="2522"/>
      <c r="D767" s="2522"/>
      <c r="E767" s="1275"/>
      <c r="R767" s="1276"/>
      <c r="S767" s="1276"/>
      <c r="T767" s="1276"/>
      <c r="U767" s="1276"/>
      <c r="V767" s="1276"/>
      <c r="W767" s="1276"/>
      <c r="X767" s="1276"/>
      <c r="Y767" s="1276"/>
    </row>
    <row r="768" spans="1:25">
      <c r="A768" s="2522"/>
      <c r="B768" s="2522"/>
      <c r="C768" s="2522"/>
      <c r="D768" s="2522"/>
      <c r="E768" s="1275"/>
      <c r="R768" s="1276"/>
      <c r="S768" s="1276"/>
      <c r="T768" s="1276"/>
      <c r="U768" s="1276"/>
      <c r="V768" s="1276"/>
      <c r="W768" s="1276"/>
      <c r="X768" s="1276"/>
      <c r="Y768" s="1276"/>
    </row>
    <row r="769" spans="1:25">
      <c r="A769" s="2522"/>
      <c r="B769" s="2522"/>
      <c r="C769" s="2522"/>
      <c r="D769" s="2522"/>
      <c r="E769" s="1275"/>
      <c r="R769" s="1276"/>
      <c r="S769" s="1276"/>
      <c r="T769" s="1276"/>
      <c r="U769" s="1276"/>
      <c r="V769" s="1276"/>
      <c r="W769" s="1276"/>
      <c r="X769" s="1276"/>
      <c r="Y769" s="1276"/>
    </row>
    <row r="770" spans="1:25">
      <c r="A770" s="2522"/>
      <c r="B770" s="2522"/>
      <c r="C770" s="2522"/>
      <c r="D770" s="2522"/>
      <c r="E770" s="1275"/>
      <c r="R770" s="1276"/>
      <c r="S770" s="1276"/>
      <c r="T770" s="1276"/>
      <c r="U770" s="1276"/>
      <c r="V770" s="1276"/>
      <c r="W770" s="1276"/>
      <c r="X770" s="1276"/>
      <c r="Y770" s="1276"/>
    </row>
    <row r="771" spans="1:25">
      <c r="A771" s="2522"/>
      <c r="B771" s="2522"/>
      <c r="C771" s="2522"/>
      <c r="D771" s="2522"/>
      <c r="E771" s="1275"/>
      <c r="R771" s="1276"/>
      <c r="S771" s="1276"/>
      <c r="T771" s="1276"/>
      <c r="U771" s="1276"/>
      <c r="V771" s="1276"/>
      <c r="W771" s="1276"/>
      <c r="X771" s="1276"/>
      <c r="Y771" s="1276"/>
    </row>
    <row r="772" spans="1:25">
      <c r="A772" s="2522"/>
      <c r="B772" s="2522"/>
      <c r="C772" s="2522"/>
      <c r="D772" s="2522"/>
      <c r="E772" s="1275"/>
      <c r="R772" s="1276"/>
      <c r="S772" s="1276"/>
      <c r="T772" s="1276"/>
      <c r="U772" s="1276"/>
      <c r="V772" s="1276"/>
      <c r="W772" s="1276"/>
      <c r="X772" s="1276"/>
      <c r="Y772" s="1276"/>
    </row>
    <row r="773" spans="1:25">
      <c r="A773" s="2522"/>
      <c r="B773" s="2522"/>
      <c r="C773" s="2522"/>
      <c r="D773" s="2522"/>
      <c r="E773" s="1275"/>
      <c r="R773" s="1276"/>
      <c r="S773" s="1276"/>
      <c r="T773" s="1276"/>
      <c r="U773" s="1276"/>
      <c r="V773" s="1276"/>
      <c r="W773" s="1276"/>
      <c r="X773" s="1276"/>
      <c r="Y773" s="1276"/>
    </row>
    <row r="774" spans="1:25">
      <c r="A774" s="2522"/>
      <c r="B774" s="2522"/>
      <c r="C774" s="2522"/>
      <c r="D774" s="2522"/>
      <c r="E774" s="1275"/>
      <c r="R774" s="1276"/>
      <c r="S774" s="1276"/>
      <c r="T774" s="1276"/>
      <c r="U774" s="1276"/>
      <c r="V774" s="1276"/>
      <c r="W774" s="1276"/>
      <c r="X774" s="1276"/>
      <c r="Y774" s="1276"/>
    </row>
    <row r="775" spans="1:25">
      <c r="A775" s="2522"/>
      <c r="B775" s="2522"/>
      <c r="C775" s="2522"/>
      <c r="D775" s="2522"/>
      <c r="E775" s="1275"/>
      <c r="R775" s="1276"/>
      <c r="S775" s="1276"/>
      <c r="T775" s="1276"/>
      <c r="U775" s="1276"/>
      <c r="V775" s="1276"/>
      <c r="W775" s="1276"/>
      <c r="X775" s="1276"/>
      <c r="Y775" s="1276"/>
    </row>
    <row r="776" spans="1:25">
      <c r="A776" s="2522"/>
      <c r="B776" s="2522"/>
      <c r="C776" s="2522"/>
      <c r="D776" s="2522"/>
      <c r="E776" s="1275"/>
      <c r="R776" s="1276"/>
      <c r="S776" s="1276"/>
      <c r="T776" s="1276"/>
      <c r="U776" s="1276"/>
      <c r="V776" s="1276"/>
      <c r="W776" s="1276"/>
      <c r="X776" s="1276"/>
      <c r="Y776" s="1276"/>
    </row>
    <row r="777" spans="1:25">
      <c r="A777" s="2522"/>
      <c r="B777" s="2522"/>
      <c r="C777" s="2522"/>
      <c r="D777" s="2522"/>
      <c r="E777" s="1275"/>
      <c r="R777" s="1276"/>
      <c r="S777" s="1276"/>
      <c r="T777" s="1276"/>
      <c r="U777" s="1276"/>
      <c r="V777" s="1276"/>
      <c r="W777" s="1276"/>
      <c r="X777" s="1276"/>
      <c r="Y777" s="1276"/>
    </row>
    <row r="778" spans="1:25">
      <c r="A778" s="2522"/>
      <c r="B778" s="2522"/>
      <c r="C778" s="2522"/>
      <c r="D778" s="2522"/>
      <c r="E778" s="1275"/>
      <c r="R778" s="1276"/>
      <c r="S778" s="1276"/>
      <c r="T778" s="1276"/>
      <c r="U778" s="1276"/>
      <c r="V778" s="1276"/>
      <c r="W778" s="1276"/>
      <c r="X778" s="1276"/>
      <c r="Y778" s="1276"/>
    </row>
    <row r="779" spans="1:25">
      <c r="A779" s="2522"/>
      <c r="B779" s="2522"/>
      <c r="C779" s="2522"/>
      <c r="D779" s="2522"/>
      <c r="E779" s="1275"/>
      <c r="R779" s="1276"/>
      <c r="S779" s="1276"/>
      <c r="T779" s="1276"/>
      <c r="U779" s="1276"/>
      <c r="V779" s="1276"/>
      <c r="W779" s="1276"/>
      <c r="X779" s="1276"/>
      <c r="Y779" s="1276"/>
    </row>
    <row r="780" spans="1:25">
      <c r="A780" s="2522"/>
      <c r="B780" s="2522"/>
      <c r="C780" s="2522"/>
      <c r="D780" s="2522"/>
      <c r="E780" s="1275"/>
      <c r="R780" s="1276"/>
      <c r="S780" s="1276"/>
      <c r="T780" s="1276"/>
      <c r="U780" s="1276"/>
      <c r="V780" s="1276"/>
      <c r="W780" s="1276"/>
      <c r="X780" s="1276"/>
      <c r="Y780" s="1276"/>
    </row>
    <row r="781" spans="1:25">
      <c r="A781" s="2522"/>
      <c r="B781" s="2522"/>
      <c r="C781" s="2522"/>
      <c r="D781" s="2522"/>
      <c r="E781" s="1275"/>
      <c r="R781" s="1276"/>
      <c r="S781" s="1276"/>
      <c r="T781" s="1276"/>
      <c r="U781" s="1276"/>
      <c r="V781" s="1276"/>
      <c r="W781" s="1276"/>
      <c r="X781" s="1276"/>
      <c r="Y781" s="1276"/>
    </row>
    <row r="782" spans="1:25">
      <c r="A782" s="2522"/>
      <c r="B782" s="2522"/>
      <c r="C782" s="2522"/>
      <c r="D782" s="2522"/>
      <c r="E782" s="1275"/>
      <c r="R782" s="1276"/>
      <c r="S782" s="1276"/>
      <c r="T782" s="1276"/>
      <c r="U782" s="1276"/>
      <c r="V782" s="1276"/>
      <c r="W782" s="1276"/>
      <c r="X782" s="1276"/>
      <c r="Y782" s="1276"/>
    </row>
    <row r="783" spans="1:25">
      <c r="A783" s="2522"/>
      <c r="B783" s="2522"/>
      <c r="C783" s="2522"/>
      <c r="D783" s="2522"/>
      <c r="E783" s="1275"/>
      <c r="R783" s="1276"/>
      <c r="S783" s="1276"/>
      <c r="T783" s="1276"/>
      <c r="U783" s="1276"/>
      <c r="V783" s="1276"/>
      <c r="W783" s="1276"/>
      <c r="X783" s="1276"/>
      <c r="Y783" s="1276"/>
    </row>
    <row r="784" spans="1:25">
      <c r="A784" s="2522"/>
      <c r="B784" s="2522"/>
      <c r="C784" s="2522"/>
      <c r="D784" s="2522"/>
      <c r="E784" s="1275"/>
      <c r="R784" s="1276"/>
      <c r="S784" s="1276"/>
      <c r="T784" s="1276"/>
      <c r="U784" s="1276"/>
      <c r="V784" s="1276"/>
      <c r="W784" s="1276"/>
      <c r="X784" s="1276"/>
      <c r="Y784" s="1276"/>
    </row>
    <row r="785" spans="1:25">
      <c r="A785" s="2522"/>
      <c r="B785" s="2522"/>
      <c r="C785" s="2522"/>
      <c r="D785" s="2522"/>
      <c r="E785" s="1275"/>
      <c r="R785" s="1276"/>
      <c r="S785" s="1276"/>
      <c r="T785" s="1276"/>
      <c r="U785" s="1276"/>
      <c r="V785" s="1276"/>
      <c r="W785" s="1276"/>
      <c r="X785" s="1276"/>
      <c r="Y785" s="1276"/>
    </row>
    <row r="786" spans="1:25">
      <c r="A786" s="2522"/>
      <c r="B786" s="2522"/>
      <c r="C786" s="2522"/>
      <c r="D786" s="2522"/>
      <c r="E786" s="1275"/>
      <c r="R786" s="1276"/>
      <c r="S786" s="1276"/>
      <c r="T786" s="1276"/>
      <c r="U786" s="1276"/>
      <c r="V786" s="1276"/>
      <c r="W786" s="1276"/>
      <c r="X786" s="1276"/>
      <c r="Y786" s="1276"/>
    </row>
    <row r="787" spans="1:25">
      <c r="A787" s="2522"/>
      <c r="B787" s="2522"/>
      <c r="C787" s="2522"/>
      <c r="D787" s="2522"/>
      <c r="E787" s="1275"/>
      <c r="R787" s="1276"/>
      <c r="S787" s="1276"/>
      <c r="T787" s="1276"/>
      <c r="U787" s="1276"/>
      <c r="V787" s="1276"/>
      <c r="W787" s="1276"/>
      <c r="X787" s="1276"/>
      <c r="Y787" s="1276"/>
    </row>
    <row r="788" spans="1:25">
      <c r="A788" s="2522"/>
      <c r="B788" s="2522"/>
      <c r="C788" s="2522"/>
      <c r="D788" s="2522"/>
      <c r="E788" s="1275"/>
      <c r="R788" s="1276"/>
      <c r="S788" s="1276"/>
      <c r="T788" s="1276"/>
      <c r="U788" s="1276"/>
      <c r="V788" s="1276"/>
      <c r="W788" s="1276"/>
      <c r="X788" s="1276"/>
      <c r="Y788" s="1276"/>
    </row>
    <row r="789" spans="1:25">
      <c r="A789" s="2522"/>
      <c r="B789" s="2522"/>
      <c r="C789" s="2522"/>
      <c r="D789" s="2522"/>
      <c r="E789" s="1275"/>
      <c r="R789" s="1276"/>
      <c r="S789" s="1276"/>
      <c r="T789" s="1276"/>
      <c r="U789" s="1276"/>
      <c r="V789" s="1276"/>
      <c r="W789" s="1276"/>
      <c r="X789" s="1276"/>
      <c r="Y789" s="1276"/>
    </row>
    <row r="790" spans="1:25">
      <c r="A790" s="2522"/>
      <c r="B790" s="2522"/>
      <c r="C790" s="2522"/>
      <c r="D790" s="2522"/>
      <c r="E790" s="1275"/>
      <c r="R790" s="1276"/>
      <c r="S790" s="1276"/>
      <c r="T790" s="1276"/>
      <c r="U790" s="1276"/>
      <c r="V790" s="1276"/>
      <c r="W790" s="1276"/>
      <c r="X790" s="1276"/>
      <c r="Y790" s="1276"/>
    </row>
    <row r="791" spans="1:25">
      <c r="A791" s="2522"/>
      <c r="B791" s="2522"/>
      <c r="C791" s="2522"/>
      <c r="D791" s="2522"/>
      <c r="E791" s="1275"/>
      <c r="R791" s="1276"/>
      <c r="S791" s="1276"/>
      <c r="T791" s="1276"/>
      <c r="U791" s="1276"/>
      <c r="V791" s="1276"/>
      <c r="W791" s="1276"/>
      <c r="X791" s="1276"/>
      <c r="Y791" s="1276"/>
    </row>
    <row r="792" spans="1:25">
      <c r="A792" s="2522"/>
      <c r="B792" s="2522"/>
      <c r="C792" s="2522"/>
      <c r="D792" s="2522"/>
      <c r="E792" s="1275"/>
      <c r="R792" s="1276"/>
      <c r="S792" s="1276"/>
      <c r="T792" s="1276"/>
      <c r="U792" s="1276"/>
      <c r="V792" s="1276"/>
      <c r="W792" s="1276"/>
      <c r="X792" s="1276"/>
      <c r="Y792" s="1276"/>
    </row>
    <row r="793" spans="1:25">
      <c r="A793" s="2522"/>
      <c r="B793" s="2522"/>
      <c r="C793" s="2522"/>
      <c r="D793" s="2522"/>
      <c r="E793" s="1275"/>
      <c r="R793" s="1276"/>
      <c r="S793" s="1276"/>
      <c r="T793" s="1276"/>
      <c r="U793" s="1276"/>
      <c r="V793" s="1276"/>
      <c r="W793" s="1276"/>
      <c r="X793" s="1276"/>
      <c r="Y793" s="1276"/>
    </row>
    <row r="794" spans="1:25">
      <c r="A794" s="2522"/>
      <c r="B794" s="2522"/>
      <c r="C794" s="2522"/>
      <c r="D794" s="2522"/>
      <c r="E794" s="1275"/>
      <c r="R794" s="1276"/>
      <c r="S794" s="1276"/>
      <c r="T794" s="1276"/>
      <c r="U794" s="1276"/>
      <c r="V794" s="1276"/>
      <c r="W794" s="1276"/>
      <c r="X794" s="1276"/>
      <c r="Y794" s="1276"/>
    </row>
    <row r="795" spans="1:25">
      <c r="A795" s="2522"/>
      <c r="B795" s="2522"/>
      <c r="C795" s="2522"/>
      <c r="D795" s="2522"/>
      <c r="E795" s="1275"/>
      <c r="R795" s="1276"/>
      <c r="S795" s="1276"/>
      <c r="T795" s="1276"/>
      <c r="U795" s="1276"/>
      <c r="V795" s="1276"/>
      <c r="W795" s="1276"/>
      <c r="X795" s="1276"/>
      <c r="Y795" s="1276"/>
    </row>
    <row r="796" spans="1:25">
      <c r="A796" s="2522"/>
      <c r="B796" s="2522"/>
      <c r="C796" s="2522"/>
      <c r="D796" s="2522"/>
      <c r="E796" s="1275"/>
      <c r="R796" s="1276"/>
      <c r="S796" s="1276"/>
      <c r="T796" s="1276"/>
      <c r="U796" s="1276"/>
      <c r="V796" s="1276"/>
      <c r="W796" s="1276"/>
      <c r="X796" s="1276"/>
      <c r="Y796" s="1276"/>
    </row>
    <row r="797" spans="1:25">
      <c r="A797" s="2522"/>
      <c r="B797" s="2522"/>
      <c r="C797" s="2522"/>
      <c r="D797" s="2522"/>
      <c r="E797" s="1275"/>
      <c r="R797" s="1276"/>
      <c r="S797" s="1276"/>
      <c r="T797" s="1276"/>
      <c r="U797" s="1276"/>
      <c r="V797" s="1276"/>
      <c r="W797" s="1276"/>
      <c r="X797" s="1276"/>
      <c r="Y797" s="1276"/>
    </row>
    <row r="798" spans="1:25">
      <c r="A798" s="2522"/>
      <c r="B798" s="2522"/>
      <c r="C798" s="2522"/>
      <c r="D798" s="2522"/>
      <c r="E798" s="1275"/>
      <c r="R798" s="1276"/>
      <c r="S798" s="1276"/>
      <c r="T798" s="1276"/>
      <c r="U798" s="1276"/>
      <c r="V798" s="1276"/>
      <c r="W798" s="1276"/>
      <c r="X798" s="1276"/>
      <c r="Y798" s="1276"/>
    </row>
    <row r="799" spans="1:25">
      <c r="A799" s="2522"/>
      <c r="B799" s="2522"/>
      <c r="C799" s="2522"/>
      <c r="D799" s="2522"/>
      <c r="E799" s="1275"/>
      <c r="R799" s="1276"/>
      <c r="S799" s="1276"/>
      <c r="T799" s="1276"/>
      <c r="U799" s="1276"/>
      <c r="V799" s="1276"/>
      <c r="W799" s="1276"/>
      <c r="X799" s="1276"/>
      <c r="Y799" s="1276"/>
    </row>
    <row r="800" spans="1:25">
      <c r="A800" s="2522"/>
      <c r="B800" s="2522"/>
      <c r="C800" s="2522"/>
      <c r="D800" s="2522"/>
      <c r="E800" s="1275"/>
      <c r="R800" s="1276"/>
      <c r="S800" s="1276"/>
      <c r="T800" s="1276"/>
      <c r="U800" s="1276"/>
      <c r="V800" s="1276"/>
      <c r="W800" s="1276"/>
      <c r="X800" s="1276"/>
      <c r="Y800" s="1276"/>
    </row>
    <row r="801" spans="1:25">
      <c r="A801" s="2522"/>
      <c r="B801" s="2522"/>
      <c r="C801" s="2522"/>
      <c r="D801" s="2522"/>
      <c r="E801" s="1275"/>
      <c r="R801" s="1276"/>
      <c r="S801" s="1276"/>
      <c r="T801" s="1276"/>
      <c r="U801" s="1276"/>
      <c r="V801" s="1276"/>
      <c r="W801" s="1276"/>
      <c r="X801" s="1276"/>
      <c r="Y801" s="1276"/>
    </row>
    <row r="802" spans="1:25">
      <c r="A802" s="2522"/>
      <c r="B802" s="2522"/>
      <c r="C802" s="2522"/>
      <c r="D802" s="2522"/>
      <c r="E802" s="1275"/>
      <c r="R802" s="1276"/>
      <c r="S802" s="1276"/>
      <c r="T802" s="1276"/>
      <c r="U802" s="1276"/>
      <c r="V802" s="1276"/>
      <c r="W802" s="1276"/>
      <c r="X802" s="1276"/>
      <c r="Y802" s="1276"/>
    </row>
    <row r="803" spans="1:25">
      <c r="A803" s="2522"/>
      <c r="B803" s="2522"/>
      <c r="C803" s="2522"/>
      <c r="D803" s="2522"/>
      <c r="E803" s="1275"/>
      <c r="R803" s="1276"/>
      <c r="S803" s="1276"/>
      <c r="T803" s="1276"/>
      <c r="U803" s="1276"/>
      <c r="V803" s="1276"/>
      <c r="W803" s="1276"/>
      <c r="X803" s="1276"/>
      <c r="Y803" s="1276"/>
    </row>
    <row r="804" spans="1:25">
      <c r="A804" s="2522"/>
      <c r="B804" s="2522"/>
      <c r="C804" s="2522"/>
      <c r="D804" s="2522"/>
      <c r="E804" s="1275"/>
      <c r="R804" s="1276"/>
      <c r="S804" s="1276"/>
      <c r="T804" s="1276"/>
      <c r="U804" s="1276"/>
      <c r="V804" s="1276"/>
      <c r="W804" s="1276"/>
      <c r="X804" s="1276"/>
      <c r="Y804" s="1276"/>
    </row>
    <row r="805" spans="1:25">
      <c r="A805" s="2522"/>
      <c r="B805" s="2522"/>
      <c r="C805" s="2522"/>
      <c r="D805" s="2522"/>
      <c r="E805" s="1275"/>
      <c r="R805" s="1276"/>
      <c r="S805" s="1276"/>
      <c r="T805" s="1276"/>
      <c r="U805" s="1276"/>
      <c r="V805" s="1276"/>
      <c r="W805" s="1276"/>
      <c r="X805" s="1276"/>
      <c r="Y805" s="1276"/>
    </row>
    <row r="806" spans="1:25">
      <c r="A806" s="2522"/>
      <c r="B806" s="2522"/>
      <c r="C806" s="2522"/>
      <c r="D806" s="2522"/>
      <c r="E806" s="1275"/>
      <c r="R806" s="1276"/>
      <c r="S806" s="1276"/>
      <c r="T806" s="1276"/>
      <c r="U806" s="1276"/>
      <c r="V806" s="1276"/>
      <c r="W806" s="1276"/>
      <c r="X806" s="1276"/>
      <c r="Y806" s="1276"/>
    </row>
    <row r="807" spans="1:25">
      <c r="A807" s="2522"/>
      <c r="B807" s="2522"/>
      <c r="C807" s="2522"/>
      <c r="D807" s="2522"/>
      <c r="E807" s="1275"/>
      <c r="R807" s="1276"/>
      <c r="S807" s="1276"/>
      <c r="T807" s="1276"/>
      <c r="U807" s="1276"/>
      <c r="V807" s="1276"/>
      <c r="W807" s="1276"/>
      <c r="X807" s="1276"/>
      <c r="Y807" s="1276"/>
    </row>
    <row r="808" spans="1:25">
      <c r="A808" s="2522"/>
      <c r="B808" s="2522"/>
      <c r="C808" s="2522"/>
      <c r="D808" s="2522"/>
      <c r="E808" s="1275"/>
      <c r="R808" s="1276"/>
      <c r="S808" s="1276"/>
      <c r="T808" s="1276"/>
      <c r="U808" s="1276"/>
      <c r="V808" s="1276"/>
      <c r="W808" s="1276"/>
      <c r="X808" s="1276"/>
      <c r="Y808" s="1276"/>
    </row>
    <row r="809" spans="1:25">
      <c r="A809" s="2522"/>
      <c r="B809" s="2522"/>
      <c r="C809" s="2522"/>
      <c r="D809" s="2522"/>
      <c r="E809" s="1275"/>
      <c r="R809" s="1276"/>
      <c r="S809" s="1276"/>
      <c r="T809" s="1276"/>
      <c r="U809" s="1276"/>
      <c r="V809" s="1276"/>
      <c r="W809" s="1276"/>
      <c r="X809" s="1276"/>
      <c r="Y809" s="1276"/>
    </row>
    <row r="810" spans="1:25">
      <c r="A810" s="2522"/>
      <c r="B810" s="2522"/>
      <c r="C810" s="2522"/>
      <c r="D810" s="2522"/>
      <c r="E810" s="1275"/>
      <c r="R810" s="1276"/>
      <c r="S810" s="1276"/>
      <c r="T810" s="1276"/>
      <c r="U810" s="1276"/>
      <c r="V810" s="1276"/>
      <c r="W810" s="1276"/>
      <c r="X810" s="1276"/>
      <c r="Y810" s="1276"/>
    </row>
    <row r="811" spans="1:25">
      <c r="A811" s="2522"/>
      <c r="B811" s="2522"/>
      <c r="C811" s="2522"/>
      <c r="D811" s="2522"/>
      <c r="E811" s="1275"/>
      <c r="R811" s="1276"/>
      <c r="S811" s="1276"/>
      <c r="T811" s="1276"/>
      <c r="U811" s="1276"/>
      <c r="V811" s="1276"/>
      <c r="W811" s="1276"/>
      <c r="X811" s="1276"/>
      <c r="Y811" s="1276"/>
    </row>
    <row r="812" spans="1:25">
      <c r="A812" s="2522"/>
      <c r="B812" s="2522"/>
      <c r="C812" s="2522"/>
      <c r="D812" s="2522"/>
      <c r="E812" s="1275"/>
      <c r="R812" s="1276"/>
      <c r="S812" s="1276"/>
      <c r="T812" s="1276"/>
      <c r="U812" s="1276"/>
      <c r="V812" s="1276"/>
      <c r="W812" s="1276"/>
      <c r="X812" s="1276"/>
      <c r="Y812" s="1276"/>
    </row>
    <row r="813" spans="1:25">
      <c r="A813" s="2522"/>
      <c r="B813" s="2522"/>
      <c r="C813" s="2522"/>
      <c r="D813" s="2522"/>
      <c r="E813" s="1275"/>
      <c r="R813" s="1276"/>
      <c r="S813" s="1276"/>
      <c r="T813" s="1276"/>
      <c r="U813" s="1276"/>
      <c r="V813" s="1276"/>
      <c r="W813" s="1276"/>
      <c r="X813" s="1276"/>
      <c r="Y813" s="1276"/>
    </row>
    <row r="814" spans="1:25">
      <c r="A814" s="2522"/>
      <c r="B814" s="2522"/>
      <c r="C814" s="2522"/>
      <c r="D814" s="2522"/>
      <c r="E814" s="1275"/>
      <c r="R814" s="1276"/>
      <c r="S814" s="1276"/>
      <c r="T814" s="1276"/>
      <c r="U814" s="1276"/>
      <c r="V814" s="1276"/>
      <c r="W814" s="1276"/>
      <c r="X814" s="1276"/>
      <c r="Y814" s="1276"/>
    </row>
    <row r="815" spans="1:25">
      <c r="A815" s="2522"/>
      <c r="B815" s="2522"/>
      <c r="C815" s="2522"/>
      <c r="D815" s="2522"/>
      <c r="E815" s="1275"/>
      <c r="R815" s="1276"/>
      <c r="S815" s="1276"/>
      <c r="T815" s="1276"/>
      <c r="U815" s="1276"/>
      <c r="V815" s="1276"/>
      <c r="W815" s="1276"/>
      <c r="X815" s="1276"/>
      <c r="Y815" s="1276"/>
    </row>
    <row r="816" spans="1:25">
      <c r="A816" s="2522"/>
      <c r="B816" s="2522"/>
      <c r="C816" s="2522"/>
      <c r="D816" s="2522"/>
      <c r="E816" s="1275"/>
      <c r="R816" s="1276"/>
      <c r="S816" s="1276"/>
      <c r="T816" s="1276"/>
      <c r="U816" s="1276"/>
      <c r="V816" s="1276"/>
      <c r="W816" s="1276"/>
      <c r="X816" s="1276"/>
      <c r="Y816" s="1276"/>
    </row>
    <row r="817" spans="1:25">
      <c r="A817" s="2522"/>
      <c r="B817" s="2522"/>
      <c r="C817" s="2522"/>
      <c r="D817" s="2522"/>
      <c r="E817" s="1275"/>
      <c r="R817" s="1276"/>
      <c r="S817" s="1276"/>
      <c r="T817" s="1276"/>
      <c r="U817" s="1276"/>
      <c r="V817" s="1276"/>
      <c r="W817" s="1276"/>
      <c r="X817" s="1276"/>
      <c r="Y817" s="1276"/>
    </row>
    <row r="818" spans="1:25">
      <c r="A818" s="2522"/>
      <c r="B818" s="2522"/>
      <c r="C818" s="2522"/>
      <c r="D818" s="2522"/>
      <c r="E818" s="1275"/>
      <c r="R818" s="1276"/>
      <c r="S818" s="1276"/>
      <c r="T818" s="1276"/>
      <c r="U818" s="1276"/>
      <c r="V818" s="1276"/>
      <c r="W818" s="1276"/>
      <c r="X818" s="1276"/>
      <c r="Y818" s="1276"/>
    </row>
    <row r="819" spans="1:25">
      <c r="A819" s="2522"/>
      <c r="B819" s="2522"/>
      <c r="C819" s="2522"/>
      <c r="D819" s="2522"/>
      <c r="E819" s="1275"/>
      <c r="R819" s="1276"/>
      <c r="S819" s="1276"/>
      <c r="T819" s="1276"/>
      <c r="U819" s="1276"/>
      <c r="V819" s="1276"/>
      <c r="W819" s="1276"/>
      <c r="X819" s="1276"/>
      <c r="Y819" s="1276"/>
    </row>
    <row r="820" spans="1:25">
      <c r="A820" s="2522"/>
      <c r="B820" s="2522"/>
      <c r="C820" s="2522"/>
      <c r="D820" s="2522"/>
      <c r="E820" s="1275"/>
      <c r="R820" s="1276"/>
      <c r="S820" s="1276"/>
      <c r="T820" s="1276"/>
      <c r="U820" s="1276"/>
      <c r="V820" s="1276"/>
      <c r="W820" s="1276"/>
      <c r="X820" s="1276"/>
      <c r="Y820" s="1276"/>
    </row>
    <row r="821" spans="1:25">
      <c r="A821" s="2522"/>
      <c r="B821" s="2522"/>
      <c r="C821" s="2522"/>
      <c r="D821" s="2522"/>
      <c r="E821" s="1275"/>
      <c r="R821" s="1276"/>
      <c r="S821" s="1276"/>
      <c r="T821" s="1276"/>
      <c r="U821" s="1276"/>
      <c r="V821" s="1276"/>
      <c r="W821" s="1276"/>
      <c r="X821" s="1276"/>
      <c r="Y821" s="1276"/>
    </row>
    <row r="822" spans="1:25">
      <c r="A822" s="2522"/>
      <c r="B822" s="2522"/>
      <c r="C822" s="2522"/>
      <c r="D822" s="2522"/>
      <c r="E822" s="1275"/>
      <c r="R822" s="1276"/>
      <c r="S822" s="1276"/>
      <c r="T822" s="1276"/>
      <c r="U822" s="1276"/>
      <c r="V822" s="1276"/>
      <c r="W822" s="1276"/>
      <c r="X822" s="1276"/>
      <c r="Y822" s="1276"/>
    </row>
    <row r="823" spans="1:25">
      <c r="A823" s="2522"/>
      <c r="B823" s="2522"/>
      <c r="C823" s="2522"/>
      <c r="D823" s="2522"/>
      <c r="E823" s="1275"/>
      <c r="R823" s="1276"/>
      <c r="S823" s="1276"/>
      <c r="T823" s="1276"/>
      <c r="U823" s="1276"/>
      <c r="V823" s="1276"/>
      <c r="W823" s="1276"/>
      <c r="X823" s="1276"/>
      <c r="Y823" s="1276"/>
    </row>
    <row r="824" spans="1:25">
      <c r="A824" s="2522"/>
      <c r="B824" s="2522"/>
      <c r="C824" s="2522"/>
      <c r="D824" s="2522"/>
      <c r="E824" s="1275"/>
      <c r="R824" s="1276"/>
      <c r="S824" s="1276"/>
      <c r="T824" s="1276"/>
      <c r="U824" s="1276"/>
      <c r="V824" s="1276"/>
      <c r="W824" s="1276"/>
      <c r="X824" s="1276"/>
      <c r="Y824" s="1276"/>
    </row>
    <row r="825" spans="1:25">
      <c r="A825" s="2522"/>
      <c r="B825" s="2522"/>
      <c r="C825" s="2522"/>
      <c r="D825" s="2522"/>
      <c r="E825" s="1275"/>
      <c r="R825" s="1276"/>
      <c r="S825" s="1276"/>
      <c r="T825" s="1276"/>
      <c r="U825" s="1276"/>
      <c r="V825" s="1276"/>
      <c r="W825" s="1276"/>
      <c r="X825" s="1276"/>
      <c r="Y825" s="1276"/>
    </row>
    <row r="826" spans="1:25">
      <c r="A826" s="2522"/>
      <c r="B826" s="2522"/>
      <c r="C826" s="2522"/>
      <c r="D826" s="2522"/>
      <c r="E826" s="1275"/>
      <c r="R826" s="1276"/>
      <c r="S826" s="1276"/>
      <c r="T826" s="1276"/>
      <c r="U826" s="1276"/>
      <c r="V826" s="1276"/>
      <c r="W826" s="1276"/>
      <c r="X826" s="1276"/>
      <c r="Y826" s="1276"/>
    </row>
    <row r="827" spans="1:25">
      <c r="A827" s="2522"/>
      <c r="B827" s="2522"/>
      <c r="C827" s="2522"/>
      <c r="D827" s="2522"/>
      <c r="E827" s="1275"/>
      <c r="R827" s="1276"/>
      <c r="S827" s="1276"/>
      <c r="T827" s="1276"/>
      <c r="U827" s="1276"/>
      <c r="V827" s="1276"/>
      <c r="W827" s="1276"/>
      <c r="X827" s="1276"/>
      <c r="Y827" s="1276"/>
    </row>
    <row r="828" spans="1:25">
      <c r="A828" s="2522"/>
      <c r="B828" s="2522"/>
      <c r="C828" s="2522"/>
      <c r="D828" s="2522"/>
      <c r="E828" s="1275"/>
      <c r="R828" s="1276"/>
      <c r="S828" s="1276"/>
      <c r="T828" s="1276"/>
      <c r="U828" s="1276"/>
      <c r="V828" s="1276"/>
      <c r="W828" s="1276"/>
      <c r="X828" s="1276"/>
      <c r="Y828" s="1276"/>
    </row>
    <row r="829" spans="1:25">
      <c r="A829" s="2522"/>
      <c r="B829" s="2522"/>
      <c r="C829" s="2522"/>
      <c r="D829" s="2522"/>
      <c r="E829" s="1275"/>
      <c r="R829" s="1276"/>
      <c r="S829" s="1276"/>
      <c r="T829" s="1276"/>
      <c r="U829" s="1276"/>
      <c r="V829" s="1276"/>
      <c r="W829" s="1276"/>
      <c r="X829" s="1276"/>
      <c r="Y829" s="1276"/>
    </row>
    <row r="830" spans="1:25">
      <c r="A830" s="2522"/>
      <c r="B830" s="2522"/>
      <c r="C830" s="2522"/>
      <c r="D830" s="2522"/>
      <c r="E830" s="1275"/>
      <c r="R830" s="1276"/>
      <c r="S830" s="1276"/>
      <c r="T830" s="1276"/>
      <c r="U830" s="1276"/>
      <c r="V830" s="1276"/>
      <c r="W830" s="1276"/>
      <c r="X830" s="1276"/>
      <c r="Y830" s="1276"/>
    </row>
    <row r="831" spans="1:25">
      <c r="A831" s="2522"/>
      <c r="B831" s="2522"/>
      <c r="C831" s="2522"/>
      <c r="D831" s="2522"/>
      <c r="E831" s="1275"/>
      <c r="R831" s="1276"/>
      <c r="S831" s="1276"/>
      <c r="T831" s="1276"/>
      <c r="U831" s="1276"/>
      <c r="V831" s="1276"/>
      <c r="W831" s="1276"/>
      <c r="X831" s="1276"/>
      <c r="Y831" s="1276"/>
    </row>
    <row r="832" spans="1:25">
      <c r="A832" s="2522"/>
      <c r="B832" s="2522"/>
      <c r="C832" s="2522"/>
      <c r="D832" s="2522"/>
      <c r="E832" s="1275"/>
      <c r="R832" s="1276"/>
      <c r="S832" s="1276"/>
      <c r="T832" s="1276"/>
      <c r="U832" s="1276"/>
      <c r="V832" s="1276"/>
      <c r="W832" s="1276"/>
      <c r="X832" s="1276"/>
      <c r="Y832" s="1276"/>
    </row>
    <row r="833" spans="1:25">
      <c r="A833" s="2522"/>
      <c r="B833" s="2522"/>
      <c r="C833" s="2522"/>
      <c r="D833" s="2522"/>
      <c r="E833" s="1275"/>
      <c r="R833" s="1276"/>
      <c r="S833" s="1276"/>
      <c r="T833" s="1276"/>
      <c r="U833" s="1276"/>
      <c r="V833" s="1276"/>
      <c r="W833" s="1276"/>
      <c r="X833" s="1276"/>
      <c r="Y833" s="1276"/>
    </row>
    <row r="834" spans="1:25">
      <c r="A834" s="2522"/>
      <c r="B834" s="2522"/>
      <c r="C834" s="2522"/>
      <c r="D834" s="2522"/>
      <c r="E834" s="1275"/>
      <c r="R834" s="1276"/>
      <c r="S834" s="1276"/>
      <c r="T834" s="1276"/>
      <c r="U834" s="1276"/>
      <c r="V834" s="1276"/>
      <c r="W834" s="1276"/>
      <c r="X834" s="1276"/>
      <c r="Y834" s="1276"/>
    </row>
    <row r="835" spans="1:25">
      <c r="A835" s="2522"/>
      <c r="B835" s="2522"/>
      <c r="C835" s="2522"/>
      <c r="D835" s="2522"/>
      <c r="E835" s="1275"/>
      <c r="R835" s="1276"/>
      <c r="S835" s="1276"/>
      <c r="T835" s="1276"/>
      <c r="U835" s="1276"/>
      <c r="V835" s="1276"/>
      <c r="W835" s="1276"/>
      <c r="X835" s="1276"/>
      <c r="Y835" s="1276"/>
    </row>
    <row r="836" spans="1:25">
      <c r="A836" s="2522"/>
      <c r="B836" s="2522"/>
      <c r="C836" s="2522"/>
      <c r="D836" s="2522"/>
      <c r="E836" s="1275"/>
      <c r="R836" s="1276"/>
      <c r="S836" s="1276"/>
      <c r="T836" s="1276"/>
      <c r="U836" s="1276"/>
      <c r="V836" s="1276"/>
      <c r="W836" s="1276"/>
      <c r="X836" s="1276"/>
      <c r="Y836" s="1276"/>
    </row>
    <row r="837" spans="1:25">
      <c r="A837" s="2522"/>
      <c r="B837" s="2522"/>
      <c r="C837" s="2522"/>
      <c r="D837" s="2522"/>
      <c r="E837" s="1275"/>
      <c r="R837" s="1276"/>
      <c r="S837" s="1276"/>
      <c r="T837" s="1276"/>
      <c r="U837" s="1276"/>
      <c r="V837" s="1276"/>
      <c r="W837" s="1276"/>
      <c r="X837" s="1276"/>
      <c r="Y837" s="1276"/>
    </row>
    <row r="838" spans="1:25">
      <c r="A838" s="2522"/>
      <c r="B838" s="2522"/>
      <c r="C838" s="2522"/>
      <c r="D838" s="2522"/>
      <c r="E838" s="1275"/>
      <c r="R838" s="1276"/>
      <c r="S838" s="1276"/>
      <c r="T838" s="1276"/>
      <c r="U838" s="1276"/>
      <c r="V838" s="1276"/>
      <c r="W838" s="1276"/>
      <c r="X838" s="1276"/>
      <c r="Y838" s="1276"/>
    </row>
    <row r="839" spans="1:25">
      <c r="A839" s="2522"/>
      <c r="B839" s="2522"/>
      <c r="C839" s="2522"/>
      <c r="D839" s="2522"/>
      <c r="E839" s="1275"/>
      <c r="R839" s="1276"/>
      <c r="S839" s="1276"/>
      <c r="T839" s="1276"/>
      <c r="U839" s="1276"/>
      <c r="V839" s="1276"/>
      <c r="W839" s="1276"/>
      <c r="X839" s="1276"/>
      <c r="Y839" s="1276"/>
    </row>
    <row r="840" spans="1:25">
      <c r="A840" s="2522"/>
      <c r="B840" s="2522"/>
      <c r="C840" s="2522"/>
      <c r="D840" s="2522"/>
      <c r="E840" s="1275"/>
      <c r="R840" s="1276"/>
      <c r="S840" s="1276"/>
      <c r="T840" s="1276"/>
      <c r="U840" s="1276"/>
      <c r="V840" s="1276"/>
      <c r="W840" s="1276"/>
      <c r="X840" s="1276"/>
      <c r="Y840" s="1276"/>
    </row>
    <row r="841" spans="1:25">
      <c r="A841" s="2522"/>
      <c r="B841" s="2522"/>
      <c r="C841" s="2522"/>
      <c r="D841" s="2522"/>
      <c r="E841" s="1275"/>
      <c r="R841" s="1276"/>
      <c r="S841" s="1276"/>
      <c r="T841" s="1276"/>
      <c r="U841" s="1276"/>
      <c r="V841" s="1276"/>
      <c r="W841" s="1276"/>
      <c r="X841" s="1276"/>
      <c r="Y841" s="1276"/>
    </row>
    <row r="842" spans="1:25">
      <c r="A842" s="2522"/>
      <c r="B842" s="2522"/>
      <c r="C842" s="2522"/>
      <c r="D842" s="2522"/>
      <c r="E842" s="1275"/>
      <c r="R842" s="1276"/>
      <c r="S842" s="1276"/>
      <c r="T842" s="1276"/>
      <c r="U842" s="1276"/>
      <c r="V842" s="1276"/>
      <c r="W842" s="1276"/>
      <c r="X842" s="1276"/>
      <c r="Y842" s="1276"/>
    </row>
    <row r="843" spans="1:25">
      <c r="A843" s="2522"/>
      <c r="B843" s="2522"/>
      <c r="C843" s="2522"/>
      <c r="D843" s="2522"/>
      <c r="E843" s="1275"/>
      <c r="R843" s="1276"/>
      <c r="S843" s="1276"/>
      <c r="T843" s="1276"/>
      <c r="U843" s="1276"/>
      <c r="V843" s="1276"/>
      <c r="W843" s="1276"/>
      <c r="X843" s="1276"/>
      <c r="Y843" s="1276"/>
    </row>
    <row r="844" spans="1:25">
      <c r="A844" s="2522"/>
      <c r="B844" s="2522"/>
      <c r="C844" s="2522"/>
      <c r="D844" s="2522"/>
      <c r="E844" s="1275"/>
      <c r="R844" s="1276"/>
      <c r="S844" s="1276"/>
      <c r="T844" s="1276"/>
      <c r="U844" s="1276"/>
      <c r="V844" s="1276"/>
      <c r="W844" s="1276"/>
      <c r="X844" s="1276"/>
      <c r="Y844" s="1276"/>
    </row>
    <row r="845" spans="1:25">
      <c r="A845" s="2522"/>
      <c r="B845" s="2522"/>
      <c r="C845" s="2522"/>
      <c r="D845" s="2522"/>
      <c r="E845" s="1275"/>
      <c r="R845" s="1276"/>
      <c r="S845" s="1276"/>
      <c r="T845" s="1276"/>
      <c r="U845" s="1276"/>
      <c r="V845" s="1276"/>
      <c r="W845" s="1276"/>
      <c r="X845" s="1276"/>
      <c r="Y845" s="1276"/>
    </row>
    <row r="846" spans="1:25">
      <c r="A846" s="2522"/>
      <c r="B846" s="2522"/>
      <c r="C846" s="2522"/>
      <c r="D846" s="2522"/>
      <c r="E846" s="1275"/>
      <c r="R846" s="1276"/>
      <c r="S846" s="1276"/>
      <c r="T846" s="1276"/>
      <c r="U846" s="1276"/>
      <c r="V846" s="1276"/>
      <c r="W846" s="1276"/>
      <c r="X846" s="1276"/>
      <c r="Y846" s="1276"/>
    </row>
    <row r="847" spans="1:25">
      <c r="A847" s="2522"/>
      <c r="B847" s="2522"/>
      <c r="C847" s="2522"/>
      <c r="D847" s="2522"/>
      <c r="E847" s="1275"/>
      <c r="R847" s="1276"/>
      <c r="S847" s="1276"/>
      <c r="T847" s="1276"/>
      <c r="U847" s="1276"/>
      <c r="V847" s="1276"/>
      <c r="W847" s="1276"/>
      <c r="X847" s="1276"/>
      <c r="Y847" s="1276"/>
    </row>
    <row r="848" spans="1:25">
      <c r="A848" s="2522"/>
      <c r="B848" s="2522"/>
      <c r="C848" s="2522"/>
      <c r="D848" s="2522"/>
      <c r="E848" s="1275"/>
      <c r="R848" s="1276"/>
      <c r="S848" s="1276"/>
      <c r="T848" s="1276"/>
      <c r="U848" s="1276"/>
      <c r="V848" s="1276"/>
      <c r="W848" s="1276"/>
      <c r="X848" s="1276"/>
      <c r="Y848" s="1276"/>
    </row>
    <row r="849" spans="1:25">
      <c r="A849" s="2522"/>
      <c r="B849" s="2522"/>
      <c r="C849" s="2522"/>
      <c r="D849" s="2522"/>
      <c r="E849" s="1275"/>
      <c r="R849" s="1276"/>
      <c r="S849" s="1276"/>
      <c r="T849" s="1276"/>
      <c r="U849" s="1276"/>
      <c r="V849" s="1276"/>
      <c r="W849" s="1276"/>
      <c r="X849" s="1276"/>
      <c r="Y849" s="1276"/>
    </row>
    <row r="850" spans="1:25">
      <c r="A850" s="2522"/>
      <c r="B850" s="2522"/>
      <c r="C850" s="2522"/>
      <c r="D850" s="2522"/>
      <c r="E850" s="1275"/>
      <c r="R850" s="1276"/>
      <c r="S850" s="1276"/>
      <c r="T850" s="1276"/>
      <c r="U850" s="1276"/>
      <c r="V850" s="1276"/>
      <c r="W850" s="1276"/>
      <c r="X850" s="1276"/>
      <c r="Y850" s="1276"/>
    </row>
    <row r="851" spans="1:25">
      <c r="A851" s="2522"/>
      <c r="B851" s="2522"/>
      <c r="C851" s="2522"/>
      <c r="D851" s="2522"/>
      <c r="E851" s="1275"/>
      <c r="R851" s="1276"/>
      <c r="S851" s="1276"/>
      <c r="T851" s="1276"/>
      <c r="U851" s="1276"/>
      <c r="V851" s="1276"/>
      <c r="W851" s="1276"/>
      <c r="X851" s="1276"/>
      <c r="Y851" s="1276"/>
    </row>
    <row r="852" spans="1:25">
      <c r="A852" s="2522"/>
      <c r="B852" s="2522"/>
      <c r="C852" s="2522"/>
      <c r="D852" s="2522"/>
      <c r="E852" s="1275"/>
      <c r="R852" s="1276"/>
      <c r="S852" s="1276"/>
      <c r="T852" s="1276"/>
      <c r="U852" s="1276"/>
      <c r="V852" s="1276"/>
      <c r="W852" s="1276"/>
      <c r="X852" s="1276"/>
      <c r="Y852" s="1276"/>
    </row>
    <row r="853" spans="1:25">
      <c r="A853" s="2522"/>
      <c r="B853" s="2522"/>
      <c r="C853" s="2522"/>
      <c r="D853" s="2522"/>
      <c r="E853" s="1275"/>
      <c r="R853" s="1276"/>
      <c r="S853" s="1276"/>
      <c r="T853" s="1276"/>
      <c r="U853" s="1276"/>
      <c r="V853" s="1276"/>
      <c r="W853" s="1276"/>
      <c r="X853" s="1276"/>
      <c r="Y853" s="1276"/>
    </row>
    <row r="854" spans="1:25">
      <c r="A854" s="2522"/>
      <c r="B854" s="2522"/>
      <c r="C854" s="2522"/>
      <c r="D854" s="2522"/>
      <c r="E854" s="1275"/>
      <c r="R854" s="1276"/>
      <c r="S854" s="1276"/>
      <c r="T854" s="1276"/>
      <c r="U854" s="1276"/>
      <c r="V854" s="1276"/>
      <c r="W854" s="1276"/>
      <c r="X854" s="1276"/>
      <c r="Y854" s="1276"/>
    </row>
    <row r="855" spans="1:25">
      <c r="A855" s="2522"/>
      <c r="B855" s="2522"/>
      <c r="C855" s="2522"/>
      <c r="D855" s="2522"/>
      <c r="E855" s="1275"/>
      <c r="R855" s="1276"/>
      <c r="S855" s="1276"/>
      <c r="T855" s="1276"/>
      <c r="U855" s="1276"/>
      <c r="V855" s="1276"/>
      <c r="W855" s="1276"/>
      <c r="X855" s="1276"/>
      <c r="Y855" s="1276"/>
    </row>
    <row r="856" spans="1:25">
      <c r="A856" s="2522"/>
      <c r="B856" s="2522"/>
      <c r="C856" s="2522"/>
      <c r="D856" s="2522"/>
      <c r="E856" s="1275"/>
      <c r="R856" s="1276"/>
      <c r="S856" s="1276"/>
      <c r="T856" s="1276"/>
      <c r="U856" s="1276"/>
      <c r="V856" s="1276"/>
      <c r="W856" s="1276"/>
      <c r="X856" s="1276"/>
      <c r="Y856" s="1276"/>
    </row>
    <row r="857" spans="1:25">
      <c r="A857" s="2522"/>
      <c r="B857" s="2522"/>
      <c r="C857" s="2522"/>
      <c r="D857" s="2522"/>
      <c r="E857" s="1275"/>
      <c r="R857" s="1276"/>
      <c r="S857" s="1276"/>
      <c r="T857" s="1276"/>
      <c r="U857" s="1276"/>
      <c r="V857" s="1276"/>
      <c r="W857" s="1276"/>
      <c r="X857" s="1276"/>
      <c r="Y857" s="1276"/>
    </row>
    <row r="858" spans="1:25">
      <c r="A858" s="2522"/>
      <c r="B858" s="2522"/>
      <c r="C858" s="2522"/>
      <c r="D858" s="2522"/>
      <c r="E858" s="1275"/>
      <c r="R858" s="1276"/>
      <c r="S858" s="1276"/>
      <c r="T858" s="1276"/>
      <c r="U858" s="1276"/>
      <c r="V858" s="1276"/>
      <c r="W858" s="1276"/>
      <c r="X858" s="1276"/>
      <c r="Y858" s="1276"/>
    </row>
    <row r="859" spans="1:25">
      <c r="A859" s="2522"/>
      <c r="B859" s="2522"/>
      <c r="C859" s="2522"/>
      <c r="D859" s="2522"/>
      <c r="E859" s="1275"/>
      <c r="R859" s="1276"/>
      <c r="S859" s="1276"/>
      <c r="T859" s="1276"/>
      <c r="U859" s="1276"/>
      <c r="V859" s="1276"/>
      <c r="W859" s="1276"/>
      <c r="X859" s="1276"/>
      <c r="Y859" s="1276"/>
    </row>
    <row r="860" spans="1:25">
      <c r="A860" s="2522"/>
      <c r="B860" s="2522"/>
      <c r="C860" s="2522"/>
      <c r="D860" s="2522"/>
      <c r="E860" s="1275"/>
      <c r="R860" s="1276"/>
      <c r="S860" s="1276"/>
      <c r="T860" s="1276"/>
      <c r="U860" s="1276"/>
      <c r="V860" s="1276"/>
      <c r="W860" s="1276"/>
      <c r="X860" s="1276"/>
      <c r="Y860" s="1276"/>
    </row>
    <row r="861" spans="1:25">
      <c r="A861" s="2522"/>
      <c r="B861" s="2522"/>
      <c r="C861" s="2522"/>
      <c r="D861" s="2522"/>
      <c r="E861" s="1275"/>
      <c r="R861" s="1276"/>
      <c r="S861" s="1276"/>
      <c r="T861" s="1276"/>
      <c r="U861" s="1276"/>
      <c r="V861" s="1276"/>
      <c r="W861" s="1276"/>
      <c r="X861" s="1276"/>
      <c r="Y861" s="1276"/>
    </row>
    <row r="862" spans="1:25">
      <c r="A862" s="2522"/>
      <c r="B862" s="2522"/>
      <c r="C862" s="2522"/>
      <c r="D862" s="2522"/>
      <c r="E862" s="1275"/>
      <c r="R862" s="1276"/>
      <c r="S862" s="1276"/>
      <c r="T862" s="1276"/>
      <c r="U862" s="1276"/>
      <c r="V862" s="1276"/>
      <c r="W862" s="1276"/>
      <c r="X862" s="1276"/>
      <c r="Y862" s="1276"/>
    </row>
    <row r="863" spans="1:25">
      <c r="A863" s="2522"/>
      <c r="B863" s="2522"/>
      <c r="C863" s="2522"/>
      <c r="D863" s="2522"/>
      <c r="E863" s="1275"/>
      <c r="R863" s="1276"/>
      <c r="S863" s="1276"/>
      <c r="T863" s="1276"/>
      <c r="U863" s="1276"/>
      <c r="V863" s="1276"/>
      <c r="W863" s="1276"/>
      <c r="X863" s="1276"/>
      <c r="Y863" s="1276"/>
    </row>
    <row r="864" spans="1:25">
      <c r="A864" s="2522"/>
      <c r="B864" s="2522"/>
      <c r="C864" s="2522"/>
      <c r="D864" s="2522"/>
      <c r="E864" s="1275"/>
      <c r="R864" s="1276"/>
      <c r="S864" s="1276"/>
      <c r="T864" s="1276"/>
      <c r="U864" s="1276"/>
      <c r="V864" s="1276"/>
      <c r="W864" s="1276"/>
      <c r="X864" s="1276"/>
      <c r="Y864" s="1276"/>
    </row>
    <row r="865" spans="1:25">
      <c r="A865" s="2522"/>
      <c r="B865" s="2522"/>
      <c r="C865" s="2522"/>
      <c r="D865" s="2522"/>
      <c r="E865" s="1275"/>
      <c r="R865" s="1276"/>
      <c r="S865" s="1276"/>
      <c r="T865" s="1276"/>
      <c r="U865" s="1276"/>
      <c r="V865" s="1276"/>
      <c r="W865" s="1276"/>
      <c r="X865" s="1276"/>
      <c r="Y865" s="1276"/>
    </row>
    <row r="866" spans="1:25">
      <c r="A866" s="2522"/>
      <c r="B866" s="2522"/>
      <c r="C866" s="2522"/>
      <c r="D866" s="2522"/>
      <c r="E866" s="1275"/>
      <c r="R866" s="1276"/>
      <c r="S866" s="1276"/>
      <c r="T866" s="1276"/>
      <c r="U866" s="1276"/>
      <c r="V866" s="1276"/>
      <c r="W866" s="1276"/>
      <c r="X866" s="1276"/>
      <c r="Y866" s="1276"/>
    </row>
    <row r="867" spans="1:25">
      <c r="A867" s="2522"/>
      <c r="B867" s="2522"/>
      <c r="C867" s="2522"/>
      <c r="D867" s="2522"/>
      <c r="E867" s="1275"/>
      <c r="R867" s="1276"/>
      <c r="S867" s="1276"/>
      <c r="T867" s="1276"/>
      <c r="U867" s="1276"/>
      <c r="V867" s="1276"/>
      <c r="W867" s="1276"/>
      <c r="X867" s="1276"/>
      <c r="Y867" s="1276"/>
    </row>
    <row r="868" spans="1:25">
      <c r="A868" s="2522"/>
      <c r="B868" s="2522"/>
      <c r="C868" s="2522"/>
      <c r="D868" s="2522"/>
      <c r="E868" s="1275"/>
      <c r="R868" s="1276"/>
      <c r="S868" s="1276"/>
      <c r="T868" s="1276"/>
      <c r="U868" s="1276"/>
      <c r="V868" s="1276"/>
      <c r="W868" s="1276"/>
      <c r="X868" s="1276"/>
      <c r="Y868" s="1276"/>
    </row>
    <row r="869" spans="1:25">
      <c r="A869" s="2522"/>
      <c r="B869" s="2522"/>
      <c r="C869" s="2522"/>
      <c r="D869" s="2522"/>
      <c r="E869" s="1275"/>
      <c r="R869" s="1276"/>
      <c r="S869" s="1276"/>
      <c r="T869" s="1276"/>
      <c r="U869" s="1276"/>
      <c r="V869" s="1276"/>
      <c r="W869" s="1276"/>
      <c r="X869" s="1276"/>
      <c r="Y869" s="1276"/>
    </row>
    <row r="870" spans="1:25">
      <c r="A870" s="2522"/>
      <c r="B870" s="2522"/>
      <c r="C870" s="2522"/>
      <c r="D870" s="2522"/>
      <c r="E870" s="1275"/>
      <c r="R870" s="1276"/>
      <c r="S870" s="1276"/>
      <c r="T870" s="1276"/>
      <c r="U870" s="1276"/>
      <c r="V870" s="1276"/>
      <c r="W870" s="1276"/>
      <c r="X870" s="1276"/>
      <c r="Y870" s="1276"/>
    </row>
    <row r="871" spans="1:25">
      <c r="A871" s="2522"/>
      <c r="B871" s="2522"/>
      <c r="C871" s="2522"/>
      <c r="D871" s="2522"/>
      <c r="E871" s="1275"/>
      <c r="R871" s="1276"/>
      <c r="S871" s="1276"/>
      <c r="T871" s="1276"/>
      <c r="U871" s="1276"/>
      <c r="V871" s="1276"/>
      <c r="W871" s="1276"/>
      <c r="X871" s="1276"/>
      <c r="Y871" s="1276"/>
    </row>
    <row r="872" spans="1:25">
      <c r="A872" s="2522"/>
      <c r="B872" s="2522"/>
      <c r="C872" s="2522"/>
      <c r="D872" s="2522"/>
      <c r="E872" s="1275"/>
      <c r="R872" s="1276"/>
      <c r="S872" s="1276"/>
      <c r="T872" s="1276"/>
      <c r="U872" s="1276"/>
      <c r="V872" s="1276"/>
      <c r="W872" s="1276"/>
      <c r="X872" s="1276"/>
      <c r="Y872" s="1276"/>
    </row>
    <row r="873" spans="1:25">
      <c r="A873" s="2522"/>
      <c r="B873" s="2522"/>
      <c r="C873" s="2522"/>
      <c r="D873" s="2522"/>
      <c r="E873" s="1275"/>
      <c r="R873" s="1276"/>
      <c r="S873" s="1276"/>
      <c r="T873" s="1276"/>
      <c r="U873" s="1276"/>
      <c r="V873" s="1276"/>
      <c r="W873" s="1276"/>
      <c r="X873" s="1276"/>
      <c r="Y873" s="1276"/>
    </row>
    <row r="874" spans="1:25">
      <c r="A874" s="2522"/>
      <c r="B874" s="2522"/>
      <c r="C874" s="2522"/>
      <c r="D874" s="2522"/>
      <c r="E874" s="1275"/>
      <c r="R874" s="1276"/>
      <c r="S874" s="1276"/>
      <c r="T874" s="1276"/>
      <c r="U874" s="1276"/>
      <c r="V874" s="1276"/>
      <c r="W874" s="1276"/>
      <c r="X874" s="1276"/>
      <c r="Y874" s="1276"/>
    </row>
    <row r="875" spans="1:25">
      <c r="A875" s="2522"/>
      <c r="B875" s="2522"/>
      <c r="C875" s="2522"/>
      <c r="D875" s="2522"/>
      <c r="E875" s="1275"/>
      <c r="R875" s="1276"/>
      <c r="S875" s="1276"/>
      <c r="T875" s="1276"/>
      <c r="U875" s="1276"/>
      <c r="V875" s="1276"/>
      <c r="W875" s="1276"/>
      <c r="X875" s="1276"/>
      <c r="Y875" s="1276"/>
    </row>
    <row r="876" spans="1:25">
      <c r="A876" s="2522"/>
      <c r="B876" s="2522"/>
      <c r="C876" s="2522"/>
      <c r="D876" s="2522"/>
      <c r="E876" s="1275"/>
      <c r="R876" s="1276"/>
      <c r="S876" s="1276"/>
      <c r="T876" s="1276"/>
      <c r="U876" s="1276"/>
      <c r="V876" s="1276"/>
      <c r="W876" s="1276"/>
      <c r="X876" s="1276"/>
      <c r="Y876" s="1276"/>
    </row>
    <row r="877" spans="1:25">
      <c r="A877" s="2522"/>
      <c r="B877" s="2522"/>
      <c r="C877" s="2522"/>
      <c r="D877" s="2522"/>
      <c r="E877" s="1275"/>
      <c r="R877" s="1276"/>
      <c r="S877" s="1276"/>
      <c r="T877" s="1276"/>
      <c r="U877" s="1276"/>
      <c r="V877" s="1276"/>
      <c r="W877" s="1276"/>
      <c r="X877" s="1276"/>
      <c r="Y877" s="1276"/>
    </row>
    <row r="878" spans="1:25">
      <c r="A878" s="2522"/>
      <c r="B878" s="2522"/>
      <c r="C878" s="2522"/>
      <c r="D878" s="2522"/>
      <c r="E878" s="1275"/>
      <c r="R878" s="1276"/>
      <c r="S878" s="1276"/>
      <c r="T878" s="1276"/>
      <c r="U878" s="1276"/>
      <c r="V878" s="1276"/>
      <c r="W878" s="1276"/>
      <c r="X878" s="1276"/>
      <c r="Y878" s="1276"/>
    </row>
    <row r="879" spans="1:25">
      <c r="A879" s="2522"/>
      <c r="B879" s="2522"/>
      <c r="C879" s="2522"/>
      <c r="D879" s="2522"/>
      <c r="E879" s="1275"/>
      <c r="R879" s="1276"/>
      <c r="S879" s="1276"/>
      <c r="T879" s="1276"/>
      <c r="U879" s="1276"/>
      <c r="V879" s="1276"/>
      <c r="W879" s="1276"/>
      <c r="X879" s="1276"/>
      <c r="Y879" s="1276"/>
    </row>
    <row r="880" spans="1:25">
      <c r="A880" s="2522"/>
      <c r="B880" s="2522"/>
      <c r="C880" s="2522"/>
      <c r="D880" s="2522"/>
      <c r="E880" s="1275"/>
      <c r="R880" s="1276"/>
      <c r="S880" s="1276"/>
      <c r="T880" s="1276"/>
      <c r="U880" s="1276"/>
      <c r="V880" s="1276"/>
      <c r="W880" s="1276"/>
      <c r="X880" s="1276"/>
      <c r="Y880" s="1276"/>
    </row>
    <row r="881" spans="1:25">
      <c r="A881" s="2522"/>
      <c r="B881" s="2522"/>
      <c r="C881" s="2522"/>
      <c r="D881" s="2522"/>
      <c r="E881" s="1275"/>
      <c r="R881" s="1276"/>
      <c r="S881" s="1276"/>
      <c r="T881" s="1276"/>
      <c r="U881" s="1276"/>
      <c r="V881" s="1276"/>
      <c r="W881" s="1276"/>
      <c r="X881" s="1276"/>
      <c r="Y881" s="1276"/>
    </row>
    <row r="882" spans="1:25">
      <c r="A882" s="2522"/>
      <c r="B882" s="2522"/>
      <c r="C882" s="2522"/>
      <c r="D882" s="2522"/>
      <c r="E882" s="1275"/>
      <c r="R882" s="1276"/>
      <c r="S882" s="1276"/>
      <c r="T882" s="1276"/>
      <c r="U882" s="1276"/>
      <c r="V882" s="1276"/>
      <c r="W882" s="1276"/>
      <c r="X882" s="1276"/>
      <c r="Y882" s="1276"/>
    </row>
    <row r="883" spans="1:25">
      <c r="A883" s="2522"/>
      <c r="B883" s="2522"/>
      <c r="C883" s="2522"/>
      <c r="D883" s="2522"/>
      <c r="E883" s="1275"/>
      <c r="R883" s="1276"/>
      <c r="S883" s="1276"/>
      <c r="T883" s="1276"/>
      <c r="U883" s="1276"/>
      <c r="V883" s="1276"/>
      <c r="W883" s="1276"/>
      <c r="X883" s="1276"/>
      <c r="Y883" s="1276"/>
    </row>
    <row r="884" spans="1:25">
      <c r="A884" s="2522"/>
      <c r="B884" s="2522"/>
      <c r="C884" s="2522"/>
      <c r="D884" s="2522"/>
      <c r="E884" s="1275"/>
      <c r="R884" s="1276"/>
      <c r="S884" s="1276"/>
      <c r="T884" s="1276"/>
      <c r="U884" s="1276"/>
      <c r="V884" s="1276"/>
      <c r="W884" s="1276"/>
      <c r="X884" s="1276"/>
      <c r="Y884" s="1276"/>
    </row>
    <row r="885" spans="1:25">
      <c r="A885" s="2522"/>
      <c r="B885" s="2522"/>
      <c r="C885" s="2522"/>
      <c r="D885" s="2522"/>
      <c r="E885" s="1275"/>
      <c r="R885" s="1276"/>
      <c r="S885" s="1276"/>
      <c r="T885" s="1276"/>
      <c r="U885" s="1276"/>
      <c r="V885" s="1276"/>
      <c r="W885" s="1276"/>
      <c r="X885" s="1276"/>
      <c r="Y885" s="1276"/>
    </row>
    <row r="886" spans="1:25">
      <c r="A886" s="2522"/>
      <c r="B886" s="2522"/>
      <c r="C886" s="2522"/>
      <c r="D886" s="2522"/>
      <c r="E886" s="1275"/>
      <c r="R886" s="1276"/>
      <c r="S886" s="1276"/>
      <c r="T886" s="1276"/>
      <c r="U886" s="1276"/>
      <c r="V886" s="1276"/>
      <c r="W886" s="1276"/>
      <c r="X886" s="1276"/>
      <c r="Y886" s="1276"/>
    </row>
    <row r="887" spans="1:25">
      <c r="A887" s="2522"/>
      <c r="B887" s="2522"/>
      <c r="C887" s="2522"/>
      <c r="D887" s="2522"/>
      <c r="E887" s="1275"/>
      <c r="R887" s="1276"/>
      <c r="S887" s="1276"/>
      <c r="T887" s="1276"/>
      <c r="U887" s="1276"/>
      <c r="V887" s="1276"/>
      <c r="W887" s="1276"/>
      <c r="X887" s="1276"/>
      <c r="Y887" s="1276"/>
    </row>
    <row r="888" spans="1:25">
      <c r="A888" s="2522"/>
      <c r="B888" s="2522"/>
      <c r="C888" s="2522"/>
      <c r="D888" s="2522"/>
      <c r="E888" s="1275"/>
      <c r="R888" s="1276"/>
      <c r="S888" s="1276"/>
      <c r="T888" s="1276"/>
      <c r="U888" s="1276"/>
      <c r="V888" s="1276"/>
      <c r="W888" s="1276"/>
      <c r="X888" s="1276"/>
      <c r="Y888" s="1276"/>
    </row>
    <row r="889" spans="1:25">
      <c r="A889" s="2522"/>
      <c r="B889" s="2522"/>
      <c r="C889" s="2522"/>
      <c r="D889" s="2522"/>
      <c r="E889" s="1275"/>
      <c r="R889" s="1276"/>
      <c r="S889" s="1276"/>
      <c r="T889" s="1276"/>
      <c r="U889" s="1276"/>
      <c r="V889" s="1276"/>
      <c r="W889" s="1276"/>
      <c r="X889" s="1276"/>
      <c r="Y889" s="1276"/>
    </row>
    <row r="890" spans="1:25">
      <c r="A890" s="2522"/>
      <c r="B890" s="2522"/>
      <c r="C890" s="2522"/>
      <c r="D890" s="2522"/>
      <c r="E890" s="1275"/>
      <c r="R890" s="1276"/>
      <c r="S890" s="1276"/>
      <c r="T890" s="1276"/>
      <c r="U890" s="1276"/>
      <c r="V890" s="1276"/>
      <c r="W890" s="1276"/>
      <c r="X890" s="1276"/>
      <c r="Y890" s="1276"/>
    </row>
    <row r="891" spans="1:25">
      <c r="A891" s="2522"/>
      <c r="B891" s="2522"/>
      <c r="C891" s="2522"/>
      <c r="D891" s="2522"/>
      <c r="E891" s="1275"/>
      <c r="R891" s="1276"/>
      <c r="S891" s="1276"/>
      <c r="T891" s="1276"/>
      <c r="U891" s="1276"/>
      <c r="V891" s="1276"/>
      <c r="W891" s="1276"/>
      <c r="X891" s="1276"/>
      <c r="Y891" s="1276"/>
    </row>
    <row r="892" spans="1:25">
      <c r="A892" s="2522"/>
      <c r="B892" s="2522"/>
      <c r="C892" s="2522"/>
      <c r="D892" s="2522"/>
      <c r="E892" s="1275"/>
      <c r="R892" s="1276"/>
      <c r="S892" s="1276"/>
      <c r="T892" s="1276"/>
      <c r="U892" s="1276"/>
      <c r="V892" s="1276"/>
      <c r="W892" s="1276"/>
      <c r="X892" s="1276"/>
      <c r="Y892" s="1276"/>
    </row>
    <row r="893" spans="1:25">
      <c r="A893" s="2522"/>
      <c r="B893" s="2522"/>
      <c r="C893" s="2522"/>
      <c r="D893" s="2522"/>
      <c r="E893" s="1275"/>
      <c r="R893" s="1276"/>
      <c r="S893" s="1276"/>
      <c r="T893" s="1276"/>
      <c r="U893" s="1276"/>
      <c r="V893" s="1276"/>
      <c r="W893" s="1276"/>
      <c r="X893" s="1276"/>
      <c r="Y893" s="1276"/>
    </row>
    <row r="894" spans="1:25">
      <c r="A894" s="2522"/>
      <c r="B894" s="2522"/>
      <c r="C894" s="2522"/>
      <c r="D894" s="2522"/>
      <c r="E894" s="1275"/>
      <c r="R894" s="1276"/>
      <c r="S894" s="1276"/>
      <c r="T894" s="1276"/>
      <c r="U894" s="1276"/>
      <c r="V894" s="1276"/>
      <c r="W894" s="1276"/>
      <c r="X894" s="1276"/>
      <c r="Y894" s="1276"/>
    </row>
    <row r="895" spans="1:25">
      <c r="A895" s="2522"/>
      <c r="B895" s="2522"/>
      <c r="C895" s="2522"/>
      <c r="D895" s="2522"/>
      <c r="E895" s="1275"/>
      <c r="R895" s="1276"/>
      <c r="S895" s="1276"/>
      <c r="T895" s="1276"/>
      <c r="U895" s="1276"/>
      <c r="V895" s="1276"/>
      <c r="W895" s="1276"/>
      <c r="X895" s="1276"/>
      <c r="Y895" s="1276"/>
    </row>
    <row r="896" spans="1:25">
      <c r="A896" s="2522"/>
      <c r="B896" s="2522"/>
      <c r="C896" s="2522"/>
      <c r="D896" s="2522"/>
      <c r="E896" s="1275"/>
      <c r="R896" s="1276"/>
      <c r="S896" s="1276"/>
      <c r="T896" s="1276"/>
      <c r="U896" s="1276"/>
      <c r="V896" s="1276"/>
      <c r="W896" s="1276"/>
      <c r="X896" s="1276"/>
      <c r="Y896" s="1276"/>
    </row>
    <row r="897" spans="1:25">
      <c r="A897" s="2522"/>
      <c r="B897" s="2522"/>
      <c r="C897" s="2522"/>
      <c r="D897" s="2522"/>
      <c r="E897" s="1275"/>
      <c r="R897" s="1276"/>
      <c r="S897" s="1276"/>
      <c r="T897" s="1276"/>
      <c r="U897" s="1276"/>
      <c r="V897" s="1276"/>
      <c r="W897" s="1276"/>
      <c r="X897" s="1276"/>
      <c r="Y897" s="1276"/>
    </row>
    <row r="898" spans="1:25">
      <c r="A898" s="2522"/>
      <c r="B898" s="2522"/>
      <c r="C898" s="2522"/>
      <c r="D898" s="2522"/>
      <c r="E898" s="1275"/>
      <c r="R898" s="1276"/>
      <c r="S898" s="1276"/>
      <c r="T898" s="1276"/>
      <c r="U898" s="1276"/>
      <c r="V898" s="1276"/>
      <c r="W898" s="1276"/>
      <c r="X898" s="1276"/>
      <c r="Y898" s="1276"/>
    </row>
    <row r="899" spans="1:25">
      <c r="A899" s="2522"/>
      <c r="B899" s="2522"/>
      <c r="C899" s="2522"/>
      <c r="D899" s="2522"/>
      <c r="E899" s="1275"/>
      <c r="R899" s="1276"/>
      <c r="S899" s="1276"/>
      <c r="T899" s="1276"/>
      <c r="U899" s="1276"/>
      <c r="V899" s="1276"/>
      <c r="W899" s="1276"/>
      <c r="X899" s="1276"/>
      <c r="Y899" s="1276"/>
    </row>
    <row r="900" spans="1:25">
      <c r="A900" s="2522"/>
      <c r="B900" s="2522"/>
      <c r="C900" s="2522"/>
      <c r="D900" s="2522"/>
      <c r="E900" s="1275"/>
      <c r="R900" s="1276"/>
      <c r="S900" s="1276"/>
      <c r="T900" s="1276"/>
      <c r="U900" s="1276"/>
      <c r="V900" s="1276"/>
      <c r="W900" s="1276"/>
      <c r="X900" s="1276"/>
      <c r="Y900" s="1276"/>
    </row>
    <row r="901" spans="1:25">
      <c r="A901" s="2522"/>
      <c r="B901" s="2522"/>
      <c r="C901" s="2522"/>
      <c r="D901" s="2522"/>
      <c r="E901" s="1275"/>
      <c r="R901" s="1276"/>
      <c r="S901" s="1276"/>
      <c r="T901" s="1276"/>
      <c r="U901" s="1276"/>
      <c r="V901" s="1276"/>
      <c r="W901" s="1276"/>
      <c r="X901" s="1276"/>
      <c r="Y901" s="1276"/>
    </row>
    <row r="902" spans="1:25">
      <c r="A902" s="2522"/>
      <c r="B902" s="2522"/>
      <c r="C902" s="2522"/>
      <c r="D902" s="2522"/>
      <c r="E902" s="1275"/>
      <c r="R902" s="1276"/>
      <c r="S902" s="1276"/>
      <c r="T902" s="1276"/>
      <c r="U902" s="1276"/>
      <c r="V902" s="1276"/>
      <c r="W902" s="1276"/>
      <c r="X902" s="1276"/>
      <c r="Y902" s="1276"/>
    </row>
    <row r="903" spans="1:25">
      <c r="A903" s="2522"/>
      <c r="B903" s="2522"/>
      <c r="C903" s="2522"/>
      <c r="D903" s="2522"/>
      <c r="E903" s="1275"/>
      <c r="R903" s="1276"/>
      <c r="S903" s="1276"/>
      <c r="T903" s="1276"/>
      <c r="U903" s="1276"/>
      <c r="V903" s="1276"/>
      <c r="W903" s="1276"/>
      <c r="X903" s="1276"/>
      <c r="Y903" s="1276"/>
    </row>
    <row r="904" spans="1:25">
      <c r="A904" s="2522"/>
      <c r="B904" s="2522"/>
      <c r="C904" s="2522"/>
      <c r="D904" s="2522"/>
      <c r="E904" s="1275"/>
      <c r="R904" s="1276"/>
      <c r="S904" s="1276"/>
      <c r="T904" s="1276"/>
      <c r="U904" s="1276"/>
      <c r="V904" s="1276"/>
      <c r="W904" s="1276"/>
      <c r="X904" s="1276"/>
      <c r="Y904" s="1276"/>
    </row>
    <row r="905" spans="1:25">
      <c r="A905" s="2522"/>
      <c r="B905" s="2522"/>
      <c r="C905" s="2522"/>
      <c r="D905" s="2522"/>
      <c r="E905" s="1275"/>
      <c r="R905" s="1276"/>
      <c r="S905" s="1276"/>
      <c r="T905" s="1276"/>
      <c r="U905" s="1276"/>
      <c r="V905" s="1276"/>
      <c r="W905" s="1276"/>
      <c r="X905" s="1276"/>
      <c r="Y905" s="1276"/>
    </row>
    <row r="906" spans="1:25">
      <c r="A906" s="2522"/>
      <c r="B906" s="2522"/>
      <c r="C906" s="2522"/>
      <c r="D906" s="2522"/>
      <c r="E906" s="1275"/>
      <c r="R906" s="1276"/>
      <c r="S906" s="1276"/>
      <c r="T906" s="1276"/>
      <c r="U906" s="1276"/>
      <c r="V906" s="1276"/>
      <c r="W906" s="1276"/>
      <c r="X906" s="1276"/>
      <c r="Y906" s="1276"/>
    </row>
    <row r="907" spans="1:25">
      <c r="A907" s="2522"/>
      <c r="B907" s="2522"/>
      <c r="C907" s="2522"/>
      <c r="D907" s="2522"/>
      <c r="E907" s="1275"/>
      <c r="R907" s="1276"/>
      <c r="S907" s="1276"/>
      <c r="T907" s="1276"/>
      <c r="U907" s="1276"/>
      <c r="V907" s="1276"/>
      <c r="W907" s="1276"/>
      <c r="X907" s="1276"/>
      <c r="Y907" s="1276"/>
    </row>
    <row r="908" spans="1:25">
      <c r="A908" s="2522"/>
      <c r="B908" s="2522"/>
      <c r="C908" s="2522"/>
      <c r="D908" s="2522"/>
      <c r="E908" s="1275"/>
      <c r="R908" s="1276"/>
      <c r="S908" s="1276"/>
      <c r="T908" s="1276"/>
      <c r="U908" s="1276"/>
      <c r="V908" s="1276"/>
      <c r="W908" s="1276"/>
      <c r="X908" s="1276"/>
      <c r="Y908" s="1276"/>
    </row>
    <row r="909" spans="1:25">
      <c r="A909" s="2522"/>
      <c r="B909" s="2522"/>
      <c r="C909" s="2522"/>
      <c r="D909" s="2522"/>
      <c r="E909" s="1275"/>
      <c r="R909" s="1276"/>
      <c r="S909" s="1276"/>
      <c r="T909" s="1276"/>
      <c r="U909" s="1276"/>
      <c r="V909" s="1276"/>
      <c r="W909" s="1276"/>
      <c r="X909" s="1276"/>
      <c r="Y909" s="1276"/>
    </row>
    <row r="910" spans="1:25">
      <c r="A910" s="2522"/>
      <c r="B910" s="2522"/>
      <c r="C910" s="2522"/>
      <c r="D910" s="2522"/>
      <c r="E910" s="1275"/>
      <c r="R910" s="1276"/>
      <c r="S910" s="1276"/>
      <c r="T910" s="1276"/>
      <c r="U910" s="1276"/>
      <c r="V910" s="1276"/>
      <c r="W910" s="1276"/>
      <c r="X910" s="1276"/>
      <c r="Y910" s="1276"/>
    </row>
    <row r="911" spans="1:25">
      <c r="A911" s="2522"/>
      <c r="B911" s="2522"/>
      <c r="C911" s="2522"/>
      <c r="D911" s="2522"/>
      <c r="E911" s="1275"/>
      <c r="R911" s="1276"/>
      <c r="S911" s="1276"/>
      <c r="T911" s="1276"/>
      <c r="U911" s="1276"/>
      <c r="V911" s="1276"/>
      <c r="W911" s="1276"/>
      <c r="X911" s="1276"/>
      <c r="Y911" s="1276"/>
    </row>
    <row r="912" spans="1:25">
      <c r="A912" s="2522"/>
      <c r="B912" s="2522"/>
      <c r="C912" s="2522"/>
      <c r="D912" s="2522"/>
      <c r="E912" s="1275"/>
      <c r="R912" s="1276"/>
      <c r="S912" s="1276"/>
      <c r="T912" s="1276"/>
      <c r="U912" s="1276"/>
      <c r="V912" s="1276"/>
      <c r="W912" s="1276"/>
      <c r="X912" s="1276"/>
      <c r="Y912" s="1276"/>
    </row>
    <row r="913" spans="1:25">
      <c r="A913" s="2522"/>
      <c r="B913" s="2522"/>
      <c r="C913" s="2522"/>
      <c r="D913" s="2522"/>
      <c r="E913" s="1275"/>
      <c r="R913" s="1276"/>
      <c r="S913" s="1276"/>
      <c r="T913" s="1276"/>
      <c r="U913" s="1276"/>
      <c r="V913" s="1276"/>
      <c r="W913" s="1276"/>
      <c r="X913" s="1276"/>
      <c r="Y913" s="1276"/>
    </row>
    <row r="914" spans="1:25">
      <c r="A914" s="2522"/>
      <c r="B914" s="2522"/>
      <c r="C914" s="2522"/>
      <c r="D914" s="2522"/>
      <c r="E914" s="1275"/>
      <c r="R914" s="1276"/>
      <c r="S914" s="1276"/>
      <c r="T914" s="1276"/>
      <c r="U914" s="1276"/>
      <c r="V914" s="1276"/>
      <c r="W914" s="1276"/>
      <c r="X914" s="1276"/>
      <c r="Y914" s="1276"/>
    </row>
    <row r="915" spans="1:25">
      <c r="A915" s="2522"/>
      <c r="B915" s="2522"/>
      <c r="C915" s="2522"/>
      <c r="D915" s="2522"/>
      <c r="E915" s="1275"/>
      <c r="R915" s="1276"/>
      <c r="S915" s="1276"/>
      <c r="T915" s="1276"/>
      <c r="U915" s="1276"/>
      <c r="V915" s="1276"/>
      <c r="W915" s="1276"/>
      <c r="X915" s="1276"/>
      <c r="Y915" s="1276"/>
    </row>
    <row r="916" spans="1:25">
      <c r="A916" s="2522"/>
      <c r="B916" s="2522"/>
      <c r="C916" s="2522"/>
      <c r="D916" s="2522"/>
      <c r="E916" s="1275"/>
      <c r="R916" s="1276"/>
      <c r="S916" s="1276"/>
      <c r="T916" s="1276"/>
      <c r="U916" s="1276"/>
      <c r="V916" s="1276"/>
      <c r="W916" s="1276"/>
      <c r="X916" s="1276"/>
      <c r="Y916" s="1276"/>
    </row>
    <row r="917" spans="1:25">
      <c r="A917" s="2522"/>
      <c r="B917" s="2522"/>
      <c r="C917" s="2522"/>
      <c r="D917" s="2522"/>
      <c r="E917" s="1275"/>
      <c r="R917" s="1276"/>
      <c r="S917" s="1276"/>
      <c r="T917" s="1276"/>
      <c r="U917" s="1276"/>
      <c r="V917" s="1276"/>
      <c r="W917" s="1276"/>
      <c r="X917" s="1276"/>
      <c r="Y917" s="1276"/>
    </row>
    <row r="918" spans="1:25">
      <c r="A918" s="2522"/>
      <c r="B918" s="2522"/>
      <c r="C918" s="2522"/>
      <c r="D918" s="2522"/>
      <c r="E918" s="1275"/>
      <c r="R918" s="1276"/>
      <c r="S918" s="1276"/>
      <c r="T918" s="1276"/>
      <c r="U918" s="1276"/>
      <c r="V918" s="1276"/>
      <c r="W918" s="1276"/>
      <c r="X918" s="1276"/>
      <c r="Y918" s="1276"/>
    </row>
    <row r="919" spans="1:25">
      <c r="A919" s="2522"/>
      <c r="B919" s="2522"/>
      <c r="C919" s="2522"/>
      <c r="D919" s="2522"/>
      <c r="E919" s="1275"/>
      <c r="R919" s="1276"/>
      <c r="S919" s="1276"/>
      <c r="T919" s="1276"/>
      <c r="U919" s="1276"/>
      <c r="V919" s="1276"/>
      <c r="W919" s="1276"/>
      <c r="X919" s="1276"/>
      <c r="Y919" s="1276"/>
    </row>
    <row r="920" spans="1:25">
      <c r="A920" s="2522"/>
      <c r="B920" s="2522"/>
      <c r="C920" s="2522"/>
      <c r="D920" s="2522"/>
      <c r="E920" s="1275"/>
      <c r="R920" s="1276"/>
      <c r="S920" s="1276"/>
      <c r="T920" s="1276"/>
      <c r="U920" s="1276"/>
      <c r="V920" s="1276"/>
      <c r="W920" s="1276"/>
      <c r="X920" s="1276"/>
      <c r="Y920" s="1276"/>
    </row>
    <row r="921" spans="1:25">
      <c r="A921" s="2522"/>
      <c r="B921" s="2522"/>
      <c r="C921" s="2522"/>
      <c r="D921" s="2522"/>
      <c r="E921" s="1275"/>
      <c r="R921" s="1276"/>
      <c r="S921" s="1276"/>
      <c r="T921" s="1276"/>
      <c r="U921" s="1276"/>
      <c r="V921" s="1276"/>
      <c r="W921" s="1276"/>
      <c r="X921" s="1276"/>
      <c r="Y921" s="1276"/>
    </row>
    <row r="922" spans="1:25">
      <c r="A922" s="2522"/>
      <c r="B922" s="2522"/>
      <c r="C922" s="2522"/>
      <c r="D922" s="2522"/>
      <c r="E922" s="1275"/>
      <c r="R922" s="1276"/>
      <c r="S922" s="1276"/>
      <c r="T922" s="1276"/>
      <c r="U922" s="1276"/>
      <c r="V922" s="1276"/>
      <c r="W922" s="1276"/>
      <c r="X922" s="1276"/>
      <c r="Y922" s="1276"/>
    </row>
    <row r="923" spans="1:25">
      <c r="A923" s="2522"/>
      <c r="B923" s="2522"/>
      <c r="C923" s="2522"/>
      <c r="D923" s="2522"/>
      <c r="E923" s="1275"/>
      <c r="R923" s="1276"/>
      <c r="S923" s="1276"/>
      <c r="T923" s="1276"/>
      <c r="U923" s="1276"/>
      <c r="V923" s="1276"/>
      <c r="W923" s="1276"/>
      <c r="X923" s="1276"/>
      <c r="Y923" s="1276"/>
    </row>
    <row r="924" spans="1:25">
      <c r="A924" s="2522"/>
      <c r="B924" s="2522"/>
      <c r="C924" s="2522"/>
      <c r="D924" s="2522"/>
      <c r="E924" s="1275"/>
      <c r="R924" s="1276"/>
      <c r="S924" s="1276"/>
      <c r="T924" s="1276"/>
      <c r="U924" s="1276"/>
      <c r="V924" s="1276"/>
      <c r="W924" s="1276"/>
      <c r="X924" s="1276"/>
      <c r="Y924" s="1276"/>
    </row>
    <row r="925" spans="1:25">
      <c r="A925" s="2522"/>
      <c r="B925" s="2522"/>
      <c r="C925" s="2522"/>
      <c r="D925" s="2522"/>
      <c r="E925" s="1275"/>
      <c r="R925" s="1276"/>
      <c r="S925" s="1276"/>
      <c r="T925" s="1276"/>
      <c r="U925" s="1276"/>
      <c r="V925" s="1276"/>
      <c r="W925" s="1276"/>
      <c r="X925" s="1276"/>
      <c r="Y925" s="1276"/>
    </row>
    <row r="926" spans="1:25">
      <c r="A926" s="2522"/>
      <c r="B926" s="2522"/>
      <c r="C926" s="2522"/>
      <c r="D926" s="2522"/>
      <c r="E926" s="1275"/>
      <c r="R926" s="1276"/>
      <c r="S926" s="1276"/>
      <c r="T926" s="1276"/>
      <c r="U926" s="1276"/>
      <c r="V926" s="1276"/>
      <c r="W926" s="1276"/>
      <c r="X926" s="1276"/>
      <c r="Y926" s="1276"/>
    </row>
    <row r="927" spans="1:25">
      <c r="A927" s="2522"/>
      <c r="B927" s="2522"/>
      <c r="C927" s="2522"/>
      <c r="D927" s="2522"/>
      <c r="E927" s="1275"/>
      <c r="R927" s="1276"/>
      <c r="S927" s="1276"/>
      <c r="T927" s="1276"/>
      <c r="U927" s="1276"/>
      <c r="V927" s="1276"/>
      <c r="W927" s="1276"/>
      <c r="X927" s="1276"/>
      <c r="Y927" s="1276"/>
    </row>
    <row r="928" spans="1:25">
      <c r="A928" s="2522"/>
      <c r="B928" s="2522"/>
      <c r="C928" s="2522"/>
      <c r="D928" s="2522"/>
      <c r="E928" s="1275"/>
      <c r="R928" s="1276"/>
      <c r="S928" s="1276"/>
      <c r="T928" s="1276"/>
      <c r="U928" s="1276"/>
      <c r="V928" s="1276"/>
      <c r="W928" s="1276"/>
      <c r="X928" s="1276"/>
      <c r="Y928" s="1276"/>
    </row>
    <row r="929" spans="1:25">
      <c r="A929" s="2522"/>
      <c r="B929" s="2522"/>
      <c r="C929" s="2522"/>
      <c r="D929" s="2522"/>
      <c r="E929" s="1275"/>
      <c r="R929" s="1276"/>
      <c r="S929" s="1276"/>
      <c r="T929" s="1276"/>
      <c r="U929" s="1276"/>
      <c r="V929" s="1276"/>
      <c r="W929" s="1276"/>
      <c r="X929" s="1276"/>
      <c r="Y929" s="1276"/>
    </row>
    <row r="930" spans="1:25">
      <c r="A930" s="2522"/>
      <c r="B930" s="2522"/>
      <c r="C930" s="2522"/>
      <c r="D930" s="2522"/>
      <c r="E930" s="1275"/>
      <c r="R930" s="1276"/>
      <c r="S930" s="1276"/>
      <c r="T930" s="1276"/>
      <c r="U930" s="1276"/>
      <c r="V930" s="1276"/>
      <c r="W930" s="1276"/>
      <c r="X930" s="1276"/>
      <c r="Y930" s="1276"/>
    </row>
    <row r="931" spans="1:25">
      <c r="A931" s="2522"/>
      <c r="B931" s="2522"/>
      <c r="C931" s="2522"/>
      <c r="D931" s="2522"/>
      <c r="E931" s="1275"/>
      <c r="R931" s="1276"/>
      <c r="S931" s="1276"/>
      <c r="T931" s="1276"/>
      <c r="U931" s="1276"/>
      <c r="V931" s="1276"/>
      <c r="W931" s="1276"/>
      <c r="X931" s="1276"/>
      <c r="Y931" s="1276"/>
    </row>
    <row r="932" spans="1:25">
      <c r="A932" s="2522"/>
      <c r="B932" s="2522"/>
      <c r="C932" s="2522"/>
      <c r="D932" s="2522"/>
      <c r="E932" s="1275"/>
      <c r="R932" s="1276"/>
      <c r="S932" s="1276"/>
      <c r="T932" s="1276"/>
      <c r="U932" s="1276"/>
      <c r="V932" s="1276"/>
      <c r="W932" s="1276"/>
      <c r="X932" s="1276"/>
      <c r="Y932" s="1276"/>
    </row>
    <row r="933" spans="1:25">
      <c r="A933" s="2522"/>
      <c r="B933" s="2522"/>
      <c r="C933" s="2522"/>
      <c r="D933" s="2522"/>
      <c r="E933" s="1275"/>
      <c r="R933" s="1276"/>
      <c r="S933" s="1276"/>
      <c r="T933" s="1276"/>
      <c r="U933" s="1276"/>
      <c r="V933" s="1276"/>
      <c r="W933" s="1276"/>
      <c r="X933" s="1276"/>
      <c r="Y933" s="1276"/>
    </row>
    <row r="934" spans="1:25">
      <c r="A934" s="2522"/>
      <c r="B934" s="2522"/>
      <c r="C934" s="2522"/>
      <c r="D934" s="2522"/>
      <c r="E934" s="1275"/>
      <c r="R934" s="1276"/>
      <c r="S934" s="1276"/>
      <c r="T934" s="1276"/>
      <c r="U934" s="1276"/>
      <c r="V934" s="1276"/>
      <c r="W934" s="1276"/>
      <c r="X934" s="1276"/>
      <c r="Y934" s="1276"/>
    </row>
    <row r="935" spans="1:25">
      <c r="A935" s="2522"/>
      <c r="B935" s="2522"/>
      <c r="C935" s="2522"/>
      <c r="D935" s="2522"/>
      <c r="E935" s="1275"/>
      <c r="R935" s="1276"/>
      <c r="S935" s="1276"/>
      <c r="T935" s="1276"/>
      <c r="U935" s="1276"/>
      <c r="V935" s="1276"/>
      <c r="W935" s="1276"/>
      <c r="X935" s="1276"/>
      <c r="Y935" s="1276"/>
    </row>
    <row r="936" spans="1:25">
      <c r="A936" s="2522"/>
      <c r="B936" s="2522"/>
      <c r="C936" s="2522"/>
      <c r="D936" s="2522"/>
      <c r="E936" s="1275"/>
      <c r="R936" s="1276"/>
      <c r="S936" s="1276"/>
      <c r="T936" s="1276"/>
      <c r="U936" s="1276"/>
      <c r="V936" s="1276"/>
      <c r="W936" s="1276"/>
      <c r="X936" s="1276"/>
      <c r="Y936" s="1276"/>
    </row>
    <row r="937" spans="1:25">
      <c r="A937" s="2522"/>
      <c r="B937" s="2522"/>
      <c r="C937" s="2522"/>
      <c r="D937" s="2522"/>
      <c r="E937" s="1275"/>
      <c r="R937" s="1276"/>
      <c r="S937" s="1276"/>
      <c r="T937" s="1276"/>
      <c r="U937" s="1276"/>
      <c r="V937" s="1276"/>
      <c r="W937" s="1276"/>
      <c r="X937" s="1276"/>
      <c r="Y937" s="1276"/>
    </row>
    <row r="938" spans="1:25">
      <c r="A938" s="2522"/>
      <c r="B938" s="2522"/>
      <c r="C938" s="2522"/>
      <c r="D938" s="2522"/>
      <c r="E938" s="1275"/>
      <c r="R938" s="1276"/>
      <c r="S938" s="1276"/>
      <c r="T938" s="1276"/>
      <c r="U938" s="1276"/>
      <c r="V938" s="1276"/>
      <c r="W938" s="1276"/>
      <c r="X938" s="1276"/>
      <c r="Y938" s="1276"/>
    </row>
    <row r="939" spans="1:25">
      <c r="A939" s="2522"/>
      <c r="B939" s="2522"/>
      <c r="C939" s="2522"/>
      <c r="D939" s="2522"/>
      <c r="E939" s="1275"/>
      <c r="R939" s="1276"/>
      <c r="S939" s="1276"/>
      <c r="T939" s="1276"/>
      <c r="U939" s="1276"/>
      <c r="V939" s="1276"/>
      <c r="W939" s="1276"/>
      <c r="X939" s="1276"/>
      <c r="Y939" s="1276"/>
    </row>
    <row r="940" spans="1:25">
      <c r="A940" s="2522"/>
      <c r="B940" s="2522"/>
      <c r="C940" s="2522"/>
      <c r="D940" s="2522"/>
      <c r="E940" s="1275"/>
      <c r="R940" s="1276"/>
      <c r="S940" s="1276"/>
      <c r="T940" s="1276"/>
      <c r="U940" s="1276"/>
      <c r="V940" s="1276"/>
      <c r="W940" s="1276"/>
      <c r="X940" s="1276"/>
      <c r="Y940" s="1276"/>
    </row>
    <row r="941" spans="1:25">
      <c r="A941" s="2522"/>
      <c r="B941" s="2522"/>
      <c r="C941" s="2522"/>
      <c r="D941" s="2522"/>
      <c r="E941" s="1275"/>
      <c r="R941" s="1276"/>
      <c r="S941" s="1276"/>
      <c r="T941" s="1276"/>
      <c r="U941" s="1276"/>
      <c r="V941" s="1276"/>
      <c r="W941" s="1276"/>
      <c r="X941" s="1276"/>
      <c r="Y941" s="1276"/>
    </row>
    <row r="942" spans="1:25">
      <c r="A942" s="2522"/>
      <c r="B942" s="2522"/>
      <c r="C942" s="2522"/>
      <c r="D942" s="2522"/>
      <c r="E942" s="1275"/>
      <c r="R942" s="1276"/>
      <c r="S942" s="1276"/>
      <c r="T942" s="1276"/>
      <c r="U942" s="1276"/>
      <c r="V942" s="1276"/>
      <c r="W942" s="1276"/>
      <c r="X942" s="1276"/>
      <c r="Y942" s="1276"/>
    </row>
    <row r="943" spans="1:25">
      <c r="A943" s="2522"/>
      <c r="B943" s="2522"/>
      <c r="C943" s="2522"/>
      <c r="D943" s="2522"/>
      <c r="E943" s="1275"/>
      <c r="R943" s="1276"/>
      <c r="S943" s="1276"/>
      <c r="T943" s="1276"/>
      <c r="U943" s="1276"/>
      <c r="V943" s="1276"/>
      <c r="W943" s="1276"/>
      <c r="X943" s="1276"/>
      <c r="Y943" s="1276"/>
    </row>
    <row r="944" spans="1:25">
      <c r="A944" s="2522"/>
      <c r="B944" s="2522"/>
      <c r="C944" s="2522"/>
      <c r="D944" s="2522"/>
      <c r="E944" s="1275"/>
      <c r="R944" s="1276"/>
      <c r="S944" s="1276"/>
      <c r="T944" s="1276"/>
      <c r="U944" s="1276"/>
      <c r="V944" s="1276"/>
      <c r="W944" s="1276"/>
      <c r="X944" s="1276"/>
      <c r="Y944" s="1276"/>
    </row>
    <row r="945" spans="1:25">
      <c r="A945" s="2522"/>
      <c r="B945" s="2522"/>
      <c r="C945" s="2522"/>
      <c r="D945" s="2522"/>
      <c r="E945" s="1275"/>
      <c r="R945" s="1276"/>
      <c r="S945" s="1276"/>
      <c r="T945" s="1276"/>
      <c r="U945" s="1276"/>
      <c r="V945" s="1276"/>
      <c r="W945" s="1276"/>
      <c r="X945" s="1276"/>
      <c r="Y945" s="1276"/>
    </row>
    <row r="946" spans="1:25">
      <c r="A946" s="2522"/>
      <c r="B946" s="2522"/>
      <c r="C946" s="2522"/>
      <c r="D946" s="2522"/>
      <c r="E946" s="1275"/>
      <c r="R946" s="1276"/>
      <c r="S946" s="1276"/>
      <c r="T946" s="1276"/>
      <c r="U946" s="1276"/>
      <c r="V946" s="1276"/>
      <c r="W946" s="1276"/>
      <c r="X946" s="1276"/>
      <c r="Y946" s="1276"/>
    </row>
    <row r="947" spans="1:25">
      <c r="A947" s="2522"/>
      <c r="B947" s="2522"/>
      <c r="C947" s="2522"/>
      <c r="D947" s="2522"/>
      <c r="E947" s="1275"/>
      <c r="R947" s="1276"/>
      <c r="S947" s="1276"/>
      <c r="T947" s="1276"/>
      <c r="U947" s="1276"/>
      <c r="V947" s="1276"/>
      <c r="W947" s="1276"/>
      <c r="X947" s="1276"/>
      <c r="Y947" s="1276"/>
    </row>
    <row r="948" spans="1:25">
      <c r="A948" s="2522"/>
      <c r="B948" s="2522"/>
      <c r="C948" s="2522"/>
      <c r="D948" s="2522"/>
      <c r="E948" s="1275"/>
      <c r="R948" s="1276"/>
      <c r="S948" s="1276"/>
      <c r="T948" s="1276"/>
      <c r="U948" s="1276"/>
      <c r="V948" s="1276"/>
      <c r="W948" s="1276"/>
      <c r="X948" s="1276"/>
      <c r="Y948" s="1276"/>
    </row>
    <row r="949" spans="1:25">
      <c r="A949" s="2522"/>
      <c r="B949" s="2522"/>
      <c r="C949" s="2522"/>
      <c r="D949" s="2522"/>
      <c r="E949" s="1275"/>
      <c r="R949" s="1276"/>
      <c r="S949" s="1276"/>
      <c r="T949" s="1276"/>
      <c r="U949" s="1276"/>
      <c r="V949" s="1276"/>
      <c r="W949" s="1276"/>
      <c r="X949" s="1276"/>
      <c r="Y949" s="1276"/>
    </row>
    <row r="950" spans="1:25">
      <c r="A950" s="2522"/>
      <c r="B950" s="2522"/>
      <c r="C950" s="2522"/>
      <c r="D950" s="2522"/>
      <c r="E950" s="1275"/>
      <c r="R950" s="1276"/>
      <c r="S950" s="1276"/>
      <c r="T950" s="1276"/>
      <c r="U950" s="1276"/>
      <c r="V950" s="1276"/>
      <c r="W950" s="1276"/>
      <c r="X950" s="1276"/>
      <c r="Y950" s="1276"/>
    </row>
    <row r="951" spans="1:25">
      <c r="A951" s="2522"/>
      <c r="B951" s="2522"/>
      <c r="C951" s="2522"/>
      <c r="D951" s="2522"/>
      <c r="E951" s="1275"/>
      <c r="R951" s="1276"/>
      <c r="S951" s="1276"/>
      <c r="T951" s="1276"/>
      <c r="U951" s="1276"/>
      <c r="V951" s="1276"/>
      <c r="W951" s="1276"/>
      <c r="X951" s="1276"/>
      <c r="Y951" s="1276"/>
    </row>
    <row r="952" spans="1:25">
      <c r="A952" s="2522"/>
      <c r="B952" s="2522"/>
      <c r="C952" s="2522"/>
      <c r="D952" s="2522"/>
      <c r="E952" s="1275"/>
      <c r="R952" s="1276"/>
      <c r="S952" s="1276"/>
      <c r="T952" s="1276"/>
      <c r="U952" s="1276"/>
      <c r="V952" s="1276"/>
      <c r="W952" s="1276"/>
      <c r="X952" s="1276"/>
      <c r="Y952" s="1276"/>
    </row>
    <row r="953" spans="1:25">
      <c r="A953" s="2522"/>
      <c r="B953" s="2522"/>
      <c r="C953" s="2522"/>
      <c r="D953" s="2522"/>
      <c r="E953" s="1275"/>
      <c r="R953" s="1276"/>
      <c r="S953" s="1276"/>
      <c r="T953" s="1276"/>
      <c r="U953" s="1276"/>
      <c r="V953" s="1276"/>
      <c r="W953" s="1276"/>
      <c r="X953" s="1276"/>
      <c r="Y953" s="1276"/>
    </row>
    <row r="954" spans="1:25">
      <c r="A954" s="2522"/>
      <c r="B954" s="2522"/>
      <c r="C954" s="2522"/>
      <c r="D954" s="2522"/>
      <c r="E954" s="1275"/>
      <c r="R954" s="1276"/>
      <c r="S954" s="1276"/>
      <c r="T954" s="1276"/>
      <c r="U954" s="1276"/>
      <c r="V954" s="1276"/>
      <c r="W954" s="1276"/>
      <c r="X954" s="1276"/>
      <c r="Y954" s="1276"/>
    </row>
    <row r="955" spans="1:25">
      <c r="A955" s="2522"/>
      <c r="B955" s="2522"/>
      <c r="C955" s="2522"/>
      <c r="D955" s="2522"/>
      <c r="E955" s="1275"/>
      <c r="R955" s="1276"/>
      <c r="S955" s="1276"/>
      <c r="T955" s="1276"/>
      <c r="U955" s="1276"/>
      <c r="V955" s="1276"/>
      <c r="W955" s="1276"/>
      <c r="X955" s="1276"/>
      <c r="Y955" s="1276"/>
    </row>
    <row r="956" spans="1:25">
      <c r="A956" s="2522"/>
      <c r="B956" s="2522"/>
      <c r="C956" s="2522"/>
      <c r="D956" s="2522"/>
      <c r="E956" s="1275"/>
      <c r="R956" s="1276"/>
      <c r="S956" s="1276"/>
      <c r="T956" s="1276"/>
      <c r="U956" s="1276"/>
      <c r="V956" s="1276"/>
      <c r="W956" s="1276"/>
      <c r="X956" s="1276"/>
      <c r="Y956" s="1276"/>
    </row>
    <row r="957" spans="1:25">
      <c r="A957" s="2522"/>
      <c r="B957" s="2522"/>
      <c r="C957" s="2522"/>
      <c r="D957" s="2522"/>
      <c r="E957" s="1275"/>
      <c r="R957" s="1276"/>
      <c r="S957" s="1276"/>
      <c r="T957" s="1276"/>
      <c r="U957" s="1276"/>
      <c r="V957" s="1276"/>
      <c r="W957" s="1276"/>
      <c r="X957" s="1276"/>
      <c r="Y957" s="1276"/>
    </row>
    <row r="958" spans="1:25">
      <c r="A958" s="2522"/>
      <c r="B958" s="2522"/>
      <c r="C958" s="2522"/>
      <c r="D958" s="2522"/>
      <c r="E958" s="1275"/>
      <c r="R958" s="1276"/>
      <c r="S958" s="1276"/>
      <c r="T958" s="1276"/>
      <c r="U958" s="1276"/>
      <c r="V958" s="1276"/>
      <c r="W958" s="1276"/>
      <c r="X958" s="1276"/>
      <c r="Y958" s="1276"/>
    </row>
    <row r="959" spans="1:25">
      <c r="A959" s="2522"/>
      <c r="B959" s="2522"/>
      <c r="C959" s="2522"/>
      <c r="D959" s="2522"/>
      <c r="E959" s="1275"/>
      <c r="R959" s="1276"/>
      <c r="S959" s="1276"/>
      <c r="T959" s="1276"/>
      <c r="U959" s="1276"/>
      <c r="V959" s="1276"/>
      <c r="W959" s="1276"/>
      <c r="X959" s="1276"/>
      <c r="Y959" s="1276"/>
    </row>
    <row r="960" spans="1:25">
      <c r="A960" s="2522"/>
      <c r="B960" s="2522"/>
      <c r="C960" s="2522"/>
      <c r="D960" s="2522"/>
      <c r="E960" s="1275"/>
      <c r="R960" s="1276"/>
      <c r="S960" s="1276"/>
      <c r="T960" s="1276"/>
      <c r="U960" s="1276"/>
      <c r="V960" s="1276"/>
      <c r="W960" s="1276"/>
      <c r="X960" s="1276"/>
      <c r="Y960" s="1276"/>
    </row>
    <row r="961" spans="1:25">
      <c r="A961" s="2522"/>
      <c r="B961" s="2522"/>
      <c r="C961" s="2522"/>
      <c r="D961" s="2522"/>
      <c r="E961" s="1275"/>
      <c r="R961" s="1276"/>
      <c r="S961" s="1276"/>
      <c r="T961" s="1276"/>
      <c r="U961" s="1276"/>
      <c r="V961" s="1276"/>
      <c r="W961" s="1276"/>
      <c r="X961" s="1276"/>
      <c r="Y961" s="1276"/>
    </row>
    <row r="962" spans="1:25">
      <c r="A962" s="2522"/>
      <c r="B962" s="2522"/>
      <c r="C962" s="2522"/>
      <c r="D962" s="2522"/>
      <c r="E962" s="1275"/>
      <c r="R962" s="1276"/>
      <c r="S962" s="1276"/>
      <c r="T962" s="1276"/>
      <c r="U962" s="1276"/>
      <c r="V962" s="1276"/>
      <c r="W962" s="1276"/>
      <c r="X962" s="1276"/>
      <c r="Y962" s="1276"/>
    </row>
    <row r="963" spans="1:25">
      <c r="A963" s="2522"/>
      <c r="B963" s="2522"/>
      <c r="C963" s="2522"/>
      <c r="D963" s="2522"/>
      <c r="E963" s="1275"/>
      <c r="R963" s="1276"/>
      <c r="S963" s="1276"/>
      <c r="T963" s="1276"/>
      <c r="U963" s="1276"/>
      <c r="V963" s="1276"/>
      <c r="W963" s="1276"/>
      <c r="X963" s="1276"/>
      <c r="Y963" s="1276"/>
    </row>
    <row r="964" spans="1:25">
      <c r="A964" s="2522"/>
      <c r="B964" s="2522"/>
      <c r="C964" s="2522"/>
      <c r="D964" s="2522"/>
      <c r="E964" s="1275"/>
      <c r="R964" s="1276"/>
      <c r="S964" s="1276"/>
      <c r="T964" s="1276"/>
      <c r="U964" s="1276"/>
      <c r="V964" s="1276"/>
      <c r="W964" s="1276"/>
      <c r="X964" s="1276"/>
      <c r="Y964" s="1276"/>
    </row>
    <row r="965" spans="1:25">
      <c r="A965" s="2522"/>
      <c r="B965" s="2522"/>
      <c r="C965" s="2522"/>
      <c r="D965" s="2522"/>
      <c r="E965" s="1275"/>
      <c r="R965" s="1276"/>
      <c r="S965" s="1276"/>
      <c r="T965" s="1276"/>
      <c r="U965" s="1276"/>
      <c r="V965" s="1276"/>
      <c r="W965" s="1276"/>
      <c r="X965" s="1276"/>
      <c r="Y965" s="1276"/>
    </row>
    <row r="966" spans="1:25">
      <c r="A966" s="2522"/>
      <c r="B966" s="2522"/>
      <c r="C966" s="2522"/>
      <c r="D966" s="2522"/>
      <c r="E966" s="1275"/>
      <c r="R966" s="1276"/>
      <c r="S966" s="1276"/>
      <c r="T966" s="1276"/>
      <c r="U966" s="1276"/>
      <c r="V966" s="1276"/>
      <c r="W966" s="1276"/>
      <c r="X966" s="1276"/>
      <c r="Y966" s="1276"/>
    </row>
    <row r="967" spans="1:25">
      <c r="A967" s="2522"/>
      <c r="B967" s="2522"/>
      <c r="C967" s="2522"/>
      <c r="D967" s="2522"/>
      <c r="E967" s="1275"/>
      <c r="R967" s="1276"/>
      <c r="S967" s="1276"/>
      <c r="T967" s="1276"/>
      <c r="U967" s="1276"/>
      <c r="V967" s="1276"/>
      <c r="W967" s="1276"/>
      <c r="X967" s="1276"/>
      <c r="Y967" s="1276"/>
    </row>
    <row r="968" spans="1:25">
      <c r="A968" s="2522"/>
      <c r="B968" s="2522"/>
      <c r="C968" s="2522"/>
      <c r="D968" s="2522"/>
      <c r="E968" s="1275"/>
      <c r="R968" s="1276"/>
      <c r="S968" s="1276"/>
      <c r="T968" s="1276"/>
      <c r="U968" s="1276"/>
      <c r="V968" s="1276"/>
      <c r="W968" s="1276"/>
      <c r="X968" s="1276"/>
      <c r="Y968" s="1276"/>
    </row>
    <row r="969" spans="1:25">
      <c r="A969" s="2522"/>
      <c r="B969" s="2522"/>
      <c r="C969" s="2522"/>
      <c r="D969" s="2522"/>
      <c r="E969" s="1275"/>
      <c r="R969" s="1276"/>
      <c r="S969" s="1276"/>
      <c r="T969" s="1276"/>
      <c r="U969" s="1276"/>
      <c r="V969" s="1276"/>
      <c r="W969" s="1276"/>
      <c r="X969" s="1276"/>
      <c r="Y969" s="1276"/>
    </row>
    <row r="970" spans="1:25">
      <c r="A970" s="2522"/>
      <c r="B970" s="2522"/>
      <c r="C970" s="2522"/>
      <c r="D970" s="2522"/>
      <c r="E970" s="1275"/>
      <c r="R970" s="1276"/>
      <c r="S970" s="1276"/>
      <c r="T970" s="1276"/>
      <c r="U970" s="1276"/>
      <c r="V970" s="1276"/>
      <c r="W970" s="1276"/>
      <c r="X970" s="1276"/>
      <c r="Y970" s="1276"/>
    </row>
    <row r="971" spans="1:25">
      <c r="A971" s="2522"/>
      <c r="B971" s="2522"/>
      <c r="C971" s="2522"/>
      <c r="D971" s="2522"/>
      <c r="E971" s="1275"/>
      <c r="R971" s="1276"/>
      <c r="S971" s="1276"/>
      <c r="T971" s="1276"/>
      <c r="U971" s="1276"/>
      <c r="V971" s="1276"/>
      <c r="W971" s="1276"/>
      <c r="X971" s="1276"/>
      <c r="Y971" s="1276"/>
    </row>
    <row r="972" spans="1:25">
      <c r="A972" s="2522"/>
      <c r="B972" s="2522"/>
      <c r="C972" s="2522"/>
      <c r="D972" s="2522"/>
      <c r="E972" s="1275"/>
      <c r="R972" s="1276"/>
      <c r="S972" s="1276"/>
      <c r="T972" s="1276"/>
      <c r="U972" s="1276"/>
      <c r="V972" s="1276"/>
      <c r="W972" s="1276"/>
      <c r="X972" s="1276"/>
      <c r="Y972" s="1276"/>
    </row>
    <row r="973" spans="1:25">
      <c r="A973" s="2522"/>
      <c r="B973" s="2522"/>
      <c r="C973" s="2522"/>
      <c r="D973" s="2522"/>
      <c r="E973" s="1275"/>
      <c r="R973" s="1276"/>
      <c r="S973" s="1276"/>
      <c r="T973" s="1276"/>
      <c r="U973" s="1276"/>
      <c r="V973" s="1276"/>
      <c r="W973" s="1276"/>
      <c r="X973" s="1276"/>
      <c r="Y973" s="1276"/>
    </row>
    <row r="974" spans="1:25">
      <c r="A974" s="2522"/>
      <c r="B974" s="2522"/>
      <c r="C974" s="2522"/>
      <c r="D974" s="2522"/>
      <c r="E974" s="1275"/>
      <c r="R974" s="1276"/>
      <c r="S974" s="1276"/>
      <c r="T974" s="1276"/>
      <c r="U974" s="1276"/>
      <c r="V974" s="1276"/>
      <c r="W974" s="1276"/>
      <c r="X974" s="1276"/>
      <c r="Y974" s="1276"/>
    </row>
    <row r="975" spans="1:25">
      <c r="A975" s="2522"/>
      <c r="B975" s="2522"/>
      <c r="C975" s="2522"/>
      <c r="D975" s="2522"/>
      <c r="E975" s="1275"/>
      <c r="R975" s="1276"/>
      <c r="S975" s="1276"/>
      <c r="T975" s="1276"/>
      <c r="U975" s="1276"/>
      <c r="V975" s="1276"/>
      <c r="W975" s="1276"/>
      <c r="X975" s="1276"/>
      <c r="Y975" s="1276"/>
    </row>
    <row r="976" spans="1:25">
      <c r="A976" s="2522"/>
      <c r="B976" s="2522"/>
      <c r="C976" s="2522"/>
      <c r="D976" s="2522"/>
      <c r="E976" s="1275"/>
      <c r="R976" s="1276"/>
      <c r="S976" s="1276"/>
      <c r="T976" s="1276"/>
      <c r="U976" s="1276"/>
      <c r="V976" s="1276"/>
      <c r="W976" s="1276"/>
      <c r="X976" s="1276"/>
      <c r="Y976" s="1276"/>
    </row>
    <row r="977" spans="1:25">
      <c r="A977" s="2522"/>
      <c r="B977" s="2522"/>
      <c r="C977" s="2522"/>
      <c r="D977" s="2522"/>
      <c r="E977" s="1275"/>
      <c r="R977" s="1276"/>
      <c r="S977" s="1276"/>
      <c r="T977" s="1276"/>
      <c r="U977" s="1276"/>
      <c r="V977" s="1276"/>
      <c r="W977" s="1276"/>
      <c r="X977" s="1276"/>
      <c r="Y977" s="1276"/>
    </row>
    <row r="978" spans="1:25">
      <c r="A978" s="2522"/>
      <c r="B978" s="2522"/>
      <c r="C978" s="2522"/>
      <c r="D978" s="2522"/>
      <c r="E978" s="1275"/>
      <c r="R978" s="1276"/>
      <c r="S978" s="1276"/>
      <c r="T978" s="1276"/>
      <c r="U978" s="1276"/>
      <c r="V978" s="1276"/>
      <c r="W978" s="1276"/>
      <c r="X978" s="1276"/>
      <c r="Y978" s="1276"/>
    </row>
    <row r="979" spans="1:25">
      <c r="A979" s="2522"/>
      <c r="B979" s="2522"/>
      <c r="C979" s="2522"/>
      <c r="D979" s="2522"/>
      <c r="E979" s="1275"/>
      <c r="R979" s="1276"/>
      <c r="S979" s="1276"/>
      <c r="T979" s="1276"/>
      <c r="U979" s="1276"/>
      <c r="V979" s="1276"/>
      <c r="W979" s="1276"/>
      <c r="X979" s="1276"/>
      <c r="Y979" s="1276"/>
    </row>
    <row r="980" spans="1:25">
      <c r="A980" s="2522"/>
      <c r="B980" s="2522"/>
      <c r="C980" s="2522"/>
      <c r="D980" s="2522"/>
      <c r="E980" s="1275"/>
      <c r="R980" s="1276"/>
      <c r="S980" s="1276"/>
      <c r="T980" s="1276"/>
      <c r="U980" s="1276"/>
      <c r="V980" s="1276"/>
      <c r="W980" s="1276"/>
      <c r="X980" s="1276"/>
      <c r="Y980" s="1276"/>
    </row>
    <row r="981" spans="1:25">
      <c r="A981" s="2522"/>
      <c r="B981" s="2522"/>
      <c r="C981" s="2522"/>
      <c r="D981" s="2522"/>
      <c r="E981" s="1275"/>
      <c r="R981" s="1276"/>
      <c r="S981" s="1276"/>
      <c r="T981" s="1276"/>
      <c r="U981" s="1276"/>
      <c r="V981" s="1276"/>
      <c r="W981" s="1276"/>
      <c r="X981" s="1276"/>
      <c r="Y981" s="1276"/>
    </row>
    <row r="982" spans="1:25">
      <c r="A982" s="2522"/>
      <c r="B982" s="2522"/>
      <c r="C982" s="2522"/>
      <c r="D982" s="2522"/>
      <c r="E982" s="1275"/>
      <c r="R982" s="1276"/>
      <c r="S982" s="1276"/>
      <c r="T982" s="1276"/>
      <c r="U982" s="1276"/>
      <c r="V982" s="1276"/>
      <c r="W982" s="1276"/>
      <c r="X982" s="1276"/>
      <c r="Y982" s="1276"/>
    </row>
    <row r="983" spans="1:25">
      <c r="A983" s="2522"/>
      <c r="B983" s="2522"/>
      <c r="C983" s="2522"/>
      <c r="D983" s="2522"/>
      <c r="E983" s="1275"/>
      <c r="R983" s="1276"/>
      <c r="S983" s="1276"/>
      <c r="T983" s="1276"/>
      <c r="U983" s="1276"/>
      <c r="V983" s="1276"/>
      <c r="W983" s="1276"/>
      <c r="X983" s="1276"/>
      <c r="Y983" s="1276"/>
    </row>
    <row r="984" spans="1:25">
      <c r="A984" s="2522"/>
      <c r="B984" s="2522"/>
      <c r="C984" s="2522"/>
      <c r="D984" s="2522"/>
      <c r="E984" s="1275"/>
      <c r="R984" s="1276"/>
      <c r="S984" s="1276"/>
      <c r="T984" s="1276"/>
      <c r="U984" s="1276"/>
      <c r="V984" s="1276"/>
      <c r="W984" s="1276"/>
      <c r="X984" s="1276"/>
      <c r="Y984" s="1276"/>
    </row>
    <row r="985" spans="1:25">
      <c r="A985" s="2522"/>
      <c r="B985" s="2522"/>
      <c r="C985" s="2522"/>
      <c r="D985" s="2522"/>
      <c r="E985" s="1275"/>
      <c r="R985" s="1276"/>
      <c r="S985" s="1276"/>
      <c r="T985" s="1276"/>
      <c r="U985" s="1276"/>
      <c r="V985" s="1276"/>
      <c r="W985" s="1276"/>
      <c r="X985" s="1276"/>
      <c r="Y985" s="1276"/>
    </row>
    <row r="986" spans="1:25">
      <c r="A986" s="2522"/>
      <c r="B986" s="2522"/>
      <c r="C986" s="2522"/>
      <c r="D986" s="2522"/>
      <c r="E986" s="1275"/>
      <c r="R986" s="1276"/>
      <c r="S986" s="1276"/>
      <c r="T986" s="1276"/>
      <c r="U986" s="1276"/>
      <c r="V986" s="1276"/>
      <c r="W986" s="1276"/>
      <c r="X986" s="1276"/>
      <c r="Y986" s="1276"/>
    </row>
    <row r="987" spans="1:25">
      <c r="A987" s="2522"/>
      <c r="B987" s="2522"/>
      <c r="C987" s="2522"/>
      <c r="D987" s="2522"/>
      <c r="E987" s="1275"/>
      <c r="R987" s="1276"/>
      <c r="S987" s="1276"/>
      <c r="T987" s="1276"/>
      <c r="U987" s="1276"/>
      <c r="V987" s="1276"/>
      <c r="W987" s="1276"/>
      <c r="X987" s="1276"/>
      <c r="Y987" s="1276"/>
    </row>
    <row r="988" spans="1:25">
      <c r="A988" s="2522"/>
      <c r="B988" s="2522"/>
      <c r="C988" s="2522"/>
      <c r="D988" s="2522"/>
      <c r="E988" s="1275"/>
      <c r="R988" s="1276"/>
      <c r="S988" s="1276"/>
      <c r="T988" s="1276"/>
      <c r="U988" s="1276"/>
      <c r="V988" s="1276"/>
      <c r="W988" s="1276"/>
      <c r="X988" s="1276"/>
      <c r="Y988" s="1276"/>
    </row>
    <row r="989" spans="1:25">
      <c r="A989" s="2522"/>
      <c r="B989" s="2522"/>
      <c r="C989" s="2522"/>
      <c r="D989" s="2522"/>
      <c r="E989" s="1275"/>
      <c r="R989" s="1276"/>
      <c r="S989" s="1276"/>
      <c r="T989" s="1276"/>
      <c r="U989" s="1276"/>
      <c r="V989" s="1276"/>
      <c r="W989" s="1276"/>
      <c r="X989" s="1276"/>
      <c r="Y989" s="1276"/>
    </row>
    <row r="990" spans="1:25">
      <c r="A990" s="2522"/>
      <c r="B990" s="2522"/>
      <c r="C990" s="2522"/>
      <c r="D990" s="2522"/>
      <c r="E990" s="1275"/>
      <c r="R990" s="1276"/>
      <c r="S990" s="1276"/>
      <c r="T990" s="1276"/>
      <c r="U990" s="1276"/>
      <c r="V990" s="1276"/>
      <c r="W990" s="1276"/>
      <c r="X990" s="1276"/>
      <c r="Y990" s="1276"/>
    </row>
    <row r="991" spans="1:25">
      <c r="A991" s="2522"/>
      <c r="B991" s="2522"/>
      <c r="C991" s="2522"/>
      <c r="D991" s="2522"/>
      <c r="E991" s="1275"/>
      <c r="R991" s="1276"/>
      <c r="S991" s="1276"/>
      <c r="T991" s="1276"/>
      <c r="U991" s="1276"/>
      <c r="V991" s="1276"/>
      <c r="W991" s="1276"/>
      <c r="X991" s="1276"/>
      <c r="Y991" s="1276"/>
    </row>
    <row r="992" spans="1:25">
      <c r="A992" s="2522"/>
      <c r="B992" s="2522"/>
      <c r="C992" s="2522"/>
      <c r="D992" s="2522"/>
      <c r="E992" s="1275"/>
      <c r="R992" s="1276"/>
      <c r="S992" s="1276"/>
      <c r="T992" s="1276"/>
      <c r="U992" s="1276"/>
      <c r="V992" s="1276"/>
      <c r="W992" s="1276"/>
      <c r="X992" s="1276"/>
      <c r="Y992" s="1276"/>
    </row>
    <row r="993" spans="1:25">
      <c r="A993" s="2522"/>
      <c r="B993" s="2522"/>
      <c r="C993" s="2522"/>
      <c r="D993" s="2522"/>
      <c r="E993" s="1275"/>
      <c r="R993" s="1276"/>
      <c r="S993" s="1276"/>
      <c r="T993" s="1276"/>
      <c r="U993" s="1276"/>
      <c r="V993" s="1276"/>
      <c r="W993" s="1276"/>
      <c r="X993" s="1276"/>
      <c r="Y993" s="1276"/>
    </row>
    <row r="994" spans="1:25">
      <c r="A994" s="2522"/>
      <c r="B994" s="2522"/>
      <c r="C994" s="2522"/>
      <c r="D994" s="2522"/>
      <c r="E994" s="1275"/>
      <c r="R994" s="1276"/>
      <c r="S994" s="1276"/>
      <c r="T994" s="1276"/>
      <c r="U994" s="1276"/>
      <c r="V994" s="1276"/>
      <c r="W994" s="1276"/>
      <c r="X994" s="1276"/>
      <c r="Y994" s="1276"/>
    </row>
    <row r="995" spans="1:25">
      <c r="A995" s="2522"/>
      <c r="B995" s="2522"/>
      <c r="C995" s="2522"/>
      <c r="D995" s="2522"/>
      <c r="E995" s="1275"/>
      <c r="R995" s="1276"/>
      <c r="S995" s="1276"/>
      <c r="T995" s="1276"/>
      <c r="U995" s="1276"/>
      <c r="V995" s="1276"/>
      <c r="W995" s="1276"/>
      <c r="X995" s="1276"/>
      <c r="Y995" s="1276"/>
    </row>
    <row r="996" spans="1:25">
      <c r="A996" s="2522"/>
      <c r="B996" s="2522"/>
      <c r="C996" s="2522"/>
      <c r="D996" s="2522"/>
      <c r="E996" s="1275"/>
      <c r="R996" s="1276"/>
      <c r="S996" s="1276"/>
      <c r="T996" s="1276"/>
      <c r="U996" s="1276"/>
      <c r="V996" s="1276"/>
      <c r="W996" s="1276"/>
      <c r="X996" s="1276"/>
      <c r="Y996" s="1276"/>
    </row>
    <row r="997" spans="1:25">
      <c r="A997" s="2522"/>
      <c r="B997" s="2522"/>
      <c r="C997" s="2522"/>
      <c r="D997" s="2522"/>
      <c r="E997" s="1275"/>
      <c r="R997" s="1276"/>
      <c r="S997" s="1276"/>
      <c r="T997" s="1276"/>
      <c r="U997" s="1276"/>
      <c r="V997" s="1276"/>
      <c r="W997" s="1276"/>
      <c r="X997" s="1276"/>
      <c r="Y997" s="1276"/>
    </row>
    <row r="998" spans="1:25">
      <c r="A998" s="2522"/>
      <c r="B998" s="2522"/>
      <c r="C998" s="2522"/>
      <c r="D998" s="2522"/>
      <c r="E998" s="1275"/>
      <c r="R998" s="1276"/>
      <c r="S998" s="1276"/>
      <c r="T998" s="1276"/>
      <c r="U998" s="1276"/>
      <c r="V998" s="1276"/>
      <c r="W998" s="1276"/>
      <c r="X998" s="1276"/>
      <c r="Y998" s="1276"/>
    </row>
    <row r="999" spans="1:25">
      <c r="A999" s="2522"/>
      <c r="B999" s="2522"/>
      <c r="C999" s="2522"/>
      <c r="D999" s="2522"/>
      <c r="E999" s="1275"/>
      <c r="R999" s="1276"/>
      <c r="S999" s="1276"/>
      <c r="T999" s="1276"/>
      <c r="U999" s="1276"/>
      <c r="V999" s="1276"/>
      <c r="W999" s="1276"/>
      <c r="X999" s="1276"/>
      <c r="Y999" s="1276"/>
    </row>
    <row r="1000" spans="1:25">
      <c r="A1000" s="2522"/>
      <c r="B1000" s="2522"/>
      <c r="C1000" s="2522"/>
      <c r="D1000" s="2522"/>
      <c r="E1000" s="1275"/>
      <c r="R1000" s="1276"/>
      <c r="S1000" s="1276"/>
      <c r="T1000" s="1276"/>
      <c r="U1000" s="1276"/>
      <c r="V1000" s="1276"/>
      <c r="W1000" s="1276"/>
      <c r="X1000" s="1276"/>
      <c r="Y1000" s="1276"/>
    </row>
    <row r="1001" spans="1:25">
      <c r="A1001" s="2522"/>
      <c r="B1001" s="2522"/>
      <c r="C1001" s="2522"/>
      <c r="D1001" s="2522"/>
      <c r="E1001" s="1275"/>
      <c r="R1001" s="1276"/>
      <c r="S1001" s="1276"/>
      <c r="T1001" s="1276"/>
      <c r="U1001" s="1276"/>
      <c r="V1001" s="1276"/>
      <c r="W1001" s="1276"/>
      <c r="X1001" s="1276"/>
      <c r="Y1001" s="1276"/>
    </row>
    <row r="1002" spans="1:25">
      <c r="A1002" s="2522"/>
      <c r="B1002" s="2522"/>
      <c r="C1002" s="2522"/>
      <c r="D1002" s="2522"/>
      <c r="E1002" s="1275"/>
      <c r="R1002" s="1276"/>
      <c r="S1002" s="1276"/>
      <c r="T1002" s="1276"/>
      <c r="U1002" s="1276"/>
      <c r="V1002" s="1276"/>
      <c r="W1002" s="1276"/>
      <c r="X1002" s="1276"/>
      <c r="Y1002" s="1276"/>
    </row>
    <row r="1003" spans="1:25">
      <c r="A1003" s="2522"/>
      <c r="B1003" s="2522"/>
      <c r="C1003" s="2522"/>
      <c r="D1003" s="2522"/>
      <c r="E1003" s="1275"/>
      <c r="R1003" s="1276"/>
      <c r="S1003" s="1276"/>
      <c r="T1003" s="1276"/>
      <c r="U1003" s="1276"/>
      <c r="V1003" s="1276"/>
      <c r="W1003" s="1276"/>
      <c r="X1003" s="1276"/>
      <c r="Y1003" s="1276"/>
    </row>
    <row r="1004" spans="1:25">
      <c r="A1004" s="2522"/>
      <c r="B1004" s="2522"/>
      <c r="C1004" s="2522"/>
      <c r="D1004" s="2522"/>
      <c r="E1004" s="1275"/>
      <c r="R1004" s="1276"/>
      <c r="S1004" s="1276"/>
      <c r="T1004" s="1276"/>
      <c r="U1004" s="1276"/>
      <c r="V1004" s="1276"/>
      <c r="W1004" s="1276"/>
      <c r="X1004" s="1276"/>
      <c r="Y1004" s="1276"/>
    </row>
    <row r="1005" spans="1:25">
      <c r="A1005" s="2522"/>
      <c r="B1005" s="2522"/>
      <c r="C1005" s="2522"/>
      <c r="D1005" s="2522"/>
      <c r="E1005" s="1275"/>
      <c r="R1005" s="1276"/>
      <c r="S1005" s="1276"/>
      <c r="T1005" s="1276"/>
      <c r="U1005" s="1276"/>
      <c r="V1005" s="1276"/>
      <c r="W1005" s="1276"/>
      <c r="X1005" s="1276"/>
      <c r="Y1005" s="1276"/>
    </row>
    <row r="1006" spans="1:25">
      <c r="A1006" s="2522"/>
      <c r="B1006" s="2522"/>
      <c r="C1006" s="2522"/>
      <c r="D1006" s="2522"/>
      <c r="E1006" s="1275"/>
      <c r="R1006" s="1276"/>
      <c r="S1006" s="1276"/>
      <c r="T1006" s="1276"/>
      <c r="U1006" s="1276"/>
      <c r="V1006" s="1276"/>
      <c r="W1006" s="1276"/>
      <c r="X1006" s="1276"/>
      <c r="Y1006" s="1276"/>
    </row>
    <row r="1007" spans="1:25">
      <c r="A1007" s="2522"/>
      <c r="B1007" s="2522"/>
      <c r="C1007" s="2522"/>
      <c r="D1007" s="2522"/>
      <c r="E1007" s="1275"/>
      <c r="R1007" s="1276"/>
      <c r="S1007" s="1276"/>
      <c r="T1007" s="1276"/>
      <c r="U1007" s="1276"/>
      <c r="V1007" s="1276"/>
      <c r="W1007" s="1276"/>
      <c r="X1007" s="1276"/>
      <c r="Y1007" s="1276"/>
    </row>
    <row r="1008" spans="1:25">
      <c r="A1008" s="2522"/>
      <c r="B1008" s="2522"/>
      <c r="C1008" s="2522"/>
      <c r="D1008" s="2522"/>
      <c r="E1008" s="1275"/>
      <c r="R1008" s="1276"/>
      <c r="S1008" s="1276"/>
      <c r="T1008" s="1276"/>
      <c r="U1008" s="1276"/>
      <c r="V1008" s="1276"/>
      <c r="W1008" s="1276"/>
      <c r="X1008" s="1276"/>
      <c r="Y1008" s="1276"/>
    </row>
    <row r="1009" spans="1:25">
      <c r="A1009" s="2522"/>
      <c r="B1009" s="2522"/>
      <c r="C1009" s="2522"/>
      <c r="D1009" s="2522"/>
      <c r="E1009" s="1275"/>
      <c r="R1009" s="1276"/>
      <c r="S1009" s="1276"/>
      <c r="T1009" s="1276"/>
      <c r="U1009" s="1276"/>
      <c r="V1009" s="1276"/>
      <c r="W1009" s="1276"/>
      <c r="X1009" s="1276"/>
      <c r="Y1009" s="1276"/>
    </row>
    <row r="1010" spans="1:25">
      <c r="A1010" s="2522"/>
      <c r="B1010" s="2522"/>
      <c r="C1010" s="2522"/>
      <c r="D1010" s="2522"/>
      <c r="E1010" s="1275"/>
      <c r="R1010" s="1276"/>
      <c r="S1010" s="1276"/>
      <c r="T1010" s="1276"/>
      <c r="U1010" s="1276"/>
      <c r="V1010" s="1276"/>
      <c r="W1010" s="1276"/>
      <c r="X1010" s="1276"/>
      <c r="Y1010" s="1276"/>
    </row>
    <row r="1011" spans="1:25">
      <c r="A1011" s="2522"/>
      <c r="B1011" s="2522"/>
      <c r="C1011" s="2522"/>
      <c r="D1011" s="2522"/>
      <c r="E1011" s="1275"/>
      <c r="R1011" s="1276"/>
      <c r="S1011" s="1276"/>
      <c r="T1011" s="1276"/>
      <c r="U1011" s="1276"/>
      <c r="V1011" s="1276"/>
      <c r="W1011" s="1276"/>
      <c r="X1011" s="1276"/>
      <c r="Y1011" s="1276"/>
    </row>
    <row r="1012" spans="1:25">
      <c r="A1012" s="2522"/>
      <c r="B1012" s="2522"/>
      <c r="C1012" s="2522"/>
      <c r="D1012" s="2522"/>
      <c r="E1012" s="1275"/>
      <c r="R1012" s="1276"/>
      <c r="S1012" s="1276"/>
      <c r="T1012" s="1276"/>
      <c r="U1012" s="1276"/>
      <c r="V1012" s="1276"/>
      <c r="W1012" s="1276"/>
      <c r="X1012" s="1276"/>
      <c r="Y1012" s="1276"/>
    </row>
    <row r="1013" spans="1:25">
      <c r="A1013" s="2522"/>
      <c r="B1013" s="2522"/>
      <c r="C1013" s="2522"/>
      <c r="D1013" s="2522"/>
      <c r="E1013" s="1275"/>
      <c r="R1013" s="1276"/>
      <c r="S1013" s="1276"/>
      <c r="T1013" s="1276"/>
      <c r="U1013" s="1276"/>
      <c r="V1013" s="1276"/>
      <c r="W1013" s="1276"/>
      <c r="X1013" s="1276"/>
      <c r="Y1013" s="1276"/>
    </row>
    <row r="1014" spans="1:25">
      <c r="A1014" s="2522"/>
      <c r="B1014" s="2522"/>
      <c r="C1014" s="2522"/>
      <c r="D1014" s="2522"/>
      <c r="E1014" s="1275"/>
      <c r="R1014" s="1276"/>
      <c r="S1014" s="1276"/>
      <c r="T1014" s="1276"/>
      <c r="U1014" s="1276"/>
      <c r="V1014" s="1276"/>
      <c r="W1014" s="1276"/>
      <c r="X1014" s="1276"/>
      <c r="Y1014" s="1276"/>
    </row>
    <row r="1015" spans="1:25">
      <c r="A1015" s="2522"/>
      <c r="B1015" s="2522"/>
      <c r="C1015" s="2522"/>
      <c r="D1015" s="2522"/>
      <c r="E1015" s="1275"/>
      <c r="R1015" s="1276"/>
      <c r="S1015" s="1276"/>
      <c r="T1015" s="1276"/>
      <c r="U1015" s="1276"/>
      <c r="V1015" s="1276"/>
      <c r="W1015" s="1276"/>
      <c r="X1015" s="1276"/>
      <c r="Y1015" s="1276"/>
    </row>
    <row r="1016" spans="1:25">
      <c r="A1016" s="2522"/>
      <c r="B1016" s="2522"/>
      <c r="C1016" s="2522"/>
      <c r="D1016" s="2522"/>
      <c r="E1016" s="1275"/>
      <c r="R1016" s="1276"/>
      <c r="S1016" s="1276"/>
      <c r="T1016" s="1276"/>
      <c r="U1016" s="1276"/>
      <c r="V1016" s="1276"/>
      <c r="W1016" s="1276"/>
      <c r="X1016" s="1276"/>
      <c r="Y1016" s="1276"/>
    </row>
    <row r="1017" spans="1:25">
      <c r="A1017" s="2522"/>
      <c r="B1017" s="2522"/>
      <c r="C1017" s="2522"/>
      <c r="D1017" s="2522"/>
      <c r="E1017" s="1275"/>
      <c r="R1017" s="1276"/>
      <c r="S1017" s="1276"/>
      <c r="T1017" s="1276"/>
      <c r="U1017" s="1276"/>
      <c r="V1017" s="1276"/>
      <c r="W1017" s="1276"/>
      <c r="X1017" s="1276"/>
      <c r="Y1017" s="1276"/>
    </row>
    <row r="1018" spans="1:25">
      <c r="A1018" s="2522"/>
      <c r="B1018" s="2522"/>
      <c r="C1018" s="2522"/>
      <c r="D1018" s="2522"/>
      <c r="E1018" s="1275"/>
      <c r="R1018" s="1276"/>
      <c r="S1018" s="1276"/>
      <c r="T1018" s="1276"/>
      <c r="U1018" s="1276"/>
      <c r="V1018" s="1276"/>
      <c r="W1018" s="1276"/>
      <c r="X1018" s="1276"/>
      <c r="Y1018" s="1276"/>
    </row>
    <row r="1019" spans="1:25">
      <c r="A1019" s="2522"/>
      <c r="B1019" s="2522"/>
      <c r="C1019" s="2522"/>
      <c r="D1019" s="2522"/>
      <c r="E1019" s="1275"/>
      <c r="R1019" s="1276"/>
      <c r="S1019" s="1276"/>
      <c r="T1019" s="1276"/>
      <c r="U1019" s="1276"/>
      <c r="V1019" s="1276"/>
      <c r="W1019" s="1276"/>
      <c r="X1019" s="1276"/>
      <c r="Y1019" s="1276"/>
    </row>
    <row r="1020" spans="1:25">
      <c r="A1020" s="2522"/>
      <c r="B1020" s="2522"/>
      <c r="C1020" s="2522"/>
      <c r="D1020" s="2522"/>
      <c r="E1020" s="1275"/>
      <c r="R1020" s="1276"/>
      <c r="S1020" s="1276"/>
      <c r="T1020" s="1276"/>
      <c r="U1020" s="1276"/>
      <c r="V1020" s="1276"/>
      <c r="W1020" s="1276"/>
      <c r="X1020" s="1276"/>
      <c r="Y1020" s="1276"/>
    </row>
    <row r="1021" spans="1:25">
      <c r="A1021" s="2522"/>
      <c r="B1021" s="2522"/>
      <c r="C1021" s="2522"/>
      <c r="D1021" s="2522"/>
      <c r="E1021" s="1275"/>
      <c r="R1021" s="1276"/>
      <c r="S1021" s="1276"/>
      <c r="T1021" s="1276"/>
      <c r="U1021" s="1276"/>
      <c r="V1021" s="1276"/>
      <c r="W1021" s="1276"/>
      <c r="X1021" s="1276"/>
      <c r="Y1021" s="1276"/>
    </row>
    <row r="1022" spans="1:25">
      <c r="A1022" s="2522"/>
      <c r="B1022" s="2522"/>
      <c r="C1022" s="2522"/>
      <c r="D1022" s="2522"/>
      <c r="E1022" s="1275"/>
      <c r="R1022" s="1276"/>
      <c r="S1022" s="1276"/>
      <c r="T1022" s="1276"/>
      <c r="U1022" s="1276"/>
      <c r="V1022" s="1276"/>
      <c r="W1022" s="1276"/>
      <c r="X1022" s="1276"/>
      <c r="Y1022" s="1276"/>
    </row>
    <row r="1023" spans="1:25">
      <c r="A1023" s="2522"/>
      <c r="B1023" s="2522"/>
      <c r="C1023" s="2522"/>
      <c r="D1023" s="2522"/>
      <c r="E1023" s="1275"/>
      <c r="R1023" s="1276"/>
      <c r="S1023" s="1276"/>
      <c r="T1023" s="1276"/>
      <c r="U1023" s="1276"/>
      <c r="V1023" s="1276"/>
      <c r="W1023" s="1276"/>
      <c r="X1023" s="1276"/>
      <c r="Y1023" s="1276"/>
    </row>
    <row r="1024" spans="1:25">
      <c r="A1024" s="2522"/>
      <c r="B1024" s="2522"/>
      <c r="C1024" s="2522"/>
      <c r="D1024" s="2522"/>
      <c r="E1024" s="1275"/>
      <c r="R1024" s="1276"/>
      <c r="S1024" s="1276"/>
      <c r="T1024" s="1276"/>
      <c r="U1024" s="1276"/>
      <c r="V1024" s="1276"/>
      <c r="W1024" s="1276"/>
      <c r="X1024" s="1276"/>
      <c r="Y1024" s="1276"/>
    </row>
    <row r="1025" spans="1:25">
      <c r="A1025" s="2522"/>
      <c r="B1025" s="2522"/>
      <c r="C1025" s="2522"/>
      <c r="D1025" s="2522"/>
      <c r="E1025" s="1275"/>
      <c r="R1025" s="1276"/>
      <c r="S1025" s="1276"/>
      <c r="T1025" s="1276"/>
      <c r="U1025" s="1276"/>
      <c r="V1025" s="1276"/>
      <c r="W1025" s="1276"/>
      <c r="X1025" s="1276"/>
      <c r="Y1025" s="1276"/>
    </row>
    <row r="1026" spans="1:25">
      <c r="A1026" s="2522"/>
      <c r="B1026" s="2522"/>
      <c r="C1026" s="2522"/>
      <c r="D1026" s="2522"/>
      <c r="E1026" s="1275"/>
      <c r="R1026" s="1276"/>
      <c r="S1026" s="1276"/>
      <c r="T1026" s="1276"/>
      <c r="U1026" s="1276"/>
      <c r="V1026" s="1276"/>
      <c r="W1026" s="1276"/>
      <c r="X1026" s="1276"/>
      <c r="Y1026" s="1276"/>
    </row>
    <row r="1027" spans="1:25">
      <c r="A1027" s="2522"/>
      <c r="B1027" s="2522"/>
      <c r="C1027" s="2522"/>
      <c r="D1027" s="2522"/>
      <c r="E1027" s="1275"/>
      <c r="R1027" s="1276"/>
      <c r="S1027" s="1276"/>
      <c r="T1027" s="1276"/>
      <c r="U1027" s="1276"/>
      <c r="V1027" s="1276"/>
      <c r="W1027" s="1276"/>
      <c r="X1027" s="1276"/>
      <c r="Y1027" s="1276"/>
    </row>
    <row r="1028" spans="1:25">
      <c r="A1028" s="2522"/>
      <c r="B1028" s="2522"/>
      <c r="C1028" s="2522"/>
      <c r="D1028" s="2522"/>
      <c r="E1028" s="1275"/>
      <c r="R1028" s="1276"/>
      <c r="S1028" s="1276"/>
      <c r="T1028" s="1276"/>
      <c r="U1028" s="1276"/>
      <c r="V1028" s="1276"/>
      <c r="W1028" s="1276"/>
      <c r="X1028" s="1276"/>
      <c r="Y1028" s="1276"/>
    </row>
    <row r="1029" spans="1:25">
      <c r="A1029" s="2522"/>
      <c r="B1029" s="2522"/>
      <c r="C1029" s="2522"/>
      <c r="D1029" s="2522"/>
      <c r="E1029" s="1275"/>
      <c r="R1029" s="1276"/>
      <c r="S1029" s="1276"/>
      <c r="T1029" s="1276"/>
      <c r="U1029" s="1276"/>
      <c r="V1029" s="1276"/>
      <c r="W1029" s="1276"/>
      <c r="X1029" s="1276"/>
      <c r="Y1029" s="1276"/>
    </row>
    <row r="1030" spans="1:25">
      <c r="A1030" s="2522"/>
      <c r="B1030" s="2522"/>
      <c r="C1030" s="2522"/>
      <c r="D1030" s="2522"/>
      <c r="E1030" s="1275"/>
      <c r="R1030" s="1276"/>
      <c r="S1030" s="1276"/>
      <c r="T1030" s="1276"/>
      <c r="U1030" s="1276"/>
      <c r="V1030" s="1276"/>
      <c r="W1030" s="1276"/>
      <c r="X1030" s="1276"/>
      <c r="Y1030" s="1276"/>
    </row>
    <row r="1031" spans="1:25">
      <c r="A1031" s="2522"/>
      <c r="B1031" s="2522"/>
      <c r="C1031" s="2522"/>
      <c r="D1031" s="2522"/>
      <c r="E1031" s="1275"/>
      <c r="R1031" s="1276"/>
      <c r="S1031" s="1276"/>
      <c r="T1031" s="1276"/>
      <c r="U1031" s="1276"/>
      <c r="V1031" s="1276"/>
      <c r="W1031" s="1276"/>
      <c r="X1031" s="1276"/>
      <c r="Y1031" s="1276"/>
    </row>
    <row r="1032" spans="1:25">
      <c r="A1032" s="2522"/>
      <c r="B1032" s="2522"/>
      <c r="C1032" s="2522"/>
      <c r="D1032" s="2522"/>
      <c r="E1032" s="1275"/>
      <c r="R1032" s="1276"/>
      <c r="S1032" s="1276"/>
      <c r="T1032" s="1276"/>
      <c r="U1032" s="1276"/>
      <c r="V1032" s="1276"/>
      <c r="W1032" s="1276"/>
      <c r="X1032" s="1276"/>
      <c r="Y1032" s="1276"/>
    </row>
    <row r="1033" spans="1:25">
      <c r="A1033" s="2522"/>
      <c r="B1033" s="2522"/>
      <c r="C1033" s="2522"/>
      <c r="D1033" s="2522"/>
      <c r="E1033" s="1275"/>
      <c r="R1033" s="1276"/>
      <c r="S1033" s="1276"/>
      <c r="T1033" s="1276"/>
      <c r="U1033" s="1276"/>
      <c r="V1033" s="1276"/>
      <c r="W1033" s="1276"/>
      <c r="X1033" s="1276"/>
      <c r="Y1033" s="1276"/>
    </row>
    <row r="1034" spans="1:25">
      <c r="A1034" s="2522"/>
      <c r="B1034" s="2522"/>
      <c r="C1034" s="2522"/>
      <c r="D1034" s="2522"/>
      <c r="E1034" s="1275"/>
      <c r="R1034" s="1276"/>
      <c r="S1034" s="1276"/>
      <c r="T1034" s="1276"/>
      <c r="U1034" s="1276"/>
      <c r="V1034" s="1276"/>
      <c r="W1034" s="1276"/>
      <c r="X1034" s="1276"/>
      <c r="Y1034" s="1276"/>
    </row>
    <row r="1035" spans="1:25">
      <c r="A1035" s="2522"/>
      <c r="B1035" s="2522"/>
      <c r="C1035" s="2522"/>
      <c r="D1035" s="2522"/>
      <c r="E1035" s="1275"/>
      <c r="R1035" s="1276"/>
      <c r="S1035" s="1276"/>
      <c r="T1035" s="1276"/>
      <c r="U1035" s="1276"/>
      <c r="V1035" s="1276"/>
      <c r="W1035" s="1276"/>
      <c r="X1035" s="1276"/>
      <c r="Y1035" s="1276"/>
    </row>
    <row r="1036" spans="1:25">
      <c r="A1036" s="2522"/>
      <c r="B1036" s="2522"/>
      <c r="C1036" s="2522"/>
      <c r="D1036" s="2522"/>
      <c r="E1036" s="1275"/>
      <c r="R1036" s="1276"/>
      <c r="S1036" s="1276"/>
      <c r="T1036" s="1276"/>
      <c r="U1036" s="1276"/>
      <c r="V1036" s="1276"/>
      <c r="W1036" s="1276"/>
      <c r="X1036" s="1276"/>
      <c r="Y1036" s="1276"/>
    </row>
    <row r="1037" spans="1:25">
      <c r="A1037" s="2522"/>
      <c r="B1037" s="2522"/>
      <c r="C1037" s="2522"/>
      <c r="D1037" s="2522"/>
      <c r="E1037" s="1275"/>
      <c r="R1037" s="1276"/>
      <c r="S1037" s="1276"/>
      <c r="T1037" s="1276"/>
      <c r="U1037" s="1276"/>
      <c r="V1037" s="1276"/>
      <c r="W1037" s="1276"/>
      <c r="X1037" s="1276"/>
      <c r="Y1037" s="1276"/>
    </row>
    <row r="1038" spans="1:25">
      <c r="A1038" s="2522"/>
      <c r="B1038" s="2522"/>
      <c r="C1038" s="2522"/>
      <c r="D1038" s="2522"/>
      <c r="E1038" s="1275"/>
      <c r="R1038" s="1276"/>
      <c r="S1038" s="1276"/>
      <c r="T1038" s="1276"/>
      <c r="U1038" s="1276"/>
      <c r="V1038" s="1276"/>
      <c r="W1038" s="1276"/>
      <c r="X1038" s="1276"/>
      <c r="Y1038" s="1276"/>
    </row>
    <row r="1039" spans="1:25">
      <c r="A1039" s="2522"/>
      <c r="B1039" s="2522"/>
      <c r="C1039" s="2522"/>
      <c r="D1039" s="2522"/>
      <c r="E1039" s="1275"/>
      <c r="R1039" s="1276"/>
      <c r="S1039" s="1276"/>
      <c r="T1039" s="1276"/>
      <c r="U1039" s="1276"/>
      <c r="V1039" s="1276"/>
      <c r="W1039" s="1276"/>
      <c r="X1039" s="1276"/>
      <c r="Y1039" s="1276"/>
    </row>
    <row r="1040" spans="1:25">
      <c r="A1040" s="2522"/>
      <c r="B1040" s="2522"/>
      <c r="C1040" s="2522"/>
      <c r="D1040" s="2522"/>
      <c r="E1040" s="1275"/>
      <c r="R1040" s="1276"/>
      <c r="S1040" s="1276"/>
      <c r="T1040" s="1276"/>
      <c r="U1040" s="1276"/>
      <c r="V1040" s="1276"/>
      <c r="W1040" s="1276"/>
      <c r="X1040" s="1276"/>
      <c r="Y1040" s="1276"/>
    </row>
    <row r="1041" spans="1:25">
      <c r="A1041" s="2522"/>
      <c r="B1041" s="2522"/>
      <c r="C1041" s="2522"/>
      <c r="D1041" s="2522"/>
      <c r="E1041" s="1275"/>
      <c r="R1041" s="1276"/>
      <c r="S1041" s="1276"/>
      <c r="T1041" s="1276"/>
      <c r="U1041" s="1276"/>
      <c r="V1041" s="1276"/>
      <c r="W1041" s="1276"/>
      <c r="X1041" s="1276"/>
      <c r="Y1041" s="1276"/>
    </row>
    <row r="1042" spans="1:25">
      <c r="A1042" s="2522"/>
      <c r="B1042" s="2522"/>
      <c r="C1042" s="2522"/>
      <c r="D1042" s="2522"/>
      <c r="E1042" s="1275"/>
      <c r="R1042" s="1276"/>
      <c r="S1042" s="1276"/>
      <c r="T1042" s="1276"/>
      <c r="U1042" s="1276"/>
      <c r="V1042" s="1276"/>
      <c r="W1042" s="1276"/>
      <c r="X1042" s="1276"/>
      <c r="Y1042" s="1276"/>
    </row>
    <row r="1043" spans="1:25">
      <c r="A1043" s="2522"/>
      <c r="B1043" s="2522"/>
      <c r="C1043" s="2522"/>
      <c r="D1043" s="2522"/>
      <c r="E1043" s="1275"/>
      <c r="R1043" s="1276"/>
      <c r="S1043" s="1276"/>
      <c r="T1043" s="1276"/>
      <c r="U1043" s="1276"/>
      <c r="V1043" s="1276"/>
      <c r="W1043" s="1276"/>
      <c r="X1043" s="1276"/>
      <c r="Y1043" s="1276"/>
    </row>
    <row r="1044" spans="1:25">
      <c r="A1044" s="2522"/>
      <c r="B1044" s="2522"/>
      <c r="C1044" s="2522"/>
      <c r="D1044" s="2522"/>
      <c r="E1044" s="1275"/>
      <c r="R1044" s="1276"/>
      <c r="S1044" s="1276"/>
      <c r="T1044" s="1276"/>
      <c r="U1044" s="1276"/>
      <c r="V1044" s="1276"/>
      <c r="W1044" s="1276"/>
      <c r="X1044" s="1276"/>
      <c r="Y1044" s="1276"/>
    </row>
    <row r="1045" spans="1:25">
      <c r="A1045" s="2522"/>
      <c r="B1045" s="2522"/>
      <c r="C1045" s="2522"/>
      <c r="D1045" s="2522"/>
      <c r="E1045" s="1275"/>
      <c r="R1045" s="1276"/>
      <c r="S1045" s="1276"/>
      <c r="T1045" s="1276"/>
      <c r="U1045" s="1276"/>
      <c r="V1045" s="1276"/>
      <c r="W1045" s="1276"/>
      <c r="X1045" s="1276"/>
      <c r="Y1045" s="1276"/>
    </row>
    <row r="1046" spans="1:25">
      <c r="A1046" s="2522"/>
      <c r="B1046" s="2522"/>
      <c r="C1046" s="2522"/>
      <c r="D1046" s="2522"/>
      <c r="E1046" s="1275"/>
      <c r="R1046" s="1276"/>
      <c r="S1046" s="1276"/>
      <c r="T1046" s="1276"/>
      <c r="U1046" s="1276"/>
      <c r="V1046" s="1276"/>
      <c r="W1046" s="1276"/>
      <c r="X1046" s="1276"/>
      <c r="Y1046" s="1276"/>
    </row>
    <row r="1047" spans="1:25">
      <c r="A1047" s="2522"/>
      <c r="B1047" s="2522"/>
      <c r="C1047" s="2522"/>
      <c r="D1047" s="2522"/>
      <c r="E1047" s="1275"/>
      <c r="R1047" s="1276"/>
      <c r="S1047" s="1276"/>
      <c r="T1047" s="1276"/>
      <c r="U1047" s="1276"/>
      <c r="V1047" s="1276"/>
      <c r="W1047" s="1276"/>
      <c r="X1047" s="1276"/>
      <c r="Y1047" s="1276"/>
    </row>
    <row r="1048" spans="1:25">
      <c r="A1048" s="2522"/>
      <c r="B1048" s="2522"/>
      <c r="C1048" s="2522"/>
      <c r="D1048" s="2522"/>
      <c r="E1048" s="1275"/>
      <c r="R1048" s="1276"/>
      <c r="S1048" s="1276"/>
      <c r="T1048" s="1276"/>
      <c r="U1048" s="1276"/>
      <c r="V1048" s="1276"/>
      <c r="W1048" s="1276"/>
      <c r="X1048" s="1276"/>
      <c r="Y1048" s="1276"/>
    </row>
    <row r="1049" spans="1:25">
      <c r="A1049" s="2522"/>
      <c r="B1049" s="2522"/>
      <c r="C1049" s="2522"/>
      <c r="D1049" s="2522"/>
      <c r="E1049" s="1275"/>
      <c r="R1049" s="1276"/>
      <c r="S1049" s="1276"/>
      <c r="T1049" s="1276"/>
      <c r="U1049" s="1276"/>
      <c r="V1049" s="1276"/>
      <c r="W1049" s="1276"/>
      <c r="X1049" s="1276"/>
      <c r="Y1049" s="1276"/>
    </row>
    <row r="1050" spans="1:25">
      <c r="A1050" s="2522"/>
      <c r="B1050" s="2522"/>
      <c r="C1050" s="2522"/>
      <c r="D1050" s="2522"/>
      <c r="E1050" s="1275"/>
      <c r="R1050" s="1276"/>
      <c r="S1050" s="1276"/>
      <c r="T1050" s="1276"/>
      <c r="U1050" s="1276"/>
      <c r="V1050" s="1276"/>
      <c r="W1050" s="1276"/>
      <c r="X1050" s="1276"/>
      <c r="Y1050" s="1276"/>
    </row>
    <row r="1051" spans="1:25">
      <c r="A1051" s="2522"/>
      <c r="B1051" s="2522"/>
      <c r="C1051" s="2522"/>
      <c r="D1051" s="2522"/>
      <c r="E1051" s="1275"/>
      <c r="R1051" s="1276"/>
      <c r="S1051" s="1276"/>
      <c r="T1051" s="1276"/>
      <c r="U1051" s="1276"/>
      <c r="V1051" s="1276"/>
      <c r="W1051" s="1276"/>
      <c r="X1051" s="1276"/>
      <c r="Y1051" s="1276"/>
    </row>
    <row r="1052" spans="1:25">
      <c r="A1052" s="2522"/>
      <c r="B1052" s="2522"/>
      <c r="C1052" s="2522"/>
      <c r="D1052" s="2522"/>
      <c r="E1052" s="1275"/>
      <c r="R1052" s="1276"/>
      <c r="S1052" s="1276"/>
      <c r="T1052" s="1276"/>
      <c r="U1052" s="1276"/>
      <c r="V1052" s="1276"/>
      <c r="W1052" s="1276"/>
      <c r="X1052" s="1276"/>
      <c r="Y1052" s="1276"/>
    </row>
    <row r="1053" spans="1:25">
      <c r="A1053" s="2522"/>
      <c r="B1053" s="2522"/>
      <c r="C1053" s="2522"/>
      <c r="D1053" s="2522"/>
      <c r="E1053" s="1275"/>
      <c r="R1053" s="1276"/>
      <c r="S1053" s="1276"/>
      <c r="T1053" s="1276"/>
      <c r="U1053" s="1276"/>
      <c r="V1053" s="1276"/>
      <c r="W1053" s="1276"/>
      <c r="X1053" s="1276"/>
      <c r="Y1053" s="1276"/>
    </row>
    <row r="1054" spans="1:25">
      <c r="A1054" s="2522"/>
      <c r="B1054" s="2522"/>
      <c r="C1054" s="2522"/>
      <c r="D1054" s="2522"/>
      <c r="E1054" s="1275"/>
      <c r="R1054" s="1276"/>
      <c r="S1054" s="1276"/>
      <c r="T1054" s="1276"/>
      <c r="U1054" s="1276"/>
      <c r="V1054" s="1276"/>
      <c r="W1054" s="1276"/>
      <c r="X1054" s="1276"/>
      <c r="Y1054" s="1276"/>
    </row>
    <row r="1055" spans="1:25">
      <c r="A1055" s="2522"/>
      <c r="B1055" s="2522"/>
      <c r="C1055" s="2522"/>
      <c r="D1055" s="2522"/>
      <c r="E1055" s="1275"/>
      <c r="R1055" s="1276"/>
      <c r="S1055" s="1276"/>
      <c r="T1055" s="1276"/>
      <c r="U1055" s="1276"/>
      <c r="V1055" s="1276"/>
      <c r="W1055" s="1276"/>
      <c r="X1055" s="1276"/>
      <c r="Y1055" s="1276"/>
    </row>
    <row r="1056" spans="1:25">
      <c r="A1056" s="2522"/>
      <c r="B1056" s="2522"/>
      <c r="C1056" s="2522"/>
      <c r="D1056" s="2522"/>
      <c r="E1056" s="1275"/>
      <c r="R1056" s="1276"/>
      <c r="S1056" s="1276"/>
      <c r="T1056" s="1276"/>
      <c r="U1056" s="1276"/>
      <c r="V1056" s="1276"/>
      <c r="W1056" s="1276"/>
      <c r="X1056" s="1276"/>
      <c r="Y1056" s="1276"/>
    </row>
    <row r="1057" spans="1:25">
      <c r="A1057" s="2522"/>
      <c r="B1057" s="2522"/>
      <c r="C1057" s="2522"/>
      <c r="D1057" s="2522"/>
      <c r="E1057" s="1275"/>
      <c r="R1057" s="1276"/>
      <c r="S1057" s="1276"/>
      <c r="T1057" s="1276"/>
      <c r="U1057" s="1276"/>
      <c r="V1057" s="1276"/>
      <c r="W1057" s="1276"/>
      <c r="X1057" s="1276"/>
      <c r="Y1057" s="1276"/>
    </row>
    <row r="1058" spans="1:25">
      <c r="A1058" s="2522"/>
      <c r="B1058" s="2522"/>
      <c r="C1058" s="2522"/>
      <c r="D1058" s="2522"/>
      <c r="E1058" s="1275"/>
      <c r="R1058" s="1276"/>
      <c r="S1058" s="1276"/>
      <c r="T1058" s="1276"/>
      <c r="U1058" s="1276"/>
      <c r="V1058" s="1276"/>
      <c r="W1058" s="1276"/>
      <c r="X1058" s="1276"/>
      <c r="Y1058" s="1276"/>
    </row>
    <row r="1059" spans="1:25">
      <c r="A1059" s="2522"/>
      <c r="B1059" s="2522"/>
      <c r="C1059" s="2522"/>
      <c r="D1059" s="2522"/>
      <c r="E1059" s="1275"/>
      <c r="R1059" s="1276"/>
      <c r="S1059" s="1276"/>
      <c r="T1059" s="1276"/>
      <c r="U1059" s="1276"/>
      <c r="V1059" s="1276"/>
      <c r="W1059" s="1276"/>
      <c r="X1059" s="1276"/>
      <c r="Y1059" s="1276"/>
    </row>
    <row r="1060" spans="1:25">
      <c r="A1060" s="2522"/>
      <c r="B1060" s="2522"/>
      <c r="C1060" s="2522"/>
      <c r="D1060" s="2522"/>
      <c r="E1060" s="1275"/>
      <c r="R1060" s="1276"/>
      <c r="S1060" s="1276"/>
      <c r="T1060" s="1276"/>
      <c r="U1060" s="1276"/>
      <c r="V1060" s="1276"/>
      <c r="W1060" s="1276"/>
      <c r="X1060" s="1276"/>
      <c r="Y1060" s="1276"/>
    </row>
    <row r="1061" spans="1:25">
      <c r="A1061" s="2522"/>
      <c r="B1061" s="2522"/>
      <c r="C1061" s="2522"/>
      <c r="D1061" s="2522"/>
      <c r="E1061" s="1275"/>
      <c r="R1061" s="1276"/>
      <c r="S1061" s="1276"/>
      <c r="T1061" s="1276"/>
      <c r="U1061" s="1276"/>
      <c r="V1061" s="1276"/>
      <c r="W1061" s="1276"/>
      <c r="X1061" s="1276"/>
      <c r="Y1061" s="1276"/>
    </row>
    <row r="1062" spans="1:25">
      <c r="A1062" s="2522"/>
      <c r="B1062" s="2522"/>
      <c r="C1062" s="2522"/>
      <c r="D1062" s="2522"/>
      <c r="E1062" s="1275"/>
      <c r="R1062" s="1276"/>
      <c r="S1062" s="1276"/>
      <c r="T1062" s="1276"/>
      <c r="U1062" s="1276"/>
      <c r="V1062" s="1276"/>
      <c r="W1062" s="1276"/>
      <c r="X1062" s="1276"/>
      <c r="Y1062" s="1276"/>
    </row>
    <row r="1063" spans="1:25">
      <c r="A1063" s="2522"/>
      <c r="B1063" s="2522"/>
      <c r="C1063" s="2522"/>
      <c r="D1063" s="2522"/>
      <c r="E1063" s="1275"/>
      <c r="R1063" s="1276"/>
      <c r="S1063" s="1276"/>
      <c r="T1063" s="1276"/>
      <c r="U1063" s="1276"/>
      <c r="V1063" s="1276"/>
      <c r="W1063" s="1276"/>
      <c r="X1063" s="1276"/>
      <c r="Y1063" s="1276"/>
    </row>
    <row r="1064" spans="1:25">
      <c r="A1064" s="2522"/>
      <c r="B1064" s="2522"/>
      <c r="C1064" s="2522"/>
      <c r="D1064" s="2522"/>
      <c r="E1064" s="1275"/>
      <c r="R1064" s="1276"/>
      <c r="S1064" s="1276"/>
      <c r="T1064" s="1276"/>
      <c r="U1064" s="1276"/>
      <c r="V1064" s="1276"/>
      <c r="W1064" s="1276"/>
      <c r="X1064" s="1276"/>
      <c r="Y1064" s="1276"/>
    </row>
    <row r="1065" spans="1:25">
      <c r="A1065" s="2522"/>
      <c r="B1065" s="2522"/>
      <c r="C1065" s="2522"/>
      <c r="D1065" s="2522"/>
      <c r="E1065" s="1275"/>
      <c r="R1065" s="1276"/>
      <c r="S1065" s="1276"/>
      <c r="T1065" s="1276"/>
      <c r="U1065" s="1276"/>
      <c r="V1065" s="1276"/>
      <c r="W1065" s="1276"/>
      <c r="X1065" s="1276"/>
      <c r="Y1065" s="1276"/>
    </row>
    <row r="1066" spans="1:25">
      <c r="A1066" s="2522"/>
      <c r="B1066" s="2522"/>
      <c r="C1066" s="2522"/>
      <c r="D1066" s="2522"/>
      <c r="E1066" s="1275"/>
      <c r="R1066" s="1276"/>
      <c r="S1066" s="1276"/>
      <c r="T1066" s="1276"/>
      <c r="U1066" s="1276"/>
      <c r="V1066" s="1276"/>
      <c r="W1066" s="1276"/>
      <c r="X1066" s="1276"/>
      <c r="Y1066" s="1276"/>
    </row>
    <row r="1067" spans="1:25">
      <c r="A1067" s="2522"/>
      <c r="B1067" s="2522"/>
      <c r="C1067" s="2522"/>
      <c r="D1067" s="2522"/>
      <c r="E1067" s="1275"/>
      <c r="R1067" s="1276"/>
      <c r="S1067" s="1276"/>
      <c r="T1067" s="1276"/>
      <c r="U1067" s="1276"/>
      <c r="V1067" s="1276"/>
      <c r="W1067" s="1276"/>
      <c r="X1067" s="1276"/>
      <c r="Y1067" s="1276"/>
    </row>
    <row r="1068" spans="1:25">
      <c r="A1068" s="2522"/>
      <c r="B1068" s="2522"/>
      <c r="C1068" s="2522"/>
      <c r="D1068" s="2522"/>
      <c r="E1068" s="1275"/>
      <c r="R1068" s="1276"/>
      <c r="S1068" s="1276"/>
      <c r="T1068" s="1276"/>
      <c r="U1068" s="1276"/>
      <c r="V1068" s="1276"/>
      <c r="W1068" s="1276"/>
      <c r="X1068" s="1276"/>
      <c r="Y1068" s="1276"/>
    </row>
    <row r="1069" spans="1:25">
      <c r="A1069" s="2522"/>
      <c r="B1069" s="2522"/>
      <c r="C1069" s="2522"/>
      <c r="D1069" s="2522"/>
      <c r="E1069" s="1275"/>
      <c r="R1069" s="1276"/>
      <c r="S1069" s="1276"/>
      <c r="T1069" s="1276"/>
      <c r="U1069" s="1276"/>
      <c r="V1069" s="1276"/>
      <c r="W1069" s="1276"/>
      <c r="X1069" s="1276"/>
      <c r="Y1069" s="1276"/>
    </row>
    <row r="1070" spans="1:25">
      <c r="A1070" s="2522"/>
      <c r="B1070" s="2522"/>
      <c r="C1070" s="2522"/>
      <c r="D1070" s="2522"/>
      <c r="E1070" s="1275"/>
      <c r="R1070" s="1276"/>
      <c r="S1070" s="1276"/>
      <c r="T1070" s="1276"/>
      <c r="U1070" s="1276"/>
      <c r="V1070" s="1276"/>
      <c r="W1070" s="1276"/>
      <c r="X1070" s="1276"/>
      <c r="Y1070" s="1276"/>
    </row>
    <row r="1071" spans="1:25">
      <c r="A1071" s="2522"/>
      <c r="B1071" s="2522"/>
      <c r="C1071" s="2522"/>
      <c r="D1071" s="2522"/>
      <c r="E1071" s="1275"/>
      <c r="R1071" s="1276"/>
      <c r="S1071" s="1276"/>
      <c r="T1071" s="1276"/>
      <c r="U1071" s="1276"/>
      <c r="V1071" s="1276"/>
      <c r="W1071" s="1276"/>
      <c r="X1071" s="1276"/>
      <c r="Y1071" s="1276"/>
    </row>
    <row r="1072" spans="1:25">
      <c r="A1072" s="2522"/>
      <c r="B1072" s="2522"/>
      <c r="C1072" s="2522"/>
      <c r="D1072" s="2522"/>
      <c r="E1072" s="1275"/>
      <c r="R1072" s="1276"/>
      <c r="S1072" s="1276"/>
      <c r="T1072" s="1276"/>
      <c r="U1072" s="1276"/>
      <c r="V1072" s="1276"/>
      <c r="W1072" s="1276"/>
      <c r="X1072" s="1276"/>
      <c r="Y1072" s="1276"/>
    </row>
    <row r="1073" spans="1:25">
      <c r="A1073" s="2522"/>
      <c r="B1073" s="2522"/>
      <c r="C1073" s="2522"/>
      <c r="D1073" s="2522"/>
      <c r="E1073" s="1275"/>
      <c r="R1073" s="1276"/>
      <c r="S1073" s="1276"/>
      <c r="T1073" s="1276"/>
      <c r="U1073" s="1276"/>
      <c r="V1073" s="1276"/>
      <c r="W1073" s="1276"/>
      <c r="X1073" s="1276"/>
      <c r="Y1073" s="1276"/>
    </row>
    <row r="1074" spans="1:25">
      <c r="A1074" s="2522"/>
      <c r="B1074" s="2522"/>
      <c r="C1074" s="2522"/>
      <c r="D1074" s="2522"/>
      <c r="E1074" s="1275"/>
      <c r="R1074" s="1276"/>
      <c r="S1074" s="1276"/>
      <c r="T1074" s="1276"/>
      <c r="U1074" s="1276"/>
      <c r="V1074" s="1276"/>
      <c r="W1074" s="1276"/>
      <c r="X1074" s="1276"/>
      <c r="Y1074" s="1276"/>
    </row>
    <row r="1075" spans="1:25">
      <c r="A1075" s="2522"/>
      <c r="B1075" s="2522"/>
      <c r="C1075" s="2522"/>
      <c r="D1075" s="2522"/>
      <c r="E1075" s="1275"/>
      <c r="R1075" s="1276"/>
      <c r="S1075" s="1276"/>
      <c r="T1075" s="1276"/>
      <c r="U1075" s="1276"/>
      <c r="V1075" s="1276"/>
      <c r="W1075" s="1276"/>
      <c r="X1075" s="1276"/>
      <c r="Y1075" s="1276"/>
    </row>
    <row r="1076" spans="1:25">
      <c r="A1076" s="2522"/>
      <c r="B1076" s="2522"/>
      <c r="C1076" s="2522"/>
      <c r="D1076" s="2522"/>
      <c r="E1076" s="1275"/>
      <c r="R1076" s="1276"/>
      <c r="S1076" s="1276"/>
      <c r="T1076" s="1276"/>
      <c r="U1076" s="1276"/>
      <c r="V1076" s="1276"/>
      <c r="W1076" s="1276"/>
      <c r="X1076" s="1276"/>
      <c r="Y1076" s="1276"/>
    </row>
    <row r="1077" spans="1:25">
      <c r="A1077" s="2522"/>
      <c r="B1077" s="2522"/>
      <c r="C1077" s="2522"/>
      <c r="D1077" s="2522"/>
      <c r="E1077" s="1275"/>
      <c r="R1077" s="1276"/>
      <c r="S1077" s="1276"/>
      <c r="T1077" s="1276"/>
      <c r="U1077" s="1276"/>
      <c r="V1077" s="1276"/>
      <c r="W1077" s="1276"/>
      <c r="X1077" s="1276"/>
      <c r="Y1077" s="1276"/>
    </row>
    <row r="1078" spans="1:25">
      <c r="A1078" s="2522"/>
      <c r="B1078" s="2522"/>
      <c r="C1078" s="2522"/>
      <c r="D1078" s="2522"/>
      <c r="E1078" s="1275"/>
      <c r="R1078" s="1276"/>
      <c r="S1078" s="1276"/>
      <c r="T1078" s="1276"/>
      <c r="U1078" s="1276"/>
      <c r="V1078" s="1276"/>
      <c r="W1078" s="1276"/>
      <c r="X1078" s="1276"/>
      <c r="Y1078" s="1276"/>
    </row>
    <row r="1079" spans="1:25">
      <c r="A1079" s="2522"/>
      <c r="B1079" s="2522"/>
      <c r="C1079" s="2522"/>
      <c r="D1079" s="2522"/>
      <c r="E1079" s="1275"/>
      <c r="R1079" s="1276"/>
      <c r="S1079" s="1276"/>
      <c r="T1079" s="1276"/>
      <c r="U1079" s="1276"/>
      <c r="V1079" s="1276"/>
      <c r="W1079" s="1276"/>
      <c r="X1079" s="1276"/>
      <c r="Y1079" s="1276"/>
    </row>
    <row r="1080" spans="1:25">
      <c r="A1080" s="2522"/>
      <c r="B1080" s="2522"/>
      <c r="C1080" s="2522"/>
      <c r="D1080" s="2522"/>
      <c r="E1080" s="1275"/>
      <c r="R1080" s="1276"/>
      <c r="S1080" s="1276"/>
      <c r="T1080" s="1276"/>
      <c r="U1080" s="1276"/>
      <c r="V1080" s="1276"/>
      <c r="W1080" s="1276"/>
      <c r="X1080" s="1276"/>
      <c r="Y1080" s="1276"/>
    </row>
    <row r="1081" spans="1:25">
      <c r="A1081" s="2522"/>
      <c r="B1081" s="2522"/>
      <c r="C1081" s="2522"/>
      <c r="D1081" s="2522"/>
      <c r="E1081" s="1275"/>
      <c r="R1081" s="1276"/>
      <c r="S1081" s="1276"/>
      <c r="T1081" s="1276"/>
      <c r="U1081" s="1276"/>
      <c r="V1081" s="1276"/>
      <c r="W1081" s="1276"/>
      <c r="X1081" s="1276"/>
      <c r="Y1081" s="1276"/>
    </row>
    <row r="1082" spans="1:25">
      <c r="A1082" s="2522"/>
      <c r="B1082" s="2522"/>
      <c r="C1082" s="2522"/>
      <c r="D1082" s="2522"/>
      <c r="E1082" s="1275"/>
      <c r="R1082" s="1276"/>
      <c r="S1082" s="1276"/>
      <c r="T1082" s="1276"/>
      <c r="U1082" s="1276"/>
      <c r="V1082" s="1276"/>
      <c r="W1082" s="1276"/>
      <c r="X1082" s="1276"/>
      <c r="Y1082" s="1276"/>
    </row>
    <row r="1083" spans="1:25">
      <c r="A1083" s="2522"/>
      <c r="B1083" s="2522"/>
      <c r="C1083" s="2522"/>
      <c r="D1083" s="2522"/>
      <c r="E1083" s="1275"/>
      <c r="R1083" s="1276"/>
      <c r="S1083" s="1276"/>
      <c r="T1083" s="1276"/>
      <c r="U1083" s="1276"/>
      <c r="V1083" s="1276"/>
      <c r="W1083" s="1276"/>
      <c r="X1083" s="1276"/>
      <c r="Y1083" s="1276"/>
    </row>
    <row r="1084" spans="1:25">
      <c r="A1084" s="2522"/>
      <c r="B1084" s="2522"/>
      <c r="C1084" s="2522"/>
      <c r="D1084" s="2522"/>
      <c r="E1084" s="1275"/>
      <c r="R1084" s="1276"/>
      <c r="S1084" s="1276"/>
      <c r="T1084" s="1276"/>
      <c r="U1084" s="1276"/>
      <c r="V1084" s="1276"/>
      <c r="W1084" s="1276"/>
      <c r="X1084" s="1276"/>
      <c r="Y1084" s="1276"/>
    </row>
    <row r="1085" spans="1:25">
      <c r="A1085" s="2522"/>
      <c r="B1085" s="2522"/>
      <c r="C1085" s="2522"/>
      <c r="D1085" s="2522"/>
      <c r="E1085" s="1275"/>
      <c r="R1085" s="1276"/>
      <c r="S1085" s="1276"/>
      <c r="T1085" s="1276"/>
      <c r="U1085" s="1276"/>
      <c r="V1085" s="1276"/>
      <c r="W1085" s="1276"/>
      <c r="X1085" s="1276"/>
      <c r="Y1085" s="1276"/>
    </row>
    <row r="1086" spans="1:25">
      <c r="A1086" s="2522"/>
      <c r="B1086" s="2522"/>
      <c r="C1086" s="2522"/>
      <c r="D1086" s="2522"/>
      <c r="E1086" s="1275"/>
      <c r="R1086" s="1276"/>
      <c r="S1086" s="1276"/>
      <c r="T1086" s="1276"/>
      <c r="U1086" s="1276"/>
      <c r="V1086" s="1276"/>
      <c r="W1086" s="1276"/>
      <c r="X1086" s="1276"/>
      <c r="Y1086" s="1276"/>
    </row>
    <row r="1087" spans="1:25">
      <c r="A1087" s="2522"/>
      <c r="B1087" s="2522"/>
      <c r="C1087" s="2522"/>
      <c r="D1087" s="2522"/>
      <c r="E1087" s="1275"/>
      <c r="R1087" s="1276"/>
      <c r="S1087" s="1276"/>
      <c r="T1087" s="1276"/>
      <c r="U1087" s="1276"/>
      <c r="V1087" s="1276"/>
      <c r="W1087" s="1276"/>
      <c r="X1087" s="1276"/>
      <c r="Y1087" s="1276"/>
    </row>
    <row r="1088" spans="1:25">
      <c r="A1088" s="2522"/>
      <c r="B1088" s="2522"/>
      <c r="C1088" s="2522"/>
      <c r="D1088" s="2522"/>
      <c r="E1088" s="1275"/>
      <c r="R1088" s="1276"/>
      <c r="S1088" s="1276"/>
      <c r="T1088" s="1276"/>
      <c r="U1088" s="1276"/>
      <c r="V1088" s="1276"/>
      <c r="W1088" s="1276"/>
      <c r="X1088" s="1276"/>
      <c r="Y1088" s="1276"/>
    </row>
    <row r="1089" spans="1:25">
      <c r="A1089" s="2522"/>
      <c r="B1089" s="2522"/>
      <c r="C1089" s="2522"/>
      <c r="D1089" s="2522"/>
      <c r="E1089" s="1275"/>
      <c r="R1089" s="1276"/>
      <c r="S1089" s="1276"/>
      <c r="T1089" s="1276"/>
      <c r="U1089" s="1276"/>
      <c r="V1089" s="1276"/>
      <c r="W1089" s="1276"/>
      <c r="X1089" s="1276"/>
      <c r="Y1089" s="1276"/>
    </row>
    <row r="1090" spans="1:25">
      <c r="A1090" s="2522"/>
      <c r="B1090" s="2522"/>
      <c r="C1090" s="2522"/>
      <c r="D1090" s="2522"/>
      <c r="E1090" s="1275"/>
      <c r="R1090" s="1276"/>
      <c r="S1090" s="1276"/>
      <c r="T1090" s="1276"/>
      <c r="U1090" s="1276"/>
      <c r="V1090" s="1276"/>
      <c r="W1090" s="1276"/>
      <c r="X1090" s="1276"/>
      <c r="Y1090" s="1276"/>
    </row>
    <row r="1091" spans="1:25">
      <c r="A1091" s="2522"/>
      <c r="B1091" s="2522"/>
      <c r="C1091" s="2522"/>
      <c r="D1091" s="2522"/>
      <c r="E1091" s="1275"/>
      <c r="R1091" s="1276"/>
      <c r="S1091" s="1276"/>
      <c r="T1091" s="1276"/>
      <c r="U1091" s="1276"/>
      <c r="V1091" s="1276"/>
      <c r="W1091" s="1276"/>
      <c r="X1091" s="1276"/>
      <c r="Y1091" s="1276"/>
    </row>
    <row r="1092" spans="1:25">
      <c r="A1092" s="2522"/>
      <c r="B1092" s="2522"/>
      <c r="C1092" s="2522"/>
      <c r="D1092" s="2522"/>
      <c r="E1092" s="1275"/>
      <c r="R1092" s="1276"/>
      <c r="S1092" s="1276"/>
      <c r="T1092" s="1276"/>
      <c r="U1092" s="1276"/>
      <c r="V1092" s="1276"/>
      <c r="W1092" s="1276"/>
      <c r="X1092" s="1276"/>
      <c r="Y1092" s="1276"/>
    </row>
    <row r="1093" spans="1:25">
      <c r="A1093" s="2522"/>
      <c r="B1093" s="2522"/>
      <c r="C1093" s="2522"/>
      <c r="D1093" s="2522"/>
      <c r="E1093" s="1275"/>
      <c r="R1093" s="1276"/>
      <c r="S1093" s="1276"/>
      <c r="T1093" s="1276"/>
      <c r="U1093" s="1276"/>
      <c r="V1093" s="1276"/>
      <c r="W1093" s="1276"/>
      <c r="X1093" s="1276"/>
      <c r="Y1093" s="1276"/>
    </row>
    <row r="1094" spans="1:25">
      <c r="A1094" s="2522"/>
      <c r="B1094" s="2522"/>
      <c r="C1094" s="2522"/>
      <c r="D1094" s="2522"/>
      <c r="E1094" s="1275"/>
      <c r="R1094" s="1276"/>
      <c r="S1094" s="1276"/>
      <c r="T1094" s="1276"/>
      <c r="U1094" s="1276"/>
      <c r="V1094" s="1276"/>
      <c r="W1094" s="1276"/>
      <c r="X1094" s="1276"/>
      <c r="Y1094" s="1276"/>
    </row>
    <row r="1095" spans="1:25">
      <c r="A1095" s="2522"/>
      <c r="B1095" s="2522"/>
      <c r="C1095" s="2522"/>
      <c r="D1095" s="2522"/>
      <c r="E1095" s="1275"/>
      <c r="R1095" s="1276"/>
      <c r="S1095" s="1276"/>
      <c r="T1095" s="1276"/>
      <c r="U1095" s="1276"/>
      <c r="V1095" s="1276"/>
      <c r="W1095" s="1276"/>
      <c r="X1095" s="1276"/>
      <c r="Y1095" s="1276"/>
    </row>
    <row r="1096" spans="1:25">
      <c r="A1096" s="2522"/>
      <c r="B1096" s="2522"/>
      <c r="C1096" s="2522"/>
      <c r="D1096" s="2522"/>
      <c r="E1096" s="1275"/>
      <c r="R1096" s="1276"/>
      <c r="S1096" s="1276"/>
      <c r="T1096" s="1276"/>
      <c r="U1096" s="1276"/>
      <c r="V1096" s="1276"/>
      <c r="W1096" s="1276"/>
      <c r="X1096" s="1276"/>
      <c r="Y1096" s="1276"/>
    </row>
    <row r="1097" spans="1:25">
      <c r="A1097" s="2522"/>
      <c r="B1097" s="2522"/>
      <c r="C1097" s="2522"/>
      <c r="D1097" s="2522"/>
      <c r="E1097" s="1275"/>
      <c r="R1097" s="1276"/>
      <c r="S1097" s="1276"/>
      <c r="T1097" s="1276"/>
      <c r="U1097" s="1276"/>
      <c r="V1097" s="1276"/>
      <c r="W1097" s="1276"/>
      <c r="X1097" s="1276"/>
      <c r="Y1097" s="1276"/>
    </row>
    <row r="1098" spans="1:25">
      <c r="A1098" s="2522"/>
      <c r="B1098" s="2522"/>
      <c r="C1098" s="2522"/>
      <c r="D1098" s="2522"/>
      <c r="E1098" s="1275"/>
      <c r="R1098" s="1276"/>
      <c r="S1098" s="1276"/>
      <c r="T1098" s="1276"/>
      <c r="U1098" s="1276"/>
      <c r="V1098" s="1276"/>
      <c r="W1098" s="1276"/>
      <c r="X1098" s="1276"/>
      <c r="Y1098" s="1276"/>
    </row>
    <row r="1099" spans="1:25">
      <c r="A1099" s="2522"/>
      <c r="B1099" s="2522"/>
      <c r="C1099" s="2522"/>
      <c r="D1099" s="2522"/>
      <c r="E1099" s="1275"/>
      <c r="R1099" s="1276"/>
      <c r="S1099" s="1276"/>
      <c r="T1099" s="1276"/>
      <c r="U1099" s="1276"/>
      <c r="V1099" s="1276"/>
      <c r="W1099" s="1276"/>
      <c r="X1099" s="1276"/>
      <c r="Y1099" s="1276"/>
    </row>
    <row r="1100" spans="1:25">
      <c r="A1100" s="2522"/>
      <c r="B1100" s="2522"/>
      <c r="C1100" s="2522"/>
      <c r="D1100" s="2522"/>
      <c r="E1100" s="1275"/>
      <c r="R1100" s="1276"/>
      <c r="S1100" s="1276"/>
      <c r="T1100" s="1276"/>
      <c r="U1100" s="1276"/>
      <c r="V1100" s="1276"/>
      <c r="W1100" s="1276"/>
      <c r="X1100" s="1276"/>
      <c r="Y1100" s="1276"/>
    </row>
    <row r="1101" spans="1:25">
      <c r="A1101" s="2522"/>
      <c r="B1101" s="2522"/>
      <c r="C1101" s="2522"/>
      <c r="D1101" s="2522"/>
      <c r="E1101" s="1275"/>
      <c r="R1101" s="1276"/>
      <c r="S1101" s="1276"/>
      <c r="T1101" s="1276"/>
      <c r="U1101" s="1276"/>
      <c r="V1101" s="1276"/>
      <c r="W1101" s="1276"/>
      <c r="X1101" s="1276"/>
      <c r="Y1101" s="1276"/>
    </row>
    <row r="1102" spans="1:25">
      <c r="A1102" s="2522"/>
      <c r="B1102" s="2522"/>
      <c r="C1102" s="2522"/>
      <c r="D1102" s="2522"/>
      <c r="E1102" s="1275"/>
      <c r="R1102" s="1276"/>
      <c r="S1102" s="1276"/>
      <c r="T1102" s="1276"/>
      <c r="U1102" s="1276"/>
      <c r="V1102" s="1276"/>
      <c r="W1102" s="1276"/>
      <c r="X1102" s="1276"/>
      <c r="Y1102" s="1276"/>
    </row>
    <row r="1103" spans="1:25">
      <c r="A1103" s="2522"/>
      <c r="B1103" s="2522"/>
      <c r="C1103" s="2522"/>
      <c r="D1103" s="2522"/>
      <c r="E1103" s="1275"/>
      <c r="R1103" s="1276"/>
      <c r="S1103" s="1276"/>
      <c r="T1103" s="1276"/>
      <c r="U1103" s="1276"/>
      <c r="V1103" s="1276"/>
      <c r="W1103" s="1276"/>
      <c r="X1103" s="1276"/>
      <c r="Y1103" s="1276"/>
    </row>
    <row r="1104" spans="1:25">
      <c r="A1104" s="2522"/>
      <c r="B1104" s="2522"/>
      <c r="C1104" s="2522"/>
      <c r="D1104" s="2522"/>
      <c r="E1104" s="1275"/>
      <c r="R1104" s="1276"/>
      <c r="S1104" s="1276"/>
      <c r="T1104" s="1276"/>
      <c r="U1104" s="1276"/>
      <c r="V1104" s="1276"/>
      <c r="W1104" s="1276"/>
      <c r="X1104" s="1276"/>
      <c r="Y1104" s="1276"/>
    </row>
    <row r="1105" spans="1:25">
      <c r="A1105" s="2522"/>
      <c r="B1105" s="2522"/>
      <c r="C1105" s="2522"/>
      <c r="D1105" s="2522"/>
      <c r="E1105" s="1275"/>
      <c r="R1105" s="1276"/>
      <c r="S1105" s="1276"/>
      <c r="T1105" s="1276"/>
      <c r="U1105" s="1276"/>
      <c r="V1105" s="1276"/>
      <c r="W1105" s="1276"/>
      <c r="X1105" s="1276"/>
      <c r="Y1105" s="1276"/>
    </row>
    <row r="1106" spans="1:25">
      <c r="A1106" s="2522"/>
      <c r="B1106" s="2522"/>
      <c r="C1106" s="2522"/>
      <c r="D1106" s="2522"/>
      <c r="E1106" s="1275"/>
      <c r="R1106" s="1276"/>
      <c r="S1106" s="1276"/>
      <c r="T1106" s="1276"/>
      <c r="U1106" s="1276"/>
      <c r="V1106" s="1276"/>
      <c r="W1106" s="1276"/>
      <c r="X1106" s="1276"/>
      <c r="Y1106" s="1276"/>
    </row>
    <row r="1107" spans="1:25">
      <c r="A1107" s="2522"/>
      <c r="B1107" s="2522"/>
      <c r="C1107" s="2522"/>
      <c r="D1107" s="2522"/>
      <c r="E1107" s="1275"/>
      <c r="R1107" s="1276"/>
      <c r="S1107" s="1276"/>
      <c r="T1107" s="1276"/>
      <c r="U1107" s="1276"/>
      <c r="V1107" s="1276"/>
      <c r="W1107" s="1276"/>
      <c r="X1107" s="1276"/>
      <c r="Y1107" s="1276"/>
    </row>
    <row r="1108" spans="1:25">
      <c r="A1108" s="2522"/>
      <c r="B1108" s="2522"/>
      <c r="C1108" s="2522"/>
      <c r="D1108" s="2522"/>
      <c r="E1108" s="1275"/>
      <c r="R1108" s="1276"/>
      <c r="S1108" s="1276"/>
      <c r="T1108" s="1276"/>
      <c r="U1108" s="1276"/>
      <c r="V1108" s="1276"/>
      <c r="W1108" s="1276"/>
      <c r="X1108" s="1276"/>
      <c r="Y1108" s="1276"/>
    </row>
    <row r="1109" spans="1:25">
      <c r="A1109" s="2522"/>
      <c r="B1109" s="2522"/>
      <c r="C1109" s="2522"/>
      <c r="D1109" s="2522"/>
      <c r="E1109" s="1275"/>
      <c r="R1109" s="1276"/>
      <c r="S1109" s="1276"/>
      <c r="T1109" s="1276"/>
      <c r="U1109" s="1276"/>
      <c r="V1109" s="1276"/>
      <c r="W1109" s="1276"/>
      <c r="X1109" s="1276"/>
      <c r="Y1109" s="1276"/>
    </row>
    <row r="1110" spans="1:25">
      <c r="A1110" s="2522"/>
      <c r="B1110" s="2522"/>
      <c r="C1110" s="2522"/>
      <c r="D1110" s="2522"/>
      <c r="E1110" s="1275"/>
      <c r="R1110" s="1276"/>
      <c r="S1110" s="1276"/>
      <c r="T1110" s="1276"/>
      <c r="U1110" s="1276"/>
      <c r="V1110" s="1276"/>
      <c r="W1110" s="1276"/>
      <c r="X1110" s="1276"/>
      <c r="Y1110" s="1276"/>
    </row>
    <row r="1111" spans="1:25">
      <c r="A1111" s="2522"/>
      <c r="B1111" s="2522"/>
      <c r="C1111" s="2522"/>
      <c r="D1111" s="2522"/>
      <c r="E1111" s="1275"/>
      <c r="R1111" s="1276"/>
      <c r="S1111" s="1276"/>
      <c r="T1111" s="1276"/>
      <c r="U1111" s="1276"/>
      <c r="V1111" s="1276"/>
      <c r="W1111" s="1276"/>
      <c r="X1111" s="1276"/>
      <c r="Y1111" s="1276"/>
    </row>
    <row r="1112" spans="1:25">
      <c r="A1112" s="2522"/>
      <c r="B1112" s="2522"/>
      <c r="C1112" s="2522"/>
      <c r="D1112" s="2522"/>
      <c r="E1112" s="1275"/>
      <c r="R1112" s="1276"/>
      <c r="S1112" s="1276"/>
      <c r="T1112" s="1276"/>
      <c r="U1112" s="1276"/>
      <c r="V1112" s="1276"/>
      <c r="W1112" s="1276"/>
      <c r="X1112" s="1276"/>
      <c r="Y1112" s="1276"/>
    </row>
    <row r="1113" spans="1:25">
      <c r="A1113" s="2522"/>
      <c r="B1113" s="2522"/>
      <c r="C1113" s="2522"/>
      <c r="D1113" s="2522"/>
      <c r="E1113" s="1275"/>
      <c r="R1113" s="1276"/>
      <c r="S1113" s="1276"/>
      <c r="T1113" s="1276"/>
      <c r="U1113" s="1276"/>
      <c r="V1113" s="1276"/>
      <c r="W1113" s="1276"/>
      <c r="X1113" s="1276"/>
      <c r="Y1113" s="1276"/>
    </row>
    <row r="1114" spans="1:25">
      <c r="A1114" s="2522"/>
      <c r="B1114" s="2522"/>
      <c r="C1114" s="2522"/>
      <c r="D1114" s="2522"/>
      <c r="E1114" s="1275"/>
      <c r="R1114" s="1276"/>
      <c r="S1114" s="1276"/>
      <c r="T1114" s="1276"/>
      <c r="U1114" s="1276"/>
      <c r="V1114" s="1276"/>
      <c r="W1114" s="1276"/>
      <c r="X1114" s="1276"/>
      <c r="Y1114" s="1276"/>
    </row>
    <row r="1115" spans="1:25">
      <c r="A1115" s="2522"/>
      <c r="B1115" s="2522"/>
      <c r="C1115" s="2522"/>
      <c r="D1115" s="2522"/>
      <c r="E1115" s="1275"/>
      <c r="R1115" s="1276"/>
      <c r="S1115" s="1276"/>
      <c r="T1115" s="1276"/>
      <c r="U1115" s="1276"/>
      <c r="V1115" s="1276"/>
      <c r="W1115" s="1276"/>
      <c r="X1115" s="1276"/>
      <c r="Y1115" s="1276"/>
    </row>
    <row r="1116" spans="1:25">
      <c r="A1116" s="2522"/>
      <c r="B1116" s="2522"/>
      <c r="C1116" s="2522"/>
      <c r="D1116" s="2522"/>
      <c r="E1116" s="1275"/>
      <c r="R1116" s="1276"/>
      <c r="S1116" s="1276"/>
      <c r="T1116" s="1276"/>
      <c r="U1116" s="1276"/>
      <c r="V1116" s="1276"/>
      <c r="W1116" s="1276"/>
      <c r="X1116" s="1276"/>
      <c r="Y1116" s="1276"/>
    </row>
    <row r="1117" spans="1:25">
      <c r="A1117" s="2522"/>
      <c r="B1117" s="2522"/>
      <c r="C1117" s="2522"/>
      <c r="D1117" s="2522"/>
      <c r="E1117" s="1275"/>
      <c r="R1117" s="1276"/>
      <c r="S1117" s="1276"/>
      <c r="T1117" s="1276"/>
      <c r="U1117" s="1276"/>
      <c r="V1117" s="1276"/>
      <c r="W1117" s="1276"/>
      <c r="X1117" s="1276"/>
      <c r="Y1117" s="1276"/>
    </row>
    <row r="1118" spans="1:25">
      <c r="A1118" s="2522"/>
      <c r="B1118" s="2522"/>
      <c r="C1118" s="2522"/>
      <c r="D1118" s="2522"/>
      <c r="E1118" s="1275"/>
      <c r="R1118" s="1276"/>
      <c r="S1118" s="1276"/>
      <c r="T1118" s="1276"/>
      <c r="U1118" s="1276"/>
      <c r="V1118" s="1276"/>
      <c r="W1118" s="1276"/>
      <c r="X1118" s="1276"/>
      <c r="Y1118" s="1276"/>
    </row>
    <row r="1119" spans="1:25">
      <c r="A1119" s="2522"/>
      <c r="B1119" s="2522"/>
      <c r="C1119" s="2522"/>
      <c r="D1119" s="2522"/>
      <c r="E1119" s="1275"/>
      <c r="R1119" s="1276"/>
      <c r="S1119" s="1276"/>
      <c r="T1119" s="1276"/>
      <c r="U1119" s="1276"/>
      <c r="V1119" s="1276"/>
      <c r="W1119" s="1276"/>
      <c r="X1119" s="1276"/>
      <c r="Y1119" s="1276"/>
    </row>
    <row r="1120" spans="1:25">
      <c r="A1120" s="2522"/>
      <c r="B1120" s="2522"/>
      <c r="C1120" s="2522"/>
      <c r="D1120" s="2522"/>
      <c r="E1120" s="1275"/>
      <c r="R1120" s="1276"/>
      <c r="S1120" s="1276"/>
      <c r="T1120" s="1276"/>
      <c r="U1120" s="1276"/>
      <c r="V1120" s="1276"/>
      <c r="W1120" s="1276"/>
      <c r="X1120" s="1276"/>
      <c r="Y1120" s="1276"/>
    </row>
    <row r="1121" spans="1:25">
      <c r="A1121" s="2522"/>
      <c r="B1121" s="2522"/>
      <c r="C1121" s="2522"/>
      <c r="D1121" s="2522"/>
      <c r="E1121" s="1275"/>
      <c r="R1121" s="1276"/>
      <c r="S1121" s="1276"/>
      <c r="T1121" s="1276"/>
      <c r="U1121" s="1276"/>
      <c r="V1121" s="1276"/>
      <c r="W1121" s="1276"/>
      <c r="X1121" s="1276"/>
      <c r="Y1121" s="1276"/>
    </row>
    <row r="1122" spans="1:25">
      <c r="A1122" s="2522"/>
      <c r="B1122" s="2522"/>
      <c r="C1122" s="2522"/>
      <c r="D1122" s="2522"/>
      <c r="E1122" s="1275"/>
      <c r="R1122" s="1276"/>
      <c r="S1122" s="1276"/>
      <c r="T1122" s="1276"/>
      <c r="U1122" s="1276"/>
      <c r="V1122" s="1276"/>
      <c r="W1122" s="1276"/>
      <c r="X1122" s="1276"/>
      <c r="Y1122" s="1276"/>
    </row>
    <row r="1123" spans="1:25">
      <c r="A1123" s="2522"/>
      <c r="B1123" s="2522"/>
      <c r="C1123" s="2522"/>
      <c r="D1123" s="2522"/>
      <c r="E1123" s="1275"/>
      <c r="R1123" s="1276"/>
      <c r="S1123" s="1276"/>
      <c r="T1123" s="1276"/>
      <c r="U1123" s="1276"/>
      <c r="V1123" s="1276"/>
      <c r="W1123" s="1276"/>
      <c r="X1123" s="1276"/>
      <c r="Y1123" s="1276"/>
    </row>
    <row r="1124" spans="1:25">
      <c r="A1124" s="2522"/>
      <c r="B1124" s="2522"/>
      <c r="C1124" s="2522"/>
      <c r="D1124" s="2522"/>
      <c r="E1124" s="1275"/>
      <c r="R1124" s="1276"/>
      <c r="S1124" s="1276"/>
      <c r="T1124" s="1276"/>
      <c r="U1124" s="1276"/>
      <c r="V1124" s="1276"/>
      <c r="W1124" s="1276"/>
      <c r="X1124" s="1276"/>
      <c r="Y1124" s="1276"/>
    </row>
    <row r="1125" spans="1:25">
      <c r="A1125" s="2522"/>
      <c r="B1125" s="2522"/>
      <c r="C1125" s="2522"/>
      <c r="D1125" s="2522"/>
      <c r="E1125" s="1275"/>
      <c r="R1125" s="1276"/>
      <c r="S1125" s="1276"/>
      <c r="T1125" s="1276"/>
      <c r="U1125" s="1276"/>
      <c r="V1125" s="1276"/>
      <c r="W1125" s="1276"/>
      <c r="X1125" s="1276"/>
      <c r="Y1125" s="1276"/>
    </row>
    <row r="1126" spans="1:25">
      <c r="A1126" s="2522"/>
      <c r="B1126" s="2522"/>
      <c r="C1126" s="2522"/>
      <c r="D1126" s="2522"/>
      <c r="E1126" s="1275"/>
      <c r="R1126" s="1276"/>
      <c r="S1126" s="1276"/>
      <c r="T1126" s="1276"/>
      <c r="U1126" s="1276"/>
      <c r="V1126" s="1276"/>
      <c r="W1126" s="1276"/>
      <c r="X1126" s="1276"/>
      <c r="Y1126" s="1276"/>
    </row>
    <row r="1127" spans="1:25">
      <c r="A1127" s="2522"/>
      <c r="B1127" s="2522"/>
      <c r="C1127" s="2522"/>
      <c r="D1127" s="2522"/>
      <c r="E1127" s="1275"/>
      <c r="R1127" s="1276"/>
      <c r="S1127" s="1276"/>
      <c r="T1127" s="1276"/>
      <c r="U1127" s="1276"/>
      <c r="V1127" s="1276"/>
      <c r="W1127" s="1276"/>
      <c r="X1127" s="1276"/>
      <c r="Y1127" s="1276"/>
    </row>
    <row r="1128" spans="1:25">
      <c r="A1128" s="2522"/>
      <c r="B1128" s="2522"/>
      <c r="C1128" s="2522"/>
      <c r="D1128" s="2522"/>
      <c r="E1128" s="1275"/>
      <c r="R1128" s="1276"/>
      <c r="S1128" s="1276"/>
      <c r="T1128" s="1276"/>
      <c r="U1128" s="1276"/>
      <c r="V1128" s="1276"/>
      <c r="W1128" s="1276"/>
      <c r="X1128" s="1276"/>
      <c r="Y1128" s="1276"/>
    </row>
    <row r="1129" spans="1:25">
      <c r="A1129" s="2522"/>
      <c r="B1129" s="2522"/>
      <c r="C1129" s="2522"/>
      <c r="D1129" s="2522"/>
      <c r="E1129" s="1275"/>
      <c r="R1129" s="1276"/>
      <c r="S1129" s="1276"/>
      <c r="T1129" s="1276"/>
      <c r="U1129" s="1276"/>
      <c r="V1129" s="1276"/>
      <c r="W1129" s="1276"/>
      <c r="X1129" s="1276"/>
      <c r="Y1129" s="1276"/>
    </row>
    <row r="1130" spans="1:25">
      <c r="A1130" s="2522"/>
      <c r="B1130" s="2522"/>
      <c r="C1130" s="2522"/>
      <c r="D1130" s="2522"/>
      <c r="E1130" s="1275"/>
      <c r="R1130" s="1276"/>
      <c r="S1130" s="1276"/>
      <c r="T1130" s="1276"/>
      <c r="U1130" s="1276"/>
      <c r="V1130" s="1276"/>
      <c r="W1130" s="1276"/>
      <c r="X1130" s="1276"/>
      <c r="Y1130" s="1276"/>
    </row>
    <row r="1131" spans="1:25">
      <c r="A1131" s="2522"/>
      <c r="B1131" s="2522"/>
      <c r="C1131" s="2522"/>
      <c r="D1131" s="2522"/>
      <c r="E1131" s="1275"/>
      <c r="R1131" s="1276"/>
      <c r="S1131" s="1276"/>
      <c r="T1131" s="1276"/>
      <c r="U1131" s="1276"/>
      <c r="V1131" s="1276"/>
      <c r="W1131" s="1276"/>
      <c r="X1131" s="1276"/>
      <c r="Y1131" s="1276"/>
    </row>
    <row r="1132" spans="1:25">
      <c r="A1132" s="2522"/>
      <c r="B1132" s="2522"/>
      <c r="C1132" s="2522"/>
      <c r="D1132" s="2522"/>
      <c r="E1132" s="1275"/>
      <c r="R1132" s="1276"/>
      <c r="S1132" s="1276"/>
      <c r="T1132" s="1276"/>
      <c r="U1132" s="1276"/>
      <c r="V1132" s="1276"/>
      <c r="W1132" s="1276"/>
      <c r="X1132" s="1276"/>
      <c r="Y1132" s="1276"/>
    </row>
    <row r="1133" spans="1:25">
      <c r="A1133" s="2522"/>
      <c r="B1133" s="2522"/>
      <c r="C1133" s="2522"/>
      <c r="D1133" s="2522"/>
      <c r="E1133" s="1275"/>
      <c r="R1133" s="1276"/>
      <c r="S1133" s="1276"/>
      <c r="T1133" s="1276"/>
      <c r="U1133" s="1276"/>
      <c r="V1133" s="1276"/>
      <c r="W1133" s="1276"/>
      <c r="X1133" s="1276"/>
      <c r="Y1133" s="1276"/>
    </row>
    <row r="1134" spans="1:25">
      <c r="A1134" s="2522"/>
      <c r="B1134" s="2522"/>
      <c r="C1134" s="2522"/>
      <c r="D1134" s="2522"/>
      <c r="E1134" s="1275"/>
      <c r="R1134" s="1276"/>
      <c r="S1134" s="1276"/>
      <c r="T1134" s="1276"/>
      <c r="U1134" s="1276"/>
      <c r="V1134" s="1276"/>
      <c r="W1134" s="1276"/>
      <c r="X1134" s="1276"/>
      <c r="Y1134" s="1276"/>
    </row>
    <row r="1135" spans="1:25">
      <c r="A1135" s="2522"/>
      <c r="B1135" s="2522"/>
      <c r="C1135" s="2522"/>
      <c r="D1135" s="2522"/>
      <c r="E1135" s="1275"/>
      <c r="R1135" s="1276"/>
      <c r="S1135" s="1276"/>
      <c r="T1135" s="1276"/>
      <c r="U1135" s="1276"/>
      <c r="V1135" s="1276"/>
      <c r="W1135" s="1276"/>
      <c r="X1135" s="1276"/>
      <c r="Y1135" s="1276"/>
    </row>
    <row r="1136" spans="1:25">
      <c r="A1136" s="2522"/>
      <c r="B1136" s="2522"/>
      <c r="C1136" s="2522"/>
      <c r="D1136" s="2522"/>
      <c r="E1136" s="1275"/>
      <c r="R1136" s="1276"/>
      <c r="S1136" s="1276"/>
      <c r="T1136" s="1276"/>
      <c r="U1136" s="1276"/>
      <c r="V1136" s="1276"/>
      <c r="W1136" s="1276"/>
      <c r="X1136" s="1276"/>
      <c r="Y1136" s="1276"/>
    </row>
    <row r="1137" spans="1:25">
      <c r="A1137" s="2522"/>
      <c r="B1137" s="2522"/>
      <c r="C1137" s="2522"/>
      <c r="D1137" s="2522"/>
      <c r="E1137" s="1275"/>
      <c r="R1137" s="1276"/>
      <c r="S1137" s="1276"/>
      <c r="T1137" s="1276"/>
      <c r="U1137" s="1276"/>
      <c r="V1137" s="1276"/>
      <c r="W1137" s="1276"/>
      <c r="X1137" s="1276"/>
      <c r="Y1137" s="1276"/>
    </row>
    <row r="1138" spans="1:25">
      <c r="A1138" s="2522"/>
      <c r="B1138" s="2522"/>
      <c r="C1138" s="2522"/>
      <c r="D1138" s="2522"/>
      <c r="E1138" s="1275"/>
      <c r="R1138" s="1276"/>
      <c r="S1138" s="1276"/>
      <c r="T1138" s="1276"/>
      <c r="U1138" s="1276"/>
      <c r="V1138" s="1276"/>
      <c r="W1138" s="1276"/>
      <c r="X1138" s="1276"/>
      <c r="Y1138" s="1276"/>
    </row>
    <row r="1139" spans="1:25">
      <c r="A1139" s="2522"/>
      <c r="B1139" s="2522"/>
      <c r="C1139" s="2522"/>
      <c r="D1139" s="2522"/>
      <c r="E1139" s="1275"/>
      <c r="R1139" s="1276"/>
      <c r="S1139" s="1276"/>
      <c r="T1139" s="1276"/>
      <c r="U1139" s="1276"/>
      <c r="V1139" s="1276"/>
      <c r="W1139" s="1276"/>
      <c r="X1139" s="1276"/>
      <c r="Y1139" s="1276"/>
    </row>
    <row r="1140" spans="1:25">
      <c r="A1140" s="2522"/>
      <c r="B1140" s="2522"/>
      <c r="C1140" s="2522"/>
      <c r="D1140" s="2522"/>
      <c r="E1140" s="1275"/>
      <c r="R1140" s="1276"/>
      <c r="S1140" s="1276"/>
      <c r="T1140" s="1276"/>
      <c r="U1140" s="1276"/>
      <c r="V1140" s="1276"/>
      <c r="W1140" s="1276"/>
      <c r="X1140" s="1276"/>
      <c r="Y1140" s="1276"/>
    </row>
    <row r="1141" spans="1:25">
      <c r="A1141" s="2522"/>
      <c r="B1141" s="2522"/>
      <c r="C1141" s="2522"/>
      <c r="D1141" s="2522"/>
      <c r="E1141" s="1275"/>
      <c r="R1141" s="1276"/>
      <c r="S1141" s="1276"/>
      <c r="T1141" s="1276"/>
      <c r="U1141" s="1276"/>
      <c r="V1141" s="1276"/>
      <c r="W1141" s="1276"/>
      <c r="X1141" s="1276"/>
      <c r="Y1141" s="1276"/>
    </row>
    <row r="1142" spans="1:25">
      <c r="A1142" s="2522"/>
      <c r="B1142" s="2522"/>
      <c r="C1142" s="2522"/>
      <c r="D1142" s="2522"/>
      <c r="E1142" s="1275"/>
      <c r="R1142" s="1276"/>
      <c r="S1142" s="1276"/>
      <c r="T1142" s="1276"/>
      <c r="U1142" s="1276"/>
      <c r="V1142" s="1276"/>
      <c r="W1142" s="1276"/>
      <c r="X1142" s="1276"/>
      <c r="Y1142" s="1276"/>
    </row>
    <row r="1143" spans="1:25">
      <c r="A1143" s="2522"/>
      <c r="B1143" s="2522"/>
      <c r="C1143" s="2522"/>
      <c r="D1143" s="2522"/>
      <c r="E1143" s="1275"/>
      <c r="R1143" s="1276"/>
      <c r="S1143" s="1276"/>
      <c r="T1143" s="1276"/>
      <c r="U1143" s="1276"/>
      <c r="V1143" s="1276"/>
      <c r="W1143" s="1276"/>
      <c r="X1143" s="1276"/>
      <c r="Y1143" s="1276"/>
    </row>
    <row r="1144" spans="1:25">
      <c r="A1144" s="2522"/>
      <c r="B1144" s="2522"/>
      <c r="C1144" s="2522"/>
      <c r="D1144" s="2522"/>
      <c r="E1144" s="1275"/>
      <c r="R1144" s="1276"/>
      <c r="S1144" s="1276"/>
      <c r="T1144" s="1276"/>
      <c r="U1144" s="1276"/>
      <c r="V1144" s="1276"/>
      <c r="W1144" s="1276"/>
      <c r="X1144" s="1276"/>
      <c r="Y1144" s="1276"/>
    </row>
    <row r="1145" spans="1:25">
      <c r="A1145" s="2522"/>
      <c r="B1145" s="2522"/>
      <c r="C1145" s="2522"/>
      <c r="D1145" s="2522"/>
      <c r="E1145" s="1275"/>
      <c r="R1145" s="1276"/>
      <c r="S1145" s="1276"/>
      <c r="T1145" s="1276"/>
      <c r="U1145" s="1276"/>
      <c r="V1145" s="1276"/>
      <c r="W1145" s="1276"/>
      <c r="X1145" s="1276"/>
      <c r="Y1145" s="1276"/>
    </row>
    <row r="1146" spans="1:25">
      <c r="A1146" s="2522"/>
      <c r="B1146" s="2522"/>
      <c r="C1146" s="2522"/>
      <c r="D1146" s="2522"/>
      <c r="E1146" s="1275"/>
      <c r="R1146" s="1276"/>
      <c r="S1146" s="1276"/>
      <c r="T1146" s="1276"/>
      <c r="U1146" s="1276"/>
      <c r="V1146" s="1276"/>
      <c r="W1146" s="1276"/>
      <c r="X1146" s="1276"/>
      <c r="Y1146" s="1276"/>
    </row>
    <row r="1147" spans="1:25">
      <c r="A1147" s="2522"/>
      <c r="B1147" s="2522"/>
      <c r="C1147" s="2522"/>
      <c r="D1147" s="2522"/>
      <c r="E1147" s="1275"/>
      <c r="R1147" s="1276"/>
      <c r="S1147" s="1276"/>
      <c r="T1147" s="1276"/>
      <c r="U1147" s="1276"/>
      <c r="V1147" s="1276"/>
      <c r="W1147" s="1276"/>
      <c r="X1147" s="1276"/>
      <c r="Y1147" s="1276"/>
    </row>
    <row r="1148" spans="1:25">
      <c r="A1148" s="2522"/>
      <c r="B1148" s="2522"/>
      <c r="C1148" s="2522"/>
      <c r="D1148" s="2522"/>
      <c r="E1148" s="1275"/>
      <c r="R1148" s="1276"/>
      <c r="S1148" s="1276"/>
      <c r="T1148" s="1276"/>
      <c r="U1148" s="1276"/>
      <c r="V1148" s="1276"/>
      <c r="W1148" s="1276"/>
      <c r="X1148" s="1276"/>
      <c r="Y1148" s="1276"/>
    </row>
    <row r="1149" spans="1:25">
      <c r="A1149" s="2522"/>
      <c r="B1149" s="2522"/>
      <c r="C1149" s="2522"/>
      <c r="D1149" s="2522"/>
      <c r="E1149" s="1275"/>
      <c r="R1149" s="1276"/>
      <c r="S1149" s="1276"/>
      <c r="T1149" s="1276"/>
      <c r="U1149" s="1276"/>
      <c r="V1149" s="1276"/>
      <c r="W1149" s="1276"/>
      <c r="X1149" s="1276"/>
      <c r="Y1149" s="1276"/>
    </row>
    <row r="1150" spans="1:25">
      <c r="A1150" s="2522"/>
      <c r="B1150" s="2522"/>
      <c r="C1150" s="2522"/>
      <c r="D1150" s="2522"/>
      <c r="E1150" s="1275"/>
      <c r="R1150" s="1276"/>
      <c r="S1150" s="1276"/>
      <c r="T1150" s="1276"/>
      <c r="U1150" s="1276"/>
      <c r="V1150" s="1276"/>
      <c r="W1150" s="1276"/>
      <c r="X1150" s="1276"/>
      <c r="Y1150" s="1276"/>
    </row>
    <row r="1151" spans="1:25">
      <c r="A1151" s="2522"/>
      <c r="B1151" s="2522"/>
      <c r="C1151" s="2522"/>
      <c r="D1151" s="2522"/>
      <c r="E1151" s="1275"/>
      <c r="R1151" s="1276"/>
      <c r="S1151" s="1276"/>
      <c r="T1151" s="1276"/>
      <c r="U1151" s="1276"/>
      <c r="V1151" s="1276"/>
      <c r="W1151" s="1276"/>
      <c r="X1151" s="1276"/>
      <c r="Y1151" s="1276"/>
    </row>
    <row r="1152" spans="1:25">
      <c r="A1152" s="2522"/>
      <c r="B1152" s="2522"/>
      <c r="C1152" s="2522"/>
      <c r="D1152" s="2522"/>
      <c r="E1152" s="1275"/>
      <c r="R1152" s="1276"/>
      <c r="S1152" s="1276"/>
      <c r="T1152" s="1276"/>
      <c r="U1152" s="1276"/>
      <c r="V1152" s="1276"/>
      <c r="W1152" s="1276"/>
      <c r="X1152" s="1276"/>
      <c r="Y1152" s="1276"/>
    </row>
    <row r="1153" spans="1:25">
      <c r="A1153" s="2522"/>
      <c r="B1153" s="2522"/>
      <c r="C1153" s="2522"/>
      <c r="D1153" s="2522"/>
      <c r="E1153" s="1275"/>
      <c r="R1153" s="1276"/>
      <c r="S1153" s="1276"/>
      <c r="T1153" s="1276"/>
      <c r="U1153" s="1276"/>
      <c r="V1153" s="1276"/>
      <c r="W1153" s="1276"/>
      <c r="X1153" s="1276"/>
      <c r="Y1153" s="1276"/>
    </row>
    <row r="1154" spans="1:25">
      <c r="A1154" s="2522"/>
      <c r="B1154" s="2522"/>
      <c r="C1154" s="2522"/>
      <c r="D1154" s="2522"/>
      <c r="E1154" s="1275"/>
      <c r="R1154" s="1276"/>
      <c r="S1154" s="1276"/>
      <c r="T1154" s="1276"/>
      <c r="U1154" s="1276"/>
      <c r="V1154" s="1276"/>
      <c r="W1154" s="1276"/>
      <c r="X1154" s="1276"/>
      <c r="Y1154" s="1276"/>
    </row>
    <row r="1155" spans="1:25">
      <c r="A1155" s="2522"/>
      <c r="B1155" s="2522"/>
      <c r="C1155" s="2522"/>
      <c r="D1155" s="2522"/>
      <c r="E1155" s="1275"/>
      <c r="R1155" s="1276"/>
      <c r="S1155" s="1276"/>
      <c r="T1155" s="1276"/>
      <c r="U1155" s="1276"/>
      <c r="V1155" s="1276"/>
      <c r="W1155" s="1276"/>
      <c r="X1155" s="1276"/>
      <c r="Y1155" s="1276"/>
    </row>
    <row r="1156" spans="1:25">
      <c r="A1156" s="2522"/>
      <c r="B1156" s="2522"/>
      <c r="C1156" s="2522"/>
      <c r="D1156" s="2522"/>
      <c r="E1156" s="1275"/>
      <c r="R1156" s="1276"/>
      <c r="S1156" s="1276"/>
      <c r="T1156" s="1276"/>
      <c r="U1156" s="1276"/>
      <c r="V1156" s="1276"/>
      <c r="W1156" s="1276"/>
      <c r="X1156" s="1276"/>
      <c r="Y1156" s="1276"/>
    </row>
    <row r="1157" spans="1:25">
      <c r="A1157" s="2522"/>
      <c r="B1157" s="2522"/>
      <c r="C1157" s="2522"/>
      <c r="D1157" s="2522"/>
      <c r="E1157" s="1275"/>
      <c r="R1157" s="1276"/>
      <c r="S1157" s="1276"/>
      <c r="T1157" s="1276"/>
      <c r="U1157" s="1276"/>
      <c r="V1157" s="1276"/>
      <c r="W1157" s="1276"/>
      <c r="X1157" s="1276"/>
      <c r="Y1157" s="1276"/>
    </row>
    <row r="1158" spans="1:25">
      <c r="A1158" s="2522"/>
      <c r="B1158" s="2522"/>
      <c r="C1158" s="2522"/>
      <c r="D1158" s="2522"/>
      <c r="E1158" s="1275"/>
      <c r="R1158" s="1276"/>
      <c r="S1158" s="1276"/>
      <c r="T1158" s="1276"/>
      <c r="U1158" s="1276"/>
      <c r="V1158" s="1276"/>
      <c r="W1158" s="1276"/>
      <c r="X1158" s="1276"/>
      <c r="Y1158" s="1276"/>
    </row>
    <row r="1159" spans="1:25">
      <c r="A1159" s="2522"/>
      <c r="B1159" s="2522"/>
      <c r="C1159" s="2522"/>
      <c r="D1159" s="2522"/>
      <c r="E1159" s="1275"/>
      <c r="R1159" s="1276"/>
      <c r="S1159" s="1276"/>
      <c r="T1159" s="1276"/>
      <c r="U1159" s="1276"/>
      <c r="V1159" s="1276"/>
      <c r="W1159" s="1276"/>
      <c r="X1159" s="1276"/>
      <c r="Y1159" s="1276"/>
    </row>
    <row r="1160" spans="1:25">
      <c r="A1160" s="2522"/>
      <c r="B1160" s="2522"/>
      <c r="C1160" s="2522"/>
      <c r="D1160" s="2522"/>
      <c r="E1160" s="1275"/>
      <c r="R1160" s="1276"/>
      <c r="S1160" s="1276"/>
      <c r="T1160" s="1276"/>
      <c r="U1160" s="1276"/>
      <c r="V1160" s="1276"/>
      <c r="W1160" s="1276"/>
      <c r="X1160" s="1276"/>
      <c r="Y1160" s="1276"/>
    </row>
    <row r="1161" spans="1:25">
      <c r="A1161" s="2522"/>
      <c r="B1161" s="2522"/>
      <c r="C1161" s="2522"/>
      <c r="D1161" s="2522"/>
      <c r="E1161" s="1275"/>
      <c r="R1161" s="1276"/>
      <c r="S1161" s="1276"/>
      <c r="T1161" s="1276"/>
      <c r="U1161" s="1276"/>
      <c r="V1161" s="1276"/>
      <c r="W1161" s="1276"/>
      <c r="X1161" s="1276"/>
      <c r="Y1161" s="1276"/>
    </row>
    <row r="1162" spans="1:25">
      <c r="A1162" s="2522"/>
      <c r="B1162" s="2522"/>
      <c r="C1162" s="2522"/>
      <c r="D1162" s="2522"/>
      <c r="E1162" s="1275"/>
      <c r="R1162" s="1276"/>
      <c r="S1162" s="1276"/>
      <c r="T1162" s="1276"/>
      <c r="U1162" s="1276"/>
      <c r="V1162" s="1276"/>
      <c r="W1162" s="1276"/>
      <c r="X1162" s="1276"/>
      <c r="Y1162" s="1276"/>
    </row>
    <row r="1163" spans="1:25">
      <c r="A1163" s="2522"/>
      <c r="B1163" s="2522"/>
      <c r="C1163" s="2522"/>
      <c r="D1163" s="2522"/>
      <c r="E1163" s="1275"/>
      <c r="R1163" s="1276"/>
      <c r="S1163" s="1276"/>
      <c r="T1163" s="1276"/>
      <c r="U1163" s="1276"/>
      <c r="V1163" s="1276"/>
      <c r="W1163" s="1276"/>
      <c r="X1163" s="1276"/>
      <c r="Y1163" s="1276"/>
    </row>
    <row r="1164" spans="1:25">
      <c r="A1164" s="2522"/>
      <c r="B1164" s="2522"/>
      <c r="C1164" s="2522"/>
      <c r="D1164" s="2522"/>
      <c r="E1164" s="1275"/>
      <c r="R1164" s="1276"/>
      <c r="S1164" s="1276"/>
      <c r="T1164" s="1276"/>
      <c r="U1164" s="1276"/>
      <c r="V1164" s="1276"/>
      <c r="W1164" s="1276"/>
      <c r="X1164" s="1276"/>
      <c r="Y1164" s="1276"/>
    </row>
    <row r="1165" spans="1:25">
      <c r="A1165" s="2522"/>
      <c r="B1165" s="2522"/>
      <c r="C1165" s="2522"/>
      <c r="D1165" s="2522"/>
      <c r="E1165" s="1275"/>
      <c r="R1165" s="1276"/>
      <c r="S1165" s="1276"/>
      <c r="T1165" s="1276"/>
      <c r="U1165" s="1276"/>
      <c r="V1165" s="1276"/>
      <c r="W1165" s="1276"/>
      <c r="X1165" s="1276"/>
      <c r="Y1165" s="1276"/>
    </row>
    <row r="1166" spans="1:25">
      <c r="A1166" s="2522"/>
      <c r="B1166" s="2522"/>
      <c r="C1166" s="2522"/>
      <c r="D1166" s="2522"/>
      <c r="E1166" s="1275"/>
      <c r="R1166" s="1276"/>
      <c r="S1166" s="1276"/>
      <c r="T1166" s="1276"/>
      <c r="U1166" s="1276"/>
      <c r="V1166" s="1276"/>
      <c r="W1166" s="1276"/>
      <c r="X1166" s="1276"/>
      <c r="Y1166" s="1276"/>
    </row>
    <row r="1167" spans="1:25">
      <c r="A1167" s="2522"/>
      <c r="B1167" s="2522"/>
      <c r="C1167" s="2522"/>
      <c r="D1167" s="2522"/>
      <c r="E1167" s="1275"/>
      <c r="R1167" s="1276"/>
      <c r="S1167" s="1276"/>
      <c r="T1167" s="1276"/>
      <c r="U1167" s="1276"/>
      <c r="V1167" s="1276"/>
      <c r="W1167" s="1276"/>
      <c r="X1167" s="1276"/>
      <c r="Y1167" s="1276"/>
    </row>
    <row r="1168" spans="1:25">
      <c r="A1168" s="2522"/>
      <c r="B1168" s="2522"/>
      <c r="C1168" s="2522"/>
      <c r="D1168" s="2522"/>
      <c r="E1168" s="1275"/>
      <c r="R1168" s="1276"/>
      <c r="S1168" s="1276"/>
      <c r="T1168" s="1276"/>
      <c r="U1168" s="1276"/>
      <c r="V1168" s="1276"/>
      <c r="W1168" s="1276"/>
      <c r="X1168" s="1276"/>
      <c r="Y1168" s="1276"/>
    </row>
    <row r="1169" spans="1:25">
      <c r="A1169" s="2522"/>
      <c r="B1169" s="2522"/>
      <c r="C1169" s="2522"/>
      <c r="D1169" s="2522"/>
      <c r="E1169" s="1275"/>
      <c r="R1169" s="1276"/>
      <c r="S1169" s="1276"/>
      <c r="T1169" s="1276"/>
      <c r="U1169" s="1276"/>
      <c r="V1169" s="1276"/>
      <c r="W1169" s="1276"/>
      <c r="X1169" s="1276"/>
      <c r="Y1169" s="1276"/>
    </row>
    <row r="1170" spans="1:25">
      <c r="A1170" s="2522"/>
      <c r="B1170" s="2522"/>
      <c r="C1170" s="2522"/>
      <c r="D1170" s="2522"/>
      <c r="E1170" s="1275"/>
      <c r="R1170" s="1276"/>
      <c r="S1170" s="1276"/>
      <c r="T1170" s="1276"/>
      <c r="U1170" s="1276"/>
      <c r="V1170" s="1276"/>
      <c r="W1170" s="1276"/>
      <c r="X1170" s="1276"/>
      <c r="Y1170" s="1276"/>
    </row>
    <row r="1171" spans="1:25">
      <c r="A1171" s="2522"/>
      <c r="B1171" s="2522"/>
      <c r="C1171" s="2522"/>
      <c r="D1171" s="2522"/>
      <c r="E1171" s="1275"/>
      <c r="R1171" s="1276"/>
      <c r="S1171" s="1276"/>
      <c r="T1171" s="1276"/>
      <c r="U1171" s="1276"/>
      <c r="V1171" s="1276"/>
      <c r="W1171" s="1276"/>
      <c r="X1171" s="1276"/>
      <c r="Y1171" s="1276"/>
    </row>
    <row r="1172" spans="1:25">
      <c r="A1172" s="2522"/>
      <c r="B1172" s="2522"/>
      <c r="C1172" s="2522"/>
      <c r="D1172" s="2522"/>
      <c r="E1172" s="1275"/>
      <c r="R1172" s="1276"/>
      <c r="S1172" s="1276"/>
      <c r="T1172" s="1276"/>
      <c r="U1172" s="1276"/>
      <c r="V1172" s="1276"/>
      <c r="W1172" s="1276"/>
      <c r="X1172" s="1276"/>
      <c r="Y1172" s="1276"/>
    </row>
    <row r="1173" spans="1:25">
      <c r="A1173" s="2522"/>
      <c r="B1173" s="2522"/>
      <c r="C1173" s="2522"/>
      <c r="D1173" s="2522"/>
      <c r="E1173" s="1275"/>
      <c r="R1173" s="1276"/>
      <c r="S1173" s="1276"/>
      <c r="T1173" s="1276"/>
      <c r="U1173" s="1276"/>
      <c r="V1173" s="1276"/>
      <c r="W1173" s="1276"/>
      <c r="X1173" s="1276"/>
      <c r="Y1173" s="1276"/>
    </row>
    <row r="1174" spans="1:25">
      <c r="A1174" s="2522"/>
      <c r="B1174" s="2522"/>
      <c r="C1174" s="2522"/>
      <c r="D1174" s="2522"/>
      <c r="E1174" s="1275"/>
      <c r="R1174" s="1276"/>
      <c r="S1174" s="1276"/>
      <c r="T1174" s="1276"/>
      <c r="U1174" s="1276"/>
      <c r="V1174" s="1276"/>
      <c r="W1174" s="1276"/>
      <c r="X1174" s="1276"/>
      <c r="Y1174" s="1276"/>
    </row>
    <row r="1175" spans="1:25">
      <c r="A1175" s="2522"/>
      <c r="B1175" s="2522"/>
      <c r="C1175" s="2522"/>
      <c r="D1175" s="2522"/>
      <c r="E1175" s="1275"/>
      <c r="R1175" s="1276"/>
      <c r="S1175" s="1276"/>
      <c r="T1175" s="1276"/>
      <c r="U1175" s="1276"/>
      <c r="V1175" s="1276"/>
      <c r="W1175" s="1276"/>
      <c r="X1175" s="1276"/>
      <c r="Y1175" s="1276"/>
    </row>
    <row r="1176" spans="1:25">
      <c r="A1176" s="2522"/>
      <c r="B1176" s="2522"/>
      <c r="C1176" s="2522"/>
      <c r="D1176" s="2522"/>
      <c r="E1176" s="1275"/>
      <c r="R1176" s="1276"/>
      <c r="S1176" s="1276"/>
      <c r="T1176" s="1276"/>
      <c r="U1176" s="1276"/>
      <c r="V1176" s="1276"/>
      <c r="W1176" s="1276"/>
      <c r="X1176" s="1276"/>
      <c r="Y1176" s="1276"/>
    </row>
    <row r="1177" spans="1:25">
      <c r="A1177" s="2522"/>
      <c r="B1177" s="2522"/>
      <c r="C1177" s="2522"/>
      <c r="D1177" s="2522"/>
      <c r="E1177" s="1275"/>
      <c r="R1177" s="1276"/>
      <c r="S1177" s="1276"/>
      <c r="T1177" s="1276"/>
      <c r="U1177" s="1276"/>
      <c r="V1177" s="1276"/>
      <c r="W1177" s="1276"/>
      <c r="X1177" s="1276"/>
      <c r="Y1177" s="1276"/>
    </row>
    <row r="1178" spans="1:25">
      <c r="A1178" s="2522"/>
      <c r="B1178" s="2522"/>
      <c r="C1178" s="2522"/>
      <c r="D1178" s="2522"/>
      <c r="E1178" s="1275"/>
      <c r="R1178" s="1276"/>
      <c r="S1178" s="1276"/>
      <c r="T1178" s="1276"/>
      <c r="U1178" s="1276"/>
      <c r="V1178" s="1276"/>
      <c r="W1178" s="1276"/>
      <c r="X1178" s="1276"/>
      <c r="Y1178" s="1276"/>
    </row>
    <row r="1179" spans="1:25">
      <c r="A1179" s="2522"/>
      <c r="B1179" s="2522"/>
      <c r="C1179" s="2522"/>
      <c r="D1179" s="2522"/>
      <c r="E1179" s="1275"/>
      <c r="R1179" s="1276"/>
      <c r="S1179" s="1276"/>
      <c r="T1179" s="1276"/>
      <c r="U1179" s="1276"/>
      <c r="V1179" s="1276"/>
      <c r="W1179" s="1276"/>
      <c r="X1179" s="1276"/>
      <c r="Y1179" s="1276"/>
    </row>
    <row r="1180" spans="1:25">
      <c r="A1180" s="2522"/>
      <c r="B1180" s="2522"/>
      <c r="C1180" s="2522"/>
      <c r="D1180" s="2522"/>
      <c r="E1180" s="1275"/>
      <c r="R1180" s="1276"/>
      <c r="S1180" s="1276"/>
      <c r="T1180" s="1276"/>
      <c r="U1180" s="1276"/>
      <c r="V1180" s="1276"/>
      <c r="W1180" s="1276"/>
      <c r="X1180" s="1276"/>
      <c r="Y1180" s="1276"/>
    </row>
    <row r="1181" spans="1:25">
      <c r="A1181" s="2522"/>
      <c r="B1181" s="2522"/>
      <c r="C1181" s="2522"/>
      <c r="D1181" s="2522"/>
      <c r="E1181" s="1275"/>
      <c r="R1181" s="1276"/>
      <c r="S1181" s="1276"/>
      <c r="T1181" s="1276"/>
      <c r="U1181" s="1276"/>
      <c r="V1181" s="1276"/>
      <c r="W1181" s="1276"/>
      <c r="X1181" s="1276"/>
      <c r="Y1181" s="1276"/>
    </row>
    <row r="1182" spans="1:25">
      <c r="A1182" s="2522"/>
      <c r="B1182" s="2522"/>
      <c r="C1182" s="2522"/>
      <c r="D1182" s="2522"/>
      <c r="E1182" s="1275"/>
      <c r="R1182" s="1276"/>
      <c r="S1182" s="1276"/>
      <c r="T1182" s="1276"/>
      <c r="U1182" s="1276"/>
      <c r="V1182" s="1276"/>
      <c r="W1182" s="1276"/>
      <c r="X1182" s="1276"/>
      <c r="Y1182" s="1276"/>
    </row>
    <row r="1183" spans="1:25">
      <c r="A1183" s="2522"/>
      <c r="B1183" s="2522"/>
      <c r="C1183" s="2522"/>
      <c r="D1183" s="2522"/>
      <c r="E1183" s="1275"/>
      <c r="R1183" s="1276"/>
      <c r="S1183" s="1276"/>
      <c r="T1183" s="1276"/>
      <c r="U1183" s="1276"/>
      <c r="V1183" s="1276"/>
      <c r="W1183" s="1276"/>
      <c r="X1183" s="1276"/>
      <c r="Y1183" s="1276"/>
    </row>
    <row r="1184" spans="1:25">
      <c r="A1184" s="2522"/>
      <c r="B1184" s="2522"/>
      <c r="C1184" s="2522"/>
      <c r="D1184" s="2522"/>
      <c r="E1184" s="1275"/>
      <c r="R1184" s="1276"/>
      <c r="S1184" s="1276"/>
      <c r="T1184" s="1276"/>
      <c r="U1184" s="1276"/>
      <c r="V1184" s="1276"/>
      <c r="W1184" s="1276"/>
      <c r="X1184" s="1276"/>
      <c r="Y1184" s="1276"/>
    </row>
    <row r="1185" spans="1:25">
      <c r="A1185" s="2522"/>
      <c r="B1185" s="2522"/>
      <c r="C1185" s="2522"/>
      <c r="D1185" s="2522"/>
      <c r="E1185" s="1275"/>
      <c r="R1185" s="1276"/>
      <c r="S1185" s="1276"/>
      <c r="T1185" s="1276"/>
      <c r="U1185" s="1276"/>
      <c r="V1185" s="1276"/>
      <c r="W1185" s="1276"/>
      <c r="X1185" s="1276"/>
      <c r="Y1185" s="1276"/>
    </row>
    <row r="1186" spans="1:25">
      <c r="A1186" s="2522"/>
      <c r="B1186" s="2522"/>
      <c r="C1186" s="2522"/>
      <c r="D1186" s="2522"/>
      <c r="E1186" s="1275"/>
      <c r="R1186" s="1276"/>
      <c r="S1186" s="1276"/>
      <c r="T1186" s="1276"/>
      <c r="U1186" s="1276"/>
      <c r="V1186" s="1276"/>
      <c r="W1186" s="1276"/>
      <c r="X1186" s="1276"/>
      <c r="Y1186" s="1276"/>
    </row>
    <row r="1187" spans="1:25">
      <c r="A1187" s="2522"/>
      <c r="B1187" s="2522"/>
      <c r="C1187" s="2522"/>
      <c r="D1187" s="2522"/>
      <c r="E1187" s="1275"/>
      <c r="R1187" s="1276"/>
      <c r="S1187" s="1276"/>
      <c r="T1187" s="1276"/>
      <c r="U1187" s="1276"/>
      <c r="V1187" s="1276"/>
      <c r="W1187" s="1276"/>
      <c r="X1187" s="1276"/>
      <c r="Y1187" s="1276"/>
    </row>
    <row r="1188" spans="1:25">
      <c r="A1188" s="2522"/>
      <c r="B1188" s="2522"/>
      <c r="C1188" s="2522"/>
      <c r="D1188" s="2522"/>
      <c r="E1188" s="1275"/>
      <c r="R1188" s="1276"/>
      <c r="S1188" s="1276"/>
      <c r="T1188" s="1276"/>
      <c r="U1188" s="1276"/>
      <c r="V1188" s="1276"/>
      <c r="W1188" s="1276"/>
      <c r="X1188" s="1276"/>
      <c r="Y1188" s="1276"/>
    </row>
    <row r="1189" spans="1:25">
      <c r="A1189" s="2522"/>
      <c r="B1189" s="2522"/>
      <c r="C1189" s="2522"/>
      <c r="D1189" s="2522"/>
      <c r="E1189" s="1275"/>
      <c r="R1189" s="1276"/>
      <c r="S1189" s="1276"/>
      <c r="T1189" s="1276"/>
      <c r="U1189" s="1276"/>
      <c r="V1189" s="1276"/>
      <c r="W1189" s="1276"/>
      <c r="X1189" s="1276"/>
      <c r="Y1189" s="1276"/>
    </row>
    <row r="1190" spans="1:25">
      <c r="A1190" s="2522"/>
      <c r="B1190" s="2522"/>
      <c r="C1190" s="2522"/>
      <c r="D1190" s="2522"/>
      <c r="E1190" s="1275"/>
      <c r="R1190" s="1276"/>
      <c r="S1190" s="1276"/>
      <c r="T1190" s="1276"/>
      <c r="U1190" s="1276"/>
      <c r="V1190" s="1276"/>
      <c r="W1190" s="1276"/>
      <c r="X1190" s="1276"/>
      <c r="Y1190" s="1276"/>
    </row>
    <row r="1191" spans="1:25">
      <c r="A1191" s="2522"/>
      <c r="B1191" s="2522"/>
      <c r="C1191" s="2522"/>
      <c r="D1191" s="2522"/>
      <c r="E1191" s="1275"/>
      <c r="R1191" s="1276"/>
      <c r="S1191" s="1276"/>
      <c r="T1191" s="1276"/>
      <c r="U1191" s="1276"/>
      <c r="V1191" s="1276"/>
      <c r="W1191" s="1276"/>
      <c r="X1191" s="1276"/>
      <c r="Y1191" s="1276"/>
    </row>
    <row r="1192" spans="1:25">
      <c r="A1192" s="2522"/>
      <c r="B1192" s="2522"/>
      <c r="C1192" s="2522"/>
      <c r="D1192" s="2522"/>
      <c r="E1192" s="1275"/>
      <c r="R1192" s="1276"/>
      <c r="S1192" s="1276"/>
      <c r="T1192" s="1276"/>
      <c r="U1192" s="1276"/>
      <c r="V1192" s="1276"/>
      <c r="W1192" s="1276"/>
      <c r="X1192" s="1276"/>
      <c r="Y1192" s="1276"/>
    </row>
    <row r="1193" spans="1:25">
      <c r="A1193" s="2522"/>
      <c r="B1193" s="2522"/>
      <c r="C1193" s="2522"/>
      <c r="D1193" s="2522"/>
      <c r="E1193" s="1275"/>
      <c r="R1193" s="1276"/>
      <c r="S1193" s="1276"/>
      <c r="T1193" s="1276"/>
      <c r="U1193" s="1276"/>
      <c r="V1193" s="1276"/>
      <c r="W1193" s="1276"/>
      <c r="X1193" s="1276"/>
      <c r="Y1193" s="1276"/>
    </row>
    <row r="1194" spans="1:25">
      <c r="A1194" s="2522"/>
      <c r="B1194" s="2522"/>
      <c r="C1194" s="2522"/>
      <c r="D1194" s="2522"/>
      <c r="E1194" s="1275"/>
      <c r="R1194" s="1276"/>
      <c r="S1194" s="1276"/>
      <c r="T1194" s="1276"/>
      <c r="U1194" s="1276"/>
      <c r="V1194" s="1276"/>
      <c r="W1194" s="1276"/>
      <c r="X1194" s="1276"/>
      <c r="Y1194" s="1276"/>
    </row>
    <row r="1195" spans="1:25">
      <c r="A1195" s="2522"/>
      <c r="B1195" s="2522"/>
      <c r="C1195" s="2522"/>
      <c r="D1195" s="2522"/>
      <c r="E1195" s="1275"/>
      <c r="R1195" s="1276"/>
      <c r="S1195" s="1276"/>
      <c r="T1195" s="1276"/>
      <c r="U1195" s="1276"/>
      <c r="V1195" s="1276"/>
      <c r="W1195" s="1276"/>
      <c r="X1195" s="1276"/>
      <c r="Y1195" s="1276"/>
    </row>
    <row r="1196" spans="1:25">
      <c r="A1196" s="2522"/>
      <c r="B1196" s="2522"/>
      <c r="C1196" s="2522"/>
      <c r="D1196" s="2522"/>
      <c r="E1196" s="1275"/>
      <c r="R1196" s="1276"/>
      <c r="S1196" s="1276"/>
      <c r="T1196" s="1276"/>
      <c r="U1196" s="1276"/>
      <c r="V1196" s="1276"/>
      <c r="W1196" s="1276"/>
      <c r="X1196" s="1276"/>
      <c r="Y1196" s="1276"/>
    </row>
    <row r="1197" spans="1:25">
      <c r="A1197" s="2522"/>
      <c r="B1197" s="2522"/>
      <c r="C1197" s="2522"/>
      <c r="D1197" s="2522"/>
      <c r="E1197" s="1275"/>
      <c r="R1197" s="1276"/>
      <c r="S1197" s="1276"/>
      <c r="T1197" s="1276"/>
      <c r="U1197" s="1276"/>
      <c r="V1197" s="1276"/>
      <c r="W1197" s="1276"/>
      <c r="X1197" s="1276"/>
      <c r="Y1197" s="1276"/>
    </row>
    <row r="1198" spans="1:25">
      <c r="A1198" s="2522"/>
      <c r="B1198" s="2522"/>
      <c r="C1198" s="2522"/>
      <c r="D1198" s="2522"/>
      <c r="E1198" s="1275"/>
      <c r="R1198" s="1276"/>
      <c r="S1198" s="1276"/>
      <c r="T1198" s="1276"/>
      <c r="U1198" s="1276"/>
      <c r="V1198" s="1276"/>
      <c r="W1198" s="1276"/>
      <c r="X1198" s="1276"/>
      <c r="Y1198" s="1276"/>
    </row>
    <row r="1199" spans="1:25">
      <c r="A1199" s="2522"/>
      <c r="B1199" s="2522"/>
      <c r="C1199" s="2522"/>
      <c r="D1199" s="2522"/>
      <c r="E1199" s="1275"/>
      <c r="R1199" s="1276"/>
      <c r="S1199" s="1276"/>
      <c r="T1199" s="1276"/>
      <c r="U1199" s="1276"/>
      <c r="V1199" s="1276"/>
      <c r="W1199" s="1276"/>
      <c r="X1199" s="1276"/>
      <c r="Y1199" s="1276"/>
    </row>
    <row r="1200" spans="1:25">
      <c r="A1200" s="2522"/>
      <c r="B1200" s="2522"/>
      <c r="C1200" s="2522"/>
      <c r="D1200" s="2522"/>
      <c r="E1200" s="1275"/>
      <c r="R1200" s="1276"/>
      <c r="S1200" s="1276"/>
      <c r="T1200" s="1276"/>
      <c r="U1200" s="1276"/>
      <c r="V1200" s="1276"/>
      <c r="W1200" s="1276"/>
      <c r="X1200" s="1276"/>
      <c r="Y1200" s="1276"/>
    </row>
    <row r="1201" spans="1:25">
      <c r="A1201" s="2522"/>
      <c r="B1201" s="2522"/>
      <c r="C1201" s="2522"/>
      <c r="D1201" s="2522"/>
      <c r="E1201" s="1275"/>
      <c r="R1201" s="1276"/>
      <c r="S1201" s="1276"/>
      <c r="T1201" s="1276"/>
      <c r="U1201" s="1276"/>
      <c r="V1201" s="1276"/>
      <c r="W1201" s="1276"/>
      <c r="X1201" s="1276"/>
      <c r="Y1201" s="1276"/>
    </row>
    <row r="1202" spans="1:25">
      <c r="A1202" s="2522"/>
      <c r="B1202" s="2522"/>
      <c r="C1202" s="2522"/>
      <c r="D1202" s="2522"/>
      <c r="E1202" s="1275"/>
      <c r="R1202" s="1276"/>
      <c r="S1202" s="1276"/>
      <c r="T1202" s="1276"/>
      <c r="U1202" s="1276"/>
      <c r="V1202" s="1276"/>
      <c r="W1202" s="1276"/>
      <c r="X1202" s="1276"/>
      <c r="Y1202" s="1276"/>
    </row>
    <row r="1203" spans="1:25">
      <c r="A1203" s="2522"/>
      <c r="B1203" s="2522"/>
      <c r="C1203" s="2522"/>
      <c r="D1203" s="2522"/>
      <c r="E1203" s="1275"/>
      <c r="R1203" s="1276"/>
      <c r="S1203" s="1276"/>
      <c r="T1203" s="1276"/>
      <c r="U1203" s="1276"/>
      <c r="V1203" s="1276"/>
      <c r="W1203" s="1276"/>
      <c r="X1203" s="1276"/>
      <c r="Y1203" s="1276"/>
    </row>
    <row r="1204" spans="1:25">
      <c r="A1204" s="2522"/>
      <c r="B1204" s="2522"/>
      <c r="C1204" s="2522"/>
      <c r="D1204" s="2522"/>
      <c r="E1204" s="1275"/>
      <c r="R1204" s="1276"/>
      <c r="S1204" s="1276"/>
      <c r="T1204" s="1276"/>
      <c r="U1204" s="1276"/>
      <c r="V1204" s="1276"/>
      <c r="W1204" s="1276"/>
      <c r="X1204" s="1276"/>
      <c r="Y1204" s="1276"/>
    </row>
    <row r="1205" spans="1:25">
      <c r="A1205" s="2522"/>
      <c r="B1205" s="2522"/>
      <c r="C1205" s="2522"/>
      <c r="D1205" s="2522"/>
      <c r="E1205" s="1275"/>
      <c r="R1205" s="1276"/>
      <c r="S1205" s="1276"/>
      <c r="T1205" s="1276"/>
      <c r="U1205" s="1276"/>
      <c r="V1205" s="1276"/>
      <c r="W1205" s="1276"/>
      <c r="X1205" s="1276"/>
      <c r="Y1205" s="1276"/>
    </row>
    <row r="1206" spans="1:25">
      <c r="A1206" s="2522"/>
      <c r="B1206" s="2522"/>
      <c r="C1206" s="2522"/>
      <c r="D1206" s="2522"/>
      <c r="E1206" s="1275"/>
      <c r="R1206" s="1276"/>
      <c r="S1206" s="1276"/>
      <c r="T1206" s="1276"/>
      <c r="U1206" s="1276"/>
      <c r="V1206" s="1276"/>
      <c r="W1206" s="1276"/>
      <c r="X1206" s="1276"/>
      <c r="Y1206" s="1276"/>
    </row>
    <row r="1207" spans="1:25">
      <c r="A1207" s="2522"/>
      <c r="B1207" s="2522"/>
      <c r="C1207" s="2522"/>
      <c r="D1207" s="2522"/>
      <c r="E1207" s="1275"/>
      <c r="R1207" s="1276"/>
      <c r="S1207" s="1276"/>
      <c r="T1207" s="1276"/>
      <c r="U1207" s="1276"/>
      <c r="V1207" s="1276"/>
      <c r="W1207" s="1276"/>
      <c r="X1207" s="1276"/>
      <c r="Y1207" s="1276"/>
    </row>
    <row r="1208" spans="1:25">
      <c r="A1208" s="2522"/>
      <c r="B1208" s="2522"/>
      <c r="C1208" s="2522"/>
      <c r="D1208" s="2522"/>
      <c r="E1208" s="1275"/>
      <c r="R1208" s="1276"/>
      <c r="S1208" s="1276"/>
      <c r="T1208" s="1276"/>
      <c r="U1208" s="1276"/>
      <c r="V1208" s="1276"/>
      <c r="W1208" s="1276"/>
      <c r="X1208" s="1276"/>
      <c r="Y1208" s="1276"/>
    </row>
    <row r="1209" spans="1:25">
      <c r="A1209" s="2522"/>
      <c r="B1209" s="2522"/>
      <c r="C1209" s="2522"/>
      <c r="D1209" s="2522"/>
      <c r="E1209" s="1275"/>
      <c r="R1209" s="1276"/>
      <c r="S1209" s="1276"/>
      <c r="T1209" s="1276"/>
      <c r="U1209" s="1276"/>
      <c r="V1209" s="1276"/>
      <c r="W1209" s="1276"/>
      <c r="X1209" s="1276"/>
      <c r="Y1209" s="1276"/>
    </row>
    <row r="1210" spans="1:25">
      <c r="A1210" s="2522"/>
      <c r="B1210" s="2522"/>
      <c r="C1210" s="2522"/>
      <c r="D1210" s="2522"/>
      <c r="E1210" s="1275"/>
      <c r="R1210" s="1276"/>
      <c r="S1210" s="1276"/>
      <c r="T1210" s="1276"/>
      <c r="U1210" s="1276"/>
      <c r="V1210" s="1276"/>
      <c r="W1210" s="1276"/>
      <c r="X1210" s="1276"/>
      <c r="Y1210" s="1276"/>
    </row>
    <row r="1211" spans="1:25">
      <c r="A1211" s="2522"/>
      <c r="B1211" s="2522"/>
      <c r="C1211" s="2522"/>
      <c r="D1211" s="2522"/>
      <c r="E1211" s="1275"/>
      <c r="R1211" s="1276"/>
      <c r="S1211" s="1276"/>
      <c r="T1211" s="1276"/>
      <c r="U1211" s="1276"/>
      <c r="V1211" s="1276"/>
      <c r="W1211" s="1276"/>
      <c r="X1211" s="1276"/>
      <c r="Y1211" s="1276"/>
    </row>
    <row r="1212" spans="1:25">
      <c r="A1212" s="2522"/>
      <c r="B1212" s="2522"/>
      <c r="C1212" s="2522"/>
      <c r="D1212" s="2522"/>
      <c r="E1212" s="1275"/>
      <c r="R1212" s="1276"/>
      <c r="S1212" s="1276"/>
      <c r="T1212" s="1276"/>
      <c r="U1212" s="1276"/>
      <c r="V1212" s="1276"/>
      <c r="W1212" s="1276"/>
      <c r="X1212" s="1276"/>
      <c r="Y1212" s="1276"/>
    </row>
    <row r="1213" spans="1:25">
      <c r="A1213" s="2522"/>
      <c r="B1213" s="2522"/>
      <c r="C1213" s="2522"/>
      <c r="D1213" s="2522"/>
      <c r="E1213" s="1275"/>
      <c r="R1213" s="1276"/>
      <c r="S1213" s="1276"/>
      <c r="T1213" s="1276"/>
      <c r="U1213" s="1276"/>
      <c r="V1213" s="1276"/>
      <c r="W1213" s="1276"/>
      <c r="X1213" s="1276"/>
      <c r="Y1213" s="1276"/>
    </row>
    <row r="1214" spans="1:25">
      <c r="A1214" s="2522"/>
      <c r="B1214" s="2522"/>
      <c r="C1214" s="2522"/>
      <c r="D1214" s="2522"/>
      <c r="E1214" s="1275"/>
      <c r="R1214" s="1276"/>
      <c r="S1214" s="1276"/>
      <c r="T1214" s="1276"/>
      <c r="U1214" s="1276"/>
      <c r="V1214" s="1276"/>
      <c r="W1214" s="1276"/>
      <c r="X1214" s="1276"/>
      <c r="Y1214" s="1276"/>
    </row>
    <row r="1215" spans="1:25">
      <c r="A1215" s="2522"/>
      <c r="B1215" s="2522"/>
      <c r="C1215" s="2522"/>
      <c r="D1215" s="2522"/>
      <c r="E1215" s="1275"/>
      <c r="R1215" s="1276"/>
      <c r="S1215" s="1276"/>
      <c r="T1215" s="1276"/>
      <c r="U1215" s="1276"/>
      <c r="V1215" s="1276"/>
      <c r="W1215" s="1276"/>
      <c r="X1215" s="1276"/>
      <c r="Y1215" s="1276"/>
    </row>
    <row r="1216" spans="1:25">
      <c r="A1216" s="2522"/>
      <c r="B1216" s="2522"/>
      <c r="C1216" s="2522"/>
      <c r="D1216" s="2522"/>
      <c r="E1216" s="1275"/>
      <c r="R1216" s="1276"/>
      <c r="S1216" s="1276"/>
      <c r="T1216" s="1276"/>
      <c r="U1216" s="1276"/>
      <c r="V1216" s="1276"/>
      <c r="W1216" s="1276"/>
      <c r="X1216" s="1276"/>
      <c r="Y1216" s="1276"/>
    </row>
    <row r="1217" spans="1:25">
      <c r="A1217" s="2522"/>
      <c r="B1217" s="2522"/>
      <c r="C1217" s="2522"/>
      <c r="D1217" s="2522"/>
      <c r="E1217" s="1275"/>
      <c r="R1217" s="1276"/>
      <c r="S1217" s="1276"/>
      <c r="T1217" s="1276"/>
      <c r="U1217" s="1276"/>
      <c r="V1217" s="1276"/>
      <c r="W1217" s="1276"/>
      <c r="X1217" s="1276"/>
      <c r="Y1217" s="1276"/>
    </row>
    <row r="1218" spans="1:25">
      <c r="A1218" s="2522"/>
      <c r="B1218" s="2522"/>
      <c r="C1218" s="2522"/>
      <c r="D1218" s="2522"/>
      <c r="E1218" s="1275"/>
      <c r="R1218" s="1276"/>
      <c r="S1218" s="1276"/>
      <c r="T1218" s="1276"/>
      <c r="U1218" s="1276"/>
      <c r="V1218" s="1276"/>
      <c r="W1218" s="1276"/>
      <c r="X1218" s="1276"/>
      <c r="Y1218" s="1276"/>
    </row>
    <row r="1219" spans="1:25">
      <c r="A1219" s="2522"/>
      <c r="B1219" s="2522"/>
      <c r="C1219" s="2522"/>
      <c r="D1219" s="2522"/>
      <c r="E1219" s="1275"/>
      <c r="R1219" s="1276"/>
      <c r="S1219" s="1276"/>
      <c r="T1219" s="1276"/>
      <c r="U1219" s="1276"/>
      <c r="V1219" s="1276"/>
      <c r="W1219" s="1276"/>
      <c r="X1219" s="1276"/>
      <c r="Y1219" s="1276"/>
    </row>
    <row r="1220" spans="1:25">
      <c r="A1220" s="2522"/>
      <c r="B1220" s="2522"/>
      <c r="C1220" s="2522"/>
      <c r="D1220" s="2522"/>
      <c r="E1220" s="1275"/>
      <c r="R1220" s="1276"/>
      <c r="S1220" s="1276"/>
      <c r="T1220" s="1276"/>
      <c r="U1220" s="1276"/>
      <c r="V1220" s="1276"/>
      <c r="W1220" s="1276"/>
      <c r="X1220" s="1276"/>
      <c r="Y1220" s="1276"/>
    </row>
    <row r="1221" spans="1:25">
      <c r="A1221" s="2522"/>
      <c r="B1221" s="2522"/>
      <c r="C1221" s="2522"/>
      <c r="D1221" s="2522"/>
      <c r="E1221" s="1275"/>
      <c r="R1221" s="1276"/>
      <c r="S1221" s="1276"/>
      <c r="T1221" s="1276"/>
      <c r="U1221" s="1276"/>
      <c r="V1221" s="1276"/>
      <c r="W1221" s="1276"/>
      <c r="X1221" s="1276"/>
      <c r="Y1221" s="1276"/>
    </row>
    <row r="1222" spans="1:25">
      <c r="A1222" s="2522"/>
      <c r="B1222" s="2522"/>
      <c r="C1222" s="2522"/>
      <c r="D1222" s="2522"/>
      <c r="E1222" s="1275"/>
      <c r="R1222" s="1276"/>
      <c r="S1222" s="1276"/>
      <c r="T1222" s="1276"/>
      <c r="U1222" s="1276"/>
      <c r="V1222" s="1276"/>
      <c r="W1222" s="1276"/>
      <c r="X1222" s="1276"/>
      <c r="Y1222" s="1276"/>
    </row>
    <row r="1223" spans="1:25">
      <c r="A1223" s="2522"/>
      <c r="B1223" s="2522"/>
      <c r="C1223" s="2522"/>
      <c r="D1223" s="2522"/>
      <c r="E1223" s="1275"/>
      <c r="R1223" s="1276"/>
      <c r="S1223" s="1276"/>
      <c r="T1223" s="1276"/>
      <c r="U1223" s="1276"/>
      <c r="V1223" s="1276"/>
      <c r="W1223" s="1276"/>
      <c r="X1223" s="1276"/>
      <c r="Y1223" s="1276"/>
    </row>
    <row r="1224" spans="1:25">
      <c r="A1224" s="2522"/>
      <c r="B1224" s="2522"/>
      <c r="C1224" s="2522"/>
      <c r="D1224" s="2522"/>
      <c r="E1224" s="1275"/>
      <c r="R1224" s="1276"/>
      <c r="S1224" s="1276"/>
      <c r="T1224" s="1276"/>
      <c r="U1224" s="1276"/>
      <c r="V1224" s="1276"/>
      <c r="W1224" s="1276"/>
      <c r="X1224" s="1276"/>
      <c r="Y1224" s="1276"/>
    </row>
    <row r="1225" spans="1:25">
      <c r="A1225" s="2522"/>
      <c r="B1225" s="2522"/>
      <c r="C1225" s="2522"/>
      <c r="D1225" s="2522"/>
      <c r="E1225" s="1275"/>
      <c r="R1225" s="1276"/>
      <c r="S1225" s="1276"/>
      <c r="T1225" s="1276"/>
      <c r="U1225" s="1276"/>
      <c r="V1225" s="1276"/>
      <c r="W1225" s="1276"/>
      <c r="X1225" s="1276"/>
      <c r="Y1225" s="1276"/>
    </row>
    <row r="1226" spans="1:25">
      <c r="A1226" s="2522"/>
      <c r="B1226" s="2522"/>
      <c r="C1226" s="2522"/>
      <c r="D1226" s="2522"/>
      <c r="E1226" s="1275"/>
      <c r="R1226" s="1276"/>
      <c r="S1226" s="1276"/>
      <c r="T1226" s="1276"/>
      <c r="U1226" s="1276"/>
      <c r="V1226" s="1276"/>
      <c r="W1226" s="1276"/>
      <c r="X1226" s="1276"/>
      <c r="Y1226" s="1276"/>
    </row>
    <row r="1227" spans="1:25">
      <c r="A1227" s="2522"/>
      <c r="B1227" s="2522"/>
      <c r="C1227" s="2522"/>
      <c r="D1227" s="2522"/>
      <c r="E1227" s="1275"/>
      <c r="R1227" s="1276"/>
      <c r="S1227" s="1276"/>
      <c r="T1227" s="1276"/>
      <c r="U1227" s="1276"/>
      <c r="V1227" s="1276"/>
      <c r="W1227" s="1276"/>
      <c r="X1227" s="1276"/>
      <c r="Y1227" s="1276"/>
    </row>
    <row r="1228" spans="1:25">
      <c r="A1228" s="2522"/>
      <c r="B1228" s="2522"/>
      <c r="C1228" s="2522"/>
      <c r="D1228" s="2522"/>
      <c r="E1228" s="1275"/>
      <c r="R1228" s="1276"/>
      <c r="S1228" s="1276"/>
      <c r="T1228" s="1276"/>
      <c r="U1228" s="1276"/>
      <c r="V1228" s="1276"/>
      <c r="W1228" s="1276"/>
      <c r="X1228" s="1276"/>
      <c r="Y1228" s="1276"/>
    </row>
    <row r="1229" spans="1:25">
      <c r="A1229" s="2522"/>
      <c r="B1229" s="2522"/>
      <c r="C1229" s="2522"/>
      <c r="D1229" s="2522"/>
      <c r="E1229" s="1275"/>
      <c r="R1229" s="1276"/>
      <c r="S1229" s="1276"/>
      <c r="T1229" s="1276"/>
      <c r="U1229" s="1276"/>
      <c r="V1229" s="1276"/>
      <c r="W1229" s="1276"/>
      <c r="X1229" s="1276"/>
      <c r="Y1229" s="1276"/>
    </row>
    <row r="1230" spans="1:25">
      <c r="A1230" s="2522"/>
      <c r="B1230" s="2522"/>
      <c r="C1230" s="2522"/>
      <c r="D1230" s="2522"/>
      <c r="E1230" s="1275"/>
      <c r="R1230" s="1276"/>
      <c r="S1230" s="1276"/>
      <c r="T1230" s="1276"/>
      <c r="U1230" s="1276"/>
      <c r="V1230" s="1276"/>
      <c r="W1230" s="1276"/>
      <c r="X1230" s="1276"/>
      <c r="Y1230" s="1276"/>
    </row>
    <row r="1231" spans="1:25">
      <c r="A1231" s="2522"/>
      <c r="B1231" s="2522"/>
      <c r="C1231" s="2522"/>
      <c r="D1231" s="2522"/>
      <c r="E1231" s="1275"/>
      <c r="R1231" s="1276"/>
      <c r="S1231" s="1276"/>
      <c r="T1231" s="1276"/>
      <c r="U1231" s="1276"/>
      <c r="V1231" s="1276"/>
      <c r="W1231" s="1276"/>
      <c r="X1231" s="1276"/>
      <c r="Y1231" s="1276"/>
    </row>
    <row r="1232" spans="1:25">
      <c r="A1232" s="2522"/>
      <c r="B1232" s="2522"/>
      <c r="C1232" s="2522"/>
      <c r="D1232" s="2522"/>
      <c r="E1232" s="1275"/>
      <c r="R1232" s="1276"/>
      <c r="S1232" s="1276"/>
      <c r="T1232" s="1276"/>
      <c r="U1232" s="1276"/>
      <c r="V1232" s="1276"/>
      <c r="W1232" s="1276"/>
      <c r="X1232" s="1276"/>
      <c r="Y1232" s="1276"/>
    </row>
    <row r="1233" spans="1:25">
      <c r="A1233" s="2522"/>
      <c r="B1233" s="2522"/>
      <c r="C1233" s="2522"/>
      <c r="D1233" s="2522"/>
      <c r="E1233" s="1275"/>
      <c r="R1233" s="1276"/>
      <c r="S1233" s="1276"/>
      <c r="T1233" s="1276"/>
      <c r="U1233" s="1276"/>
      <c r="V1233" s="1276"/>
      <c r="W1233" s="1276"/>
      <c r="X1233" s="1276"/>
      <c r="Y1233" s="1276"/>
    </row>
    <row r="1234" spans="1:25">
      <c r="A1234" s="2522"/>
      <c r="B1234" s="2522"/>
      <c r="C1234" s="2522"/>
      <c r="D1234" s="2522"/>
      <c r="E1234" s="1275"/>
      <c r="R1234" s="1276"/>
      <c r="S1234" s="1276"/>
      <c r="T1234" s="1276"/>
      <c r="U1234" s="1276"/>
      <c r="V1234" s="1276"/>
      <c r="W1234" s="1276"/>
      <c r="X1234" s="1276"/>
      <c r="Y1234" s="1276"/>
    </row>
    <row r="1235" spans="1:25">
      <c r="A1235" s="2522"/>
      <c r="B1235" s="2522"/>
      <c r="C1235" s="2522"/>
      <c r="D1235" s="2522"/>
      <c r="E1235" s="1275"/>
      <c r="R1235" s="1276"/>
      <c r="S1235" s="1276"/>
      <c r="T1235" s="1276"/>
      <c r="U1235" s="1276"/>
      <c r="V1235" s="1276"/>
      <c r="W1235" s="1276"/>
      <c r="X1235" s="1276"/>
      <c r="Y1235" s="1276"/>
    </row>
    <row r="1236" spans="1:25">
      <c r="A1236" s="2522"/>
      <c r="B1236" s="2522"/>
      <c r="C1236" s="2522"/>
      <c r="D1236" s="2522"/>
      <c r="E1236" s="1275"/>
      <c r="R1236" s="1276"/>
      <c r="S1236" s="1276"/>
      <c r="T1236" s="1276"/>
      <c r="U1236" s="1276"/>
      <c r="V1236" s="1276"/>
      <c r="W1236" s="1276"/>
      <c r="X1236" s="1276"/>
      <c r="Y1236" s="1276"/>
    </row>
    <row r="1237" spans="1:25">
      <c r="A1237" s="2522"/>
      <c r="B1237" s="2522"/>
      <c r="C1237" s="2522"/>
      <c r="D1237" s="2522"/>
      <c r="E1237" s="1275"/>
      <c r="R1237" s="1276"/>
      <c r="S1237" s="1276"/>
      <c r="T1237" s="1276"/>
      <c r="U1237" s="1276"/>
      <c r="V1237" s="1276"/>
      <c r="W1237" s="1276"/>
      <c r="X1237" s="1276"/>
      <c r="Y1237" s="1276"/>
    </row>
    <row r="1238" spans="1:25">
      <c r="A1238" s="2522"/>
      <c r="B1238" s="2522"/>
      <c r="C1238" s="2522"/>
      <c r="D1238" s="2522"/>
      <c r="E1238" s="1275"/>
      <c r="R1238" s="1276"/>
      <c r="S1238" s="1276"/>
      <c r="T1238" s="1276"/>
      <c r="U1238" s="1276"/>
      <c r="V1238" s="1276"/>
      <c r="W1238" s="1276"/>
      <c r="X1238" s="1276"/>
      <c r="Y1238" s="1276"/>
    </row>
    <row r="1239" spans="1:25">
      <c r="A1239" s="2522"/>
      <c r="B1239" s="2522"/>
      <c r="C1239" s="2522"/>
      <c r="D1239" s="2522"/>
      <c r="E1239" s="1275"/>
      <c r="R1239" s="1276"/>
      <c r="S1239" s="1276"/>
      <c r="T1239" s="1276"/>
      <c r="U1239" s="1276"/>
      <c r="V1239" s="1276"/>
      <c r="W1239" s="1276"/>
      <c r="X1239" s="1276"/>
      <c r="Y1239" s="1276"/>
    </row>
    <row r="1240" spans="1:25">
      <c r="A1240" s="2522"/>
      <c r="B1240" s="2522"/>
      <c r="C1240" s="2522"/>
      <c r="D1240" s="2522"/>
      <c r="E1240" s="1275"/>
      <c r="R1240" s="1276"/>
      <c r="S1240" s="1276"/>
      <c r="T1240" s="1276"/>
      <c r="U1240" s="1276"/>
      <c r="V1240" s="1276"/>
      <c r="W1240" s="1276"/>
      <c r="X1240" s="1276"/>
      <c r="Y1240" s="1276"/>
    </row>
    <row r="1241" spans="1:25">
      <c r="A1241" s="2522"/>
      <c r="B1241" s="2522"/>
      <c r="C1241" s="2522"/>
      <c r="D1241" s="2522"/>
      <c r="E1241" s="1275"/>
      <c r="R1241" s="1276"/>
      <c r="S1241" s="1276"/>
      <c r="T1241" s="1276"/>
      <c r="U1241" s="1276"/>
      <c r="V1241" s="1276"/>
      <c r="W1241" s="1276"/>
      <c r="X1241" s="1276"/>
      <c r="Y1241" s="1276"/>
    </row>
    <row r="1242" spans="1:25">
      <c r="A1242" s="2522"/>
      <c r="B1242" s="2522"/>
      <c r="C1242" s="2522"/>
      <c r="D1242" s="2522"/>
      <c r="E1242" s="1275"/>
      <c r="R1242" s="1276"/>
      <c r="S1242" s="1276"/>
      <c r="T1242" s="1276"/>
      <c r="U1242" s="1276"/>
      <c r="V1242" s="1276"/>
      <c r="W1242" s="1276"/>
      <c r="X1242" s="1276"/>
      <c r="Y1242" s="1276"/>
    </row>
    <row r="1243" spans="1:25">
      <c r="A1243" s="2522"/>
      <c r="B1243" s="2522"/>
      <c r="C1243" s="2522"/>
      <c r="D1243" s="2522"/>
      <c r="E1243" s="1275"/>
      <c r="R1243" s="1276"/>
      <c r="S1243" s="1276"/>
      <c r="T1243" s="1276"/>
      <c r="U1243" s="1276"/>
      <c r="V1243" s="1276"/>
      <c r="W1243" s="1276"/>
      <c r="X1243" s="1276"/>
      <c r="Y1243" s="1276"/>
    </row>
    <row r="1244" spans="1:25">
      <c r="A1244" s="2522"/>
      <c r="B1244" s="2522"/>
      <c r="C1244" s="2522"/>
      <c r="D1244" s="2522"/>
      <c r="E1244" s="1275"/>
      <c r="R1244" s="1276"/>
      <c r="S1244" s="1276"/>
      <c r="T1244" s="1276"/>
      <c r="U1244" s="1276"/>
      <c r="V1244" s="1276"/>
      <c r="W1244" s="1276"/>
      <c r="X1244" s="1276"/>
      <c r="Y1244" s="1276"/>
    </row>
    <row r="1245" spans="1:25">
      <c r="A1245" s="2522"/>
      <c r="B1245" s="2522"/>
      <c r="C1245" s="2522"/>
      <c r="D1245" s="2522"/>
      <c r="E1245" s="1275"/>
      <c r="R1245" s="1276"/>
      <c r="S1245" s="1276"/>
      <c r="T1245" s="1276"/>
      <c r="U1245" s="1276"/>
      <c r="V1245" s="1276"/>
      <c r="W1245" s="1276"/>
      <c r="X1245" s="1276"/>
      <c r="Y1245" s="1276"/>
    </row>
    <row r="1246" spans="1:25">
      <c r="A1246" s="2522"/>
      <c r="B1246" s="2522"/>
      <c r="C1246" s="2522"/>
      <c r="D1246" s="2522"/>
      <c r="E1246" s="1275"/>
      <c r="R1246" s="1276"/>
      <c r="S1246" s="1276"/>
      <c r="T1246" s="1276"/>
      <c r="U1246" s="1276"/>
      <c r="V1246" s="1276"/>
      <c r="W1246" s="1276"/>
      <c r="X1246" s="1276"/>
      <c r="Y1246" s="1276"/>
    </row>
    <row r="1247" spans="1:25">
      <c r="A1247" s="2522"/>
      <c r="B1247" s="2522"/>
      <c r="C1247" s="2522"/>
      <c r="D1247" s="2522"/>
      <c r="E1247" s="1275"/>
      <c r="R1247" s="1276"/>
      <c r="S1247" s="1276"/>
      <c r="T1247" s="1276"/>
      <c r="U1247" s="1276"/>
      <c r="V1247" s="1276"/>
      <c r="W1247" s="1276"/>
      <c r="X1247" s="1276"/>
      <c r="Y1247" s="1276"/>
    </row>
    <row r="1248" spans="1:25">
      <c r="A1248" s="2522"/>
      <c r="B1248" s="2522"/>
      <c r="C1248" s="2522"/>
      <c r="D1248" s="2522"/>
      <c r="E1248" s="1275"/>
      <c r="R1248" s="1276"/>
      <c r="S1248" s="1276"/>
      <c r="T1248" s="1276"/>
      <c r="U1248" s="1276"/>
      <c r="V1248" s="1276"/>
      <c r="W1248" s="1276"/>
      <c r="X1248" s="1276"/>
      <c r="Y1248" s="1276"/>
    </row>
    <row r="1249" spans="1:25">
      <c r="A1249" s="2522"/>
      <c r="B1249" s="2522"/>
      <c r="C1249" s="2522"/>
      <c r="D1249" s="2522"/>
      <c r="E1249" s="1275"/>
      <c r="R1249" s="1276"/>
      <c r="S1249" s="1276"/>
      <c r="T1249" s="1276"/>
      <c r="U1249" s="1276"/>
      <c r="V1249" s="1276"/>
      <c r="W1249" s="1276"/>
      <c r="X1249" s="1276"/>
      <c r="Y1249" s="1276"/>
    </row>
    <row r="1250" spans="1:25">
      <c r="A1250" s="2522"/>
      <c r="B1250" s="2522"/>
      <c r="C1250" s="2522"/>
      <c r="D1250" s="2522"/>
      <c r="E1250" s="1275"/>
      <c r="R1250" s="1276"/>
      <c r="S1250" s="1276"/>
      <c r="T1250" s="1276"/>
      <c r="U1250" s="1276"/>
      <c r="V1250" s="1276"/>
      <c r="W1250" s="1276"/>
      <c r="X1250" s="1276"/>
      <c r="Y1250" s="1276"/>
    </row>
    <row r="1251" spans="1:25">
      <c r="A1251" s="2522"/>
      <c r="B1251" s="2522"/>
      <c r="C1251" s="2522"/>
      <c r="D1251" s="2522"/>
      <c r="E1251" s="1275"/>
      <c r="R1251" s="1276"/>
      <c r="S1251" s="1276"/>
      <c r="T1251" s="1276"/>
      <c r="U1251" s="1276"/>
      <c r="V1251" s="1276"/>
      <c r="W1251" s="1276"/>
      <c r="X1251" s="1276"/>
      <c r="Y1251" s="1276"/>
    </row>
    <row r="1252" spans="1:25">
      <c r="A1252" s="2522"/>
      <c r="B1252" s="2522"/>
      <c r="C1252" s="2522"/>
      <c r="D1252" s="2522"/>
      <c r="E1252" s="1275"/>
      <c r="R1252" s="1276"/>
      <c r="S1252" s="1276"/>
      <c r="T1252" s="1276"/>
      <c r="U1252" s="1276"/>
      <c r="V1252" s="1276"/>
      <c r="W1252" s="1276"/>
      <c r="X1252" s="1276"/>
      <c r="Y1252" s="1276"/>
    </row>
    <row r="1253" spans="1:25">
      <c r="A1253" s="2522"/>
      <c r="B1253" s="2522"/>
      <c r="C1253" s="2522"/>
      <c r="D1253" s="2522"/>
      <c r="E1253" s="1275"/>
      <c r="R1253" s="1276"/>
      <c r="S1253" s="1276"/>
      <c r="T1253" s="1276"/>
      <c r="U1253" s="1276"/>
      <c r="V1253" s="1276"/>
      <c r="W1253" s="1276"/>
      <c r="X1253" s="1276"/>
      <c r="Y1253" s="1276"/>
    </row>
    <row r="1254" spans="1:25">
      <c r="A1254" s="2522"/>
      <c r="B1254" s="2522"/>
      <c r="C1254" s="2522"/>
      <c r="D1254" s="2522"/>
      <c r="E1254" s="1275"/>
      <c r="R1254" s="1276"/>
      <c r="S1254" s="1276"/>
      <c r="T1254" s="1276"/>
      <c r="U1254" s="1276"/>
      <c r="V1254" s="1276"/>
      <c r="W1254" s="1276"/>
      <c r="X1254" s="1276"/>
      <c r="Y1254" s="1276"/>
    </row>
    <row r="1255" spans="1:25">
      <c r="A1255" s="2522"/>
      <c r="B1255" s="2522"/>
      <c r="C1255" s="2522"/>
      <c r="D1255" s="2522"/>
      <c r="E1255" s="1275"/>
      <c r="R1255" s="1276"/>
      <c r="S1255" s="1276"/>
      <c r="T1255" s="1276"/>
      <c r="U1255" s="1276"/>
      <c r="V1255" s="1276"/>
      <c r="W1255" s="1276"/>
      <c r="X1255" s="1276"/>
      <c r="Y1255" s="1276"/>
    </row>
    <row r="1256" spans="1:25">
      <c r="A1256" s="2522"/>
      <c r="B1256" s="2522"/>
      <c r="C1256" s="2522"/>
      <c r="D1256" s="2522"/>
      <c r="E1256" s="1275"/>
      <c r="R1256" s="1276"/>
      <c r="S1256" s="1276"/>
      <c r="T1256" s="1276"/>
      <c r="U1256" s="1276"/>
      <c r="V1256" s="1276"/>
      <c r="W1256" s="1276"/>
      <c r="X1256" s="1276"/>
      <c r="Y1256" s="1276"/>
    </row>
    <row r="1257" spans="1:25">
      <c r="A1257" s="2522"/>
      <c r="B1257" s="2522"/>
      <c r="C1257" s="2522"/>
      <c r="D1257" s="2522"/>
      <c r="E1257" s="1275"/>
      <c r="R1257" s="1276"/>
      <c r="S1257" s="1276"/>
      <c r="T1257" s="1276"/>
      <c r="U1257" s="1276"/>
      <c r="V1257" s="1276"/>
      <c r="W1257" s="1276"/>
      <c r="X1257" s="1276"/>
      <c r="Y1257" s="1276"/>
    </row>
    <row r="1258" spans="1:25">
      <c r="A1258" s="2522"/>
      <c r="B1258" s="2522"/>
      <c r="C1258" s="2522"/>
      <c r="D1258" s="2522"/>
      <c r="E1258" s="1275"/>
      <c r="R1258" s="1276"/>
      <c r="S1258" s="1276"/>
      <c r="T1258" s="1276"/>
      <c r="U1258" s="1276"/>
      <c r="V1258" s="1276"/>
      <c r="W1258" s="1276"/>
      <c r="X1258" s="1276"/>
      <c r="Y1258" s="1276"/>
    </row>
    <row r="1259" spans="1:25">
      <c r="A1259" s="2522"/>
      <c r="B1259" s="2522"/>
      <c r="C1259" s="2522"/>
      <c r="D1259" s="2522"/>
      <c r="E1259" s="1275"/>
      <c r="R1259" s="1276"/>
      <c r="S1259" s="1276"/>
      <c r="T1259" s="1276"/>
      <c r="U1259" s="1276"/>
      <c r="V1259" s="1276"/>
      <c r="W1259" s="1276"/>
      <c r="X1259" s="1276"/>
      <c r="Y1259" s="1276"/>
    </row>
    <row r="1260" spans="1:25">
      <c r="A1260" s="2522"/>
      <c r="B1260" s="2522"/>
      <c r="C1260" s="2522"/>
      <c r="D1260" s="2522"/>
      <c r="E1260" s="1275"/>
      <c r="R1260" s="1276"/>
      <c r="S1260" s="1276"/>
      <c r="T1260" s="1276"/>
      <c r="U1260" s="1276"/>
      <c r="V1260" s="1276"/>
      <c r="W1260" s="1276"/>
      <c r="X1260" s="1276"/>
      <c r="Y1260" s="1276"/>
    </row>
    <row r="1261" spans="1:25">
      <c r="A1261" s="2522"/>
      <c r="B1261" s="2522"/>
      <c r="C1261" s="2522"/>
      <c r="D1261" s="2522"/>
      <c r="E1261" s="1275"/>
      <c r="R1261" s="1276"/>
      <c r="S1261" s="1276"/>
      <c r="T1261" s="1276"/>
      <c r="U1261" s="1276"/>
      <c r="V1261" s="1276"/>
      <c r="W1261" s="1276"/>
      <c r="X1261" s="1276"/>
      <c r="Y1261" s="1276"/>
    </row>
    <row r="1262" spans="1:25">
      <c r="A1262" s="2522"/>
      <c r="B1262" s="2522"/>
      <c r="C1262" s="2522"/>
      <c r="D1262" s="2522"/>
      <c r="E1262" s="1275"/>
      <c r="R1262" s="1276"/>
      <c r="S1262" s="1276"/>
      <c r="T1262" s="1276"/>
      <c r="U1262" s="1276"/>
      <c r="V1262" s="1276"/>
      <c r="W1262" s="1276"/>
      <c r="X1262" s="1276"/>
      <c r="Y1262" s="1276"/>
    </row>
    <row r="1263" spans="1:25">
      <c r="A1263" s="2522"/>
      <c r="B1263" s="2522"/>
      <c r="C1263" s="2522"/>
      <c r="D1263" s="2522"/>
      <c r="E1263" s="1275"/>
      <c r="R1263" s="1276"/>
      <c r="S1263" s="1276"/>
      <c r="T1263" s="1276"/>
      <c r="U1263" s="1276"/>
      <c r="V1263" s="1276"/>
      <c r="W1263" s="1276"/>
      <c r="X1263" s="1276"/>
      <c r="Y1263" s="1276"/>
    </row>
    <row r="1264" spans="1:25">
      <c r="A1264" s="2522"/>
      <c r="B1264" s="2522"/>
      <c r="C1264" s="2522"/>
      <c r="D1264" s="2522"/>
      <c r="E1264" s="1275"/>
      <c r="R1264" s="1276"/>
      <c r="S1264" s="1276"/>
      <c r="T1264" s="1276"/>
      <c r="U1264" s="1276"/>
      <c r="V1264" s="1276"/>
      <c r="W1264" s="1276"/>
      <c r="X1264" s="1276"/>
      <c r="Y1264" s="1276"/>
    </row>
    <row r="1265" spans="1:25">
      <c r="A1265" s="2522"/>
      <c r="B1265" s="2522"/>
      <c r="C1265" s="2522"/>
      <c r="D1265" s="2522"/>
      <c r="E1265" s="1275"/>
      <c r="R1265" s="1276"/>
      <c r="S1265" s="1276"/>
      <c r="T1265" s="1276"/>
      <c r="U1265" s="1276"/>
      <c r="V1265" s="1276"/>
      <c r="W1265" s="1276"/>
      <c r="X1265" s="1276"/>
      <c r="Y1265" s="1276"/>
    </row>
    <row r="1266" spans="1:25">
      <c r="A1266" s="2522"/>
      <c r="B1266" s="2522"/>
      <c r="C1266" s="2522"/>
      <c r="D1266" s="2522"/>
      <c r="E1266" s="1275"/>
      <c r="R1266" s="1276"/>
      <c r="S1266" s="1276"/>
      <c r="T1266" s="1276"/>
      <c r="U1266" s="1276"/>
      <c r="V1266" s="1276"/>
      <c r="W1266" s="1276"/>
      <c r="X1266" s="1276"/>
      <c r="Y1266" s="1276"/>
    </row>
    <row r="1267" spans="1:25">
      <c r="A1267" s="2522"/>
      <c r="B1267" s="2522"/>
      <c r="C1267" s="2522"/>
      <c r="D1267" s="2522"/>
      <c r="E1267" s="1275"/>
      <c r="R1267" s="1276"/>
      <c r="S1267" s="1276"/>
      <c r="T1267" s="1276"/>
      <c r="U1267" s="1276"/>
      <c r="V1267" s="1276"/>
      <c r="W1267" s="1276"/>
      <c r="X1267" s="1276"/>
      <c r="Y1267" s="1276"/>
    </row>
    <row r="1268" spans="1:25">
      <c r="A1268" s="2522"/>
      <c r="B1268" s="2522"/>
      <c r="C1268" s="2522"/>
      <c r="D1268" s="2522"/>
      <c r="E1268" s="1275"/>
      <c r="R1268" s="1276"/>
      <c r="S1268" s="1276"/>
      <c r="T1268" s="1276"/>
      <c r="U1268" s="1276"/>
      <c r="V1268" s="1276"/>
      <c r="W1268" s="1276"/>
      <c r="X1268" s="1276"/>
      <c r="Y1268" s="1276"/>
    </row>
    <row r="1269" spans="1:25">
      <c r="A1269" s="2522"/>
      <c r="B1269" s="2522"/>
      <c r="C1269" s="2522"/>
      <c r="D1269" s="2522"/>
      <c r="E1269" s="1275"/>
      <c r="R1269" s="1276"/>
      <c r="S1269" s="1276"/>
      <c r="T1269" s="1276"/>
      <c r="U1269" s="1276"/>
      <c r="V1269" s="1276"/>
      <c r="W1269" s="1276"/>
      <c r="X1269" s="1276"/>
      <c r="Y1269" s="1276"/>
    </row>
    <row r="1270" spans="1:25">
      <c r="A1270" s="2522"/>
      <c r="B1270" s="2522"/>
      <c r="C1270" s="2522"/>
      <c r="D1270" s="2522"/>
      <c r="E1270" s="1275"/>
      <c r="R1270" s="1276"/>
      <c r="S1270" s="1276"/>
      <c r="T1270" s="1276"/>
      <c r="U1270" s="1276"/>
      <c r="V1270" s="1276"/>
      <c r="W1270" s="1276"/>
      <c r="X1270" s="1276"/>
      <c r="Y1270" s="1276"/>
    </row>
    <row r="1271" spans="1:25">
      <c r="A1271" s="2522"/>
      <c r="B1271" s="2522"/>
      <c r="C1271" s="2522"/>
      <c r="D1271" s="2522"/>
      <c r="E1271" s="1275"/>
      <c r="R1271" s="1276"/>
      <c r="S1271" s="1276"/>
      <c r="T1271" s="1276"/>
      <c r="U1271" s="1276"/>
      <c r="V1271" s="1276"/>
      <c r="W1271" s="1276"/>
      <c r="X1271" s="1276"/>
      <c r="Y1271" s="1276"/>
    </row>
    <row r="1272" spans="1:25">
      <c r="A1272" s="2522"/>
      <c r="B1272" s="2522"/>
      <c r="C1272" s="2522"/>
      <c r="D1272" s="2522"/>
      <c r="E1272" s="1275"/>
      <c r="R1272" s="1276"/>
      <c r="S1272" s="1276"/>
      <c r="T1272" s="1276"/>
      <c r="U1272" s="1276"/>
      <c r="V1272" s="1276"/>
      <c r="W1272" s="1276"/>
      <c r="X1272" s="1276"/>
      <c r="Y1272" s="1276"/>
    </row>
    <row r="1273" spans="1:25">
      <c r="A1273" s="2522"/>
      <c r="B1273" s="2522"/>
      <c r="C1273" s="2522"/>
      <c r="D1273" s="2522"/>
      <c r="E1273" s="1275"/>
      <c r="R1273" s="1276"/>
      <c r="S1273" s="1276"/>
      <c r="T1273" s="1276"/>
      <c r="U1273" s="1276"/>
      <c r="V1273" s="1276"/>
      <c r="W1273" s="1276"/>
      <c r="X1273" s="1276"/>
      <c r="Y1273" s="1276"/>
    </row>
    <row r="1274" spans="1:25">
      <c r="A1274" s="2522"/>
      <c r="B1274" s="2522"/>
      <c r="C1274" s="2522"/>
      <c r="D1274" s="2522"/>
      <c r="E1274" s="1275"/>
      <c r="R1274" s="1276"/>
      <c r="S1274" s="1276"/>
      <c r="T1274" s="1276"/>
      <c r="U1274" s="1276"/>
      <c r="V1274" s="1276"/>
      <c r="W1274" s="1276"/>
      <c r="X1274" s="1276"/>
      <c r="Y1274" s="1276"/>
    </row>
    <row r="1275" spans="1:25">
      <c r="A1275" s="2522"/>
      <c r="B1275" s="2522"/>
      <c r="C1275" s="2522"/>
      <c r="D1275" s="2522"/>
      <c r="E1275" s="1275"/>
      <c r="R1275" s="1276"/>
      <c r="S1275" s="1276"/>
      <c r="T1275" s="1276"/>
      <c r="U1275" s="1276"/>
      <c r="V1275" s="1276"/>
      <c r="W1275" s="1276"/>
      <c r="X1275" s="1276"/>
      <c r="Y1275" s="1276"/>
    </row>
    <row r="1276" spans="1:25">
      <c r="A1276" s="2522"/>
      <c r="B1276" s="2522"/>
      <c r="C1276" s="2522"/>
      <c r="D1276" s="2522"/>
      <c r="E1276" s="1275"/>
      <c r="R1276" s="1276"/>
      <c r="S1276" s="1276"/>
      <c r="T1276" s="1276"/>
      <c r="U1276" s="1276"/>
      <c r="V1276" s="1276"/>
      <c r="W1276" s="1276"/>
      <c r="X1276" s="1276"/>
      <c r="Y1276" s="1276"/>
    </row>
    <row r="1277" spans="1:25">
      <c r="A1277" s="2522"/>
      <c r="B1277" s="2522"/>
      <c r="C1277" s="2522"/>
      <c r="D1277" s="2522"/>
      <c r="E1277" s="1275"/>
      <c r="R1277" s="1276"/>
      <c r="S1277" s="1276"/>
      <c r="T1277" s="1276"/>
      <c r="U1277" s="1276"/>
      <c r="V1277" s="1276"/>
      <c r="W1277" s="1276"/>
      <c r="X1277" s="1276"/>
      <c r="Y1277" s="1276"/>
    </row>
    <row r="1278" spans="1:25">
      <c r="A1278" s="2522"/>
      <c r="B1278" s="2522"/>
      <c r="C1278" s="2522"/>
      <c r="D1278" s="2522"/>
      <c r="E1278" s="1275"/>
      <c r="R1278" s="1276"/>
      <c r="S1278" s="1276"/>
      <c r="T1278" s="1276"/>
      <c r="U1278" s="1276"/>
      <c r="V1278" s="1276"/>
      <c r="W1278" s="1276"/>
      <c r="X1278" s="1276"/>
      <c r="Y1278" s="1276"/>
    </row>
    <row r="1279" spans="1:25">
      <c r="A1279" s="2522"/>
      <c r="B1279" s="2522"/>
      <c r="C1279" s="2522"/>
      <c r="D1279" s="2522"/>
      <c r="E1279" s="1275"/>
      <c r="R1279" s="1276"/>
      <c r="S1279" s="1276"/>
      <c r="T1279" s="1276"/>
      <c r="U1279" s="1276"/>
      <c r="V1279" s="1276"/>
      <c r="W1279" s="1276"/>
      <c r="X1279" s="1276"/>
      <c r="Y1279" s="1276"/>
    </row>
    <row r="1280" spans="1:25">
      <c r="A1280" s="2522"/>
      <c r="B1280" s="2522"/>
      <c r="C1280" s="2522"/>
      <c r="D1280" s="2522"/>
      <c r="E1280" s="1275"/>
      <c r="R1280" s="1276"/>
      <c r="S1280" s="1276"/>
      <c r="T1280" s="1276"/>
      <c r="U1280" s="1276"/>
      <c r="V1280" s="1276"/>
      <c r="W1280" s="1276"/>
      <c r="X1280" s="1276"/>
      <c r="Y1280" s="1276"/>
    </row>
    <row r="1281" spans="1:25">
      <c r="A1281" s="2522"/>
      <c r="B1281" s="2522"/>
      <c r="C1281" s="2522"/>
      <c r="D1281" s="2522"/>
      <c r="E1281" s="1275"/>
      <c r="R1281" s="1276"/>
      <c r="S1281" s="1276"/>
      <c r="T1281" s="1276"/>
      <c r="U1281" s="1276"/>
      <c r="V1281" s="1276"/>
      <c r="W1281" s="1276"/>
      <c r="X1281" s="1276"/>
      <c r="Y1281" s="1276"/>
    </row>
    <row r="1282" spans="1:25">
      <c r="A1282" s="2522"/>
      <c r="B1282" s="2522"/>
      <c r="C1282" s="2522"/>
      <c r="D1282" s="2522"/>
      <c r="E1282" s="1275"/>
      <c r="R1282" s="1276"/>
      <c r="S1282" s="1276"/>
      <c r="T1282" s="1276"/>
      <c r="U1282" s="1276"/>
      <c r="V1282" s="1276"/>
      <c r="W1282" s="1276"/>
      <c r="X1282" s="1276"/>
      <c r="Y1282" s="1276"/>
    </row>
    <row r="1283" spans="1:25">
      <c r="A1283" s="2522"/>
      <c r="B1283" s="2522"/>
      <c r="C1283" s="2522"/>
      <c r="D1283" s="2522"/>
      <c r="E1283" s="1275"/>
      <c r="R1283" s="1276"/>
      <c r="S1283" s="1276"/>
      <c r="T1283" s="1276"/>
      <c r="U1283" s="1276"/>
      <c r="V1283" s="1276"/>
      <c r="W1283" s="1276"/>
      <c r="X1283" s="1276"/>
      <c r="Y1283" s="1276"/>
    </row>
    <row r="1284" spans="1:25">
      <c r="A1284" s="2522"/>
      <c r="B1284" s="2522"/>
      <c r="C1284" s="2522"/>
      <c r="D1284" s="2522"/>
      <c r="E1284" s="1275"/>
      <c r="R1284" s="1276"/>
      <c r="S1284" s="1276"/>
      <c r="T1284" s="1276"/>
      <c r="U1284" s="1276"/>
      <c r="V1284" s="1276"/>
      <c r="W1284" s="1276"/>
      <c r="X1284" s="1276"/>
      <c r="Y1284" s="1276"/>
    </row>
    <row r="1285" spans="1:25">
      <c r="A1285" s="2522"/>
      <c r="B1285" s="2522"/>
      <c r="C1285" s="2522"/>
      <c r="D1285" s="2522"/>
      <c r="E1285" s="1275"/>
      <c r="R1285" s="1276"/>
      <c r="S1285" s="1276"/>
      <c r="T1285" s="1276"/>
      <c r="U1285" s="1276"/>
      <c r="V1285" s="1276"/>
      <c r="W1285" s="1276"/>
      <c r="X1285" s="1276"/>
      <c r="Y1285" s="1276"/>
    </row>
    <row r="1286" spans="1:25">
      <c r="A1286" s="2522"/>
      <c r="B1286" s="2522"/>
      <c r="C1286" s="2522"/>
      <c r="D1286" s="2522"/>
      <c r="E1286" s="1275"/>
      <c r="R1286" s="1276"/>
      <c r="S1286" s="1276"/>
      <c r="T1286" s="1276"/>
      <c r="U1286" s="1276"/>
      <c r="V1286" s="1276"/>
      <c r="W1286" s="1276"/>
      <c r="X1286" s="1276"/>
      <c r="Y1286" s="1276"/>
    </row>
    <row r="1287" spans="1:25">
      <c r="A1287" s="2522"/>
      <c r="B1287" s="2522"/>
      <c r="C1287" s="2522"/>
      <c r="D1287" s="2522"/>
      <c r="E1287" s="1275"/>
      <c r="R1287" s="1276"/>
      <c r="S1287" s="1276"/>
      <c r="T1287" s="1276"/>
      <c r="U1287" s="1276"/>
      <c r="V1287" s="1276"/>
      <c r="W1287" s="1276"/>
      <c r="X1287" s="1276"/>
      <c r="Y1287" s="1276"/>
    </row>
    <row r="1288" spans="1:25">
      <c r="A1288" s="2522"/>
      <c r="B1288" s="2522"/>
      <c r="C1288" s="2522"/>
      <c r="D1288" s="2522"/>
      <c r="E1288" s="1275"/>
      <c r="R1288" s="1276"/>
      <c r="S1288" s="1276"/>
      <c r="T1288" s="1276"/>
      <c r="U1288" s="1276"/>
      <c r="V1288" s="1276"/>
      <c r="W1288" s="1276"/>
      <c r="X1288" s="1276"/>
      <c r="Y1288" s="1276"/>
    </row>
    <row r="1289" spans="1:25">
      <c r="A1289" s="2522"/>
      <c r="B1289" s="2522"/>
      <c r="C1289" s="2522"/>
      <c r="D1289" s="2522"/>
      <c r="E1289" s="1275"/>
      <c r="R1289" s="1276"/>
      <c r="S1289" s="1276"/>
      <c r="T1289" s="1276"/>
      <c r="U1289" s="1276"/>
      <c r="V1289" s="1276"/>
      <c r="W1289" s="1276"/>
      <c r="X1289" s="1276"/>
      <c r="Y1289" s="1276"/>
    </row>
    <row r="1290" spans="1:25">
      <c r="A1290" s="2522"/>
      <c r="B1290" s="2522"/>
      <c r="C1290" s="2522"/>
      <c r="D1290" s="2522"/>
      <c r="E1290" s="1275"/>
      <c r="R1290" s="1276"/>
      <c r="S1290" s="1276"/>
      <c r="T1290" s="1276"/>
      <c r="U1290" s="1276"/>
      <c r="V1290" s="1276"/>
      <c r="W1290" s="1276"/>
      <c r="X1290" s="1276"/>
      <c r="Y1290" s="1276"/>
    </row>
    <row r="1291" spans="1:25">
      <c r="A1291" s="2522"/>
      <c r="B1291" s="2522"/>
      <c r="C1291" s="2522"/>
      <c r="D1291" s="2522"/>
      <c r="E1291" s="1275"/>
      <c r="R1291" s="1276"/>
      <c r="S1291" s="1276"/>
      <c r="T1291" s="1276"/>
      <c r="U1291" s="1276"/>
      <c r="V1291" s="1276"/>
      <c r="W1291" s="1276"/>
      <c r="X1291" s="1276"/>
      <c r="Y1291" s="1276"/>
    </row>
    <row r="1292" spans="1:25">
      <c r="A1292" s="2522"/>
      <c r="B1292" s="2522"/>
      <c r="C1292" s="2522"/>
      <c r="D1292" s="2522"/>
      <c r="E1292" s="1275"/>
      <c r="R1292" s="1276"/>
      <c r="S1292" s="1276"/>
      <c r="T1292" s="1276"/>
      <c r="U1292" s="1276"/>
      <c r="V1292" s="1276"/>
      <c r="W1292" s="1276"/>
      <c r="X1292" s="1276"/>
      <c r="Y1292" s="1276"/>
    </row>
    <row r="1293" spans="1:25">
      <c r="A1293" s="2522"/>
      <c r="B1293" s="2522"/>
      <c r="C1293" s="2522"/>
      <c r="D1293" s="2522"/>
      <c r="E1293" s="1275"/>
      <c r="R1293" s="1276"/>
      <c r="S1293" s="1276"/>
      <c r="T1293" s="1276"/>
      <c r="U1293" s="1276"/>
      <c r="V1293" s="1276"/>
      <c r="W1293" s="1276"/>
      <c r="X1293" s="1276"/>
      <c r="Y1293" s="1276"/>
    </row>
    <row r="1294" spans="1:25">
      <c r="A1294" s="2522"/>
      <c r="B1294" s="2522"/>
      <c r="C1294" s="2522"/>
      <c r="D1294" s="2522"/>
      <c r="E1294" s="1275"/>
      <c r="R1294" s="1276"/>
      <c r="S1294" s="1276"/>
      <c r="T1294" s="1276"/>
      <c r="U1294" s="1276"/>
      <c r="V1294" s="1276"/>
      <c r="W1294" s="1276"/>
      <c r="X1294" s="1276"/>
      <c r="Y1294" s="1276"/>
    </row>
    <row r="1295" spans="1:25">
      <c r="A1295" s="2522"/>
      <c r="B1295" s="2522"/>
      <c r="C1295" s="2522"/>
      <c r="D1295" s="2522"/>
      <c r="E1295" s="1275"/>
      <c r="R1295" s="1276"/>
      <c r="S1295" s="1276"/>
      <c r="T1295" s="1276"/>
      <c r="U1295" s="1276"/>
      <c r="V1295" s="1276"/>
      <c r="W1295" s="1276"/>
      <c r="X1295" s="1276"/>
      <c r="Y1295" s="1276"/>
    </row>
    <row r="1296" spans="1:25">
      <c r="A1296" s="2522"/>
      <c r="B1296" s="2522"/>
      <c r="C1296" s="2522"/>
      <c r="D1296" s="2522"/>
      <c r="E1296" s="1275"/>
      <c r="R1296" s="1276"/>
      <c r="S1296" s="1276"/>
      <c r="T1296" s="1276"/>
      <c r="U1296" s="1276"/>
      <c r="V1296" s="1276"/>
      <c r="W1296" s="1276"/>
      <c r="X1296" s="1276"/>
      <c r="Y1296" s="1276"/>
    </row>
    <row r="1297" spans="1:25">
      <c r="A1297" s="2522"/>
      <c r="B1297" s="2522"/>
      <c r="C1297" s="2522"/>
      <c r="D1297" s="2522"/>
      <c r="E1297" s="1275"/>
      <c r="R1297" s="1276"/>
      <c r="S1297" s="1276"/>
      <c r="T1297" s="1276"/>
      <c r="U1297" s="1276"/>
      <c r="V1297" s="1276"/>
      <c r="W1297" s="1276"/>
      <c r="X1297" s="1276"/>
      <c r="Y1297" s="1276"/>
    </row>
    <row r="1298" spans="1:25">
      <c r="A1298" s="2522"/>
      <c r="B1298" s="2522"/>
      <c r="C1298" s="2522"/>
      <c r="D1298" s="2522"/>
      <c r="E1298" s="1275"/>
      <c r="R1298" s="1276"/>
      <c r="S1298" s="1276"/>
      <c r="T1298" s="1276"/>
      <c r="U1298" s="1276"/>
      <c r="V1298" s="1276"/>
      <c r="W1298" s="1276"/>
      <c r="X1298" s="1276"/>
      <c r="Y1298" s="1276"/>
    </row>
    <row r="1299" spans="1:25">
      <c r="A1299" s="2522"/>
      <c r="B1299" s="2522"/>
      <c r="C1299" s="2522"/>
      <c r="D1299" s="2522"/>
      <c r="E1299" s="1275"/>
      <c r="R1299" s="1276"/>
      <c r="S1299" s="1276"/>
      <c r="T1299" s="1276"/>
      <c r="U1299" s="1276"/>
      <c r="V1299" s="1276"/>
      <c r="W1299" s="1276"/>
      <c r="X1299" s="1276"/>
      <c r="Y1299" s="1276"/>
    </row>
    <row r="1300" spans="1:25">
      <c r="A1300" s="2522"/>
      <c r="B1300" s="2522"/>
      <c r="C1300" s="2522"/>
      <c r="D1300" s="2522"/>
      <c r="E1300" s="1275"/>
      <c r="R1300" s="1276"/>
      <c r="S1300" s="1276"/>
      <c r="T1300" s="1276"/>
      <c r="U1300" s="1276"/>
      <c r="V1300" s="1276"/>
      <c r="W1300" s="1276"/>
      <c r="X1300" s="1276"/>
      <c r="Y1300" s="1276"/>
    </row>
    <row r="1301" spans="1:25">
      <c r="A1301" s="2522"/>
      <c r="B1301" s="2522"/>
      <c r="C1301" s="2522"/>
      <c r="D1301" s="2522"/>
      <c r="E1301" s="1275"/>
      <c r="R1301" s="1276"/>
      <c r="S1301" s="1276"/>
      <c r="T1301" s="1276"/>
      <c r="U1301" s="1276"/>
      <c r="V1301" s="1276"/>
      <c r="W1301" s="1276"/>
      <c r="X1301" s="1276"/>
      <c r="Y1301" s="1276"/>
    </row>
    <row r="1302" spans="1:25">
      <c r="A1302" s="2522"/>
      <c r="B1302" s="2522"/>
      <c r="C1302" s="2522"/>
      <c r="D1302" s="2522"/>
      <c r="E1302" s="1275"/>
      <c r="R1302" s="1276"/>
      <c r="S1302" s="1276"/>
      <c r="T1302" s="1276"/>
      <c r="U1302" s="1276"/>
      <c r="V1302" s="1276"/>
      <c r="W1302" s="1276"/>
      <c r="X1302" s="1276"/>
      <c r="Y1302" s="1276"/>
    </row>
    <row r="1303" spans="1:25">
      <c r="A1303" s="2522"/>
      <c r="B1303" s="2522"/>
      <c r="C1303" s="2522"/>
      <c r="D1303" s="2522"/>
      <c r="E1303" s="1275"/>
      <c r="R1303" s="1276"/>
      <c r="S1303" s="1276"/>
      <c r="T1303" s="1276"/>
      <c r="U1303" s="1276"/>
      <c r="V1303" s="1276"/>
      <c r="W1303" s="1276"/>
      <c r="X1303" s="1276"/>
      <c r="Y1303" s="1276"/>
    </row>
    <row r="1304" spans="1:25">
      <c r="A1304" s="2522"/>
      <c r="B1304" s="2522"/>
      <c r="C1304" s="2522"/>
      <c r="D1304" s="2522"/>
      <c r="E1304" s="1275"/>
      <c r="R1304" s="1276"/>
      <c r="S1304" s="1276"/>
      <c r="T1304" s="1276"/>
      <c r="U1304" s="1276"/>
      <c r="V1304" s="1276"/>
      <c r="W1304" s="1276"/>
      <c r="X1304" s="1276"/>
      <c r="Y1304" s="1276"/>
    </row>
    <row r="1305" spans="1:25">
      <c r="A1305" s="2522"/>
      <c r="B1305" s="2522"/>
      <c r="C1305" s="2522"/>
      <c r="D1305" s="2522"/>
      <c r="E1305" s="1275"/>
      <c r="R1305" s="1276"/>
      <c r="S1305" s="1276"/>
      <c r="T1305" s="1276"/>
      <c r="U1305" s="1276"/>
      <c r="V1305" s="1276"/>
      <c r="W1305" s="1276"/>
      <c r="X1305" s="1276"/>
      <c r="Y1305" s="1276"/>
    </row>
    <row r="1306" spans="1:25">
      <c r="A1306" s="2522"/>
      <c r="B1306" s="2522"/>
      <c r="C1306" s="2522"/>
      <c r="D1306" s="2522"/>
      <c r="E1306" s="1275"/>
      <c r="R1306" s="1276"/>
      <c r="S1306" s="1276"/>
      <c r="T1306" s="1276"/>
      <c r="U1306" s="1276"/>
      <c r="V1306" s="1276"/>
      <c r="W1306" s="1276"/>
      <c r="X1306" s="1276"/>
      <c r="Y1306" s="1276"/>
    </row>
    <row r="1307" spans="1:25">
      <c r="A1307" s="2522"/>
      <c r="B1307" s="2522"/>
      <c r="C1307" s="2522"/>
      <c r="D1307" s="2522"/>
      <c r="E1307" s="1275"/>
      <c r="R1307" s="1276"/>
      <c r="S1307" s="1276"/>
      <c r="T1307" s="1276"/>
      <c r="U1307" s="1276"/>
      <c r="V1307" s="1276"/>
      <c r="W1307" s="1276"/>
      <c r="X1307" s="1276"/>
      <c r="Y1307" s="1276"/>
    </row>
    <row r="1308" spans="1:25">
      <c r="A1308" s="2522"/>
      <c r="B1308" s="2522"/>
      <c r="C1308" s="2522"/>
      <c r="D1308" s="2522"/>
      <c r="E1308" s="1275"/>
      <c r="R1308" s="1276"/>
      <c r="S1308" s="1276"/>
      <c r="T1308" s="1276"/>
      <c r="U1308" s="1276"/>
      <c r="V1308" s="1276"/>
      <c r="W1308" s="1276"/>
      <c r="X1308" s="1276"/>
      <c r="Y1308" s="1276"/>
    </row>
    <row r="1309" spans="1:25">
      <c r="A1309" s="2522"/>
      <c r="B1309" s="2522"/>
      <c r="C1309" s="2522"/>
      <c r="D1309" s="2522"/>
      <c r="E1309" s="1275"/>
      <c r="R1309" s="1276"/>
      <c r="S1309" s="1276"/>
      <c r="T1309" s="1276"/>
      <c r="U1309" s="1276"/>
      <c r="V1309" s="1276"/>
      <c r="W1309" s="1276"/>
      <c r="X1309" s="1276"/>
      <c r="Y1309" s="1276"/>
    </row>
    <row r="1310" spans="1:25">
      <c r="A1310" s="2522"/>
      <c r="B1310" s="2522"/>
      <c r="C1310" s="2522"/>
      <c r="D1310" s="2522"/>
      <c r="E1310" s="1275"/>
      <c r="R1310" s="1276"/>
      <c r="S1310" s="1276"/>
      <c r="T1310" s="1276"/>
      <c r="U1310" s="1276"/>
      <c r="V1310" s="1276"/>
      <c r="W1310" s="1276"/>
      <c r="X1310" s="1276"/>
      <c r="Y1310" s="1276"/>
    </row>
    <row r="1311" spans="1:25">
      <c r="A1311" s="2522"/>
      <c r="B1311" s="2522"/>
      <c r="C1311" s="2522"/>
      <c r="D1311" s="2522"/>
      <c r="E1311" s="1275"/>
      <c r="R1311" s="1276"/>
      <c r="S1311" s="1276"/>
      <c r="T1311" s="1276"/>
      <c r="U1311" s="1276"/>
      <c r="V1311" s="1276"/>
      <c r="W1311" s="1276"/>
      <c r="X1311" s="1276"/>
      <c r="Y1311" s="1276"/>
    </row>
    <row r="1312" spans="1:25">
      <c r="A1312" s="2522"/>
      <c r="B1312" s="2522"/>
      <c r="C1312" s="2522"/>
      <c r="D1312" s="2522"/>
      <c r="E1312" s="1275"/>
      <c r="R1312" s="1276"/>
      <c r="S1312" s="1276"/>
      <c r="T1312" s="1276"/>
      <c r="U1312" s="1276"/>
      <c r="V1312" s="1276"/>
      <c r="W1312" s="1276"/>
      <c r="X1312" s="1276"/>
      <c r="Y1312" s="1276"/>
    </row>
    <row r="1313" spans="1:25">
      <c r="A1313" s="2522"/>
      <c r="B1313" s="2522"/>
      <c r="C1313" s="2522"/>
      <c r="D1313" s="2522"/>
      <c r="E1313" s="1275"/>
      <c r="R1313" s="1276"/>
      <c r="S1313" s="1276"/>
      <c r="T1313" s="1276"/>
      <c r="U1313" s="1276"/>
      <c r="V1313" s="1276"/>
      <c r="W1313" s="1276"/>
      <c r="X1313" s="1276"/>
      <c r="Y1313" s="1276"/>
    </row>
    <row r="1314" spans="1:25">
      <c r="A1314" s="2522"/>
      <c r="B1314" s="2522"/>
      <c r="C1314" s="2522"/>
      <c r="D1314" s="2522"/>
      <c r="E1314" s="1275"/>
      <c r="R1314" s="1276"/>
      <c r="S1314" s="1276"/>
      <c r="T1314" s="1276"/>
      <c r="U1314" s="1276"/>
      <c r="V1314" s="1276"/>
      <c r="W1314" s="1276"/>
      <c r="X1314" s="1276"/>
      <c r="Y1314" s="1276"/>
    </row>
    <row r="1315" spans="1:25">
      <c r="A1315" s="2522"/>
      <c r="B1315" s="2522"/>
      <c r="C1315" s="2522"/>
      <c r="D1315" s="2522"/>
      <c r="E1315" s="1275"/>
      <c r="R1315" s="1276"/>
      <c r="S1315" s="1276"/>
      <c r="T1315" s="1276"/>
      <c r="U1315" s="1276"/>
      <c r="V1315" s="1276"/>
      <c r="W1315" s="1276"/>
      <c r="X1315" s="1276"/>
      <c r="Y1315" s="1276"/>
    </row>
    <row r="1316" spans="1:25">
      <c r="A1316" s="2522"/>
      <c r="B1316" s="2522"/>
      <c r="C1316" s="2522"/>
      <c r="D1316" s="2522"/>
      <c r="E1316" s="1275"/>
      <c r="R1316" s="1276"/>
      <c r="S1316" s="1276"/>
      <c r="T1316" s="1276"/>
      <c r="U1316" s="1276"/>
      <c r="V1316" s="1276"/>
      <c r="W1316" s="1276"/>
      <c r="X1316" s="1276"/>
      <c r="Y1316" s="1276"/>
    </row>
    <row r="1317" spans="1:25">
      <c r="A1317" s="2522"/>
      <c r="B1317" s="2522"/>
      <c r="C1317" s="2522"/>
      <c r="D1317" s="2522"/>
      <c r="E1317" s="1275"/>
      <c r="R1317" s="1276"/>
      <c r="S1317" s="1276"/>
      <c r="T1317" s="1276"/>
      <c r="U1317" s="1276"/>
      <c r="V1317" s="1276"/>
      <c r="W1317" s="1276"/>
      <c r="X1317" s="1276"/>
      <c r="Y1317" s="1276"/>
    </row>
    <row r="1318" spans="1:25">
      <c r="A1318" s="2522"/>
      <c r="B1318" s="2522"/>
      <c r="C1318" s="2522"/>
      <c r="D1318" s="2522"/>
      <c r="E1318" s="1275"/>
      <c r="R1318" s="1276"/>
      <c r="S1318" s="1276"/>
      <c r="T1318" s="1276"/>
      <c r="U1318" s="1276"/>
      <c r="V1318" s="1276"/>
      <c r="W1318" s="1276"/>
      <c r="X1318" s="1276"/>
      <c r="Y1318" s="1276"/>
    </row>
    <row r="1319" spans="1:25">
      <c r="A1319" s="2522"/>
      <c r="B1319" s="2522"/>
      <c r="C1319" s="2522"/>
      <c r="D1319" s="2522"/>
      <c r="E1319" s="1275"/>
      <c r="R1319" s="1276"/>
      <c r="S1319" s="1276"/>
      <c r="T1319" s="1276"/>
      <c r="U1319" s="1276"/>
      <c r="V1319" s="1276"/>
      <c r="W1319" s="1276"/>
      <c r="X1319" s="1276"/>
      <c r="Y1319" s="1276"/>
    </row>
    <row r="1320" spans="1:25">
      <c r="A1320" s="2522"/>
      <c r="B1320" s="2522"/>
      <c r="C1320" s="2522"/>
      <c r="D1320" s="2522"/>
      <c r="E1320" s="1275"/>
      <c r="R1320" s="1276"/>
      <c r="S1320" s="1276"/>
      <c r="T1320" s="1276"/>
      <c r="U1320" s="1276"/>
      <c r="V1320" s="1276"/>
      <c r="W1320" s="1276"/>
      <c r="X1320" s="1276"/>
      <c r="Y1320" s="1276"/>
    </row>
    <row r="1321" spans="1:25">
      <c r="A1321" s="2522"/>
      <c r="B1321" s="2522"/>
      <c r="C1321" s="2522"/>
      <c r="D1321" s="2522"/>
      <c r="E1321" s="1275"/>
      <c r="R1321" s="1276"/>
      <c r="S1321" s="1276"/>
      <c r="T1321" s="1276"/>
      <c r="U1321" s="1276"/>
      <c r="V1321" s="1276"/>
      <c r="W1321" s="1276"/>
      <c r="X1321" s="1276"/>
      <c r="Y1321" s="1276"/>
    </row>
    <row r="1322" spans="1:25">
      <c r="A1322" s="2522"/>
      <c r="B1322" s="2522"/>
      <c r="C1322" s="2522"/>
      <c r="D1322" s="2522"/>
      <c r="E1322" s="1275"/>
      <c r="R1322" s="1276"/>
      <c r="S1322" s="1276"/>
      <c r="T1322" s="1276"/>
      <c r="U1322" s="1276"/>
      <c r="V1322" s="1276"/>
      <c r="W1322" s="1276"/>
      <c r="X1322" s="1276"/>
      <c r="Y1322" s="1276"/>
    </row>
    <row r="1323" spans="1:25">
      <c r="A1323" s="2522"/>
      <c r="B1323" s="2522"/>
      <c r="C1323" s="2522"/>
      <c r="D1323" s="2522"/>
      <c r="E1323" s="1275"/>
      <c r="R1323" s="1276"/>
      <c r="S1323" s="1276"/>
      <c r="T1323" s="1276"/>
      <c r="U1323" s="1276"/>
      <c r="V1323" s="1276"/>
      <c r="W1323" s="1276"/>
      <c r="X1323" s="1276"/>
      <c r="Y1323" s="1276"/>
    </row>
    <row r="1324" spans="1:25">
      <c r="A1324" s="2522"/>
      <c r="B1324" s="2522"/>
      <c r="C1324" s="2522"/>
      <c r="D1324" s="2522"/>
      <c r="E1324" s="1275"/>
      <c r="R1324" s="1276"/>
      <c r="S1324" s="1276"/>
      <c r="T1324" s="1276"/>
      <c r="U1324" s="1276"/>
      <c r="V1324" s="1276"/>
      <c r="W1324" s="1276"/>
      <c r="X1324" s="1276"/>
      <c r="Y1324" s="1276"/>
    </row>
    <row r="1325" spans="1:25">
      <c r="A1325" s="2522"/>
      <c r="B1325" s="2522"/>
      <c r="C1325" s="2522"/>
      <c r="D1325" s="2522"/>
      <c r="E1325" s="1275"/>
      <c r="R1325" s="1276"/>
      <c r="S1325" s="1276"/>
      <c r="T1325" s="1276"/>
      <c r="U1325" s="1276"/>
      <c r="V1325" s="1276"/>
      <c r="W1325" s="1276"/>
      <c r="X1325" s="1276"/>
      <c r="Y1325" s="1276"/>
    </row>
    <row r="1326" spans="1:25">
      <c r="A1326" s="2522"/>
      <c r="B1326" s="2522"/>
      <c r="C1326" s="2522"/>
      <c r="D1326" s="2522"/>
      <c r="E1326" s="1275"/>
      <c r="R1326" s="1276"/>
      <c r="S1326" s="1276"/>
      <c r="T1326" s="1276"/>
      <c r="U1326" s="1276"/>
      <c r="V1326" s="1276"/>
      <c r="W1326" s="1276"/>
      <c r="X1326" s="1276"/>
      <c r="Y1326" s="1276"/>
    </row>
    <row r="1327" spans="1:25">
      <c r="A1327" s="2522"/>
      <c r="B1327" s="2522"/>
      <c r="C1327" s="2522"/>
      <c r="D1327" s="2522"/>
      <c r="E1327" s="1275"/>
      <c r="R1327" s="1276"/>
      <c r="S1327" s="1276"/>
      <c r="T1327" s="1276"/>
      <c r="U1327" s="1276"/>
      <c r="V1327" s="1276"/>
      <c r="W1327" s="1276"/>
      <c r="X1327" s="1276"/>
      <c r="Y1327" s="1276"/>
    </row>
    <row r="1328" spans="1:25">
      <c r="A1328" s="2522"/>
      <c r="B1328" s="2522"/>
      <c r="C1328" s="2522"/>
      <c r="D1328" s="2522"/>
      <c r="E1328" s="1275"/>
      <c r="R1328" s="1276"/>
      <c r="S1328" s="1276"/>
      <c r="T1328" s="1276"/>
      <c r="U1328" s="1276"/>
      <c r="V1328" s="1276"/>
      <c r="W1328" s="1276"/>
      <c r="X1328" s="1276"/>
      <c r="Y1328" s="1276"/>
    </row>
    <row r="1329" spans="1:25">
      <c r="A1329" s="2522"/>
      <c r="B1329" s="2522"/>
      <c r="C1329" s="2522"/>
      <c r="D1329" s="2522"/>
      <c r="E1329" s="1275"/>
      <c r="R1329" s="1276"/>
      <c r="S1329" s="1276"/>
      <c r="T1329" s="1276"/>
      <c r="U1329" s="1276"/>
      <c r="V1329" s="1276"/>
      <c r="W1329" s="1276"/>
      <c r="X1329" s="1276"/>
      <c r="Y1329" s="1276"/>
    </row>
    <row r="1330" spans="1:25">
      <c r="A1330" s="2522"/>
      <c r="B1330" s="2522"/>
      <c r="C1330" s="2522"/>
      <c r="D1330" s="2522"/>
      <c r="E1330" s="1275"/>
      <c r="R1330" s="1276"/>
      <c r="S1330" s="1276"/>
      <c r="T1330" s="1276"/>
      <c r="U1330" s="1276"/>
      <c r="V1330" s="1276"/>
      <c r="W1330" s="1276"/>
      <c r="X1330" s="1276"/>
      <c r="Y1330" s="1276"/>
    </row>
    <row r="1331" spans="1:25">
      <c r="A1331" s="2522"/>
      <c r="B1331" s="2522"/>
      <c r="C1331" s="2522"/>
      <c r="D1331" s="2522"/>
      <c r="E1331" s="1275"/>
      <c r="R1331" s="1276"/>
      <c r="S1331" s="1276"/>
      <c r="T1331" s="1276"/>
      <c r="U1331" s="1276"/>
      <c r="V1331" s="1276"/>
      <c r="W1331" s="1276"/>
      <c r="X1331" s="1276"/>
      <c r="Y1331" s="1276"/>
    </row>
    <row r="1332" spans="1:25">
      <c r="A1332" s="2522"/>
      <c r="B1332" s="2522"/>
      <c r="C1332" s="2522"/>
      <c r="D1332" s="2522"/>
      <c r="E1332" s="1275"/>
      <c r="R1332" s="1276"/>
      <c r="S1332" s="1276"/>
      <c r="T1332" s="1276"/>
      <c r="U1332" s="1276"/>
      <c r="V1332" s="1276"/>
      <c r="W1332" s="1276"/>
      <c r="X1332" s="1276"/>
      <c r="Y1332" s="1276"/>
    </row>
    <row r="1333" spans="1:25">
      <c r="A1333" s="2522"/>
      <c r="B1333" s="2522"/>
      <c r="C1333" s="2522"/>
      <c r="D1333" s="2522"/>
      <c r="E1333" s="1275"/>
      <c r="R1333" s="1276"/>
      <c r="S1333" s="1276"/>
      <c r="T1333" s="1276"/>
      <c r="U1333" s="1276"/>
      <c r="V1333" s="1276"/>
      <c r="W1333" s="1276"/>
      <c r="X1333" s="1276"/>
      <c r="Y1333" s="1276"/>
    </row>
    <row r="1334" spans="1:25">
      <c r="A1334" s="2522"/>
      <c r="B1334" s="2522"/>
      <c r="C1334" s="2522"/>
      <c r="D1334" s="2522"/>
      <c r="E1334" s="1275"/>
      <c r="R1334" s="1276"/>
      <c r="S1334" s="1276"/>
      <c r="T1334" s="1276"/>
      <c r="U1334" s="1276"/>
      <c r="V1334" s="1276"/>
      <c r="W1334" s="1276"/>
      <c r="X1334" s="1276"/>
      <c r="Y1334" s="1276"/>
    </row>
    <row r="1335" spans="1:25">
      <c r="A1335" s="2522"/>
      <c r="B1335" s="2522"/>
      <c r="C1335" s="2522"/>
      <c r="D1335" s="2522"/>
      <c r="E1335" s="1275"/>
      <c r="R1335" s="1276"/>
      <c r="S1335" s="1276"/>
      <c r="T1335" s="1276"/>
      <c r="U1335" s="1276"/>
      <c r="V1335" s="1276"/>
      <c r="W1335" s="1276"/>
      <c r="X1335" s="1276"/>
      <c r="Y1335" s="1276"/>
    </row>
    <row r="1336" spans="1:25">
      <c r="A1336" s="2522"/>
      <c r="B1336" s="2522"/>
      <c r="C1336" s="2522"/>
      <c r="D1336" s="2522"/>
      <c r="E1336" s="1275"/>
      <c r="R1336" s="1276"/>
      <c r="S1336" s="1276"/>
      <c r="T1336" s="1276"/>
      <c r="U1336" s="1276"/>
      <c r="V1336" s="1276"/>
      <c r="W1336" s="1276"/>
      <c r="X1336" s="1276"/>
      <c r="Y1336" s="1276"/>
    </row>
    <row r="1337" spans="1:25">
      <c r="A1337" s="2522"/>
      <c r="B1337" s="2522"/>
      <c r="C1337" s="2522"/>
      <c r="D1337" s="2522"/>
      <c r="E1337" s="1275"/>
      <c r="R1337" s="1276"/>
      <c r="S1337" s="1276"/>
      <c r="T1337" s="1276"/>
      <c r="U1337" s="1276"/>
      <c r="V1337" s="1276"/>
      <c r="W1337" s="1276"/>
      <c r="X1337" s="1276"/>
      <c r="Y1337" s="1276"/>
    </row>
    <row r="1338" spans="1:25">
      <c r="A1338" s="2522"/>
      <c r="B1338" s="2522"/>
      <c r="C1338" s="2522"/>
      <c r="D1338" s="2522"/>
      <c r="E1338" s="1275"/>
      <c r="R1338" s="1276"/>
      <c r="S1338" s="1276"/>
      <c r="T1338" s="1276"/>
      <c r="U1338" s="1276"/>
      <c r="V1338" s="1276"/>
      <c r="W1338" s="1276"/>
      <c r="X1338" s="1276"/>
      <c r="Y1338" s="1276"/>
    </row>
    <row r="1339" spans="1:25">
      <c r="A1339" s="2522"/>
      <c r="B1339" s="2522"/>
      <c r="C1339" s="2522"/>
      <c r="D1339" s="2522"/>
      <c r="E1339" s="1275"/>
      <c r="R1339" s="1276"/>
      <c r="S1339" s="1276"/>
      <c r="T1339" s="1276"/>
      <c r="U1339" s="1276"/>
      <c r="V1339" s="1276"/>
      <c r="W1339" s="1276"/>
      <c r="X1339" s="1276"/>
      <c r="Y1339" s="1276"/>
    </row>
    <row r="1340" spans="1:25">
      <c r="A1340" s="2522"/>
      <c r="B1340" s="2522"/>
      <c r="C1340" s="2522"/>
      <c r="D1340" s="2522"/>
      <c r="E1340" s="1275"/>
      <c r="R1340" s="1276"/>
      <c r="S1340" s="1276"/>
      <c r="T1340" s="1276"/>
      <c r="U1340" s="1276"/>
      <c r="V1340" s="1276"/>
      <c r="W1340" s="1276"/>
      <c r="X1340" s="1276"/>
      <c r="Y1340" s="1276"/>
    </row>
    <row r="1341" spans="1:25">
      <c r="A1341" s="2522"/>
      <c r="B1341" s="2522"/>
      <c r="C1341" s="2522"/>
      <c r="D1341" s="2522"/>
      <c r="E1341" s="1275"/>
      <c r="R1341" s="1276"/>
      <c r="S1341" s="1276"/>
      <c r="T1341" s="1276"/>
      <c r="U1341" s="1276"/>
      <c r="V1341" s="1276"/>
      <c r="W1341" s="1276"/>
      <c r="X1341" s="1276"/>
      <c r="Y1341" s="1276"/>
    </row>
    <row r="1342" spans="1:25">
      <c r="A1342" s="2522"/>
      <c r="B1342" s="2522"/>
      <c r="C1342" s="2522"/>
      <c r="D1342" s="2522"/>
      <c r="E1342" s="1275"/>
      <c r="R1342" s="1276"/>
      <c r="S1342" s="1276"/>
      <c r="T1342" s="1276"/>
      <c r="U1342" s="1276"/>
      <c r="V1342" s="1276"/>
      <c r="W1342" s="1276"/>
      <c r="X1342" s="1276"/>
      <c r="Y1342" s="1276"/>
    </row>
    <row r="1343" spans="1:25">
      <c r="A1343" s="2522"/>
      <c r="B1343" s="2522"/>
      <c r="C1343" s="2522"/>
      <c r="D1343" s="2522"/>
      <c r="E1343" s="1275"/>
      <c r="R1343" s="1276"/>
      <c r="S1343" s="1276"/>
      <c r="T1343" s="1276"/>
      <c r="U1343" s="1276"/>
      <c r="V1343" s="1276"/>
      <c r="W1343" s="1276"/>
      <c r="X1343" s="1276"/>
      <c r="Y1343" s="1276"/>
    </row>
    <row r="1344" spans="1:25">
      <c r="A1344" s="2522"/>
      <c r="B1344" s="2522"/>
      <c r="C1344" s="2522"/>
      <c r="D1344" s="2522"/>
      <c r="E1344" s="1275"/>
      <c r="R1344" s="1276"/>
      <c r="S1344" s="1276"/>
      <c r="T1344" s="1276"/>
      <c r="U1344" s="1276"/>
      <c r="V1344" s="1276"/>
      <c r="W1344" s="1276"/>
      <c r="X1344" s="1276"/>
      <c r="Y1344" s="1276"/>
    </row>
    <row r="1345" spans="1:25">
      <c r="A1345" s="2522"/>
      <c r="B1345" s="2522"/>
      <c r="C1345" s="2522"/>
      <c r="D1345" s="2522"/>
      <c r="E1345" s="1275"/>
      <c r="R1345" s="1276"/>
      <c r="S1345" s="1276"/>
      <c r="T1345" s="1276"/>
      <c r="U1345" s="1276"/>
      <c r="V1345" s="1276"/>
      <c r="W1345" s="1276"/>
      <c r="X1345" s="1276"/>
      <c r="Y1345" s="1276"/>
    </row>
    <row r="1346" spans="1:25">
      <c r="A1346" s="2522"/>
      <c r="B1346" s="2522"/>
      <c r="C1346" s="2522"/>
      <c r="D1346" s="2522"/>
      <c r="E1346" s="1275"/>
      <c r="R1346" s="1276"/>
      <c r="S1346" s="1276"/>
      <c r="T1346" s="1276"/>
      <c r="U1346" s="1276"/>
      <c r="V1346" s="1276"/>
      <c r="W1346" s="1276"/>
      <c r="X1346" s="1276"/>
      <c r="Y1346" s="1276"/>
    </row>
    <row r="1347" spans="1:25">
      <c r="A1347" s="2522"/>
      <c r="B1347" s="2522"/>
      <c r="C1347" s="2522"/>
      <c r="D1347" s="2522"/>
      <c r="E1347" s="1275"/>
      <c r="R1347" s="1276"/>
      <c r="S1347" s="1276"/>
      <c r="T1347" s="1276"/>
      <c r="U1347" s="1276"/>
      <c r="V1347" s="1276"/>
      <c r="W1347" s="1276"/>
      <c r="X1347" s="1276"/>
      <c r="Y1347" s="1276"/>
    </row>
    <row r="1348" spans="1:25">
      <c r="A1348" s="2522"/>
      <c r="B1348" s="2522"/>
      <c r="C1348" s="2522"/>
      <c r="D1348" s="2522"/>
      <c r="E1348" s="1275"/>
      <c r="R1348" s="1276"/>
      <c r="S1348" s="1276"/>
      <c r="T1348" s="1276"/>
      <c r="U1348" s="1276"/>
      <c r="V1348" s="1276"/>
      <c r="W1348" s="1276"/>
      <c r="X1348" s="1276"/>
      <c r="Y1348" s="1276"/>
    </row>
    <row r="1349" spans="1:25">
      <c r="A1349" s="2522"/>
      <c r="B1349" s="2522"/>
      <c r="C1349" s="2522"/>
      <c r="D1349" s="2522"/>
      <c r="E1349" s="1275"/>
      <c r="R1349" s="1276"/>
      <c r="S1349" s="1276"/>
      <c r="T1349" s="1276"/>
      <c r="U1349" s="1276"/>
      <c r="V1349" s="1276"/>
      <c r="W1349" s="1276"/>
      <c r="X1349" s="1276"/>
      <c r="Y1349" s="1276"/>
    </row>
    <row r="1350" spans="1:25">
      <c r="A1350" s="2522"/>
      <c r="B1350" s="2522"/>
      <c r="C1350" s="2522"/>
      <c r="D1350" s="2522"/>
      <c r="E1350" s="1275"/>
      <c r="R1350" s="1276"/>
      <c r="S1350" s="1276"/>
      <c r="T1350" s="1276"/>
      <c r="U1350" s="1276"/>
      <c r="V1350" s="1276"/>
      <c r="W1350" s="1276"/>
      <c r="X1350" s="1276"/>
      <c r="Y1350" s="1276"/>
    </row>
    <row r="1351" spans="1:25">
      <c r="A1351" s="2522"/>
      <c r="B1351" s="2522"/>
      <c r="C1351" s="2522"/>
      <c r="D1351" s="2522"/>
      <c r="E1351" s="1275"/>
      <c r="R1351" s="1276"/>
      <c r="S1351" s="1276"/>
      <c r="T1351" s="1276"/>
      <c r="U1351" s="1276"/>
      <c r="V1351" s="1276"/>
      <c r="W1351" s="1276"/>
      <c r="X1351" s="1276"/>
      <c r="Y1351" s="1276"/>
    </row>
    <row r="1352" spans="1:25">
      <c r="A1352" s="2522"/>
      <c r="B1352" s="2522"/>
      <c r="C1352" s="2522"/>
      <c r="D1352" s="2522"/>
      <c r="E1352" s="1275"/>
      <c r="R1352" s="1276"/>
      <c r="S1352" s="1276"/>
      <c r="T1352" s="1276"/>
      <c r="U1352" s="1276"/>
      <c r="V1352" s="1276"/>
      <c r="W1352" s="1276"/>
      <c r="X1352" s="1276"/>
      <c r="Y1352" s="1276"/>
    </row>
    <row r="1353" spans="1:25">
      <c r="A1353" s="2522"/>
      <c r="B1353" s="2522"/>
      <c r="C1353" s="2522"/>
      <c r="D1353" s="2522"/>
      <c r="E1353" s="1275"/>
      <c r="R1353" s="1276"/>
      <c r="S1353" s="1276"/>
      <c r="T1353" s="1276"/>
      <c r="U1353" s="1276"/>
      <c r="V1353" s="1276"/>
      <c r="W1353" s="1276"/>
      <c r="X1353" s="1276"/>
      <c r="Y1353" s="1276"/>
    </row>
    <row r="1354" spans="1:25">
      <c r="A1354" s="2522"/>
      <c r="B1354" s="2522"/>
      <c r="C1354" s="2522"/>
      <c r="D1354" s="2522"/>
      <c r="E1354" s="1275"/>
      <c r="R1354" s="1276"/>
      <c r="S1354" s="1276"/>
      <c r="T1354" s="1276"/>
      <c r="U1354" s="1276"/>
      <c r="V1354" s="1276"/>
      <c r="W1354" s="1276"/>
      <c r="X1354" s="1276"/>
      <c r="Y1354" s="1276"/>
    </row>
    <row r="1355" spans="1:25">
      <c r="A1355" s="2522"/>
      <c r="B1355" s="2522"/>
      <c r="C1355" s="2522"/>
      <c r="D1355" s="2522"/>
      <c r="E1355" s="1275"/>
      <c r="R1355" s="1276"/>
      <c r="S1355" s="1276"/>
      <c r="T1355" s="1276"/>
      <c r="U1355" s="1276"/>
      <c r="V1355" s="1276"/>
      <c r="W1355" s="1276"/>
      <c r="X1355" s="1276"/>
      <c r="Y1355" s="1276"/>
    </row>
    <row r="1356" spans="1:25">
      <c r="A1356" s="2522"/>
      <c r="B1356" s="2522"/>
      <c r="C1356" s="2522"/>
      <c r="D1356" s="2522"/>
      <c r="E1356" s="1275"/>
      <c r="R1356" s="1276"/>
      <c r="S1356" s="1276"/>
      <c r="T1356" s="1276"/>
      <c r="U1356" s="1276"/>
      <c r="V1356" s="1276"/>
      <c r="W1356" s="1276"/>
      <c r="X1356" s="1276"/>
      <c r="Y1356" s="1276"/>
    </row>
    <row r="1357" spans="1:25">
      <c r="A1357" s="2522"/>
      <c r="B1357" s="2522"/>
      <c r="C1357" s="2522"/>
      <c r="D1357" s="2522"/>
      <c r="E1357" s="1275"/>
      <c r="R1357" s="1276"/>
      <c r="S1357" s="1276"/>
      <c r="T1357" s="1276"/>
      <c r="U1357" s="1276"/>
      <c r="V1357" s="1276"/>
      <c r="W1357" s="1276"/>
      <c r="X1357" s="1276"/>
      <c r="Y1357" s="1276"/>
    </row>
    <row r="1358" spans="1:25">
      <c r="A1358" s="2522"/>
      <c r="B1358" s="2522"/>
      <c r="C1358" s="2522"/>
      <c r="D1358" s="2522"/>
      <c r="E1358" s="1275"/>
      <c r="R1358" s="1276"/>
      <c r="S1358" s="1276"/>
      <c r="T1358" s="1276"/>
      <c r="U1358" s="1276"/>
      <c r="V1358" s="1276"/>
      <c r="W1358" s="1276"/>
      <c r="X1358" s="1276"/>
      <c r="Y1358" s="1276"/>
    </row>
    <row r="1359" spans="1:25">
      <c r="A1359" s="2522"/>
      <c r="B1359" s="2522"/>
      <c r="C1359" s="2522"/>
      <c r="D1359" s="2522"/>
      <c r="E1359" s="1275"/>
      <c r="R1359" s="1276"/>
      <c r="S1359" s="1276"/>
      <c r="T1359" s="1276"/>
      <c r="U1359" s="1276"/>
      <c r="V1359" s="1276"/>
      <c r="W1359" s="1276"/>
      <c r="X1359" s="1276"/>
      <c r="Y1359" s="1276"/>
    </row>
    <row r="1360" spans="1:25">
      <c r="A1360" s="2522"/>
      <c r="B1360" s="2522"/>
      <c r="C1360" s="2522"/>
      <c r="D1360" s="2522"/>
      <c r="E1360" s="1275"/>
      <c r="R1360" s="1276"/>
      <c r="S1360" s="1276"/>
      <c r="T1360" s="1276"/>
      <c r="U1360" s="1276"/>
      <c r="V1360" s="1276"/>
      <c r="W1360" s="1276"/>
      <c r="X1360" s="1276"/>
      <c r="Y1360" s="1276"/>
    </row>
    <row r="1361" spans="1:25">
      <c r="A1361" s="2522"/>
      <c r="B1361" s="2522"/>
      <c r="C1361" s="2522"/>
      <c r="D1361" s="2522"/>
      <c r="E1361" s="1275"/>
      <c r="R1361" s="1276"/>
      <c r="S1361" s="1276"/>
      <c r="T1361" s="1276"/>
      <c r="U1361" s="1276"/>
      <c r="V1361" s="1276"/>
      <c r="W1361" s="1276"/>
      <c r="X1361" s="1276"/>
      <c r="Y1361" s="1276"/>
    </row>
    <row r="1362" spans="1:25">
      <c r="A1362" s="2522"/>
      <c r="B1362" s="2522"/>
      <c r="C1362" s="2522"/>
      <c r="D1362" s="2522"/>
      <c r="E1362" s="1275"/>
      <c r="R1362" s="1276"/>
      <c r="S1362" s="1276"/>
      <c r="T1362" s="1276"/>
      <c r="U1362" s="1276"/>
      <c r="V1362" s="1276"/>
      <c r="W1362" s="1276"/>
      <c r="X1362" s="1276"/>
      <c r="Y1362" s="1276"/>
    </row>
    <row r="1363" spans="1:25">
      <c r="A1363" s="2522"/>
      <c r="B1363" s="2522"/>
      <c r="C1363" s="2522"/>
      <c r="D1363" s="2522"/>
      <c r="E1363" s="1275"/>
      <c r="R1363" s="1276"/>
      <c r="S1363" s="1276"/>
      <c r="T1363" s="1276"/>
      <c r="U1363" s="1276"/>
      <c r="V1363" s="1276"/>
      <c r="W1363" s="1276"/>
      <c r="X1363" s="1276"/>
      <c r="Y1363" s="1276"/>
    </row>
    <row r="1364" spans="1:25">
      <c r="A1364" s="2522"/>
      <c r="B1364" s="2522"/>
      <c r="C1364" s="2522"/>
      <c r="D1364" s="2522"/>
      <c r="E1364" s="1275"/>
      <c r="R1364" s="1276"/>
      <c r="S1364" s="1276"/>
      <c r="T1364" s="1276"/>
      <c r="U1364" s="1276"/>
      <c r="V1364" s="1276"/>
      <c r="W1364" s="1276"/>
      <c r="X1364" s="1276"/>
      <c r="Y1364" s="1276"/>
    </row>
    <row r="1365" spans="1:25">
      <c r="A1365" s="2522"/>
      <c r="B1365" s="2522"/>
      <c r="C1365" s="2522"/>
      <c r="D1365" s="2522"/>
      <c r="E1365" s="1275"/>
      <c r="R1365" s="1276"/>
      <c r="S1365" s="1276"/>
      <c r="T1365" s="1276"/>
      <c r="U1365" s="1276"/>
      <c r="V1365" s="1276"/>
      <c r="W1365" s="1276"/>
      <c r="X1365" s="1276"/>
      <c r="Y1365" s="1276"/>
    </row>
    <row r="1366" spans="1:25">
      <c r="A1366" s="2522"/>
      <c r="B1366" s="2522"/>
      <c r="C1366" s="2522"/>
      <c r="D1366" s="2522"/>
      <c r="E1366" s="1275"/>
      <c r="R1366" s="1276"/>
      <c r="S1366" s="1276"/>
      <c r="T1366" s="1276"/>
      <c r="U1366" s="1276"/>
      <c r="V1366" s="1276"/>
      <c r="W1366" s="1276"/>
      <c r="X1366" s="1276"/>
      <c r="Y1366" s="1276"/>
    </row>
    <row r="1367" spans="1:25">
      <c r="A1367" s="2522"/>
      <c r="B1367" s="2522"/>
      <c r="C1367" s="2522"/>
      <c r="D1367" s="2522"/>
      <c r="E1367" s="1275"/>
      <c r="R1367" s="1276"/>
      <c r="S1367" s="1276"/>
      <c r="T1367" s="1276"/>
      <c r="U1367" s="1276"/>
      <c r="V1367" s="1276"/>
      <c r="W1367" s="1276"/>
      <c r="X1367" s="1276"/>
      <c r="Y1367" s="1276"/>
    </row>
    <row r="1368" spans="1:25">
      <c r="A1368" s="2522"/>
      <c r="B1368" s="2522"/>
      <c r="C1368" s="2522"/>
      <c r="D1368" s="2522"/>
      <c r="E1368" s="1275"/>
      <c r="R1368" s="1276"/>
      <c r="S1368" s="1276"/>
      <c r="T1368" s="1276"/>
      <c r="U1368" s="1276"/>
      <c r="V1368" s="1276"/>
      <c r="W1368" s="1276"/>
      <c r="X1368" s="1276"/>
      <c r="Y1368" s="1276"/>
    </row>
    <row r="1369" spans="1:25">
      <c r="A1369" s="2522"/>
      <c r="B1369" s="2522"/>
      <c r="C1369" s="2522"/>
      <c r="D1369" s="2522"/>
      <c r="E1369" s="1275"/>
      <c r="R1369" s="1276"/>
      <c r="S1369" s="1276"/>
      <c r="T1369" s="1276"/>
      <c r="U1369" s="1276"/>
      <c r="V1369" s="1276"/>
      <c r="W1369" s="1276"/>
      <c r="X1369" s="1276"/>
      <c r="Y1369" s="1276"/>
    </row>
    <row r="1370" spans="1:25">
      <c r="A1370" s="2522"/>
      <c r="B1370" s="2522"/>
      <c r="C1370" s="2522"/>
      <c r="D1370" s="2522"/>
      <c r="E1370" s="1275"/>
      <c r="R1370" s="1276"/>
      <c r="S1370" s="1276"/>
      <c r="T1370" s="1276"/>
      <c r="U1370" s="1276"/>
      <c r="V1370" s="1276"/>
      <c r="W1370" s="1276"/>
      <c r="X1370" s="1276"/>
      <c r="Y1370" s="1276"/>
    </row>
    <row r="1371" spans="1:25">
      <c r="A1371" s="2522"/>
      <c r="B1371" s="2522"/>
      <c r="C1371" s="2522"/>
      <c r="D1371" s="2522"/>
      <c r="E1371" s="1275"/>
      <c r="R1371" s="1276"/>
      <c r="S1371" s="1276"/>
      <c r="T1371" s="1276"/>
      <c r="U1371" s="1276"/>
      <c r="V1371" s="1276"/>
      <c r="W1371" s="1276"/>
      <c r="X1371" s="1276"/>
      <c r="Y1371" s="1276"/>
    </row>
    <row r="1372" spans="1:25">
      <c r="A1372" s="2522"/>
      <c r="B1372" s="2522"/>
      <c r="C1372" s="2522"/>
      <c r="D1372" s="2522"/>
      <c r="E1372" s="1275"/>
      <c r="R1372" s="1276"/>
      <c r="S1372" s="1276"/>
      <c r="T1372" s="1276"/>
      <c r="U1372" s="1276"/>
      <c r="V1372" s="1276"/>
      <c r="W1372" s="1276"/>
      <c r="X1372" s="1276"/>
      <c r="Y1372" s="1276"/>
    </row>
    <row r="1373" spans="1:25">
      <c r="A1373" s="2522"/>
      <c r="B1373" s="2522"/>
      <c r="C1373" s="2522"/>
      <c r="D1373" s="2522"/>
      <c r="E1373" s="1275"/>
      <c r="R1373" s="1276"/>
      <c r="S1373" s="1276"/>
      <c r="T1373" s="1276"/>
      <c r="U1373" s="1276"/>
      <c r="V1373" s="1276"/>
      <c r="W1373" s="1276"/>
      <c r="X1373" s="1276"/>
      <c r="Y1373" s="1276"/>
    </row>
    <row r="1374" spans="1:25">
      <c r="A1374" s="2522"/>
      <c r="B1374" s="2522"/>
      <c r="C1374" s="2522"/>
      <c r="D1374" s="2522"/>
      <c r="E1374" s="1275"/>
      <c r="R1374" s="1276"/>
      <c r="S1374" s="1276"/>
      <c r="T1374" s="1276"/>
      <c r="U1374" s="1276"/>
      <c r="V1374" s="1276"/>
      <c r="W1374" s="1276"/>
      <c r="X1374" s="1276"/>
      <c r="Y1374" s="1276"/>
    </row>
    <row r="1375" spans="1:25">
      <c r="A1375" s="2522"/>
      <c r="B1375" s="2522"/>
      <c r="C1375" s="2522"/>
      <c r="D1375" s="2522"/>
      <c r="E1375" s="1275"/>
      <c r="R1375" s="1276"/>
      <c r="S1375" s="1276"/>
      <c r="T1375" s="1276"/>
      <c r="U1375" s="1276"/>
      <c r="V1375" s="1276"/>
      <c r="W1375" s="1276"/>
      <c r="X1375" s="1276"/>
      <c r="Y1375" s="1276"/>
    </row>
    <row r="1376" spans="1:25">
      <c r="A1376" s="2522"/>
      <c r="B1376" s="2522"/>
      <c r="C1376" s="2522"/>
      <c r="D1376" s="2522"/>
      <c r="E1376" s="1275"/>
      <c r="R1376" s="1276"/>
      <c r="S1376" s="1276"/>
      <c r="T1376" s="1276"/>
      <c r="U1376" s="1276"/>
      <c r="V1376" s="1276"/>
      <c r="W1376" s="1276"/>
      <c r="X1376" s="1276"/>
      <c r="Y1376" s="1276"/>
    </row>
    <row r="1377" spans="1:25">
      <c r="A1377" s="2522"/>
      <c r="B1377" s="2522"/>
      <c r="C1377" s="2522"/>
      <c r="D1377" s="2522"/>
      <c r="E1377" s="1275"/>
      <c r="R1377" s="1276"/>
      <c r="S1377" s="1276"/>
      <c r="T1377" s="1276"/>
      <c r="U1377" s="1276"/>
      <c r="V1377" s="1276"/>
      <c r="W1377" s="1276"/>
      <c r="X1377" s="1276"/>
      <c r="Y1377" s="1276"/>
    </row>
    <row r="1378" spans="1:25">
      <c r="A1378" s="2522"/>
      <c r="B1378" s="2522"/>
      <c r="C1378" s="2522"/>
      <c r="D1378" s="2522"/>
      <c r="E1378" s="1275"/>
      <c r="R1378" s="1276"/>
      <c r="S1378" s="1276"/>
      <c r="T1378" s="1276"/>
      <c r="U1378" s="1276"/>
      <c r="V1378" s="1276"/>
      <c r="W1378" s="1276"/>
      <c r="X1378" s="1276"/>
      <c r="Y1378" s="1276"/>
    </row>
    <row r="1379" spans="1:25">
      <c r="A1379" s="2522"/>
      <c r="B1379" s="2522"/>
      <c r="C1379" s="2522"/>
      <c r="D1379" s="2522"/>
      <c r="E1379" s="1275"/>
      <c r="R1379" s="1276"/>
      <c r="S1379" s="1276"/>
      <c r="T1379" s="1276"/>
      <c r="U1379" s="1276"/>
      <c r="V1379" s="1276"/>
      <c r="W1379" s="1276"/>
      <c r="X1379" s="1276"/>
      <c r="Y1379" s="1276"/>
    </row>
    <row r="1380" spans="1:25">
      <c r="A1380" s="2522"/>
      <c r="B1380" s="2522"/>
      <c r="C1380" s="2522"/>
      <c r="D1380" s="2522"/>
      <c r="E1380" s="1275"/>
      <c r="R1380" s="1276"/>
      <c r="S1380" s="1276"/>
      <c r="T1380" s="1276"/>
      <c r="U1380" s="1276"/>
      <c r="V1380" s="1276"/>
      <c r="W1380" s="1276"/>
      <c r="X1380" s="1276"/>
      <c r="Y1380" s="1276"/>
    </row>
    <row r="1381" spans="1:25">
      <c r="A1381" s="2522"/>
      <c r="B1381" s="2522"/>
      <c r="C1381" s="2522"/>
      <c r="D1381" s="2522"/>
      <c r="E1381" s="1275"/>
      <c r="R1381" s="1276"/>
      <c r="S1381" s="1276"/>
      <c r="T1381" s="1276"/>
      <c r="U1381" s="1276"/>
      <c r="V1381" s="1276"/>
      <c r="W1381" s="1276"/>
      <c r="X1381" s="1276"/>
      <c r="Y1381" s="1276"/>
    </row>
    <row r="1382" spans="1:25">
      <c r="A1382" s="2522"/>
      <c r="B1382" s="2522"/>
      <c r="C1382" s="2522"/>
      <c r="D1382" s="2522"/>
      <c r="E1382" s="1275"/>
      <c r="R1382" s="1276"/>
      <c r="S1382" s="1276"/>
      <c r="T1382" s="1276"/>
      <c r="U1382" s="1276"/>
      <c r="V1382" s="1276"/>
      <c r="W1382" s="1276"/>
      <c r="X1382" s="1276"/>
      <c r="Y1382" s="1276"/>
    </row>
    <row r="1383" spans="1:25">
      <c r="A1383" s="2522"/>
      <c r="B1383" s="2522"/>
      <c r="C1383" s="2522"/>
      <c r="D1383" s="2522"/>
      <c r="E1383" s="1275"/>
      <c r="R1383" s="1276"/>
      <c r="S1383" s="1276"/>
      <c r="T1383" s="1276"/>
      <c r="U1383" s="1276"/>
      <c r="V1383" s="1276"/>
      <c r="W1383" s="1276"/>
      <c r="X1383" s="1276"/>
      <c r="Y1383" s="1276"/>
    </row>
    <row r="1384" spans="1:25">
      <c r="A1384" s="2522"/>
      <c r="B1384" s="2522"/>
      <c r="C1384" s="2522"/>
      <c r="D1384" s="2522"/>
      <c r="E1384" s="1275"/>
      <c r="R1384" s="1276"/>
      <c r="S1384" s="1276"/>
      <c r="T1384" s="1276"/>
      <c r="U1384" s="1276"/>
      <c r="V1384" s="1276"/>
      <c r="W1384" s="1276"/>
      <c r="X1384" s="1276"/>
      <c r="Y1384" s="1276"/>
    </row>
    <row r="1385" spans="1:25">
      <c r="A1385" s="2522"/>
      <c r="B1385" s="2522"/>
      <c r="C1385" s="2522"/>
      <c r="D1385" s="2522"/>
      <c r="E1385" s="1275"/>
      <c r="R1385" s="1276"/>
      <c r="S1385" s="1276"/>
      <c r="T1385" s="1276"/>
      <c r="U1385" s="1276"/>
      <c r="V1385" s="1276"/>
      <c r="W1385" s="1276"/>
      <c r="X1385" s="1276"/>
      <c r="Y1385" s="1276"/>
    </row>
    <row r="1386" spans="1:25">
      <c r="A1386" s="2522"/>
      <c r="B1386" s="2522"/>
      <c r="C1386" s="2522"/>
      <c r="D1386" s="2522"/>
      <c r="E1386" s="1275"/>
      <c r="R1386" s="1276"/>
      <c r="S1386" s="1276"/>
      <c r="T1386" s="1276"/>
      <c r="U1386" s="1276"/>
      <c r="V1386" s="1276"/>
      <c r="W1386" s="1276"/>
      <c r="X1386" s="1276"/>
      <c r="Y1386" s="1276"/>
    </row>
    <row r="1387" spans="1:25">
      <c r="A1387" s="2522"/>
      <c r="B1387" s="2522"/>
      <c r="C1387" s="2522"/>
      <c r="D1387" s="2522"/>
      <c r="E1387" s="1275"/>
      <c r="R1387" s="1276"/>
      <c r="S1387" s="1276"/>
      <c r="T1387" s="1276"/>
      <c r="U1387" s="1276"/>
      <c r="V1387" s="1276"/>
      <c r="W1387" s="1276"/>
      <c r="X1387" s="1276"/>
      <c r="Y1387" s="1276"/>
    </row>
    <row r="1388" spans="1:25">
      <c r="A1388" s="2522"/>
      <c r="B1388" s="2522"/>
      <c r="C1388" s="2522"/>
      <c r="D1388" s="2522"/>
      <c r="E1388" s="1275"/>
      <c r="R1388" s="1276"/>
      <c r="S1388" s="1276"/>
      <c r="T1388" s="1276"/>
      <c r="U1388" s="1276"/>
      <c r="V1388" s="1276"/>
      <c r="W1388" s="1276"/>
      <c r="X1388" s="1276"/>
      <c r="Y1388" s="1276"/>
    </row>
    <row r="1389" spans="1:25">
      <c r="A1389" s="2522"/>
      <c r="B1389" s="2522"/>
      <c r="C1389" s="2522"/>
      <c r="D1389" s="2522"/>
      <c r="E1389" s="1275"/>
      <c r="R1389" s="1276"/>
      <c r="S1389" s="1276"/>
      <c r="T1389" s="1276"/>
      <c r="U1389" s="1276"/>
      <c r="V1389" s="1276"/>
      <c r="W1389" s="1276"/>
      <c r="X1389" s="1276"/>
      <c r="Y1389" s="1276"/>
    </row>
    <row r="1390" spans="1:25">
      <c r="A1390" s="2522"/>
      <c r="B1390" s="2522"/>
      <c r="C1390" s="2522"/>
      <c r="D1390" s="2522"/>
      <c r="E1390" s="1275"/>
      <c r="R1390" s="1276"/>
      <c r="S1390" s="1276"/>
      <c r="T1390" s="1276"/>
      <c r="U1390" s="1276"/>
      <c r="V1390" s="1276"/>
      <c r="W1390" s="1276"/>
      <c r="X1390" s="1276"/>
      <c r="Y1390" s="1276"/>
    </row>
    <row r="1391" spans="1:25">
      <c r="A1391" s="2522"/>
      <c r="B1391" s="2522"/>
      <c r="C1391" s="2522"/>
      <c r="D1391" s="2522"/>
      <c r="E1391" s="1275"/>
      <c r="R1391" s="1276"/>
      <c r="S1391" s="1276"/>
      <c r="T1391" s="1276"/>
      <c r="U1391" s="1276"/>
      <c r="V1391" s="1276"/>
      <c r="W1391" s="1276"/>
      <c r="X1391" s="1276"/>
      <c r="Y1391" s="1276"/>
    </row>
    <row r="1392" spans="1:25">
      <c r="A1392" s="2522"/>
      <c r="B1392" s="2522"/>
      <c r="C1392" s="2522"/>
      <c r="D1392" s="2522"/>
      <c r="E1392" s="1275"/>
      <c r="R1392" s="1276"/>
      <c r="S1392" s="1276"/>
      <c r="T1392" s="1276"/>
      <c r="U1392" s="1276"/>
      <c r="V1392" s="1276"/>
      <c r="W1392" s="1276"/>
      <c r="X1392" s="1276"/>
      <c r="Y1392" s="1276"/>
    </row>
    <row r="1393" spans="1:25">
      <c r="A1393" s="2522"/>
      <c r="B1393" s="2522"/>
      <c r="C1393" s="2522"/>
      <c r="D1393" s="2522"/>
      <c r="E1393" s="1275"/>
      <c r="R1393" s="1276"/>
      <c r="S1393" s="1276"/>
      <c r="T1393" s="1276"/>
      <c r="U1393" s="1276"/>
      <c r="V1393" s="1276"/>
      <c r="W1393" s="1276"/>
      <c r="X1393" s="1276"/>
      <c r="Y1393" s="1276"/>
    </row>
    <row r="1394" spans="1:25">
      <c r="A1394" s="2522"/>
      <c r="B1394" s="2522"/>
      <c r="C1394" s="2522"/>
      <c r="D1394" s="2522"/>
      <c r="E1394" s="1275"/>
      <c r="R1394" s="1276"/>
      <c r="S1394" s="1276"/>
      <c r="T1394" s="1276"/>
      <c r="U1394" s="1276"/>
      <c r="V1394" s="1276"/>
      <c r="W1394" s="1276"/>
      <c r="X1394" s="1276"/>
      <c r="Y1394" s="1276"/>
    </row>
    <row r="1395" spans="1:25">
      <c r="A1395" s="2522"/>
      <c r="B1395" s="2522"/>
      <c r="C1395" s="2522"/>
      <c r="D1395" s="2522"/>
      <c r="E1395" s="1275"/>
      <c r="R1395" s="1276"/>
      <c r="S1395" s="1276"/>
      <c r="T1395" s="1276"/>
      <c r="U1395" s="1276"/>
      <c r="V1395" s="1276"/>
      <c r="W1395" s="1276"/>
      <c r="X1395" s="1276"/>
      <c r="Y1395" s="1276"/>
    </row>
    <row r="1396" spans="1:25">
      <c r="A1396" s="2522"/>
      <c r="B1396" s="2522"/>
      <c r="C1396" s="2522"/>
      <c r="D1396" s="2522"/>
      <c r="E1396" s="1275"/>
      <c r="R1396" s="1276"/>
      <c r="S1396" s="1276"/>
      <c r="T1396" s="1276"/>
      <c r="U1396" s="1276"/>
      <c r="V1396" s="1276"/>
      <c r="W1396" s="1276"/>
      <c r="X1396" s="1276"/>
      <c r="Y1396" s="1276"/>
    </row>
    <row r="1397" spans="1:25">
      <c r="A1397" s="2522"/>
      <c r="B1397" s="2522"/>
      <c r="C1397" s="2522"/>
      <c r="D1397" s="2522"/>
      <c r="E1397" s="1275"/>
      <c r="R1397" s="1276"/>
      <c r="S1397" s="1276"/>
      <c r="T1397" s="1276"/>
      <c r="U1397" s="1276"/>
      <c r="V1397" s="1276"/>
      <c r="W1397" s="1276"/>
      <c r="X1397" s="1276"/>
      <c r="Y1397" s="1276"/>
    </row>
    <row r="1398" spans="1:25">
      <c r="A1398" s="2522"/>
      <c r="B1398" s="2522"/>
      <c r="C1398" s="2522"/>
      <c r="D1398" s="2522"/>
      <c r="E1398" s="1275"/>
      <c r="R1398" s="1276"/>
      <c r="S1398" s="1276"/>
      <c r="T1398" s="1276"/>
      <c r="U1398" s="1276"/>
      <c r="V1398" s="1276"/>
      <c r="W1398" s="1276"/>
      <c r="X1398" s="1276"/>
      <c r="Y1398" s="1276"/>
    </row>
    <row r="1399" spans="1:25">
      <c r="A1399" s="2522"/>
      <c r="B1399" s="2522"/>
      <c r="C1399" s="2522"/>
      <c r="D1399" s="2522"/>
      <c r="E1399" s="1275"/>
      <c r="R1399" s="1276"/>
      <c r="S1399" s="1276"/>
      <c r="T1399" s="1276"/>
      <c r="U1399" s="1276"/>
      <c r="V1399" s="1276"/>
      <c r="W1399" s="1276"/>
      <c r="X1399" s="1276"/>
      <c r="Y1399" s="1276"/>
    </row>
    <row r="1400" spans="1:25">
      <c r="A1400" s="2522"/>
      <c r="B1400" s="2522"/>
      <c r="C1400" s="2522"/>
      <c r="D1400" s="2522"/>
      <c r="E1400" s="1275"/>
      <c r="R1400" s="1276"/>
      <c r="S1400" s="1276"/>
      <c r="T1400" s="1276"/>
      <c r="U1400" s="1276"/>
      <c r="V1400" s="1276"/>
      <c r="W1400" s="1276"/>
      <c r="X1400" s="1276"/>
      <c r="Y1400" s="1276"/>
    </row>
    <row r="1401" spans="1:25">
      <c r="A1401" s="2522"/>
      <c r="B1401" s="2522"/>
      <c r="C1401" s="2522"/>
      <c r="D1401" s="2522"/>
      <c r="E1401" s="1275"/>
      <c r="R1401" s="1276"/>
      <c r="S1401" s="1276"/>
      <c r="T1401" s="1276"/>
      <c r="U1401" s="1276"/>
      <c r="V1401" s="1276"/>
      <c r="W1401" s="1276"/>
      <c r="X1401" s="1276"/>
      <c r="Y1401" s="1276"/>
    </row>
    <row r="1402" spans="1:25">
      <c r="A1402" s="2522"/>
      <c r="B1402" s="2522"/>
      <c r="C1402" s="2522"/>
      <c r="D1402" s="2522"/>
      <c r="E1402" s="1275"/>
      <c r="R1402" s="1276"/>
      <c r="S1402" s="1276"/>
      <c r="T1402" s="1276"/>
      <c r="U1402" s="1276"/>
      <c r="V1402" s="1276"/>
      <c r="W1402" s="1276"/>
      <c r="X1402" s="1276"/>
      <c r="Y1402" s="1276"/>
    </row>
    <row r="1403" spans="1:25">
      <c r="A1403" s="2522"/>
      <c r="B1403" s="2522"/>
      <c r="C1403" s="2522"/>
      <c r="D1403" s="2522"/>
      <c r="E1403" s="1275"/>
      <c r="R1403" s="1276"/>
      <c r="S1403" s="1276"/>
      <c r="T1403" s="1276"/>
      <c r="U1403" s="1276"/>
      <c r="V1403" s="1276"/>
      <c r="W1403" s="1276"/>
      <c r="X1403" s="1276"/>
      <c r="Y1403" s="1276"/>
    </row>
    <row r="1404" spans="1:25">
      <c r="A1404" s="2522"/>
      <c r="B1404" s="2522"/>
      <c r="C1404" s="2522"/>
      <c r="D1404" s="2522"/>
      <c r="E1404" s="1275"/>
      <c r="R1404" s="1276"/>
      <c r="S1404" s="1276"/>
      <c r="T1404" s="1276"/>
      <c r="U1404" s="1276"/>
      <c r="V1404" s="1276"/>
      <c r="W1404" s="1276"/>
      <c r="X1404" s="1276"/>
      <c r="Y1404" s="1276"/>
    </row>
    <row r="1405" spans="1:25">
      <c r="A1405" s="2522"/>
      <c r="B1405" s="2522"/>
      <c r="C1405" s="2522"/>
      <c r="D1405" s="2522"/>
      <c r="E1405" s="1275"/>
      <c r="R1405" s="1276"/>
      <c r="S1405" s="1276"/>
      <c r="T1405" s="1276"/>
      <c r="U1405" s="1276"/>
      <c r="V1405" s="1276"/>
      <c r="W1405" s="1276"/>
      <c r="X1405" s="1276"/>
      <c r="Y1405" s="1276"/>
    </row>
    <row r="1406" spans="1:25">
      <c r="A1406" s="2522"/>
      <c r="B1406" s="2522"/>
      <c r="C1406" s="2522"/>
      <c r="D1406" s="2522"/>
      <c r="E1406" s="1275"/>
      <c r="R1406" s="1276"/>
      <c r="S1406" s="1276"/>
      <c r="T1406" s="1276"/>
      <c r="U1406" s="1276"/>
      <c r="V1406" s="1276"/>
      <c r="W1406" s="1276"/>
      <c r="X1406" s="1276"/>
      <c r="Y1406" s="1276"/>
    </row>
    <row r="1407" spans="1:25">
      <c r="A1407" s="2522"/>
      <c r="B1407" s="2522"/>
      <c r="C1407" s="2522"/>
      <c r="D1407" s="2522"/>
      <c r="E1407" s="1275"/>
      <c r="R1407" s="1276"/>
      <c r="S1407" s="1276"/>
      <c r="T1407" s="1276"/>
      <c r="U1407" s="1276"/>
      <c r="V1407" s="1276"/>
      <c r="W1407" s="1276"/>
      <c r="X1407" s="1276"/>
      <c r="Y1407" s="1276"/>
    </row>
    <row r="1408" spans="1:25">
      <c r="A1408" s="2522"/>
      <c r="B1408" s="2522"/>
      <c r="C1408" s="2522"/>
      <c r="D1408" s="2522"/>
      <c r="E1408" s="1275"/>
      <c r="R1408" s="1276"/>
      <c r="S1408" s="1276"/>
      <c r="T1408" s="1276"/>
      <c r="U1408" s="1276"/>
      <c r="V1408" s="1276"/>
      <c r="W1408" s="1276"/>
      <c r="X1408" s="1276"/>
      <c r="Y1408" s="1276"/>
    </row>
    <row r="1409" spans="1:25">
      <c r="A1409" s="2522"/>
      <c r="B1409" s="2522"/>
      <c r="C1409" s="2522"/>
      <c r="D1409" s="2522"/>
      <c r="E1409" s="1275"/>
      <c r="R1409" s="1276"/>
      <c r="S1409" s="1276"/>
      <c r="T1409" s="1276"/>
      <c r="U1409" s="1276"/>
      <c r="V1409" s="1276"/>
      <c r="W1409" s="1276"/>
      <c r="X1409" s="1276"/>
      <c r="Y1409" s="1276"/>
    </row>
    <row r="1410" spans="1:25">
      <c r="A1410" s="2522"/>
      <c r="B1410" s="2522"/>
      <c r="C1410" s="2522"/>
      <c r="D1410" s="2522"/>
      <c r="E1410" s="1275"/>
      <c r="R1410" s="1276"/>
      <c r="S1410" s="1276"/>
      <c r="T1410" s="1276"/>
      <c r="U1410" s="1276"/>
      <c r="V1410" s="1276"/>
      <c r="W1410" s="1276"/>
      <c r="X1410" s="1276"/>
      <c r="Y1410" s="1276"/>
    </row>
    <row r="1411" spans="1:25">
      <c r="A1411" s="2522"/>
      <c r="B1411" s="2522"/>
      <c r="C1411" s="2522"/>
      <c r="D1411" s="2522"/>
      <c r="E1411" s="1275"/>
      <c r="R1411" s="1276"/>
      <c r="S1411" s="1276"/>
      <c r="T1411" s="1276"/>
      <c r="U1411" s="1276"/>
      <c r="V1411" s="1276"/>
      <c r="W1411" s="1276"/>
      <c r="X1411" s="1276"/>
      <c r="Y1411" s="1276"/>
    </row>
    <row r="1412" spans="1:25">
      <c r="A1412" s="2522"/>
      <c r="B1412" s="2522"/>
      <c r="C1412" s="2522"/>
      <c r="D1412" s="2522"/>
      <c r="E1412" s="1275"/>
      <c r="R1412" s="1276"/>
      <c r="S1412" s="1276"/>
      <c r="T1412" s="1276"/>
      <c r="U1412" s="1276"/>
      <c r="V1412" s="1276"/>
      <c r="W1412" s="1276"/>
      <c r="X1412" s="1276"/>
      <c r="Y1412" s="1276"/>
    </row>
    <row r="1413" spans="1:25">
      <c r="A1413" s="2522"/>
      <c r="B1413" s="2522"/>
      <c r="C1413" s="2522"/>
      <c r="D1413" s="2522"/>
      <c r="E1413" s="1275"/>
      <c r="R1413" s="1276"/>
      <c r="S1413" s="1276"/>
      <c r="T1413" s="1276"/>
      <c r="U1413" s="1276"/>
      <c r="V1413" s="1276"/>
      <c r="W1413" s="1276"/>
      <c r="X1413" s="1276"/>
      <c r="Y1413" s="1276"/>
    </row>
    <row r="1414" spans="1:25">
      <c r="A1414" s="2522"/>
      <c r="B1414" s="2522"/>
      <c r="C1414" s="2522"/>
      <c r="D1414" s="2522"/>
      <c r="E1414" s="1275"/>
      <c r="R1414" s="1276"/>
      <c r="S1414" s="1276"/>
      <c r="T1414" s="1276"/>
      <c r="U1414" s="1276"/>
      <c r="V1414" s="1276"/>
      <c r="W1414" s="1276"/>
      <c r="X1414" s="1276"/>
      <c r="Y1414" s="1276"/>
    </row>
    <row r="1415" spans="1:25">
      <c r="A1415" s="2522"/>
      <c r="B1415" s="2522"/>
      <c r="C1415" s="2522"/>
      <c r="D1415" s="2522"/>
      <c r="E1415" s="1275"/>
      <c r="R1415" s="1276"/>
      <c r="S1415" s="1276"/>
      <c r="T1415" s="1276"/>
      <c r="U1415" s="1276"/>
      <c r="V1415" s="1276"/>
      <c r="W1415" s="1276"/>
      <c r="X1415" s="1276"/>
      <c r="Y1415" s="1276"/>
    </row>
    <row r="1416" spans="1:25">
      <c r="A1416" s="2522"/>
      <c r="B1416" s="2522"/>
      <c r="C1416" s="2522"/>
      <c r="D1416" s="2522"/>
      <c r="E1416" s="1275"/>
      <c r="R1416" s="1276"/>
      <c r="S1416" s="1276"/>
      <c r="T1416" s="1276"/>
      <c r="U1416" s="1276"/>
      <c r="V1416" s="1276"/>
      <c r="W1416" s="1276"/>
      <c r="X1416" s="1276"/>
      <c r="Y1416" s="1276"/>
    </row>
    <row r="1417" spans="1:25">
      <c r="A1417" s="2522"/>
      <c r="B1417" s="2522"/>
      <c r="C1417" s="2522"/>
      <c r="D1417" s="2522"/>
      <c r="E1417" s="1275"/>
      <c r="R1417" s="1276"/>
      <c r="S1417" s="1276"/>
      <c r="T1417" s="1276"/>
      <c r="U1417" s="1276"/>
      <c r="V1417" s="1276"/>
      <c r="W1417" s="1276"/>
      <c r="X1417" s="1276"/>
      <c r="Y1417" s="1276"/>
    </row>
    <row r="1418" spans="1:25">
      <c r="A1418" s="2522"/>
      <c r="B1418" s="2522"/>
      <c r="C1418" s="2522"/>
      <c r="D1418" s="2522"/>
      <c r="E1418" s="1275"/>
      <c r="R1418" s="1276"/>
      <c r="S1418" s="1276"/>
      <c r="T1418" s="1276"/>
      <c r="U1418" s="1276"/>
      <c r="V1418" s="1276"/>
      <c r="W1418" s="1276"/>
      <c r="X1418" s="1276"/>
      <c r="Y1418" s="1276"/>
    </row>
    <row r="1419" spans="1:25">
      <c r="A1419" s="2522"/>
      <c r="B1419" s="2522"/>
      <c r="C1419" s="2522"/>
      <c r="D1419" s="2522"/>
      <c r="E1419" s="1275"/>
      <c r="R1419" s="1276"/>
      <c r="S1419" s="1276"/>
      <c r="T1419" s="1276"/>
      <c r="U1419" s="1276"/>
      <c r="V1419" s="1276"/>
      <c r="W1419" s="1276"/>
      <c r="X1419" s="1276"/>
      <c r="Y1419" s="1276"/>
    </row>
    <row r="1420" spans="1:25">
      <c r="A1420" s="2522"/>
      <c r="B1420" s="2522"/>
      <c r="C1420" s="2522"/>
      <c r="D1420" s="2522"/>
      <c r="E1420" s="1275"/>
      <c r="R1420" s="1276"/>
      <c r="S1420" s="1276"/>
      <c r="T1420" s="1276"/>
      <c r="U1420" s="1276"/>
      <c r="V1420" s="1276"/>
      <c r="W1420" s="1276"/>
      <c r="X1420" s="1276"/>
      <c r="Y1420" s="1276"/>
    </row>
    <row r="1421" spans="1:25">
      <c r="A1421" s="2522"/>
      <c r="B1421" s="2522"/>
      <c r="C1421" s="2522"/>
      <c r="D1421" s="2522"/>
      <c r="E1421" s="1275"/>
      <c r="R1421" s="1276"/>
      <c r="S1421" s="1276"/>
      <c r="T1421" s="1276"/>
      <c r="U1421" s="1276"/>
      <c r="V1421" s="1276"/>
      <c r="W1421" s="1276"/>
      <c r="X1421" s="1276"/>
      <c r="Y1421" s="1276"/>
    </row>
    <row r="1422" spans="1:25">
      <c r="A1422" s="2522"/>
      <c r="B1422" s="2522"/>
      <c r="C1422" s="2522"/>
      <c r="D1422" s="2522"/>
      <c r="E1422" s="1275"/>
      <c r="R1422" s="1276"/>
      <c r="S1422" s="1276"/>
      <c r="T1422" s="1276"/>
      <c r="U1422" s="1276"/>
      <c r="V1422" s="1276"/>
      <c r="W1422" s="1276"/>
      <c r="X1422" s="1276"/>
      <c r="Y1422" s="1276"/>
    </row>
    <row r="1423" spans="1:25">
      <c r="A1423" s="2522"/>
      <c r="B1423" s="2522"/>
      <c r="C1423" s="2522"/>
      <c r="D1423" s="2522"/>
      <c r="E1423" s="1275"/>
      <c r="R1423" s="1276"/>
      <c r="S1423" s="1276"/>
      <c r="T1423" s="1276"/>
      <c r="U1423" s="1276"/>
      <c r="V1423" s="1276"/>
      <c r="W1423" s="1276"/>
      <c r="X1423" s="1276"/>
      <c r="Y1423" s="1276"/>
    </row>
    <row r="1424" spans="1:25">
      <c r="A1424" s="2522"/>
      <c r="B1424" s="2522"/>
      <c r="C1424" s="2522"/>
      <c r="D1424" s="2522"/>
      <c r="E1424" s="1275"/>
      <c r="R1424" s="1276"/>
      <c r="S1424" s="1276"/>
      <c r="T1424" s="1276"/>
      <c r="U1424" s="1276"/>
      <c r="V1424" s="1276"/>
      <c r="W1424" s="1276"/>
      <c r="X1424" s="1276"/>
      <c r="Y1424" s="1276"/>
    </row>
    <row r="1425" spans="1:25">
      <c r="A1425" s="2522"/>
      <c r="B1425" s="2522"/>
      <c r="C1425" s="2522"/>
      <c r="D1425" s="2522"/>
      <c r="E1425" s="1275"/>
      <c r="R1425" s="1276"/>
      <c r="S1425" s="1276"/>
      <c r="T1425" s="1276"/>
      <c r="U1425" s="1276"/>
      <c r="V1425" s="1276"/>
      <c r="W1425" s="1276"/>
      <c r="X1425" s="1276"/>
      <c r="Y1425" s="1276"/>
    </row>
    <row r="1426" spans="1:25">
      <c r="A1426" s="2522"/>
      <c r="B1426" s="2522"/>
      <c r="C1426" s="2522"/>
      <c r="D1426" s="2522"/>
      <c r="E1426" s="1275"/>
      <c r="R1426" s="1276"/>
      <c r="S1426" s="1276"/>
      <c r="T1426" s="1276"/>
      <c r="U1426" s="1276"/>
      <c r="V1426" s="1276"/>
      <c r="W1426" s="1276"/>
      <c r="X1426" s="1276"/>
      <c r="Y1426" s="1276"/>
    </row>
    <row r="1427" spans="1:25">
      <c r="A1427" s="2522"/>
      <c r="B1427" s="2522"/>
      <c r="C1427" s="2522"/>
      <c r="D1427" s="2522"/>
      <c r="E1427" s="1275"/>
      <c r="R1427" s="1276"/>
      <c r="S1427" s="1276"/>
      <c r="T1427" s="1276"/>
      <c r="U1427" s="1276"/>
      <c r="V1427" s="1276"/>
      <c r="W1427" s="1276"/>
      <c r="X1427" s="1276"/>
      <c r="Y1427" s="1276"/>
    </row>
    <row r="1428" spans="1:25">
      <c r="A1428" s="2522"/>
      <c r="B1428" s="2522"/>
      <c r="C1428" s="2522"/>
      <c r="D1428" s="2522"/>
      <c r="E1428" s="1275"/>
      <c r="R1428" s="1276"/>
      <c r="S1428" s="1276"/>
      <c r="T1428" s="1276"/>
      <c r="U1428" s="1276"/>
      <c r="V1428" s="1276"/>
      <c r="W1428" s="1276"/>
      <c r="X1428" s="1276"/>
      <c r="Y1428" s="1276"/>
    </row>
    <row r="1429" spans="1:25">
      <c r="A1429" s="2522"/>
      <c r="B1429" s="2522"/>
      <c r="C1429" s="2522"/>
      <c r="D1429" s="2522"/>
      <c r="E1429" s="1275"/>
      <c r="R1429" s="1276"/>
      <c r="S1429" s="1276"/>
      <c r="T1429" s="1276"/>
      <c r="U1429" s="1276"/>
      <c r="V1429" s="1276"/>
      <c r="W1429" s="1276"/>
      <c r="X1429" s="1276"/>
      <c r="Y1429" s="1276"/>
    </row>
    <row r="1430" spans="1:25">
      <c r="A1430" s="2522"/>
      <c r="B1430" s="2522"/>
      <c r="C1430" s="2522"/>
      <c r="D1430" s="2522"/>
      <c r="E1430" s="1275"/>
      <c r="R1430" s="1276"/>
      <c r="S1430" s="1276"/>
      <c r="T1430" s="1276"/>
      <c r="U1430" s="1276"/>
      <c r="V1430" s="1276"/>
      <c r="W1430" s="1276"/>
      <c r="X1430" s="1276"/>
      <c r="Y1430" s="1276"/>
    </row>
    <row r="1431" spans="1:25">
      <c r="A1431" s="2522"/>
      <c r="B1431" s="2522"/>
      <c r="C1431" s="2522"/>
      <c r="D1431" s="2522"/>
      <c r="E1431" s="1275"/>
      <c r="R1431" s="1276"/>
      <c r="S1431" s="1276"/>
      <c r="T1431" s="1276"/>
      <c r="U1431" s="1276"/>
      <c r="V1431" s="1276"/>
      <c r="W1431" s="1276"/>
      <c r="X1431" s="1276"/>
      <c r="Y1431" s="1276"/>
    </row>
    <row r="1432" spans="1:25">
      <c r="A1432" s="2522"/>
      <c r="B1432" s="2522"/>
      <c r="C1432" s="2522"/>
      <c r="D1432" s="2522"/>
      <c r="E1432" s="1275"/>
      <c r="R1432" s="1276"/>
      <c r="S1432" s="1276"/>
      <c r="T1432" s="1276"/>
      <c r="U1432" s="1276"/>
      <c r="V1432" s="1276"/>
      <c r="W1432" s="1276"/>
      <c r="X1432" s="1276"/>
      <c r="Y1432" s="1276"/>
    </row>
    <row r="1433" spans="1:25">
      <c r="A1433" s="2522"/>
      <c r="B1433" s="2522"/>
      <c r="C1433" s="2522"/>
      <c r="D1433" s="2522"/>
      <c r="E1433" s="1275"/>
      <c r="R1433" s="1276"/>
      <c r="S1433" s="1276"/>
      <c r="T1433" s="1276"/>
      <c r="U1433" s="1276"/>
      <c r="V1433" s="1276"/>
      <c r="W1433" s="1276"/>
      <c r="X1433" s="1276"/>
      <c r="Y1433" s="1276"/>
    </row>
    <row r="1434" spans="1:25">
      <c r="A1434" s="2522"/>
      <c r="B1434" s="2522"/>
      <c r="C1434" s="2522"/>
      <c r="D1434" s="2522"/>
      <c r="E1434" s="1275"/>
      <c r="R1434" s="1276"/>
      <c r="S1434" s="1276"/>
      <c r="T1434" s="1276"/>
      <c r="U1434" s="1276"/>
      <c r="V1434" s="1276"/>
      <c r="W1434" s="1276"/>
      <c r="X1434" s="1276"/>
      <c r="Y1434" s="1276"/>
    </row>
    <row r="1435" spans="1:25">
      <c r="A1435" s="2522"/>
      <c r="B1435" s="2522"/>
      <c r="C1435" s="2522"/>
      <c r="D1435" s="2522"/>
      <c r="E1435" s="1275"/>
      <c r="R1435" s="1276"/>
      <c r="S1435" s="1276"/>
      <c r="T1435" s="1276"/>
      <c r="U1435" s="1276"/>
      <c r="V1435" s="1276"/>
      <c r="W1435" s="1276"/>
      <c r="X1435" s="1276"/>
      <c r="Y1435" s="1276"/>
    </row>
    <row r="1436" spans="1:25">
      <c r="A1436" s="2522"/>
      <c r="B1436" s="2522"/>
      <c r="C1436" s="2522"/>
      <c r="D1436" s="2522"/>
      <c r="E1436" s="1275"/>
      <c r="R1436" s="1276"/>
      <c r="S1436" s="1276"/>
      <c r="T1436" s="1276"/>
      <c r="U1436" s="1276"/>
      <c r="V1436" s="1276"/>
      <c r="W1436" s="1276"/>
      <c r="X1436" s="1276"/>
      <c r="Y1436" s="1276"/>
    </row>
    <row r="1437" spans="1:25">
      <c r="A1437" s="2522"/>
      <c r="B1437" s="2522"/>
      <c r="C1437" s="2522"/>
      <c r="D1437" s="2522"/>
      <c r="E1437" s="1275"/>
      <c r="R1437" s="1276"/>
      <c r="S1437" s="1276"/>
      <c r="T1437" s="1276"/>
      <c r="U1437" s="1276"/>
      <c r="V1437" s="1276"/>
      <c r="W1437" s="1276"/>
      <c r="X1437" s="1276"/>
      <c r="Y1437" s="1276"/>
    </row>
    <row r="1438" spans="1:25">
      <c r="A1438" s="2522"/>
      <c r="B1438" s="2522"/>
      <c r="C1438" s="2522"/>
      <c r="D1438" s="2522"/>
      <c r="E1438" s="1275"/>
      <c r="R1438" s="1276"/>
      <c r="S1438" s="1276"/>
      <c r="T1438" s="1276"/>
      <c r="U1438" s="1276"/>
      <c r="V1438" s="1276"/>
      <c r="W1438" s="1276"/>
      <c r="X1438" s="1276"/>
      <c r="Y1438" s="1276"/>
    </row>
    <row r="1439" spans="1:25">
      <c r="A1439" s="2522"/>
      <c r="B1439" s="2522"/>
      <c r="C1439" s="2522"/>
      <c r="D1439" s="2522"/>
      <c r="E1439" s="1275"/>
      <c r="R1439" s="1276"/>
      <c r="S1439" s="1276"/>
      <c r="T1439" s="1276"/>
      <c r="U1439" s="1276"/>
      <c r="V1439" s="1276"/>
      <c r="W1439" s="1276"/>
      <c r="X1439" s="1276"/>
      <c r="Y1439" s="1276"/>
    </row>
    <row r="1440" spans="1:25">
      <c r="A1440" s="2522"/>
      <c r="B1440" s="2522"/>
      <c r="C1440" s="2522"/>
      <c r="D1440" s="2522"/>
      <c r="E1440" s="1275"/>
      <c r="R1440" s="1276"/>
      <c r="S1440" s="1276"/>
      <c r="T1440" s="1276"/>
      <c r="U1440" s="1276"/>
      <c r="V1440" s="1276"/>
      <c r="W1440" s="1276"/>
      <c r="X1440" s="1276"/>
      <c r="Y1440" s="1276"/>
    </row>
    <row r="1441" spans="1:25">
      <c r="A1441" s="2522"/>
      <c r="B1441" s="2522"/>
      <c r="C1441" s="2522"/>
      <c r="D1441" s="2522"/>
      <c r="E1441" s="1275"/>
      <c r="R1441" s="1276"/>
      <c r="S1441" s="1276"/>
      <c r="T1441" s="1276"/>
      <c r="U1441" s="1276"/>
      <c r="V1441" s="1276"/>
      <c r="W1441" s="1276"/>
      <c r="X1441" s="1276"/>
      <c r="Y1441" s="1276"/>
    </row>
    <row r="1442" spans="1:25">
      <c r="A1442" s="2522"/>
      <c r="B1442" s="2522"/>
      <c r="C1442" s="2522"/>
      <c r="D1442" s="2522"/>
      <c r="E1442" s="1275"/>
      <c r="R1442" s="1276"/>
      <c r="S1442" s="1276"/>
      <c r="T1442" s="1276"/>
      <c r="U1442" s="1276"/>
      <c r="V1442" s="1276"/>
      <c r="W1442" s="1276"/>
      <c r="X1442" s="1276"/>
      <c r="Y1442" s="1276"/>
    </row>
    <row r="1443" spans="1:25">
      <c r="A1443" s="2522"/>
      <c r="B1443" s="2522"/>
      <c r="C1443" s="2522"/>
      <c r="D1443" s="2522"/>
      <c r="E1443" s="1275"/>
      <c r="R1443" s="1276"/>
      <c r="S1443" s="1276"/>
      <c r="T1443" s="1276"/>
      <c r="U1443" s="1276"/>
      <c r="V1443" s="1276"/>
      <c r="W1443" s="1276"/>
      <c r="X1443" s="1276"/>
      <c r="Y1443" s="1276"/>
    </row>
    <row r="1444" spans="1:25">
      <c r="A1444" s="2522"/>
      <c r="B1444" s="2522"/>
      <c r="C1444" s="2522"/>
      <c r="D1444" s="2522"/>
      <c r="E1444" s="1275"/>
      <c r="R1444" s="1276"/>
      <c r="S1444" s="1276"/>
      <c r="T1444" s="1276"/>
      <c r="U1444" s="1276"/>
      <c r="V1444" s="1276"/>
      <c r="W1444" s="1276"/>
      <c r="X1444" s="1276"/>
      <c r="Y1444" s="1276"/>
    </row>
    <row r="1445" spans="1:25">
      <c r="A1445" s="2522"/>
      <c r="B1445" s="2522"/>
      <c r="C1445" s="2522"/>
      <c r="D1445" s="2522"/>
      <c r="E1445" s="1275"/>
      <c r="R1445" s="1276"/>
      <c r="S1445" s="1276"/>
      <c r="T1445" s="1276"/>
      <c r="U1445" s="1276"/>
      <c r="V1445" s="1276"/>
      <c r="W1445" s="1276"/>
      <c r="X1445" s="1276"/>
      <c r="Y1445" s="1276"/>
    </row>
    <row r="1446" spans="1:25">
      <c r="A1446" s="2522"/>
      <c r="B1446" s="2522"/>
      <c r="C1446" s="2522"/>
      <c r="D1446" s="2522"/>
      <c r="E1446" s="1275"/>
      <c r="R1446" s="1276"/>
      <c r="S1446" s="1276"/>
      <c r="T1446" s="1276"/>
      <c r="U1446" s="1276"/>
      <c r="V1446" s="1276"/>
      <c r="W1446" s="1276"/>
      <c r="X1446" s="1276"/>
      <c r="Y1446" s="1276"/>
    </row>
    <row r="1447" spans="1:25">
      <c r="A1447" s="2522"/>
      <c r="B1447" s="2522"/>
      <c r="C1447" s="2522"/>
      <c r="D1447" s="2522"/>
      <c r="E1447" s="1275"/>
      <c r="R1447" s="1276"/>
      <c r="S1447" s="1276"/>
      <c r="T1447" s="1276"/>
      <c r="U1447" s="1276"/>
      <c r="V1447" s="1276"/>
      <c r="W1447" s="1276"/>
      <c r="X1447" s="1276"/>
      <c r="Y1447" s="1276"/>
    </row>
    <row r="1448" spans="1:25">
      <c r="A1448" s="2522"/>
      <c r="B1448" s="2522"/>
      <c r="C1448" s="2522"/>
      <c r="D1448" s="2522"/>
      <c r="E1448" s="1275"/>
      <c r="R1448" s="1276"/>
      <c r="S1448" s="1276"/>
      <c r="T1448" s="1276"/>
      <c r="U1448" s="1276"/>
      <c r="V1448" s="1276"/>
      <c r="W1448" s="1276"/>
      <c r="X1448" s="1276"/>
      <c r="Y1448" s="1276"/>
    </row>
    <row r="1449" spans="1:25">
      <c r="A1449" s="2522"/>
      <c r="B1449" s="2522"/>
      <c r="C1449" s="2522"/>
      <c r="D1449" s="2522"/>
      <c r="E1449" s="1275"/>
      <c r="R1449" s="1276"/>
      <c r="S1449" s="1276"/>
      <c r="T1449" s="1276"/>
      <c r="U1449" s="1276"/>
      <c r="V1449" s="1276"/>
      <c r="W1449" s="1276"/>
      <c r="X1449" s="1276"/>
      <c r="Y1449" s="1276"/>
    </row>
    <row r="1450" spans="1:25">
      <c r="A1450" s="2522"/>
      <c r="B1450" s="2522"/>
      <c r="C1450" s="2522"/>
      <c r="D1450" s="2522"/>
      <c r="E1450" s="1275"/>
      <c r="R1450" s="1276"/>
      <c r="S1450" s="1276"/>
      <c r="T1450" s="1276"/>
      <c r="U1450" s="1276"/>
      <c r="V1450" s="1276"/>
      <c r="W1450" s="1276"/>
      <c r="X1450" s="1276"/>
      <c r="Y1450" s="1276"/>
    </row>
    <row r="1451" spans="1:25">
      <c r="A1451" s="2522"/>
      <c r="B1451" s="2522"/>
      <c r="C1451" s="2522"/>
      <c r="D1451" s="2522"/>
      <c r="E1451" s="1275"/>
      <c r="R1451" s="1276"/>
      <c r="S1451" s="1276"/>
      <c r="T1451" s="1276"/>
      <c r="U1451" s="1276"/>
      <c r="V1451" s="1276"/>
      <c r="W1451" s="1276"/>
      <c r="X1451" s="1276"/>
      <c r="Y1451" s="1276"/>
    </row>
    <row r="1452" spans="1:25">
      <c r="A1452" s="2522"/>
      <c r="B1452" s="2522"/>
      <c r="C1452" s="2522"/>
      <c r="D1452" s="2522"/>
      <c r="E1452" s="1275"/>
      <c r="R1452" s="1276"/>
      <c r="S1452" s="1276"/>
      <c r="T1452" s="1276"/>
      <c r="U1452" s="1276"/>
      <c r="V1452" s="1276"/>
      <c r="W1452" s="1276"/>
      <c r="X1452" s="1276"/>
      <c r="Y1452" s="1276"/>
    </row>
    <row r="1453" spans="1:25">
      <c r="A1453" s="2522"/>
      <c r="B1453" s="2522"/>
      <c r="C1453" s="2522"/>
      <c r="D1453" s="2522"/>
      <c r="E1453" s="1275"/>
      <c r="R1453" s="1276"/>
      <c r="S1453" s="1276"/>
      <c r="T1453" s="1276"/>
      <c r="U1453" s="1276"/>
      <c r="V1453" s="1276"/>
      <c r="W1453" s="1276"/>
      <c r="X1453" s="1276"/>
      <c r="Y1453" s="1276"/>
    </row>
    <row r="1454" spans="1:25">
      <c r="A1454" s="2522"/>
      <c r="B1454" s="2522"/>
      <c r="C1454" s="2522"/>
      <c r="D1454" s="2522"/>
      <c r="E1454" s="1275"/>
      <c r="R1454" s="1276"/>
      <c r="S1454" s="1276"/>
      <c r="T1454" s="1276"/>
      <c r="U1454" s="1276"/>
      <c r="V1454" s="1276"/>
      <c r="W1454" s="1276"/>
      <c r="X1454" s="1276"/>
      <c r="Y1454" s="1276"/>
    </row>
    <row r="1455" spans="1:25">
      <c r="A1455" s="2522"/>
      <c r="B1455" s="2522"/>
      <c r="C1455" s="2522"/>
      <c r="D1455" s="2522"/>
      <c r="E1455" s="1275"/>
      <c r="R1455" s="1276"/>
      <c r="S1455" s="1276"/>
      <c r="T1455" s="1276"/>
      <c r="U1455" s="1276"/>
      <c r="V1455" s="1276"/>
      <c r="W1455" s="1276"/>
      <c r="X1455" s="1276"/>
      <c r="Y1455" s="1276"/>
    </row>
    <row r="1456" spans="1:25">
      <c r="A1456" s="2522"/>
      <c r="B1456" s="2522"/>
      <c r="C1456" s="2522"/>
      <c r="D1456" s="2522"/>
      <c r="E1456" s="1275"/>
      <c r="R1456" s="1276"/>
      <c r="S1456" s="1276"/>
      <c r="T1456" s="1276"/>
      <c r="U1456" s="1276"/>
      <c r="V1456" s="1276"/>
      <c r="W1456" s="1276"/>
      <c r="X1456" s="1276"/>
      <c r="Y1456" s="1276"/>
    </row>
    <row r="1457" spans="1:25">
      <c r="A1457" s="2522"/>
      <c r="B1457" s="2522"/>
      <c r="C1457" s="2522"/>
      <c r="D1457" s="2522"/>
      <c r="E1457" s="1275"/>
      <c r="R1457" s="1276"/>
      <c r="S1457" s="1276"/>
      <c r="T1457" s="1276"/>
      <c r="U1457" s="1276"/>
      <c r="V1457" s="1276"/>
      <c r="W1457" s="1276"/>
      <c r="X1457" s="1276"/>
      <c r="Y1457" s="1276"/>
    </row>
    <row r="1458" spans="1:25">
      <c r="A1458" s="2522"/>
      <c r="B1458" s="2522"/>
      <c r="C1458" s="2522"/>
      <c r="D1458" s="2522"/>
      <c r="E1458" s="1275"/>
      <c r="R1458" s="1276"/>
      <c r="S1458" s="1276"/>
      <c r="T1458" s="1276"/>
      <c r="U1458" s="1276"/>
      <c r="V1458" s="1276"/>
      <c r="W1458" s="1276"/>
      <c r="X1458" s="1276"/>
      <c r="Y1458" s="1276"/>
    </row>
    <row r="1459" spans="1:25">
      <c r="A1459" s="2522"/>
      <c r="B1459" s="2522"/>
      <c r="C1459" s="2522"/>
      <c r="D1459" s="2522"/>
      <c r="E1459" s="1275"/>
      <c r="R1459" s="1276"/>
      <c r="S1459" s="1276"/>
      <c r="T1459" s="1276"/>
      <c r="U1459" s="1276"/>
      <c r="V1459" s="1276"/>
      <c r="W1459" s="1276"/>
      <c r="X1459" s="1276"/>
      <c r="Y1459" s="1276"/>
    </row>
    <row r="1460" spans="1:25">
      <c r="A1460" s="2522"/>
      <c r="B1460" s="2522"/>
      <c r="C1460" s="2522"/>
      <c r="D1460" s="2522"/>
      <c r="E1460" s="1275"/>
      <c r="R1460" s="1276"/>
      <c r="S1460" s="1276"/>
      <c r="T1460" s="1276"/>
      <c r="U1460" s="1276"/>
      <c r="V1460" s="1276"/>
      <c r="W1460" s="1276"/>
      <c r="X1460" s="1276"/>
      <c r="Y1460" s="1276"/>
    </row>
    <row r="1461" spans="1:25">
      <c r="A1461" s="2522"/>
      <c r="B1461" s="2522"/>
      <c r="C1461" s="2522"/>
      <c r="D1461" s="2522"/>
      <c r="E1461" s="1275"/>
      <c r="R1461" s="1276"/>
      <c r="S1461" s="1276"/>
      <c r="T1461" s="1276"/>
      <c r="U1461" s="1276"/>
      <c r="V1461" s="1276"/>
      <c r="W1461" s="1276"/>
      <c r="X1461" s="1276"/>
      <c r="Y1461" s="1276"/>
    </row>
    <row r="1462" spans="1:25">
      <c r="A1462" s="2522"/>
      <c r="B1462" s="2522"/>
      <c r="C1462" s="2522"/>
      <c r="D1462" s="2522"/>
      <c r="E1462" s="1275"/>
      <c r="R1462" s="1276"/>
      <c r="S1462" s="1276"/>
      <c r="T1462" s="1276"/>
      <c r="U1462" s="1276"/>
      <c r="V1462" s="1276"/>
      <c r="W1462" s="1276"/>
      <c r="X1462" s="1276"/>
      <c r="Y1462" s="1276"/>
    </row>
    <row r="1463" spans="1:25">
      <c r="A1463" s="2522"/>
      <c r="B1463" s="2522"/>
      <c r="C1463" s="2522"/>
      <c r="D1463" s="2522"/>
      <c r="E1463" s="1275"/>
      <c r="R1463" s="1276"/>
      <c r="S1463" s="1276"/>
      <c r="T1463" s="1276"/>
      <c r="U1463" s="1276"/>
      <c r="V1463" s="1276"/>
      <c r="W1463" s="1276"/>
      <c r="X1463" s="1276"/>
      <c r="Y1463" s="1276"/>
    </row>
    <row r="1464" spans="1:25">
      <c r="A1464" s="2522"/>
      <c r="B1464" s="2522"/>
      <c r="C1464" s="2522"/>
      <c r="D1464" s="2522"/>
      <c r="E1464" s="1275"/>
      <c r="R1464" s="1276"/>
      <c r="S1464" s="1276"/>
      <c r="T1464" s="1276"/>
      <c r="U1464" s="1276"/>
      <c r="V1464" s="1276"/>
      <c r="W1464" s="1276"/>
      <c r="X1464" s="1276"/>
      <c r="Y1464" s="1276"/>
    </row>
    <row r="1465" spans="1:25">
      <c r="A1465" s="2522"/>
      <c r="B1465" s="2522"/>
      <c r="C1465" s="2522"/>
      <c r="D1465" s="2522"/>
      <c r="E1465" s="1275"/>
      <c r="R1465" s="1276"/>
      <c r="S1465" s="1276"/>
      <c r="T1465" s="1276"/>
      <c r="U1465" s="1276"/>
      <c r="V1465" s="1276"/>
      <c r="W1465" s="1276"/>
      <c r="X1465" s="1276"/>
      <c r="Y1465" s="1276"/>
    </row>
    <row r="1466" spans="1:25">
      <c r="A1466" s="2522"/>
      <c r="B1466" s="2522"/>
      <c r="C1466" s="2522"/>
      <c r="D1466" s="2522"/>
      <c r="E1466" s="1275"/>
      <c r="R1466" s="1276"/>
      <c r="S1466" s="1276"/>
      <c r="T1466" s="1276"/>
      <c r="U1466" s="1276"/>
      <c r="V1466" s="1276"/>
      <c r="W1466" s="1276"/>
      <c r="X1466" s="1276"/>
      <c r="Y1466" s="1276"/>
    </row>
    <row r="1467" spans="1:25">
      <c r="A1467" s="2522"/>
      <c r="B1467" s="2522"/>
      <c r="C1467" s="2522"/>
      <c r="D1467" s="2522"/>
      <c r="E1467" s="1275"/>
      <c r="R1467" s="1276"/>
      <c r="S1467" s="1276"/>
      <c r="T1467" s="1276"/>
      <c r="U1467" s="1276"/>
      <c r="V1467" s="1276"/>
      <c r="W1467" s="1276"/>
      <c r="X1467" s="1276"/>
      <c r="Y1467" s="1276"/>
    </row>
    <row r="1468" spans="1:25">
      <c r="A1468" s="2522"/>
      <c r="B1468" s="2522"/>
      <c r="C1468" s="2522"/>
      <c r="D1468" s="2522"/>
      <c r="E1468" s="1275"/>
      <c r="R1468" s="1276"/>
      <c r="S1468" s="1276"/>
      <c r="T1468" s="1276"/>
      <c r="U1468" s="1276"/>
      <c r="V1468" s="1276"/>
      <c r="W1468" s="1276"/>
      <c r="X1468" s="1276"/>
      <c r="Y1468" s="1276"/>
    </row>
    <row r="1469" spans="1:25">
      <c r="A1469" s="2522"/>
      <c r="B1469" s="2522"/>
      <c r="C1469" s="2522"/>
      <c r="D1469" s="2522"/>
      <c r="E1469" s="1275"/>
      <c r="R1469" s="1276"/>
      <c r="S1469" s="1276"/>
      <c r="T1469" s="1276"/>
      <c r="U1469" s="1276"/>
      <c r="V1469" s="1276"/>
      <c r="W1469" s="1276"/>
      <c r="X1469" s="1276"/>
      <c r="Y1469" s="1276"/>
    </row>
    <row r="1470" spans="1:25">
      <c r="A1470" s="2522"/>
      <c r="B1470" s="2522"/>
      <c r="C1470" s="2522"/>
      <c r="D1470" s="2522"/>
      <c r="E1470" s="1275"/>
      <c r="R1470" s="1276"/>
      <c r="S1470" s="1276"/>
      <c r="T1470" s="1276"/>
      <c r="U1470" s="1276"/>
      <c r="V1470" s="1276"/>
      <c r="W1470" s="1276"/>
      <c r="X1470" s="1276"/>
      <c r="Y1470" s="1276"/>
    </row>
    <row r="1471" spans="1:25">
      <c r="A1471" s="2522"/>
      <c r="B1471" s="2522"/>
      <c r="C1471" s="2522"/>
      <c r="D1471" s="2522"/>
      <c r="E1471" s="1275"/>
      <c r="R1471" s="1276"/>
      <c r="S1471" s="1276"/>
      <c r="T1471" s="1276"/>
      <c r="U1471" s="1276"/>
      <c r="V1471" s="1276"/>
      <c r="W1471" s="1276"/>
      <c r="X1471" s="1276"/>
      <c r="Y1471" s="1276"/>
    </row>
    <row r="1472" spans="1:25">
      <c r="A1472" s="2522"/>
      <c r="B1472" s="2522"/>
      <c r="C1472" s="2522"/>
      <c r="D1472" s="2522"/>
      <c r="E1472" s="1275"/>
      <c r="R1472" s="1276"/>
      <c r="S1472" s="1276"/>
      <c r="T1472" s="1276"/>
      <c r="U1472" s="1276"/>
      <c r="V1472" s="1276"/>
      <c r="W1472" s="1276"/>
      <c r="X1472" s="1276"/>
      <c r="Y1472" s="1276"/>
    </row>
    <row r="1473" spans="1:25">
      <c r="A1473" s="2522"/>
      <c r="B1473" s="2522"/>
      <c r="C1473" s="2522"/>
      <c r="D1473" s="2522"/>
      <c r="E1473" s="1275"/>
      <c r="R1473" s="1276"/>
      <c r="S1473" s="1276"/>
      <c r="T1473" s="1276"/>
      <c r="U1473" s="1276"/>
      <c r="V1473" s="1276"/>
      <c r="W1473" s="1276"/>
      <c r="X1473" s="1276"/>
      <c r="Y1473" s="1276"/>
    </row>
    <row r="1474" spans="1:25">
      <c r="A1474" s="2522"/>
      <c r="B1474" s="2522"/>
      <c r="C1474" s="2522"/>
      <c r="D1474" s="2522"/>
      <c r="E1474" s="1275"/>
      <c r="R1474" s="1276"/>
      <c r="S1474" s="1276"/>
      <c r="T1474" s="1276"/>
      <c r="U1474" s="1276"/>
      <c r="V1474" s="1276"/>
      <c r="W1474" s="1276"/>
      <c r="X1474" s="1276"/>
      <c r="Y1474" s="1276"/>
    </row>
    <row r="1475" spans="1:25">
      <c r="A1475" s="2522"/>
      <c r="B1475" s="2522"/>
      <c r="C1475" s="2522"/>
      <c r="D1475" s="2522"/>
      <c r="E1475" s="1275"/>
      <c r="R1475" s="1276"/>
      <c r="S1475" s="1276"/>
      <c r="T1475" s="1276"/>
      <c r="U1475" s="1276"/>
      <c r="V1475" s="1276"/>
      <c r="W1475" s="1276"/>
      <c r="X1475" s="1276"/>
      <c r="Y1475" s="1276"/>
    </row>
    <row r="1476" spans="1:25">
      <c r="A1476" s="2522"/>
      <c r="B1476" s="2522"/>
      <c r="C1476" s="2522"/>
      <c r="D1476" s="2522"/>
      <c r="E1476" s="1275"/>
      <c r="R1476" s="1276"/>
      <c r="S1476" s="1276"/>
      <c r="T1476" s="1276"/>
      <c r="U1476" s="1276"/>
      <c r="V1476" s="1276"/>
      <c r="W1476" s="1276"/>
      <c r="X1476" s="1276"/>
      <c r="Y1476" s="1276"/>
    </row>
    <row r="1477" spans="1:25">
      <c r="A1477" s="2522"/>
      <c r="B1477" s="2522"/>
      <c r="C1477" s="2522"/>
      <c r="D1477" s="2522"/>
      <c r="E1477" s="1275"/>
      <c r="R1477" s="1276"/>
      <c r="S1477" s="1276"/>
      <c r="T1477" s="1276"/>
      <c r="U1477" s="1276"/>
      <c r="V1477" s="1276"/>
      <c r="W1477" s="1276"/>
      <c r="X1477" s="1276"/>
      <c r="Y1477" s="1276"/>
    </row>
    <row r="1478" spans="1:25">
      <c r="A1478" s="2522"/>
      <c r="B1478" s="2522"/>
      <c r="C1478" s="2522"/>
      <c r="D1478" s="2522"/>
      <c r="E1478" s="1275"/>
      <c r="R1478" s="1276"/>
      <c r="S1478" s="1276"/>
      <c r="T1478" s="1276"/>
      <c r="U1478" s="1276"/>
      <c r="V1478" s="1276"/>
      <c r="W1478" s="1276"/>
      <c r="X1478" s="1276"/>
      <c r="Y1478" s="1276"/>
    </row>
    <row r="1479" spans="1:25">
      <c r="A1479" s="2522"/>
      <c r="B1479" s="2522"/>
      <c r="C1479" s="2522"/>
      <c r="D1479" s="2522"/>
      <c r="E1479" s="1275"/>
      <c r="R1479" s="1276"/>
      <c r="S1479" s="1276"/>
      <c r="T1479" s="1276"/>
      <c r="U1479" s="1276"/>
      <c r="V1479" s="1276"/>
      <c r="W1479" s="1276"/>
      <c r="X1479" s="1276"/>
      <c r="Y1479" s="1276"/>
    </row>
    <row r="1480" spans="1:25">
      <c r="A1480" s="2522"/>
      <c r="B1480" s="2522"/>
      <c r="C1480" s="2522"/>
      <c r="D1480" s="2522"/>
      <c r="E1480" s="1275"/>
      <c r="R1480" s="1276"/>
      <c r="S1480" s="1276"/>
      <c r="T1480" s="1276"/>
      <c r="U1480" s="1276"/>
      <c r="V1480" s="1276"/>
      <c r="W1480" s="1276"/>
      <c r="X1480" s="1276"/>
      <c r="Y1480" s="1276"/>
    </row>
    <row r="1481" spans="1:25">
      <c r="A1481" s="2522"/>
      <c r="B1481" s="2522"/>
      <c r="C1481" s="2522"/>
      <c r="D1481" s="2522"/>
      <c r="E1481" s="1275"/>
      <c r="R1481" s="1276"/>
      <c r="S1481" s="1276"/>
      <c r="T1481" s="1276"/>
      <c r="U1481" s="1276"/>
      <c r="V1481" s="1276"/>
      <c r="W1481" s="1276"/>
      <c r="X1481" s="1276"/>
      <c r="Y1481" s="1276"/>
    </row>
    <row r="1482" spans="1:25">
      <c r="A1482" s="2522"/>
      <c r="B1482" s="2522"/>
      <c r="C1482" s="2522"/>
      <c r="D1482" s="2522"/>
      <c r="E1482" s="1275"/>
      <c r="R1482" s="1276"/>
      <c r="S1482" s="1276"/>
      <c r="T1482" s="1276"/>
      <c r="U1482" s="1276"/>
      <c r="V1482" s="1276"/>
      <c r="W1482" s="1276"/>
      <c r="X1482" s="1276"/>
      <c r="Y1482" s="1276"/>
    </row>
    <row r="1483" spans="1:25">
      <c r="A1483" s="2522"/>
      <c r="B1483" s="2522"/>
      <c r="C1483" s="2522"/>
      <c r="D1483" s="2522"/>
      <c r="E1483" s="1275"/>
      <c r="R1483" s="1276"/>
      <c r="S1483" s="1276"/>
      <c r="T1483" s="1276"/>
      <c r="U1483" s="1276"/>
      <c r="V1483" s="1276"/>
      <c r="W1483" s="1276"/>
      <c r="X1483" s="1276"/>
      <c r="Y1483" s="1276"/>
    </row>
    <row r="1484" spans="1:25">
      <c r="A1484" s="2522"/>
      <c r="B1484" s="2522"/>
      <c r="C1484" s="2522"/>
      <c r="D1484" s="2522"/>
      <c r="E1484" s="1275"/>
      <c r="R1484" s="1276"/>
      <c r="S1484" s="1276"/>
      <c r="T1484" s="1276"/>
      <c r="U1484" s="1276"/>
      <c r="V1484" s="1276"/>
      <c r="W1484" s="1276"/>
      <c r="X1484" s="1276"/>
      <c r="Y1484" s="1276"/>
    </row>
    <row r="1485" spans="1:25">
      <c r="A1485" s="2522"/>
      <c r="B1485" s="2522"/>
      <c r="C1485" s="2522"/>
      <c r="D1485" s="2522"/>
      <c r="E1485" s="1275"/>
      <c r="R1485" s="1276"/>
      <c r="S1485" s="1276"/>
      <c r="T1485" s="1276"/>
      <c r="U1485" s="1276"/>
      <c r="V1485" s="1276"/>
      <c r="W1485" s="1276"/>
      <c r="X1485" s="1276"/>
      <c r="Y1485" s="1276"/>
    </row>
    <row r="1486" spans="1:25">
      <c r="A1486" s="2522"/>
      <c r="B1486" s="2522"/>
      <c r="C1486" s="2522"/>
      <c r="D1486" s="2522"/>
      <c r="E1486" s="1275"/>
      <c r="R1486" s="1276"/>
      <c r="S1486" s="1276"/>
      <c r="T1486" s="1276"/>
      <c r="U1486" s="1276"/>
      <c r="V1486" s="1276"/>
      <c r="W1486" s="1276"/>
      <c r="X1486" s="1276"/>
      <c r="Y1486" s="1276"/>
    </row>
    <row r="1487" spans="1:25">
      <c r="A1487" s="2522"/>
      <c r="B1487" s="2522"/>
      <c r="C1487" s="2522"/>
      <c r="D1487" s="2522"/>
      <c r="E1487" s="1275"/>
      <c r="R1487" s="1276"/>
      <c r="S1487" s="1276"/>
      <c r="T1487" s="1276"/>
      <c r="U1487" s="1276"/>
      <c r="V1487" s="1276"/>
      <c r="W1487" s="1276"/>
      <c r="X1487" s="1276"/>
      <c r="Y1487" s="1276"/>
    </row>
    <row r="1488" spans="1:25">
      <c r="A1488" s="2522"/>
      <c r="B1488" s="2522"/>
      <c r="C1488" s="2522"/>
      <c r="D1488" s="2522"/>
      <c r="E1488" s="1275"/>
      <c r="R1488" s="1276"/>
      <c r="S1488" s="1276"/>
      <c r="T1488" s="1276"/>
      <c r="U1488" s="1276"/>
      <c r="V1488" s="1276"/>
      <c r="W1488" s="1276"/>
      <c r="X1488" s="1276"/>
      <c r="Y1488" s="1276"/>
    </row>
    <row r="1489" spans="1:25">
      <c r="A1489" s="2522"/>
      <c r="B1489" s="2522"/>
      <c r="C1489" s="2522"/>
      <c r="D1489" s="2522"/>
      <c r="E1489" s="1275"/>
      <c r="R1489" s="1276"/>
      <c r="S1489" s="1276"/>
      <c r="T1489" s="1276"/>
      <c r="U1489" s="1276"/>
      <c r="V1489" s="1276"/>
      <c r="W1489" s="1276"/>
      <c r="X1489" s="1276"/>
      <c r="Y1489" s="1276"/>
    </row>
    <row r="1490" spans="1:25">
      <c r="A1490" s="2522"/>
      <c r="B1490" s="2522"/>
      <c r="C1490" s="2522"/>
      <c r="D1490" s="2522"/>
      <c r="E1490" s="1275"/>
      <c r="R1490" s="1276"/>
      <c r="S1490" s="1276"/>
      <c r="T1490" s="1276"/>
      <c r="U1490" s="1276"/>
      <c r="V1490" s="1276"/>
      <c r="W1490" s="1276"/>
      <c r="X1490" s="1276"/>
      <c r="Y1490" s="1276"/>
    </row>
    <row r="1491" spans="1:25">
      <c r="A1491" s="2522"/>
      <c r="B1491" s="2522"/>
      <c r="C1491" s="2522"/>
      <c r="D1491" s="2522"/>
      <c r="E1491" s="1275"/>
      <c r="R1491" s="1276"/>
      <c r="S1491" s="1276"/>
      <c r="T1491" s="1276"/>
      <c r="U1491" s="1276"/>
      <c r="V1491" s="1276"/>
      <c r="W1491" s="1276"/>
      <c r="X1491" s="1276"/>
      <c r="Y1491" s="1276"/>
    </row>
    <row r="1492" spans="1:25">
      <c r="A1492" s="2522"/>
      <c r="B1492" s="2522"/>
      <c r="C1492" s="2522"/>
      <c r="D1492" s="2522"/>
      <c r="E1492" s="1275"/>
      <c r="R1492" s="1276"/>
      <c r="S1492" s="1276"/>
      <c r="T1492" s="1276"/>
      <c r="U1492" s="1276"/>
      <c r="V1492" s="1276"/>
      <c r="W1492" s="1276"/>
      <c r="X1492" s="1276"/>
      <c r="Y1492" s="1276"/>
    </row>
    <row r="1493" spans="1:25">
      <c r="A1493" s="2522"/>
      <c r="B1493" s="2522"/>
      <c r="C1493" s="2522"/>
      <c r="D1493" s="2522"/>
      <c r="E1493" s="1275"/>
      <c r="R1493" s="1276"/>
      <c r="S1493" s="1276"/>
      <c r="T1493" s="1276"/>
      <c r="U1493" s="1276"/>
      <c r="V1493" s="1276"/>
      <c r="W1493" s="1276"/>
      <c r="X1493" s="1276"/>
      <c r="Y1493" s="1276"/>
    </row>
    <row r="1494" spans="1:25">
      <c r="A1494" s="2522"/>
      <c r="B1494" s="2522"/>
      <c r="C1494" s="2522"/>
      <c r="D1494" s="2522"/>
      <c r="E1494" s="1275"/>
      <c r="R1494" s="1276"/>
      <c r="S1494" s="1276"/>
      <c r="T1494" s="1276"/>
      <c r="U1494" s="1276"/>
      <c r="V1494" s="1276"/>
      <c r="W1494" s="1276"/>
      <c r="X1494" s="1276"/>
      <c r="Y1494" s="1276"/>
    </row>
    <row r="1495" spans="1:25">
      <c r="A1495" s="2522"/>
      <c r="B1495" s="2522"/>
      <c r="C1495" s="2522"/>
      <c r="D1495" s="2522"/>
      <c r="E1495" s="1275"/>
      <c r="R1495" s="1276"/>
      <c r="S1495" s="1276"/>
      <c r="T1495" s="1276"/>
      <c r="U1495" s="1276"/>
      <c r="V1495" s="1276"/>
      <c r="W1495" s="1276"/>
      <c r="X1495" s="1276"/>
      <c r="Y1495" s="1276"/>
    </row>
    <row r="1496" spans="1:25">
      <c r="A1496" s="2522"/>
      <c r="B1496" s="2522"/>
      <c r="C1496" s="2522"/>
      <c r="D1496" s="2522"/>
      <c r="E1496" s="1275"/>
      <c r="R1496" s="1276"/>
      <c r="S1496" s="1276"/>
      <c r="T1496" s="1276"/>
      <c r="U1496" s="1276"/>
      <c r="V1496" s="1276"/>
      <c r="W1496" s="1276"/>
      <c r="X1496" s="1276"/>
      <c r="Y1496" s="1276"/>
    </row>
    <row r="1497" spans="1:25">
      <c r="A1497" s="2522"/>
      <c r="B1497" s="2522"/>
      <c r="C1497" s="2522"/>
      <c r="D1497" s="2522"/>
      <c r="E1497" s="1275"/>
      <c r="R1497" s="1276"/>
      <c r="S1497" s="1276"/>
      <c r="T1497" s="1276"/>
      <c r="U1497" s="1276"/>
      <c r="V1497" s="1276"/>
      <c r="W1497" s="1276"/>
      <c r="X1497" s="1276"/>
      <c r="Y1497" s="1276"/>
    </row>
    <row r="1498" spans="1:25">
      <c r="A1498" s="2522"/>
      <c r="B1498" s="2522"/>
      <c r="C1498" s="2522"/>
      <c r="D1498" s="2522"/>
      <c r="E1498" s="1275"/>
      <c r="R1498" s="1276"/>
      <c r="S1498" s="1276"/>
      <c r="T1498" s="1276"/>
      <c r="U1498" s="1276"/>
      <c r="V1498" s="1276"/>
      <c r="W1498" s="1276"/>
      <c r="X1498" s="1276"/>
      <c r="Y1498" s="1276"/>
    </row>
    <row r="1499" spans="1:25">
      <c r="A1499" s="2522"/>
      <c r="B1499" s="2522"/>
      <c r="C1499" s="2522"/>
      <c r="D1499" s="2522"/>
      <c r="E1499" s="1275"/>
      <c r="R1499" s="1276"/>
      <c r="S1499" s="1276"/>
      <c r="T1499" s="1276"/>
      <c r="U1499" s="1276"/>
      <c r="V1499" s="1276"/>
      <c r="W1499" s="1276"/>
      <c r="X1499" s="1276"/>
      <c r="Y1499" s="1276"/>
    </row>
    <row r="1500" spans="1:25">
      <c r="A1500" s="2522"/>
      <c r="B1500" s="2522"/>
      <c r="C1500" s="2522"/>
      <c r="D1500" s="2522"/>
      <c r="E1500" s="1275"/>
      <c r="R1500" s="1276"/>
      <c r="S1500" s="1276"/>
      <c r="T1500" s="1276"/>
      <c r="U1500" s="1276"/>
      <c r="V1500" s="1276"/>
      <c r="W1500" s="1276"/>
      <c r="X1500" s="1276"/>
      <c r="Y1500" s="1276"/>
    </row>
    <row r="1501" spans="1:25">
      <c r="A1501" s="2522"/>
      <c r="B1501" s="2522"/>
      <c r="C1501" s="2522"/>
      <c r="D1501" s="2522"/>
      <c r="E1501" s="1275"/>
      <c r="R1501" s="1276"/>
      <c r="S1501" s="1276"/>
      <c r="T1501" s="1276"/>
      <c r="U1501" s="1276"/>
      <c r="V1501" s="1276"/>
      <c r="W1501" s="1276"/>
      <c r="X1501" s="1276"/>
      <c r="Y1501" s="1276"/>
    </row>
    <row r="1502" spans="1:25">
      <c r="A1502" s="2522"/>
      <c r="B1502" s="2522"/>
      <c r="C1502" s="2522"/>
      <c r="D1502" s="2522"/>
      <c r="E1502" s="1275"/>
      <c r="R1502" s="1276"/>
      <c r="S1502" s="1276"/>
      <c r="T1502" s="1276"/>
      <c r="U1502" s="1276"/>
      <c r="V1502" s="1276"/>
      <c r="W1502" s="1276"/>
      <c r="X1502" s="1276"/>
      <c r="Y1502" s="1276"/>
    </row>
    <row r="1503" spans="1:25">
      <c r="A1503" s="2522"/>
      <c r="B1503" s="2522"/>
      <c r="C1503" s="2522"/>
      <c r="D1503" s="2522"/>
      <c r="E1503" s="1275"/>
      <c r="R1503" s="1276"/>
      <c r="S1503" s="1276"/>
      <c r="T1503" s="1276"/>
      <c r="U1503" s="1276"/>
      <c r="V1503" s="1276"/>
      <c r="W1503" s="1276"/>
      <c r="X1503" s="1276"/>
      <c r="Y1503" s="1276"/>
    </row>
    <row r="1504" spans="1:25">
      <c r="A1504" s="2522"/>
      <c r="B1504" s="2522"/>
      <c r="C1504" s="2522"/>
      <c r="D1504" s="2522"/>
      <c r="E1504" s="1275"/>
      <c r="R1504" s="1276"/>
      <c r="S1504" s="1276"/>
      <c r="T1504" s="1276"/>
      <c r="U1504" s="1276"/>
      <c r="V1504" s="1276"/>
      <c r="W1504" s="1276"/>
      <c r="X1504" s="1276"/>
      <c r="Y1504" s="1276"/>
    </row>
    <row r="1505" spans="1:25">
      <c r="A1505" s="2522"/>
      <c r="B1505" s="2522"/>
      <c r="C1505" s="2522"/>
      <c r="D1505" s="2522"/>
      <c r="E1505" s="1275"/>
      <c r="R1505" s="1276"/>
      <c r="S1505" s="1276"/>
      <c r="T1505" s="1276"/>
      <c r="U1505" s="1276"/>
      <c r="V1505" s="1276"/>
      <c r="W1505" s="1276"/>
      <c r="X1505" s="1276"/>
      <c r="Y1505" s="1276"/>
    </row>
    <row r="1506" spans="1:25">
      <c r="A1506" s="2522"/>
      <c r="B1506" s="2522"/>
      <c r="C1506" s="2522"/>
      <c r="D1506" s="2522"/>
      <c r="E1506" s="1275"/>
      <c r="R1506" s="1276"/>
      <c r="S1506" s="1276"/>
      <c r="T1506" s="1276"/>
      <c r="U1506" s="1276"/>
      <c r="V1506" s="1276"/>
      <c r="W1506" s="1276"/>
      <c r="X1506" s="1276"/>
      <c r="Y1506" s="1276"/>
    </row>
    <row r="1507" spans="1:25">
      <c r="A1507" s="2522"/>
      <c r="B1507" s="2522"/>
      <c r="C1507" s="2522"/>
      <c r="D1507" s="2522"/>
      <c r="E1507" s="1275"/>
      <c r="R1507" s="1276"/>
      <c r="S1507" s="1276"/>
      <c r="T1507" s="1276"/>
      <c r="U1507" s="1276"/>
      <c r="V1507" s="1276"/>
      <c r="W1507" s="1276"/>
      <c r="X1507" s="1276"/>
      <c r="Y1507" s="1276"/>
    </row>
    <row r="1508" spans="1:25">
      <c r="A1508" s="2522"/>
      <c r="B1508" s="2522"/>
      <c r="C1508" s="2522"/>
      <c r="D1508" s="2522"/>
      <c r="E1508" s="1275"/>
      <c r="R1508" s="1276"/>
      <c r="S1508" s="1276"/>
      <c r="T1508" s="1276"/>
      <c r="U1508" s="1276"/>
      <c r="V1508" s="1276"/>
      <c r="W1508" s="1276"/>
      <c r="X1508" s="1276"/>
      <c r="Y1508" s="1276"/>
    </row>
    <row r="1509" spans="1:25">
      <c r="A1509" s="2522"/>
      <c r="B1509" s="2522"/>
      <c r="C1509" s="2522"/>
      <c r="D1509" s="2522"/>
      <c r="E1509" s="1275"/>
      <c r="R1509" s="1276"/>
      <c r="S1509" s="1276"/>
      <c r="T1509" s="1276"/>
      <c r="U1509" s="1276"/>
      <c r="V1509" s="1276"/>
      <c r="W1509" s="1276"/>
      <c r="X1509" s="1276"/>
      <c r="Y1509" s="1276"/>
    </row>
    <row r="1510" spans="1:25">
      <c r="A1510" s="2522"/>
      <c r="B1510" s="2522"/>
      <c r="C1510" s="2522"/>
      <c r="D1510" s="2522"/>
      <c r="E1510" s="1275"/>
      <c r="R1510" s="1276"/>
      <c r="S1510" s="1276"/>
      <c r="T1510" s="1276"/>
      <c r="U1510" s="1276"/>
      <c r="V1510" s="1276"/>
      <c r="W1510" s="1276"/>
      <c r="X1510" s="1276"/>
      <c r="Y1510" s="1276"/>
    </row>
    <row r="1511" spans="1:25">
      <c r="A1511" s="2522"/>
      <c r="B1511" s="2522"/>
      <c r="C1511" s="2522"/>
      <c r="D1511" s="2522"/>
      <c r="E1511" s="1275"/>
      <c r="R1511" s="1276"/>
      <c r="S1511" s="1276"/>
      <c r="T1511" s="1276"/>
      <c r="U1511" s="1276"/>
      <c r="V1511" s="1276"/>
      <c r="W1511" s="1276"/>
      <c r="X1511" s="1276"/>
      <c r="Y1511" s="1276"/>
    </row>
    <row r="1512" spans="1:25">
      <c r="A1512" s="2522"/>
      <c r="B1512" s="2522"/>
      <c r="C1512" s="2522"/>
      <c r="D1512" s="2522"/>
      <c r="E1512" s="1275"/>
      <c r="R1512" s="1276"/>
      <c r="S1512" s="1276"/>
      <c r="T1512" s="1276"/>
      <c r="U1512" s="1276"/>
      <c r="V1512" s="1276"/>
      <c r="W1512" s="1276"/>
      <c r="X1512" s="1276"/>
      <c r="Y1512" s="1276"/>
    </row>
    <row r="1513" spans="1:25">
      <c r="A1513" s="2522"/>
      <c r="B1513" s="2522"/>
      <c r="C1513" s="2522"/>
      <c r="D1513" s="2522"/>
      <c r="E1513" s="1275"/>
      <c r="R1513" s="1276"/>
      <c r="S1513" s="1276"/>
      <c r="T1513" s="1276"/>
      <c r="U1513" s="1276"/>
      <c r="V1513" s="1276"/>
      <c r="W1513" s="1276"/>
      <c r="X1513" s="1276"/>
      <c r="Y1513" s="1276"/>
    </row>
    <row r="1514" spans="1:25">
      <c r="A1514" s="2522"/>
      <c r="B1514" s="2522"/>
      <c r="C1514" s="2522"/>
      <c r="D1514" s="2522"/>
      <c r="E1514" s="1275"/>
      <c r="R1514" s="1276"/>
      <c r="S1514" s="1276"/>
      <c r="T1514" s="1276"/>
      <c r="U1514" s="1276"/>
      <c r="V1514" s="1276"/>
      <c r="W1514" s="1276"/>
      <c r="X1514" s="1276"/>
      <c r="Y1514" s="1276"/>
    </row>
    <row r="1515" spans="1:25">
      <c r="A1515" s="2522"/>
      <c r="B1515" s="2522"/>
      <c r="C1515" s="2522"/>
      <c r="D1515" s="2522"/>
      <c r="E1515" s="1275"/>
      <c r="R1515" s="1276"/>
      <c r="S1515" s="1276"/>
      <c r="T1515" s="1276"/>
      <c r="U1515" s="1276"/>
      <c r="V1515" s="1276"/>
      <c r="W1515" s="1276"/>
      <c r="X1515" s="1276"/>
      <c r="Y1515" s="1276"/>
    </row>
    <row r="1516" spans="1:25">
      <c r="A1516" s="2522"/>
      <c r="B1516" s="2522"/>
      <c r="C1516" s="2522"/>
      <c r="D1516" s="2522"/>
      <c r="E1516" s="1275"/>
      <c r="R1516" s="1276"/>
      <c r="S1516" s="1276"/>
      <c r="T1516" s="1276"/>
      <c r="U1516" s="1276"/>
      <c r="V1516" s="1276"/>
      <c r="W1516" s="1276"/>
      <c r="X1516" s="1276"/>
      <c r="Y1516" s="1276"/>
    </row>
    <row r="1517" spans="1:25">
      <c r="A1517" s="2522"/>
      <c r="B1517" s="2522"/>
      <c r="C1517" s="2522"/>
      <c r="D1517" s="2522"/>
      <c r="E1517" s="1275"/>
      <c r="R1517" s="1276"/>
      <c r="S1517" s="1276"/>
      <c r="T1517" s="1276"/>
      <c r="U1517" s="1276"/>
      <c r="V1517" s="1276"/>
      <c r="W1517" s="1276"/>
      <c r="X1517" s="1276"/>
      <c r="Y1517" s="1276"/>
    </row>
    <row r="1518" spans="1:25">
      <c r="A1518" s="2522"/>
      <c r="B1518" s="2522"/>
      <c r="C1518" s="2522"/>
      <c r="D1518" s="2522"/>
      <c r="E1518" s="1275"/>
      <c r="R1518" s="1276"/>
      <c r="S1518" s="1276"/>
      <c r="T1518" s="1276"/>
      <c r="U1518" s="1276"/>
      <c r="V1518" s="1276"/>
      <c r="W1518" s="1276"/>
      <c r="X1518" s="1276"/>
      <c r="Y1518" s="1276"/>
    </row>
    <row r="1519" spans="1:25">
      <c r="A1519" s="2522"/>
      <c r="B1519" s="2522"/>
      <c r="C1519" s="2522"/>
      <c r="D1519" s="2522"/>
      <c r="E1519" s="1275"/>
      <c r="R1519" s="1276"/>
      <c r="S1519" s="1276"/>
      <c r="T1519" s="1276"/>
      <c r="U1519" s="1276"/>
      <c r="V1519" s="1276"/>
      <c r="W1519" s="1276"/>
      <c r="X1519" s="1276"/>
      <c r="Y1519" s="1276"/>
    </row>
    <row r="1520" spans="1:25">
      <c r="A1520" s="2522"/>
      <c r="B1520" s="2522"/>
      <c r="C1520" s="2522"/>
      <c r="D1520" s="2522"/>
      <c r="E1520" s="1275"/>
      <c r="R1520" s="1276"/>
      <c r="S1520" s="1276"/>
      <c r="T1520" s="1276"/>
      <c r="U1520" s="1276"/>
      <c r="V1520" s="1276"/>
      <c r="W1520" s="1276"/>
      <c r="X1520" s="1276"/>
      <c r="Y1520" s="1276"/>
    </row>
    <row r="1521" spans="1:25">
      <c r="A1521" s="2522"/>
      <c r="B1521" s="2522"/>
      <c r="C1521" s="2522"/>
      <c r="D1521" s="2522"/>
      <c r="E1521" s="1275"/>
      <c r="R1521" s="1276"/>
      <c r="S1521" s="1276"/>
      <c r="T1521" s="1276"/>
      <c r="U1521" s="1276"/>
      <c r="V1521" s="1276"/>
      <c r="W1521" s="1276"/>
      <c r="X1521" s="1276"/>
      <c r="Y1521" s="1276"/>
    </row>
    <row r="1522" spans="1:25">
      <c r="A1522" s="2522"/>
      <c r="B1522" s="2522"/>
      <c r="C1522" s="2522"/>
      <c r="D1522" s="2522"/>
      <c r="E1522" s="1275"/>
      <c r="R1522" s="1276"/>
      <c r="S1522" s="1276"/>
      <c r="T1522" s="1276"/>
      <c r="U1522" s="1276"/>
      <c r="V1522" s="1276"/>
      <c r="W1522" s="1276"/>
      <c r="X1522" s="1276"/>
      <c r="Y1522" s="1276"/>
    </row>
    <row r="1523" spans="1:25">
      <c r="A1523" s="2522"/>
      <c r="B1523" s="2522"/>
      <c r="C1523" s="2522"/>
      <c r="D1523" s="2522"/>
      <c r="E1523" s="1275"/>
      <c r="R1523" s="1276"/>
      <c r="S1523" s="1276"/>
      <c r="T1523" s="1276"/>
      <c r="U1523" s="1276"/>
      <c r="V1523" s="1276"/>
      <c r="W1523" s="1276"/>
      <c r="X1523" s="1276"/>
      <c r="Y1523" s="1276"/>
    </row>
    <row r="1524" spans="1:25">
      <c r="A1524" s="2522"/>
      <c r="B1524" s="2522"/>
      <c r="C1524" s="2522"/>
      <c r="D1524" s="2522"/>
      <c r="E1524" s="1275"/>
      <c r="R1524" s="1276"/>
      <c r="S1524" s="1276"/>
      <c r="T1524" s="1276"/>
      <c r="U1524" s="1276"/>
      <c r="V1524" s="1276"/>
      <c r="W1524" s="1276"/>
      <c r="X1524" s="1276"/>
      <c r="Y1524" s="1276"/>
    </row>
    <row r="1525" spans="1:25">
      <c r="A1525" s="2522"/>
      <c r="B1525" s="2522"/>
      <c r="C1525" s="2522"/>
      <c r="D1525" s="2522"/>
      <c r="E1525" s="1275"/>
      <c r="R1525" s="1276"/>
      <c r="S1525" s="1276"/>
      <c r="T1525" s="1276"/>
      <c r="U1525" s="1276"/>
      <c r="V1525" s="1276"/>
      <c r="W1525" s="1276"/>
      <c r="X1525" s="1276"/>
      <c r="Y1525" s="1276"/>
    </row>
    <row r="1526" spans="1:25">
      <c r="A1526" s="2522"/>
      <c r="B1526" s="2522"/>
      <c r="C1526" s="2522"/>
      <c r="D1526" s="2522"/>
      <c r="E1526" s="1275"/>
      <c r="R1526" s="1276"/>
      <c r="S1526" s="1276"/>
      <c r="T1526" s="1276"/>
      <c r="U1526" s="1276"/>
      <c r="V1526" s="1276"/>
      <c r="W1526" s="1276"/>
      <c r="X1526" s="1276"/>
      <c r="Y1526" s="1276"/>
    </row>
    <row r="1527" spans="1:25">
      <c r="A1527" s="2522"/>
      <c r="B1527" s="2522"/>
      <c r="C1527" s="2522"/>
      <c r="D1527" s="2522"/>
      <c r="E1527" s="1275"/>
      <c r="R1527" s="1276"/>
      <c r="S1527" s="1276"/>
      <c r="T1527" s="1276"/>
      <c r="U1527" s="1276"/>
      <c r="V1527" s="1276"/>
      <c r="W1527" s="1276"/>
      <c r="X1527" s="1276"/>
      <c r="Y1527" s="1276"/>
    </row>
    <row r="1528" spans="1:25">
      <c r="A1528" s="2522"/>
      <c r="B1528" s="2522"/>
      <c r="C1528" s="2522"/>
      <c r="D1528" s="2522"/>
      <c r="E1528" s="1275"/>
      <c r="R1528" s="1276"/>
      <c r="S1528" s="1276"/>
      <c r="T1528" s="1276"/>
      <c r="U1528" s="1276"/>
      <c r="V1528" s="1276"/>
      <c r="W1528" s="1276"/>
      <c r="X1528" s="1276"/>
      <c r="Y1528" s="1276"/>
    </row>
    <row r="1529" spans="1:25">
      <c r="A1529" s="2522"/>
      <c r="B1529" s="2522"/>
      <c r="C1529" s="2522"/>
      <c r="D1529" s="2522"/>
      <c r="E1529" s="1275"/>
      <c r="R1529" s="1276"/>
      <c r="S1529" s="1276"/>
      <c r="T1529" s="1276"/>
      <c r="U1529" s="1276"/>
      <c r="V1529" s="1276"/>
      <c r="W1529" s="1276"/>
      <c r="X1529" s="1276"/>
      <c r="Y1529" s="1276"/>
    </row>
    <row r="1530" spans="1:25">
      <c r="A1530" s="2522"/>
      <c r="B1530" s="2522"/>
      <c r="C1530" s="2522"/>
      <c r="D1530" s="2522"/>
      <c r="E1530" s="1275"/>
      <c r="R1530" s="1276"/>
      <c r="S1530" s="1276"/>
      <c r="T1530" s="1276"/>
      <c r="U1530" s="1276"/>
      <c r="V1530" s="1276"/>
      <c r="W1530" s="1276"/>
      <c r="X1530" s="1276"/>
      <c r="Y1530" s="1276"/>
    </row>
    <row r="1531" spans="1:25">
      <c r="A1531" s="2522"/>
      <c r="B1531" s="2522"/>
      <c r="C1531" s="2522"/>
      <c r="D1531" s="2522"/>
      <c r="E1531" s="1275"/>
      <c r="R1531" s="1276"/>
      <c r="S1531" s="1276"/>
      <c r="T1531" s="1276"/>
      <c r="U1531" s="1276"/>
      <c r="V1531" s="1276"/>
      <c r="W1531" s="1276"/>
      <c r="X1531" s="1276"/>
      <c r="Y1531" s="1276"/>
    </row>
    <row r="1532" spans="1:25">
      <c r="A1532" s="2522"/>
      <c r="B1532" s="2522"/>
      <c r="C1532" s="2522"/>
      <c r="D1532" s="2522"/>
      <c r="E1532" s="1275"/>
      <c r="R1532" s="1276"/>
      <c r="S1532" s="1276"/>
      <c r="T1532" s="1276"/>
      <c r="U1532" s="1276"/>
      <c r="V1532" s="1276"/>
      <c r="W1532" s="1276"/>
      <c r="X1532" s="1276"/>
      <c r="Y1532" s="1276"/>
    </row>
    <row r="1533" spans="1:25">
      <c r="A1533" s="2522"/>
      <c r="B1533" s="2522"/>
      <c r="C1533" s="2522"/>
      <c r="D1533" s="2522"/>
      <c r="E1533" s="1275"/>
      <c r="R1533" s="1276"/>
      <c r="S1533" s="1276"/>
      <c r="T1533" s="1276"/>
      <c r="U1533" s="1276"/>
      <c r="V1533" s="1276"/>
      <c r="W1533" s="1276"/>
      <c r="X1533" s="1276"/>
      <c r="Y1533" s="1276"/>
    </row>
    <row r="1534" spans="1:25">
      <c r="A1534" s="2522"/>
      <c r="B1534" s="2522"/>
      <c r="C1534" s="2522"/>
      <c r="D1534" s="2522"/>
      <c r="E1534" s="1275"/>
      <c r="R1534" s="1276"/>
      <c r="S1534" s="1276"/>
      <c r="T1534" s="1276"/>
      <c r="U1534" s="1276"/>
      <c r="V1534" s="1276"/>
      <c r="W1534" s="1276"/>
      <c r="X1534" s="1276"/>
      <c r="Y1534" s="1276"/>
    </row>
    <row r="1535" spans="1:25">
      <c r="A1535" s="2522"/>
      <c r="B1535" s="2522"/>
      <c r="C1535" s="2522"/>
      <c r="D1535" s="2522"/>
      <c r="E1535" s="1275"/>
      <c r="R1535" s="1276"/>
      <c r="S1535" s="1276"/>
      <c r="T1535" s="1276"/>
      <c r="U1535" s="1276"/>
      <c r="V1535" s="1276"/>
      <c r="W1535" s="1276"/>
      <c r="X1535" s="1276"/>
      <c r="Y1535" s="1276"/>
    </row>
    <row r="1536" spans="1:25">
      <c r="A1536" s="2522"/>
      <c r="B1536" s="2522"/>
      <c r="C1536" s="2522"/>
      <c r="D1536" s="2522"/>
      <c r="E1536" s="1275"/>
      <c r="R1536" s="1276"/>
      <c r="S1536" s="1276"/>
      <c r="T1536" s="1276"/>
      <c r="U1536" s="1276"/>
      <c r="V1536" s="1276"/>
      <c r="W1536" s="1276"/>
      <c r="X1536" s="1276"/>
      <c r="Y1536" s="1276"/>
    </row>
    <row r="1537" spans="1:25">
      <c r="A1537" s="2522"/>
      <c r="B1537" s="2522"/>
      <c r="C1537" s="2522"/>
      <c r="D1537" s="2522"/>
      <c r="E1537" s="1275"/>
      <c r="R1537" s="1276"/>
      <c r="S1537" s="1276"/>
      <c r="T1537" s="1276"/>
      <c r="U1537" s="1276"/>
      <c r="V1537" s="1276"/>
      <c r="W1537" s="1276"/>
      <c r="X1537" s="1276"/>
      <c r="Y1537" s="1276"/>
    </row>
    <row r="1538" spans="1:25">
      <c r="A1538" s="2522"/>
      <c r="B1538" s="2522"/>
      <c r="C1538" s="2522"/>
      <c r="D1538" s="2522"/>
      <c r="E1538" s="1275"/>
      <c r="R1538" s="1276"/>
      <c r="S1538" s="1276"/>
      <c r="T1538" s="1276"/>
      <c r="U1538" s="1276"/>
      <c r="V1538" s="1276"/>
      <c r="W1538" s="1276"/>
      <c r="X1538" s="1276"/>
      <c r="Y1538" s="1276"/>
    </row>
    <row r="1539" spans="1:25">
      <c r="A1539" s="2522"/>
      <c r="B1539" s="2522"/>
      <c r="C1539" s="2522"/>
      <c r="D1539" s="2522"/>
      <c r="E1539" s="1275"/>
      <c r="R1539" s="1276"/>
      <c r="S1539" s="1276"/>
      <c r="T1539" s="1276"/>
      <c r="U1539" s="1276"/>
      <c r="V1539" s="1276"/>
      <c r="W1539" s="1276"/>
      <c r="X1539" s="1276"/>
      <c r="Y1539" s="1276"/>
    </row>
    <row r="1540" spans="1:25">
      <c r="A1540" s="2522"/>
      <c r="B1540" s="2522"/>
      <c r="C1540" s="2522"/>
      <c r="D1540" s="2522"/>
      <c r="E1540" s="1275"/>
      <c r="R1540" s="1276"/>
      <c r="S1540" s="1276"/>
      <c r="T1540" s="1276"/>
      <c r="U1540" s="1276"/>
      <c r="V1540" s="1276"/>
      <c r="W1540" s="1276"/>
      <c r="X1540" s="1276"/>
      <c r="Y1540" s="1276"/>
    </row>
    <row r="1541" spans="1:25">
      <c r="A1541" s="2522"/>
      <c r="B1541" s="2522"/>
      <c r="C1541" s="2522"/>
      <c r="D1541" s="2522"/>
      <c r="E1541" s="1275"/>
      <c r="R1541" s="1276"/>
      <c r="S1541" s="1276"/>
      <c r="T1541" s="1276"/>
      <c r="U1541" s="1276"/>
      <c r="V1541" s="1276"/>
      <c r="W1541" s="1276"/>
      <c r="X1541" s="1276"/>
      <c r="Y1541" s="1276"/>
    </row>
    <row r="1542" spans="1:25">
      <c r="A1542" s="2522"/>
      <c r="B1542" s="2522"/>
      <c r="C1542" s="2522"/>
      <c r="D1542" s="2522"/>
      <c r="E1542" s="1275"/>
      <c r="R1542" s="1276"/>
      <c r="S1542" s="1276"/>
      <c r="T1542" s="1276"/>
      <c r="U1542" s="1276"/>
      <c r="V1542" s="1276"/>
      <c r="W1542" s="1276"/>
      <c r="X1542" s="1276"/>
      <c r="Y1542" s="1276"/>
    </row>
    <row r="1543" spans="1:25">
      <c r="A1543" s="2522"/>
      <c r="B1543" s="2522"/>
      <c r="C1543" s="2522"/>
      <c r="D1543" s="2522"/>
      <c r="E1543" s="1275"/>
      <c r="R1543" s="1276"/>
      <c r="S1543" s="1276"/>
      <c r="T1543" s="1276"/>
      <c r="U1543" s="1276"/>
      <c r="V1543" s="1276"/>
      <c r="W1543" s="1276"/>
      <c r="X1543" s="1276"/>
      <c r="Y1543" s="1276"/>
    </row>
    <row r="1544" spans="1:25">
      <c r="A1544" s="2522"/>
      <c r="B1544" s="2522"/>
      <c r="C1544" s="2522"/>
      <c r="D1544" s="2522"/>
      <c r="E1544" s="1275"/>
      <c r="R1544" s="1276"/>
      <c r="S1544" s="1276"/>
      <c r="T1544" s="1276"/>
      <c r="U1544" s="1276"/>
      <c r="V1544" s="1276"/>
      <c r="W1544" s="1276"/>
      <c r="X1544" s="1276"/>
      <c r="Y1544" s="1276"/>
    </row>
    <row r="1545" spans="1:25">
      <c r="A1545" s="2522"/>
      <c r="B1545" s="2522"/>
      <c r="C1545" s="2522"/>
      <c r="D1545" s="2522"/>
      <c r="E1545" s="1275"/>
      <c r="R1545" s="1276"/>
      <c r="S1545" s="1276"/>
      <c r="T1545" s="1276"/>
      <c r="U1545" s="1276"/>
      <c r="V1545" s="1276"/>
      <c r="W1545" s="1276"/>
      <c r="X1545" s="1276"/>
      <c r="Y1545" s="1276"/>
    </row>
    <row r="1546" spans="1:25">
      <c r="A1546" s="2522"/>
      <c r="B1546" s="2522"/>
      <c r="C1546" s="2522"/>
      <c r="D1546" s="2522"/>
      <c r="E1546" s="1275"/>
      <c r="R1546" s="1276"/>
      <c r="S1546" s="1276"/>
      <c r="T1546" s="1276"/>
      <c r="U1546" s="1276"/>
      <c r="V1546" s="1276"/>
      <c r="W1546" s="1276"/>
      <c r="X1546" s="1276"/>
      <c r="Y1546" s="1276"/>
    </row>
    <row r="1547" spans="1:25">
      <c r="A1547" s="2522"/>
      <c r="B1547" s="2522"/>
      <c r="C1547" s="2522"/>
      <c r="D1547" s="2522"/>
      <c r="E1547" s="1275"/>
      <c r="R1547" s="1276"/>
      <c r="S1547" s="1276"/>
      <c r="T1547" s="1276"/>
      <c r="U1547" s="1276"/>
      <c r="V1547" s="1276"/>
      <c r="W1547" s="1276"/>
      <c r="X1547" s="1276"/>
      <c r="Y1547" s="1276"/>
    </row>
    <row r="1548" spans="1:25">
      <c r="A1548" s="2522"/>
      <c r="B1548" s="2522"/>
      <c r="C1548" s="2522"/>
      <c r="D1548" s="2522"/>
      <c r="E1548" s="1275"/>
      <c r="R1548" s="1276"/>
      <c r="S1548" s="1276"/>
      <c r="T1548" s="1276"/>
      <c r="U1548" s="1276"/>
      <c r="V1548" s="1276"/>
      <c r="W1548" s="1276"/>
      <c r="X1548" s="1276"/>
      <c r="Y1548" s="1276"/>
    </row>
    <row r="1549" spans="1:25">
      <c r="A1549" s="2522"/>
      <c r="B1549" s="2522"/>
      <c r="C1549" s="2522"/>
      <c r="D1549" s="2522"/>
      <c r="E1549" s="1275"/>
      <c r="R1549" s="1276"/>
      <c r="S1549" s="1276"/>
      <c r="T1549" s="1276"/>
      <c r="U1549" s="1276"/>
      <c r="V1549" s="1276"/>
      <c r="W1549" s="1276"/>
      <c r="X1549" s="1276"/>
      <c r="Y1549" s="1276"/>
    </row>
    <row r="1550" spans="1:25">
      <c r="A1550" s="2522"/>
      <c r="B1550" s="2522"/>
      <c r="C1550" s="2522"/>
      <c r="D1550" s="2522"/>
    </row>
    <row r="1551" spans="1:25">
      <c r="A1551" s="2522"/>
      <c r="B1551" s="2522"/>
      <c r="C1551" s="2522"/>
      <c r="D1551" s="2522"/>
    </row>
    <row r="1552" spans="1:25">
      <c r="A1552" s="2522"/>
      <c r="B1552" s="2522"/>
      <c r="C1552" s="2522"/>
      <c r="D1552" s="2522"/>
    </row>
    <row r="1553" spans="1:4">
      <c r="A1553" s="2522"/>
      <c r="B1553" s="2522"/>
      <c r="C1553" s="2522"/>
      <c r="D1553" s="2522"/>
    </row>
    <row r="1554" spans="1:4">
      <c r="A1554" s="2522"/>
      <c r="B1554" s="2522"/>
      <c r="C1554" s="2522"/>
      <c r="D1554" s="2522"/>
    </row>
    <row r="1555" spans="1:4">
      <c r="A1555" s="2522"/>
      <c r="B1555" s="2522"/>
      <c r="C1555" s="2522"/>
      <c r="D1555" s="2522"/>
    </row>
    <row r="1556" spans="1:4">
      <c r="A1556" s="2522"/>
      <c r="B1556" s="2522"/>
      <c r="C1556" s="2522"/>
      <c r="D1556" s="2522"/>
    </row>
    <row r="1557" spans="1:4">
      <c r="A1557" s="2522"/>
      <c r="B1557" s="2522"/>
      <c r="C1557" s="2522"/>
      <c r="D1557" s="2522"/>
    </row>
    <row r="1558" spans="1:4">
      <c r="A1558" s="2522"/>
      <c r="B1558" s="2522"/>
      <c r="C1558" s="2522"/>
      <c r="D1558" s="2522"/>
    </row>
    <row r="1559" spans="1:4">
      <c r="A1559" s="2522"/>
      <c r="B1559" s="2522"/>
      <c r="C1559" s="2522"/>
      <c r="D1559" s="2522"/>
    </row>
    <row r="1560" spans="1:4">
      <c r="A1560" s="2522"/>
      <c r="B1560" s="2522"/>
      <c r="C1560" s="2522"/>
      <c r="D1560" s="2522"/>
    </row>
    <row r="1561" spans="1:4">
      <c r="A1561" s="2522"/>
      <c r="B1561" s="2522"/>
      <c r="C1561" s="2522"/>
      <c r="D1561" s="2522"/>
    </row>
    <row r="1562" spans="1:4">
      <c r="A1562" s="2522"/>
      <c r="B1562" s="2522"/>
      <c r="C1562" s="2522"/>
      <c r="D1562" s="2522"/>
    </row>
    <row r="1563" spans="1:4">
      <c r="A1563" s="2522"/>
      <c r="B1563" s="2522"/>
      <c r="C1563" s="2522"/>
      <c r="D1563" s="2522"/>
    </row>
    <row r="1564" spans="1:4">
      <c r="A1564" s="2522"/>
      <c r="B1564" s="2522"/>
      <c r="C1564" s="2522"/>
      <c r="D1564" s="2522"/>
    </row>
    <row r="1565" spans="1:4">
      <c r="A1565" s="2522"/>
      <c r="B1565" s="2522"/>
      <c r="C1565" s="2522"/>
      <c r="D1565" s="2522"/>
    </row>
    <row r="1566" spans="1:4">
      <c r="A1566" s="2522"/>
      <c r="B1566" s="2522"/>
      <c r="C1566" s="2522"/>
      <c r="D1566" s="2522"/>
    </row>
    <row r="1567" spans="1:4">
      <c r="A1567" s="2522"/>
      <c r="B1567" s="2522"/>
      <c r="C1567" s="2522"/>
      <c r="D1567" s="2522"/>
    </row>
    <row r="1568" spans="1:4">
      <c r="A1568" s="2522"/>
      <c r="B1568" s="2522"/>
      <c r="C1568" s="2522"/>
      <c r="D1568" s="2522"/>
    </row>
    <row r="1569" spans="1:4">
      <c r="A1569" s="2522"/>
      <c r="B1569" s="2522"/>
      <c r="C1569" s="2522"/>
      <c r="D1569" s="2522"/>
    </row>
    <row r="1570" spans="1:4">
      <c r="A1570" s="2522"/>
      <c r="B1570" s="2522"/>
      <c r="C1570" s="2522"/>
      <c r="D1570" s="2522"/>
    </row>
    <row r="1571" spans="1:4">
      <c r="A1571" s="2522"/>
      <c r="B1571" s="2522"/>
      <c r="C1571" s="2522"/>
      <c r="D1571" s="2522"/>
    </row>
    <row r="1572" spans="1:4">
      <c r="A1572" s="2522"/>
      <c r="B1572" s="2522"/>
      <c r="C1572" s="2522"/>
      <c r="D1572" s="2522"/>
    </row>
    <row r="1573" spans="1:4">
      <c r="A1573" s="2522"/>
      <c r="B1573" s="2522"/>
      <c r="C1573" s="2522"/>
      <c r="D1573" s="2522"/>
    </row>
    <row r="1574" spans="1:4">
      <c r="A1574" s="2522"/>
      <c r="B1574" s="2522"/>
      <c r="C1574" s="2522"/>
      <c r="D1574" s="2522"/>
    </row>
    <row r="1575" spans="1:4">
      <c r="A1575" s="2522"/>
      <c r="B1575" s="2522"/>
      <c r="C1575" s="2522"/>
      <c r="D1575" s="2522"/>
    </row>
    <row r="1576" spans="1:4">
      <c r="A1576" s="2522"/>
      <c r="B1576" s="2522"/>
      <c r="C1576" s="2522"/>
      <c r="D1576" s="2522"/>
    </row>
    <row r="1577" spans="1:4">
      <c r="A1577" s="2522"/>
      <c r="B1577" s="2522"/>
      <c r="C1577" s="2522"/>
      <c r="D1577" s="2522"/>
    </row>
    <row r="1578" spans="1:4">
      <c r="A1578" s="2522"/>
      <c r="B1578" s="2522"/>
      <c r="C1578" s="2522"/>
      <c r="D1578" s="2522"/>
    </row>
    <row r="1579" spans="1:4">
      <c r="A1579" s="2522"/>
      <c r="B1579" s="2522"/>
      <c r="C1579" s="2522"/>
      <c r="D1579" s="2522"/>
    </row>
    <row r="1580" spans="1:4">
      <c r="A1580" s="2522"/>
      <c r="B1580" s="2522"/>
      <c r="C1580" s="2522"/>
      <c r="D1580" s="2522"/>
    </row>
    <row r="1581" spans="1:4">
      <c r="A1581" s="2522"/>
      <c r="B1581" s="2522"/>
      <c r="C1581" s="2522"/>
      <c r="D1581" s="2522"/>
    </row>
    <row r="1582" spans="1:4">
      <c r="A1582" s="2522"/>
      <c r="B1582" s="2522"/>
      <c r="C1582" s="2522"/>
      <c r="D1582" s="2522"/>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5"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6" activePane="bottomRight" state="frozen"/>
      <selection pane="topRight"/>
      <selection pane="bottomLeft"/>
      <selection pane="bottomRight" activeCell="B21" sqref="B21"/>
    </sheetView>
  </sheetViews>
  <sheetFormatPr defaultColWidth="9.140625" defaultRowHeight="12.75"/>
  <cols>
    <col min="1" max="1" width="32.7109375" style="26" customWidth="1"/>
    <col min="2" max="11" width="9" style="26" customWidth="1"/>
    <col min="12" max="14" width="7.7109375" style="26" customWidth="1"/>
    <col min="15" max="16384" width="9.140625" style="26"/>
  </cols>
  <sheetData>
    <row r="1" spans="1:12" ht="13.5" customHeight="1">
      <c r="A1" s="2844" t="str">
        <f>muni&amp;" - "&amp;Approve1</f>
        <v>LIM333 Greater Tzaneen - Table A1 Consolidated Budget Summary</v>
      </c>
      <c r="B1" s="2845"/>
      <c r="C1" s="2845"/>
      <c r="D1" s="25"/>
      <c r="E1" s="25"/>
      <c r="F1" s="25"/>
      <c r="G1" s="25"/>
      <c r="H1" s="25"/>
      <c r="I1" s="25"/>
      <c r="J1" s="25"/>
      <c r="K1" s="25"/>
    </row>
    <row r="2" spans="1:12" ht="28.5" customHeight="1">
      <c r="A2" s="857" t="str">
        <f>desc</f>
        <v>Description</v>
      </c>
      <c r="B2" s="21" t="str">
        <f>head1b</f>
        <v>2016/17</v>
      </c>
      <c r="C2" s="27" t="str">
        <f>head1A</f>
        <v>2017/18</v>
      </c>
      <c r="D2" s="23" t="str">
        <f>Head1</f>
        <v>2018/19</v>
      </c>
      <c r="E2" s="2842" t="str">
        <f>Head2</f>
        <v>Current Year 2019/20</v>
      </c>
      <c r="F2" s="2843"/>
      <c r="G2" s="2843"/>
      <c r="H2" s="2843"/>
      <c r="I2" s="2839" t="str">
        <f>Head3</f>
        <v>2020/21 Medium Term Revenue &amp; Expenditure Framework</v>
      </c>
      <c r="J2" s="2840"/>
      <c r="K2" s="2841"/>
    </row>
    <row r="3" spans="1:12" ht="25.5">
      <c r="A3" s="992"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2020/21</v>
      </c>
      <c r="J3" s="260" t="str">
        <f>Head10</f>
        <v>Budget Year +1 2021/22</v>
      </c>
      <c r="K3" s="261" t="str">
        <f>Head11</f>
        <v>Budget Year +2 2022/23</v>
      </c>
    </row>
    <row r="4" spans="1:12" ht="11.25" customHeight="1">
      <c r="A4" s="780" t="s">
        <v>1197</v>
      </c>
      <c r="B4" s="35"/>
      <c r="C4" s="36"/>
      <c r="D4" s="37"/>
      <c r="E4" s="35"/>
      <c r="F4" s="36"/>
      <c r="G4" s="37"/>
      <c r="H4" s="38"/>
      <c r="I4" s="35"/>
      <c r="J4" s="36"/>
      <c r="K4" s="37"/>
    </row>
    <row r="5" spans="1:12" ht="11.25" customHeight="1">
      <c r="A5" s="761" t="s">
        <v>468</v>
      </c>
      <c r="B5" s="963">
        <f>'A4-FinPerf RE'!C5</f>
        <v>88945731.060000002</v>
      </c>
      <c r="C5" s="84">
        <f>'A4-FinPerf RE'!D5</f>
        <v>107493138.13</v>
      </c>
      <c r="D5" s="425">
        <f>'A4-FinPerf RE'!E5</f>
        <v>119183220.86999999</v>
      </c>
      <c r="E5" s="88">
        <f>'A4-FinPerf RE'!F5</f>
        <v>112400000</v>
      </c>
      <c r="F5" s="84">
        <f>'A4-FinPerf RE'!G5</f>
        <v>112400000</v>
      </c>
      <c r="G5" s="426">
        <f>'A4-FinPerf RE'!H5</f>
        <v>112933467.73999999</v>
      </c>
      <c r="H5" s="87">
        <f>'A4-FinPerf RE'!I5</f>
        <v>112933467.73999999</v>
      </c>
      <c r="I5" s="88">
        <f>'A4-FinPerf RE'!J5</f>
        <v>132500000</v>
      </c>
      <c r="J5" s="84">
        <f>'A4-FinPerf RE'!K5</f>
        <v>138595000</v>
      </c>
      <c r="K5" s="426">
        <f>'A4-FinPerf RE'!L5</f>
        <v>144970370</v>
      </c>
      <c r="L5" s="240"/>
    </row>
    <row r="6" spans="1:12" ht="11.25" customHeight="1">
      <c r="A6" s="761" t="s">
        <v>1410</v>
      </c>
      <c r="B6" s="84">
        <f>SUM('A4-FinPerf RE'!C6:C9)</f>
        <v>445355085.59999996</v>
      </c>
      <c r="C6" s="84">
        <f>SUM('A4-FinPerf RE'!D6:D9)</f>
        <v>483013588.10000002</v>
      </c>
      <c r="D6" s="425">
        <f>SUM('A4-FinPerf RE'!E6:E9)</f>
        <v>482916173.38</v>
      </c>
      <c r="E6" s="88">
        <f>SUM('A4-FinPerf RE'!F6:F9)</f>
        <v>611052657</v>
      </c>
      <c r="F6" s="84">
        <f>SUM('A4-FinPerf RE'!G6:G9)</f>
        <v>604052657</v>
      </c>
      <c r="G6" s="426">
        <f>SUM('A4-FinPerf RE'!H6:H9)</f>
        <v>617160888.32000005</v>
      </c>
      <c r="H6" s="87">
        <f>SUM('A4-FinPerf RE'!I6:I9)</f>
        <v>617160888.32000005</v>
      </c>
      <c r="I6" s="88">
        <f>SUM('A4-FinPerf RE'!J6:J9)</f>
        <v>606617132</v>
      </c>
      <c r="J6" s="84">
        <f>SUM('A4-FinPerf RE'!K6:K9)</f>
        <v>634537520.07200003</v>
      </c>
      <c r="K6" s="426">
        <f>SUM('A4-FinPerf RE'!L6:L9)</f>
        <v>663743013.99531198</v>
      </c>
    </row>
    <row r="7" spans="1:12" ht="11.25" customHeight="1">
      <c r="A7" s="761" t="s">
        <v>431</v>
      </c>
      <c r="B7" s="84">
        <f>'A4-FinPerf RE'!C12</f>
        <v>8253077</v>
      </c>
      <c r="C7" s="84">
        <f>'A4-FinPerf RE'!D12</f>
        <v>4427275</v>
      </c>
      <c r="D7" s="425">
        <f>'A4-FinPerf RE'!E12</f>
        <v>9639044.0199999996</v>
      </c>
      <c r="E7" s="88">
        <f>'A4-FinPerf RE'!F12</f>
        <v>4301000</v>
      </c>
      <c r="F7" s="84">
        <f>'A4-FinPerf RE'!G12</f>
        <v>4301000</v>
      </c>
      <c r="G7" s="426">
        <f>'A4-FinPerf RE'!H12</f>
        <v>4228127.78</v>
      </c>
      <c r="H7" s="87">
        <f>'A4-FinPerf RE'!I12</f>
        <v>4228127.78</v>
      </c>
      <c r="I7" s="88">
        <f>'A4-FinPerf RE'!J12</f>
        <v>4301000</v>
      </c>
      <c r="J7" s="84">
        <f>'A4-FinPerf RE'!K12</f>
        <v>4498846</v>
      </c>
      <c r="K7" s="426">
        <f>'A4-FinPerf RE'!L12</f>
        <v>4705792.9160000002</v>
      </c>
    </row>
    <row r="8" spans="1:12" ht="11.25" customHeight="1">
      <c r="A8" s="761" t="s">
        <v>29</v>
      </c>
      <c r="B8" s="84">
        <f>'A4-FinPerf RE'!C18</f>
        <v>438486091</v>
      </c>
      <c r="C8" s="84">
        <f>'A4-FinPerf RE'!D18</f>
        <v>398713924</v>
      </c>
      <c r="D8" s="425">
        <f>'A4-FinPerf RE'!E18</f>
        <v>387199833.64999998</v>
      </c>
      <c r="E8" s="88">
        <f>'A4-FinPerf RE'!F18</f>
        <v>416300150</v>
      </c>
      <c r="F8" s="84">
        <f>'A4-FinPerf RE'!G18</f>
        <v>422631880.01999998</v>
      </c>
      <c r="G8" s="426">
        <f>'A4-FinPerf RE'!H18</f>
        <v>422333880.01999998</v>
      </c>
      <c r="H8" s="87">
        <f>'A4-FinPerf RE'!I18</f>
        <v>422333880.01999998</v>
      </c>
      <c r="I8" s="88">
        <f>'A4-FinPerf RE'!J18</f>
        <v>443963950</v>
      </c>
      <c r="J8" s="84">
        <f>'A4-FinPerf RE'!K18</f>
        <v>470189500</v>
      </c>
      <c r="K8" s="426">
        <f>'A4-FinPerf RE'!L18</f>
        <v>499398139.20000005</v>
      </c>
    </row>
    <row r="9" spans="1:12" ht="11.25" customHeight="1">
      <c r="A9" s="761" t="s">
        <v>176</v>
      </c>
      <c r="B9" s="84">
        <f>'A4-FinPerf RE'!C11+'A4-FinPerf RE'!C13+'A4-FinPerf RE'!C14+'A4-FinPerf RE'!C15+'A4-FinPerf RE'!C16+'A4-FinPerf RE'!C17+'A4-FinPerf RE'!C19+'A4-FinPerf RE'!C20</f>
        <v>116169555.02000001</v>
      </c>
      <c r="C9" s="84">
        <f>'A4-FinPerf RE'!D11+'A4-FinPerf RE'!D13+'A4-FinPerf RE'!D14+'A4-FinPerf RE'!D15+'A4-FinPerf RE'!D16+'A4-FinPerf RE'!D17+'A4-FinPerf RE'!D19+'A4-FinPerf RE'!D20</f>
        <v>113801417.34</v>
      </c>
      <c r="D9" s="425">
        <f>'A4-FinPerf RE'!E11+'A4-FinPerf RE'!E13+'A4-FinPerf RE'!E14+'A4-FinPerf RE'!E15+'A4-FinPerf RE'!E16+'A4-FinPerf RE'!E17+'A4-FinPerf RE'!E19+'A4-FinPerf RE'!E20</f>
        <v>93632521.599999994</v>
      </c>
      <c r="E9" s="88">
        <f>'A4-FinPerf RE'!F11+'A4-FinPerf RE'!F13+'A4-FinPerf RE'!F14+'A4-FinPerf RE'!F15+'A4-FinPerf RE'!F16+'A4-FinPerf RE'!F17+'A4-FinPerf RE'!F19+'A4-FinPerf RE'!F20</f>
        <v>125572650</v>
      </c>
      <c r="F9" s="84">
        <f>'A4-FinPerf RE'!G11+'A4-FinPerf RE'!G13+'A4-FinPerf RE'!G14+'A4-FinPerf RE'!G15+'A4-FinPerf RE'!G16+'A4-FinPerf RE'!G17+'A4-FinPerf RE'!G19+'A4-FinPerf RE'!G20</f>
        <v>125572650</v>
      </c>
      <c r="G9" s="426">
        <f>'A4-FinPerf RE'!H11+'A4-FinPerf RE'!H13+'A4-FinPerf RE'!H14+'A4-FinPerf RE'!H15+'A4-FinPerf RE'!H16+'A4-FinPerf RE'!H17+'A4-FinPerf RE'!H19+'A4-FinPerf RE'!H20</f>
        <v>147597145.97999999</v>
      </c>
      <c r="H9" s="87">
        <f>'A4-FinPerf RE'!I11+'A4-FinPerf RE'!I13+'A4-FinPerf RE'!I14+'A4-FinPerf RE'!I15+'A4-FinPerf RE'!I16+'A4-FinPerf RE'!I17+'A4-FinPerf RE'!I19+'A4-FinPerf RE'!I20</f>
        <v>147597145.97999999</v>
      </c>
      <c r="I9" s="88">
        <f>'A4-FinPerf RE'!J11+'A4-FinPerf RE'!J13+'A4-FinPerf RE'!J14+'A4-FinPerf RE'!J15+'A4-FinPerf RE'!J16+'A4-FinPerf RE'!J17+'A4-FinPerf RE'!J19+'A4-FinPerf RE'!J20</f>
        <v>129325100</v>
      </c>
      <c r="J9" s="84">
        <f>'A4-FinPerf RE'!K11+'A4-FinPerf RE'!K13+'A4-FinPerf RE'!K14+'A4-FinPerf RE'!K15+'A4-FinPerf RE'!K16+'A4-FinPerf RE'!K17+'A4-FinPerf RE'!K19+'A4-FinPerf RE'!K20</f>
        <v>135274054.60000002</v>
      </c>
      <c r="K9" s="426">
        <f>'A4-FinPerf RE'!L11+'A4-FinPerf RE'!L13+'A4-FinPerf RE'!L14+'A4-FinPerf RE'!L15+'A4-FinPerf RE'!L16+'A4-FinPerf RE'!L17+'A4-FinPerf RE'!L19+'A4-FinPerf RE'!L20</f>
        <v>141496661.11159998</v>
      </c>
    </row>
    <row r="10" spans="1:12" ht="25.5" customHeight="1">
      <c r="A10" s="170" t="str">
        <f>'A4-FinPerf RE'!A21</f>
        <v>Total Revenue (excluding capital transfers and contributions)</v>
      </c>
      <c r="B10" s="1163">
        <f t="shared" ref="B10:K10" si="0">SUM(B5:B9)</f>
        <v>1097209539.6800001</v>
      </c>
      <c r="C10" s="1163">
        <f t="shared" si="0"/>
        <v>1107449342.5699999</v>
      </c>
      <c r="D10" s="1164">
        <f t="shared" si="0"/>
        <v>1092570793.52</v>
      </c>
      <c r="E10" s="1162">
        <f t="shared" si="0"/>
        <v>1269626457</v>
      </c>
      <c r="F10" s="1163">
        <f t="shared" si="0"/>
        <v>1268958187.02</v>
      </c>
      <c r="G10" s="1165">
        <f t="shared" si="0"/>
        <v>1304253509.8400002</v>
      </c>
      <c r="H10" s="1166">
        <f t="shared" si="0"/>
        <v>1304253509.8400002</v>
      </c>
      <c r="I10" s="1162">
        <f t="shared" si="0"/>
        <v>1316707182</v>
      </c>
      <c r="J10" s="1163">
        <f t="shared" si="0"/>
        <v>1383094920.6719999</v>
      </c>
      <c r="K10" s="1165">
        <f t="shared" si="0"/>
        <v>1454313977.2229118</v>
      </c>
    </row>
    <row r="11" spans="1:12" ht="11.25" customHeight="1">
      <c r="A11" s="761" t="s">
        <v>424</v>
      </c>
      <c r="B11" s="84">
        <f>'A4-FinPerf RE'!C24</f>
        <v>270103603.63</v>
      </c>
      <c r="C11" s="84">
        <f>'A4-FinPerf RE'!D24</f>
        <v>285057089</v>
      </c>
      <c r="D11" s="425">
        <f>'A4-FinPerf RE'!E24</f>
        <v>299024089.00000006</v>
      </c>
      <c r="E11" s="88">
        <f>'A4-FinPerf RE'!F24</f>
        <v>357557390.95999998</v>
      </c>
      <c r="F11" s="84">
        <f>'A4-FinPerf RE'!G24</f>
        <v>331772419.35000002</v>
      </c>
      <c r="G11" s="426">
        <f>'A4-FinPerf RE'!H24</f>
        <v>320443359.73999995</v>
      </c>
      <c r="H11" s="87">
        <f>'A4-FinPerf RE'!I24</f>
        <v>320443359.73999995</v>
      </c>
      <c r="I11" s="88">
        <f>'A4-FinPerf RE'!J24</f>
        <v>345564118.13</v>
      </c>
      <c r="J11" s="84">
        <f>'A4-FinPerf RE'!K24</f>
        <v>361695582.96597999</v>
      </c>
      <c r="K11" s="426">
        <f>'A4-FinPerf RE'!L24</f>
        <v>378592648.01775521</v>
      </c>
    </row>
    <row r="12" spans="1:12" ht="11.25" customHeight="1">
      <c r="A12" s="761" t="s">
        <v>459</v>
      </c>
      <c r="B12" s="84">
        <f>'A4-FinPerf RE'!C25</f>
        <v>23265242</v>
      </c>
      <c r="C12" s="84">
        <f>'A4-FinPerf RE'!D25</f>
        <v>25387968</v>
      </c>
      <c r="D12" s="425">
        <f>'A4-FinPerf RE'!E25</f>
        <v>27050526</v>
      </c>
      <c r="E12" s="88">
        <f>'A4-FinPerf RE'!F25</f>
        <v>28967131</v>
      </c>
      <c r="F12" s="84">
        <f>'A4-FinPerf RE'!G25</f>
        <v>28967131</v>
      </c>
      <c r="G12" s="426">
        <f>'A4-FinPerf RE'!H25</f>
        <v>28826131.32</v>
      </c>
      <c r="H12" s="87">
        <f>'A4-FinPerf RE'!I25</f>
        <v>28826131.32</v>
      </c>
      <c r="I12" s="88">
        <f>'A4-FinPerf RE'!J25</f>
        <v>29034983</v>
      </c>
      <c r="J12" s="84">
        <f>'A4-FinPerf RE'!K25</f>
        <v>30406993.618000001</v>
      </c>
      <c r="K12" s="426">
        <f>'A4-FinPerf RE'!L25</f>
        <v>31845756.864427999</v>
      </c>
    </row>
    <row r="13" spans="1:12" ht="11.25" customHeight="1">
      <c r="A13" s="761" t="s">
        <v>1313</v>
      </c>
      <c r="B13" s="84">
        <f>'A4-FinPerf RE'!C27</f>
        <v>130212939.95999999</v>
      </c>
      <c r="C13" s="84">
        <f>'A4-FinPerf RE'!D27</f>
        <v>129496184</v>
      </c>
      <c r="D13" s="425">
        <f>'A4-FinPerf RE'!E27</f>
        <v>127793108.62</v>
      </c>
      <c r="E13" s="88">
        <f>'A4-FinPerf RE'!F27</f>
        <v>134196513</v>
      </c>
      <c r="F13" s="84">
        <f>'A4-FinPerf RE'!G27</f>
        <v>130083000</v>
      </c>
      <c r="G13" s="426">
        <f>'A4-FinPerf RE'!H27</f>
        <v>130000000</v>
      </c>
      <c r="H13" s="87">
        <f>'A4-FinPerf RE'!I27</f>
        <v>130000000</v>
      </c>
      <c r="I13" s="88">
        <f>'A4-FinPerf RE'!J27</f>
        <v>132970807</v>
      </c>
      <c r="J13" s="84">
        <f>'A4-FinPerf RE'!K27</f>
        <v>130548742</v>
      </c>
      <c r="K13" s="426">
        <f>'A4-FinPerf RE'!L27</f>
        <v>136675522.81999999</v>
      </c>
    </row>
    <row r="14" spans="1:12" ht="11.25" customHeight="1">
      <c r="A14" s="761" t="s">
        <v>1367</v>
      </c>
      <c r="B14" s="84">
        <f>'A4-FinPerf RE'!C28</f>
        <v>12933180</v>
      </c>
      <c r="C14" s="84">
        <f>'A4-FinPerf RE'!D28</f>
        <v>11013611</v>
      </c>
      <c r="D14" s="425">
        <f>'A4-FinPerf RE'!E28</f>
        <v>11973760</v>
      </c>
      <c r="E14" s="88">
        <f>'A4-FinPerf RE'!F28</f>
        <v>29658314</v>
      </c>
      <c r="F14" s="84">
        <f>'A4-FinPerf RE'!G28</f>
        <v>14658314</v>
      </c>
      <c r="G14" s="426">
        <f>'A4-FinPerf RE'!H28</f>
        <v>14784369.560000001</v>
      </c>
      <c r="H14" s="87">
        <f>'A4-FinPerf RE'!I28</f>
        <v>14784369.560000001</v>
      </c>
      <c r="I14" s="88">
        <f>'A4-FinPerf RE'!J28</f>
        <v>15728808</v>
      </c>
      <c r="J14" s="84">
        <f>'A4-FinPerf RE'!K28</f>
        <v>14910947</v>
      </c>
      <c r="K14" s="426">
        <f>'A4-FinPerf RE'!L28</f>
        <v>13926741</v>
      </c>
    </row>
    <row r="15" spans="1:12" ht="11.25" customHeight="1">
      <c r="A15" s="761" t="s">
        <v>430</v>
      </c>
      <c r="B15" s="84">
        <f>'A4-FinPerf RE'!C29+'A4-FinPerf RE'!C30</f>
        <v>356762228</v>
      </c>
      <c r="C15" s="84">
        <f>'A4-FinPerf RE'!D29+'A4-FinPerf RE'!D30</f>
        <v>370555386</v>
      </c>
      <c r="D15" s="425">
        <f>'A4-FinPerf RE'!E29+'A4-FinPerf RE'!E30</f>
        <v>390601797.67000002</v>
      </c>
      <c r="E15" s="88">
        <f>'A4-FinPerf RE'!F29+'A4-FinPerf RE'!F30</f>
        <v>476352248.81</v>
      </c>
      <c r="F15" s="84">
        <f>'A4-FinPerf RE'!G29+'A4-FinPerf RE'!G30</f>
        <v>460932321.81</v>
      </c>
      <c r="G15" s="426">
        <f>'A4-FinPerf RE'!H29+'A4-FinPerf RE'!H30</f>
        <v>462897521.01999998</v>
      </c>
      <c r="H15" s="87">
        <f>'A4-FinPerf RE'!I29+'A4-FinPerf RE'!I30</f>
        <v>462897521.01999998</v>
      </c>
      <c r="I15" s="88">
        <f>'A4-FinPerf RE'!J29+'A4-FinPerf RE'!J30</f>
        <v>463508584.88</v>
      </c>
      <c r="J15" s="84">
        <f>'A4-FinPerf RE'!K29+'A4-FinPerf RE'!K30</f>
        <v>487688471.78447998</v>
      </c>
      <c r="K15" s="426">
        <f>'A4-FinPerf RE'!L29+'A4-FinPerf RE'!L30</f>
        <v>510122468.18656611</v>
      </c>
    </row>
    <row r="16" spans="1:12" ht="11.25" customHeight="1">
      <c r="A16" s="1337" t="s">
        <v>676</v>
      </c>
      <c r="B16" s="84">
        <f>'A4-FinPerf RE'!C32</f>
        <v>123608708.13</v>
      </c>
      <c r="C16" s="84">
        <f>'A4-FinPerf RE'!D32</f>
        <v>113263619.28</v>
      </c>
      <c r="D16" s="425">
        <f>'A4-FinPerf RE'!E32</f>
        <v>50297362.430000007</v>
      </c>
      <c r="E16" s="88">
        <f>'A4-FinPerf RE'!F32</f>
        <v>36021812</v>
      </c>
      <c r="F16" s="84">
        <f>'A4-FinPerf RE'!G32</f>
        <v>39961030.020000003</v>
      </c>
      <c r="G16" s="426">
        <f>'A4-FinPerf RE'!H32</f>
        <v>33763216.920000002</v>
      </c>
      <c r="H16" s="87">
        <f>'A4-FinPerf RE'!I32</f>
        <v>33763216.920000002</v>
      </c>
      <c r="I16" s="88">
        <f>'A4-FinPerf RE'!J32</f>
        <v>30919000</v>
      </c>
      <c r="J16" s="84">
        <f>'A4-FinPerf RE'!K32</f>
        <v>24197110</v>
      </c>
      <c r="K16" s="426">
        <f>'A4-FinPerf RE'!L32</f>
        <v>24523577.060000002</v>
      </c>
    </row>
    <row r="17" spans="1:12" ht="11.25" customHeight="1">
      <c r="A17" s="761" t="s">
        <v>829</v>
      </c>
      <c r="B17" s="84">
        <f>'A4-FinPerf RE'!C26+'A4-FinPerf RE'!C31+'A4-FinPerf RE'!C33+'A4-FinPerf RE'!C34</f>
        <v>201490649.80000001</v>
      </c>
      <c r="C17" s="84">
        <f>'A4-FinPerf RE'!D26+'A4-FinPerf RE'!D31+'A4-FinPerf RE'!D33+'A4-FinPerf RE'!D34</f>
        <v>287881060.94</v>
      </c>
      <c r="D17" s="425">
        <f>'A4-FinPerf RE'!E26+'A4-FinPerf RE'!E31+'A4-FinPerf RE'!E33+'A4-FinPerf RE'!E34</f>
        <v>302087986.34000003</v>
      </c>
      <c r="E17" s="88">
        <f>'A4-FinPerf RE'!F26+'A4-FinPerf RE'!F31+'A4-FinPerf RE'!F33+'A4-FinPerf RE'!F34</f>
        <v>266432569.49000001</v>
      </c>
      <c r="F17" s="84">
        <f>'A4-FinPerf RE'!G26+'A4-FinPerf RE'!G31+'A4-FinPerf RE'!G33+'A4-FinPerf RE'!G34</f>
        <v>242290801.24000001</v>
      </c>
      <c r="G17" s="426">
        <f>'A4-FinPerf RE'!H26+'A4-FinPerf RE'!H31+'A4-FinPerf RE'!H33+'A4-FinPerf RE'!H34</f>
        <v>284450373.75</v>
      </c>
      <c r="H17" s="87">
        <f>'A4-FinPerf RE'!I26+'A4-FinPerf RE'!I31+'A4-FinPerf RE'!I33+'A4-FinPerf RE'!I34</f>
        <v>284450373.75</v>
      </c>
      <c r="I17" s="88">
        <f>'A4-FinPerf RE'!J26+'A4-FinPerf RE'!J31+'A4-FinPerf RE'!J33+'A4-FinPerf RE'!J34</f>
        <v>269628739.06</v>
      </c>
      <c r="J17" s="84">
        <f>'A4-FinPerf RE'!K26+'A4-FinPerf RE'!K31+'A4-FinPerf RE'!K33+'A4-FinPerf RE'!K34</f>
        <v>280774518.91199994</v>
      </c>
      <c r="K17" s="426">
        <f>'A4-FinPerf RE'!L26+'A4-FinPerf RE'!L31+'A4-FinPerf RE'!L33+'A4-FinPerf RE'!L34</f>
        <v>293380617.99665201</v>
      </c>
    </row>
    <row r="18" spans="1:12" ht="11.25" customHeight="1">
      <c r="A18" s="762" t="str">
        <f>'A4-FinPerf RE'!A35</f>
        <v>Total Expenditure</v>
      </c>
      <c r="B18" s="1145">
        <f>SUM(B11:B17)</f>
        <v>1118376551.52</v>
      </c>
      <c r="C18" s="1146">
        <f t="shared" ref="C18:K18" si="1">SUM(C11:C17)</f>
        <v>1222654918.22</v>
      </c>
      <c r="D18" s="1147">
        <f t="shared" si="1"/>
        <v>1208828630.0599999</v>
      </c>
      <c r="E18" s="1145">
        <f t="shared" si="1"/>
        <v>1329185979.26</v>
      </c>
      <c r="F18" s="1146">
        <f t="shared" si="1"/>
        <v>1248665017.4200001</v>
      </c>
      <c r="G18" s="1148">
        <f t="shared" si="1"/>
        <v>1275164972.3099999</v>
      </c>
      <c r="H18" s="1149">
        <f t="shared" si="1"/>
        <v>1275164972.3099999</v>
      </c>
      <c r="I18" s="1145">
        <f t="shared" si="1"/>
        <v>1287355040.0699999</v>
      </c>
      <c r="J18" s="1146">
        <f t="shared" si="1"/>
        <v>1330222366.2804599</v>
      </c>
      <c r="K18" s="1148">
        <f t="shared" si="1"/>
        <v>1389067331.9454012</v>
      </c>
    </row>
    <row r="19" spans="1:12" ht="11.25" customHeight="1">
      <c r="A19" s="762" t="str">
        <f>'A4-FinPerf RE'!A37</f>
        <v>Surplus/(Deficit)</v>
      </c>
      <c r="B19" s="1141">
        <f t="shared" ref="B19:K19" si="2">B10-B18</f>
        <v>-21167011.839999914</v>
      </c>
      <c r="C19" s="237">
        <f t="shared" si="2"/>
        <v>-115205575.6500001</v>
      </c>
      <c r="D19" s="1142">
        <f t="shared" si="2"/>
        <v>-116257836.53999996</v>
      </c>
      <c r="E19" s="1141">
        <f t="shared" si="2"/>
        <v>-59559522.25999999</v>
      </c>
      <c r="F19" s="237">
        <f t="shared" si="2"/>
        <v>20293169.599999905</v>
      </c>
      <c r="G19" s="1143">
        <f t="shared" si="2"/>
        <v>29088537.53000021</v>
      </c>
      <c r="H19" s="1144">
        <f t="shared" si="2"/>
        <v>29088537.53000021</v>
      </c>
      <c r="I19" s="1141">
        <f t="shared" si="2"/>
        <v>29352141.930000067</v>
      </c>
      <c r="J19" s="237">
        <f t="shared" si="2"/>
        <v>52872554.391540051</v>
      </c>
      <c r="K19" s="1143">
        <f t="shared" si="2"/>
        <v>65246645.277510643</v>
      </c>
    </row>
    <row r="20" spans="1:12" ht="48.75" customHeight="1">
      <c r="A20" s="994" t="str">
        <f>'A4-FinPerf RE'!A38</f>
        <v>Transfers and subsidies - capital (monetary allocations) (National / Provincial and District)</v>
      </c>
      <c r="B20" s="88">
        <f>'A4-FinPerf RE'!C38</f>
        <v>35069166.280000001</v>
      </c>
      <c r="C20" s="84">
        <f>'A4-FinPerf RE'!D38</f>
        <v>29978195</v>
      </c>
      <c r="D20" s="425">
        <f>'A4-FinPerf RE'!E38</f>
        <v>48393589</v>
      </c>
      <c r="E20" s="88">
        <f>'A4-FinPerf RE'!F38</f>
        <v>89549850</v>
      </c>
      <c r="F20" s="84">
        <f>'A4-FinPerf RE'!G38</f>
        <v>89549850</v>
      </c>
      <c r="G20" s="426">
        <f>'A4-FinPerf RE'!H38</f>
        <v>89549850</v>
      </c>
      <c r="H20" s="87">
        <f>'A4-FinPerf RE'!I38</f>
        <v>89549850</v>
      </c>
      <c r="I20" s="88">
        <f>'A4-FinPerf RE'!J38</f>
        <v>88938050</v>
      </c>
      <c r="J20" s="84">
        <f>'A4-FinPerf RE'!K38</f>
        <v>96829700</v>
      </c>
      <c r="K20" s="426">
        <f>'A4-FinPerf RE'!L38</f>
        <v>102603800</v>
      </c>
      <c r="L20" s="240"/>
    </row>
    <row r="21" spans="1:12" ht="93" customHeight="1">
      <c r="A21" s="2598"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1150">
        <f>'A4-FinPerf RE'!C39+'A4-FinPerf RE'!C40</f>
        <v>0</v>
      </c>
      <c r="C21" s="1151">
        <f>'A4-FinPerf RE'!D39+'A4-FinPerf RE'!D40</f>
        <v>49272</v>
      </c>
      <c r="D21" s="1152">
        <f>'A4-FinPerf RE'!E39+'A4-FinPerf RE'!E40</f>
        <v>0</v>
      </c>
      <c r="E21" s="1150">
        <f>'A4-FinPerf RE'!F39+'A4-FinPerf RE'!F40</f>
        <v>0</v>
      </c>
      <c r="F21" s="1151">
        <f>'A4-FinPerf RE'!G39+'A4-FinPerf RE'!G40</f>
        <v>10000000</v>
      </c>
      <c r="G21" s="1153">
        <f>'A4-FinPerf RE'!H39+'A4-FinPerf RE'!H40</f>
        <v>10000000</v>
      </c>
      <c r="H21" s="1154">
        <f>'A4-FinPerf RE'!I39+'A4-FinPerf RE'!I40</f>
        <v>10000000</v>
      </c>
      <c r="I21" s="1150">
        <f>'A4-FinPerf RE'!J39+'A4-FinPerf RE'!J40</f>
        <v>0</v>
      </c>
      <c r="J21" s="1151">
        <f>'A4-FinPerf RE'!K39+'A4-FinPerf RE'!K40</f>
        <v>0</v>
      </c>
      <c r="K21" s="1153">
        <f>'A4-FinPerf RE'!L39+'A4-FinPerf RE'!L40</f>
        <v>0</v>
      </c>
      <c r="L21" s="240"/>
    </row>
    <row r="22" spans="1:12" ht="25.5">
      <c r="A22" s="993" t="str">
        <f>'A4-FinPerf RE'!A41</f>
        <v>Surplus/(Deficit) after capital transfers &amp; contributions</v>
      </c>
      <c r="B22" s="1180">
        <f>B19+SUM(B20:B21)</f>
        <v>13902154.440000087</v>
      </c>
      <c r="C22" s="1181">
        <f t="shared" ref="C22:K22" si="3">C19+SUM(C20:C21)</f>
        <v>-85178108.650000095</v>
      </c>
      <c r="D22" s="1182">
        <f t="shared" si="3"/>
        <v>-67864247.539999962</v>
      </c>
      <c r="E22" s="1180">
        <f t="shared" si="3"/>
        <v>29990327.74000001</v>
      </c>
      <c r="F22" s="1181">
        <f t="shared" si="3"/>
        <v>119843019.5999999</v>
      </c>
      <c r="G22" s="1183">
        <f t="shared" si="3"/>
        <v>128638387.53000021</v>
      </c>
      <c r="H22" s="1184">
        <f t="shared" si="3"/>
        <v>128638387.53000021</v>
      </c>
      <c r="I22" s="1180">
        <f t="shared" si="3"/>
        <v>118290191.93000007</v>
      </c>
      <c r="J22" s="1181">
        <f t="shared" si="3"/>
        <v>149702254.39154005</v>
      </c>
      <c r="K22" s="1183">
        <f t="shared" si="3"/>
        <v>167850445.27751064</v>
      </c>
      <c r="L22" s="240"/>
    </row>
    <row r="23" spans="1:12">
      <c r="A23" s="994" t="str">
        <f>'A4-FinPerf RE'!A46</f>
        <v>Share of surplus/ (deficit) of associate</v>
      </c>
      <c r="B23" s="84">
        <f>'A4-FinPerf RE'!C46</f>
        <v>0</v>
      </c>
      <c r="C23" s="84">
        <f>'A4-FinPerf RE'!D46</f>
        <v>0</v>
      </c>
      <c r="D23" s="425">
        <f>'A4-FinPerf RE'!E46</f>
        <v>0</v>
      </c>
      <c r="E23" s="88">
        <f>'A4-FinPerf RE'!F46</f>
        <v>0</v>
      </c>
      <c r="F23" s="84">
        <f>'A4-FinPerf RE'!G46</f>
        <v>0</v>
      </c>
      <c r="G23" s="426">
        <f>'A4-FinPerf RE'!H46</f>
        <v>0</v>
      </c>
      <c r="H23" s="87">
        <f>'A4-FinPerf RE'!I46</f>
        <v>0</v>
      </c>
      <c r="I23" s="88">
        <f>'A4-FinPerf RE'!J46</f>
        <v>0</v>
      </c>
      <c r="J23" s="84">
        <f>'A4-FinPerf RE'!K46</f>
        <v>0</v>
      </c>
      <c r="K23" s="426">
        <f>'A4-FinPerf RE'!L46</f>
        <v>0</v>
      </c>
    </row>
    <row r="24" spans="1:12">
      <c r="A24" s="993" t="str">
        <f>'A4-FinPerf RE'!A47</f>
        <v>Surplus/(Deficit) for the year</v>
      </c>
      <c r="B24" s="1141">
        <f>B22+B23</f>
        <v>13902154.440000087</v>
      </c>
      <c r="C24" s="237">
        <f t="shared" ref="C24:K24" si="4">C22+C23</f>
        <v>-85178108.650000095</v>
      </c>
      <c r="D24" s="1142">
        <f t="shared" si="4"/>
        <v>-67864247.539999962</v>
      </c>
      <c r="E24" s="1141">
        <f t="shared" si="4"/>
        <v>29990327.74000001</v>
      </c>
      <c r="F24" s="237">
        <f t="shared" si="4"/>
        <v>119843019.5999999</v>
      </c>
      <c r="G24" s="1143">
        <f t="shared" si="4"/>
        <v>128638387.53000021</v>
      </c>
      <c r="H24" s="1144">
        <f t="shared" si="4"/>
        <v>128638387.53000021</v>
      </c>
      <c r="I24" s="1141">
        <f t="shared" si="4"/>
        <v>118290191.93000007</v>
      </c>
      <c r="J24" s="237">
        <f t="shared" si="4"/>
        <v>149702254.39154005</v>
      </c>
      <c r="K24" s="1143">
        <f t="shared" si="4"/>
        <v>167850445.27751064</v>
      </c>
    </row>
    <row r="25" spans="1:12" ht="10.5" customHeight="1">
      <c r="A25" s="995"/>
      <c r="B25" s="35"/>
      <c r="C25" s="36"/>
      <c r="D25" s="37"/>
      <c r="E25" s="35"/>
      <c r="F25" s="36"/>
      <c r="G25" s="37"/>
      <c r="H25" s="38"/>
      <c r="I25" s="35"/>
      <c r="J25" s="36"/>
      <c r="K25" s="37"/>
    </row>
    <row r="26" spans="1:12" ht="11.25" customHeight="1">
      <c r="A26" s="758" t="s">
        <v>930</v>
      </c>
      <c r="B26" s="42"/>
      <c r="C26" s="43"/>
      <c r="D26" s="44"/>
      <c r="E26" s="42"/>
      <c r="F26" s="43"/>
      <c r="G26" s="44"/>
      <c r="H26" s="45"/>
      <c r="I26" s="42"/>
      <c r="J26" s="43"/>
      <c r="K26" s="44"/>
    </row>
    <row r="27" spans="1:12" ht="11.25" customHeight="1">
      <c r="A27" s="762" t="s">
        <v>1326</v>
      </c>
      <c r="B27" s="963">
        <f>'A5-Capex'!C63</f>
        <v>76418008</v>
      </c>
      <c r="C27" s="84">
        <f>'A5-Capex'!D63</f>
        <v>48900537</v>
      </c>
      <c r="D27" s="425">
        <f>'A5-Capex'!E63</f>
        <v>103482439</v>
      </c>
      <c r="E27" s="88">
        <f>'A5-Capex'!F63</f>
        <v>142719850</v>
      </c>
      <c r="F27" s="84">
        <f>'A5-Capex'!G63</f>
        <v>154392765</v>
      </c>
      <c r="G27" s="426">
        <f>'A5-Capex'!H63</f>
        <v>154392765</v>
      </c>
      <c r="H27" s="87">
        <f>'A5-Capex'!I63</f>
        <v>154392765</v>
      </c>
      <c r="I27" s="88">
        <f>'A5-Capex'!J63</f>
        <v>130973050</v>
      </c>
      <c r="J27" s="84">
        <f>'A5-Capex'!K63</f>
        <v>106148700</v>
      </c>
      <c r="K27" s="426">
        <f>'A5-Capex'!L63</f>
        <v>112325232</v>
      </c>
    </row>
    <row r="28" spans="1:12" ht="11.25" customHeight="1">
      <c r="A28" s="1338" t="s">
        <v>1180</v>
      </c>
      <c r="B28" s="963">
        <f>'A5-Capex'!C70</f>
        <v>58687861</v>
      </c>
      <c r="C28" s="84">
        <f>'A5-Capex'!D70</f>
        <v>35960391</v>
      </c>
      <c r="D28" s="425">
        <f>'A5-Capex'!E70</f>
        <v>85470334</v>
      </c>
      <c r="E28" s="88">
        <f>'A5-Capex'!F70</f>
        <v>84749850</v>
      </c>
      <c r="F28" s="84">
        <f>'A5-Capex'!G70</f>
        <v>99549850</v>
      </c>
      <c r="G28" s="426">
        <f>'A5-Capex'!H70</f>
        <v>99549850</v>
      </c>
      <c r="H28" s="87">
        <f>'A5-Capex'!I70</f>
        <v>99549850</v>
      </c>
      <c r="I28" s="88">
        <f>'A5-Capex'!J70</f>
        <v>88938050</v>
      </c>
      <c r="J28" s="84">
        <f>'A5-Capex'!K70</f>
        <v>96829700</v>
      </c>
      <c r="K28" s="426">
        <f>'A5-Capex'!L70</f>
        <v>102603800</v>
      </c>
    </row>
    <row r="29" spans="1:12" ht="1.9" customHeight="1">
      <c r="A29" s="761"/>
      <c r="B29" s="963"/>
      <c r="C29" s="84"/>
      <c r="D29" s="425"/>
      <c r="E29" s="88"/>
      <c r="F29" s="84"/>
      <c r="G29" s="426"/>
      <c r="H29" s="87"/>
      <c r="I29" s="88"/>
      <c r="J29" s="84"/>
      <c r="K29" s="426"/>
    </row>
    <row r="30" spans="1:12" ht="11.25" customHeight="1">
      <c r="A30" s="761" t="str">
        <f>'A5-Capex'!A72</f>
        <v>Borrowing</v>
      </c>
      <c r="B30" s="963">
        <f>'A5-Capex'!C72</f>
        <v>12369033</v>
      </c>
      <c r="C30" s="84">
        <f>'A5-Capex'!D72</f>
        <v>12113986</v>
      </c>
      <c r="D30" s="425">
        <f>'A5-Capex'!E72</f>
        <v>18012105</v>
      </c>
      <c r="E30" s="88">
        <f>'A5-Capex'!F72</f>
        <v>23450003</v>
      </c>
      <c r="F30" s="84">
        <f>'A5-Capex'!G72</f>
        <v>32847676</v>
      </c>
      <c r="G30" s="426">
        <f>'A5-Capex'!H72</f>
        <v>32847676</v>
      </c>
      <c r="H30" s="87">
        <f>'A5-Capex'!I72</f>
        <v>32847676</v>
      </c>
      <c r="I30" s="88">
        <f>'A5-Capex'!J72</f>
        <v>22000000</v>
      </c>
      <c r="J30" s="84">
        <f>'A5-Capex'!K72</f>
        <v>0</v>
      </c>
      <c r="K30" s="426">
        <f>'A5-Capex'!L72</f>
        <v>0</v>
      </c>
    </row>
    <row r="31" spans="1:12" ht="11.25" customHeight="1">
      <c r="A31" s="761" t="str">
        <f>'A5-Capex'!A73</f>
        <v>Internally generated funds</v>
      </c>
      <c r="B31" s="963">
        <f>'A5-Capex'!C73</f>
        <v>5361114</v>
      </c>
      <c r="C31" s="84">
        <f>'A5-Capex'!D73</f>
        <v>826160</v>
      </c>
      <c r="D31" s="425">
        <f>'A5-Capex'!E73</f>
        <v>0</v>
      </c>
      <c r="E31" s="88">
        <f>'A5-Capex'!F73</f>
        <v>34519997</v>
      </c>
      <c r="F31" s="84">
        <f>'A5-Capex'!G73</f>
        <v>21995239</v>
      </c>
      <c r="G31" s="426">
        <f>'A5-Capex'!H73</f>
        <v>21995239</v>
      </c>
      <c r="H31" s="87">
        <f>'A5-Capex'!I73</f>
        <v>21995239</v>
      </c>
      <c r="I31" s="88">
        <f>'A5-Capex'!J73</f>
        <v>20035000</v>
      </c>
      <c r="J31" s="84">
        <f>'A5-Capex'!K73</f>
        <v>9319000</v>
      </c>
      <c r="K31" s="426">
        <f>'A5-Capex'!L73</f>
        <v>9721432</v>
      </c>
    </row>
    <row r="32" spans="1:12" s="123" customFormat="1" ht="11.25" customHeight="1">
      <c r="A32" s="762" t="s">
        <v>333</v>
      </c>
      <c r="B32" s="963">
        <f>+B28+B30+B31</f>
        <v>76418008</v>
      </c>
      <c r="C32" s="84">
        <f t="shared" ref="C32:K32" si="5">+C28+C30+C31</f>
        <v>48900537</v>
      </c>
      <c r="D32" s="425">
        <f t="shared" si="5"/>
        <v>103482439</v>
      </c>
      <c r="E32" s="88">
        <f t="shared" si="5"/>
        <v>142719850</v>
      </c>
      <c r="F32" s="84">
        <f t="shared" si="5"/>
        <v>154392765</v>
      </c>
      <c r="G32" s="426">
        <f t="shared" si="5"/>
        <v>154392765</v>
      </c>
      <c r="H32" s="87">
        <f t="shared" si="5"/>
        <v>154392765</v>
      </c>
      <c r="I32" s="88">
        <f t="shared" si="5"/>
        <v>130973050</v>
      </c>
      <c r="J32" s="84">
        <f t="shared" si="5"/>
        <v>106148700</v>
      </c>
      <c r="K32" s="426">
        <f t="shared" si="5"/>
        <v>112325232</v>
      </c>
    </row>
    <row r="33" spans="1:15" ht="4.9000000000000004" customHeight="1">
      <c r="A33" s="762"/>
      <c r="B33" s="46"/>
      <c r="C33" s="47"/>
      <c r="D33" s="48"/>
      <c r="E33" s="46"/>
      <c r="F33" s="47"/>
      <c r="G33" s="48"/>
      <c r="H33" s="49"/>
      <c r="I33" s="46"/>
      <c r="J33" s="47"/>
      <c r="K33" s="48"/>
      <c r="O33" s="123"/>
    </row>
    <row r="34" spans="1:15" ht="11.25" customHeight="1">
      <c r="A34" s="758" t="s">
        <v>174</v>
      </c>
      <c r="B34" s="42"/>
      <c r="C34" s="43"/>
      <c r="D34" s="44"/>
      <c r="E34" s="42"/>
      <c r="F34" s="43"/>
      <c r="G34" s="44"/>
      <c r="H34" s="45"/>
      <c r="I34" s="42"/>
      <c r="J34" s="43"/>
      <c r="K34" s="44"/>
      <c r="O34" s="123"/>
    </row>
    <row r="35" spans="1:15" ht="11.25" customHeight="1">
      <c r="A35" s="761" t="str">
        <f>'A6-FinPos'!A12</f>
        <v>Total current assets</v>
      </c>
      <c r="B35" s="963">
        <f>'A6-FinPos'!C12</f>
        <v>453852002.14999998</v>
      </c>
      <c r="C35" s="84">
        <f>'A6-FinPos'!D12</f>
        <v>442400851</v>
      </c>
      <c r="D35" s="425">
        <f>'A6-FinPos'!E12</f>
        <v>461481521</v>
      </c>
      <c r="E35" s="88">
        <f>'A6-FinPos'!F12</f>
        <v>608993155.92170012</v>
      </c>
      <c r="F35" s="84">
        <f>'A6-FinPos'!G12</f>
        <v>538826793.6846</v>
      </c>
      <c r="G35" s="426">
        <f>'A6-FinPos'!H12</f>
        <v>462082744.58000004</v>
      </c>
      <c r="H35" s="87">
        <f>'A6-FinPos'!I12</f>
        <v>462082744.58000004</v>
      </c>
      <c r="I35" s="88">
        <f>'A6-FinPos'!J12</f>
        <v>465243869.69105351</v>
      </c>
      <c r="J35" s="84">
        <f>'A6-FinPos'!K12</f>
        <v>467486017.64944428</v>
      </c>
      <c r="K35" s="426">
        <f>'A6-FinPos'!L12</f>
        <v>469243237.97750878</v>
      </c>
      <c r="O35" s="123"/>
    </row>
    <row r="36" spans="1:15" ht="11.25" customHeight="1">
      <c r="A36" s="761" t="str">
        <f>'A6-FinPos'!A24</f>
        <v>Total non current assets</v>
      </c>
      <c r="B36" s="963">
        <f>'A6-FinPos'!C24</f>
        <v>1810094272</v>
      </c>
      <c r="C36" s="84">
        <f>'A6-FinPos'!D24</f>
        <v>1696526548</v>
      </c>
      <c r="D36" s="425">
        <f>'A6-FinPos'!E24</f>
        <v>1669575794</v>
      </c>
      <c r="E36" s="88">
        <f>'A6-FinPos'!F24</f>
        <v>3108962514</v>
      </c>
      <c r="F36" s="84">
        <f>'A6-FinPos'!G24</f>
        <v>2045245392.6479001</v>
      </c>
      <c r="G36" s="426">
        <f>'A6-FinPos'!H24</f>
        <v>1831500555</v>
      </c>
      <c r="H36" s="87">
        <f>'A6-FinPos'!I24</f>
        <v>1831500555</v>
      </c>
      <c r="I36" s="88">
        <f>'A6-FinPos'!J24</f>
        <v>1977531848</v>
      </c>
      <c r="J36" s="84">
        <f>'A6-FinPos'!K24</f>
        <v>2119805253</v>
      </c>
      <c r="K36" s="426">
        <f>'A6-FinPos'!L24</f>
        <v>2265111624</v>
      </c>
      <c r="O36" s="123"/>
    </row>
    <row r="37" spans="1:15" ht="11.25" customHeight="1">
      <c r="A37" s="761" t="str">
        <f>'A6-FinPos'!A34</f>
        <v>Total current liabilities</v>
      </c>
      <c r="B37" s="963">
        <f>'A6-FinPos'!C34</f>
        <v>276292008</v>
      </c>
      <c r="C37" s="84">
        <f>'A6-FinPos'!D34</f>
        <v>293261557</v>
      </c>
      <c r="D37" s="425">
        <f>'A6-FinPos'!E34</f>
        <v>334001997</v>
      </c>
      <c r="E37" s="88">
        <f>'A6-FinPos'!F34</f>
        <v>208133934.12715</v>
      </c>
      <c r="F37" s="84">
        <f>'A6-FinPos'!G34</f>
        <v>286888510.99859911</v>
      </c>
      <c r="G37" s="426">
        <f>'A6-FinPos'!H34</f>
        <v>311179749</v>
      </c>
      <c r="H37" s="87">
        <f>'A6-FinPos'!I34</f>
        <v>311179749</v>
      </c>
      <c r="I37" s="88">
        <f>'A6-FinPos'!J34</f>
        <v>318852673</v>
      </c>
      <c r="J37" s="84">
        <f>'A6-FinPos'!K34</f>
        <v>324400249</v>
      </c>
      <c r="K37" s="426">
        <f>'A6-FinPos'!L34</f>
        <v>328467498</v>
      </c>
      <c r="O37" s="123"/>
    </row>
    <row r="38" spans="1:15" ht="11.25" customHeight="1">
      <c r="A38" s="761" t="str">
        <f>'A6-FinPos'!A39</f>
        <v>Total non current liabilities</v>
      </c>
      <c r="B38" s="963">
        <f>'A6-FinPos'!C39</f>
        <v>194648631</v>
      </c>
      <c r="C38" s="84">
        <f>'A6-FinPos'!D39</f>
        <v>181507281</v>
      </c>
      <c r="D38" s="425">
        <f>'A6-FinPos'!E39</f>
        <v>200760499</v>
      </c>
      <c r="E38" s="88">
        <f>'A6-FinPos'!F39</f>
        <v>-406885456.12800002</v>
      </c>
      <c r="F38" s="84">
        <f>'A6-FinPos'!G39</f>
        <v>199721163.9344759</v>
      </c>
      <c r="G38" s="426">
        <f>'A6-FinPos'!H39</f>
        <v>214492040</v>
      </c>
      <c r="H38" s="87">
        <f>'A6-FinPos'!I39</f>
        <v>214492040</v>
      </c>
      <c r="I38" s="88">
        <f>'A6-FinPos'!J39</f>
        <v>232079630.59999999</v>
      </c>
      <c r="J38" s="84">
        <f>'A6-FinPos'!K39</f>
        <v>218561986.04000002</v>
      </c>
      <c r="K38" s="426">
        <f>'A6-FinPos'!L39</f>
        <v>203836052.836</v>
      </c>
      <c r="O38" s="123"/>
    </row>
    <row r="39" spans="1:15" ht="11.25" customHeight="1">
      <c r="A39" s="761" t="s">
        <v>30</v>
      </c>
      <c r="B39" s="963">
        <f>'A6-FinPos'!C48</f>
        <v>1793005635.1500001</v>
      </c>
      <c r="C39" s="84">
        <f>'A6-FinPos'!D48</f>
        <v>1664158561</v>
      </c>
      <c r="D39" s="425">
        <f>'A6-FinPos'!E48</f>
        <v>1596294819</v>
      </c>
      <c r="E39" s="88">
        <f>'A6-FinPos'!F48</f>
        <v>2011686014</v>
      </c>
      <c r="F39" s="84">
        <f>'A6-FinPos'!G48</f>
        <v>2097462511.399425</v>
      </c>
      <c r="G39" s="426">
        <f>'A6-FinPos'!H48</f>
        <v>1767911510.5799999</v>
      </c>
      <c r="H39" s="87">
        <f>'A6-FinPos'!I48</f>
        <v>1767911510.5799999</v>
      </c>
      <c r="I39" s="88">
        <f>'A6-FinPos'!J48</f>
        <v>1891843414.0910535</v>
      </c>
      <c r="J39" s="84">
        <f>'A6-FinPos'!K48</f>
        <v>2044329035.6094441</v>
      </c>
      <c r="K39" s="426">
        <f>'A6-FinPos'!L48</f>
        <v>2202051311.1415086</v>
      </c>
      <c r="O39" s="123"/>
    </row>
    <row r="40" spans="1:15" ht="4.9000000000000004" customHeight="1">
      <c r="A40" s="995"/>
      <c r="B40" s="35"/>
      <c r="C40" s="36"/>
      <c r="D40" s="37"/>
      <c r="E40" s="35"/>
      <c r="F40" s="36"/>
      <c r="G40" s="37"/>
      <c r="H40" s="38"/>
      <c r="I40" s="35"/>
      <c r="J40" s="36"/>
      <c r="K40" s="37"/>
      <c r="O40" s="123"/>
    </row>
    <row r="41" spans="1:15" ht="11.25" customHeight="1">
      <c r="A41" s="758" t="s">
        <v>175</v>
      </c>
      <c r="B41" s="42"/>
      <c r="C41" s="43"/>
      <c r="D41" s="44"/>
      <c r="E41" s="42"/>
      <c r="F41" s="43"/>
      <c r="G41" s="44"/>
      <c r="H41" s="45"/>
      <c r="I41" s="42"/>
      <c r="J41" s="43"/>
      <c r="K41" s="44"/>
      <c r="O41" s="123"/>
    </row>
    <row r="42" spans="1:15" ht="11.25" customHeight="1">
      <c r="A42" s="761" t="s">
        <v>854</v>
      </c>
      <c r="B42" s="963">
        <f>'A7-CFlow'!C17</f>
        <v>143422320.14999998</v>
      </c>
      <c r="C42" s="84">
        <f>'A7-CFlow'!D17</f>
        <v>119245048</v>
      </c>
      <c r="D42" s="425">
        <f>'A7-CFlow'!E17</f>
        <v>171871464</v>
      </c>
      <c r="E42" s="88">
        <f>'A7-CFlow'!F17</f>
        <v>138294916.63000011</v>
      </c>
      <c r="F42" s="84">
        <f>'A7-CFlow'!G17</f>
        <v>196872566.63000011</v>
      </c>
      <c r="G42" s="426">
        <f>'A7-CFlow'!H17</f>
        <v>132128139.19000006</v>
      </c>
      <c r="H42" s="87">
        <f>'A7-CFlow'!I17</f>
        <v>132128139.19000006</v>
      </c>
      <c r="I42" s="88">
        <f>'A7-CFlow'!J17</f>
        <v>107932330.5999999</v>
      </c>
      <c r="J42" s="84">
        <f>'A7-CFlow'!K17</f>
        <v>117336961.5</v>
      </c>
      <c r="K42" s="426">
        <f>'A7-CFlow'!L17</f>
        <v>125672265.20000005</v>
      </c>
    </row>
    <row r="43" spans="1:15" ht="11.25" customHeight="1">
      <c r="A43" s="761" t="s">
        <v>855</v>
      </c>
      <c r="B43" s="963">
        <f>'A7-CFlow'!C27</f>
        <v>-135101359</v>
      </c>
      <c r="C43" s="84">
        <f>'A7-CFlow'!D27</f>
        <v>-122427669</v>
      </c>
      <c r="D43" s="425">
        <f>'A7-CFlow'!E27</f>
        <v>-171842066</v>
      </c>
      <c r="E43" s="88">
        <f>'A7-CFlow'!F27</f>
        <v>-138296311.15310001</v>
      </c>
      <c r="F43" s="84">
        <f>'A7-CFlow'!G27</f>
        <v>-143653551.15310001</v>
      </c>
      <c r="G43" s="426">
        <f>'A7-CFlow'!H27</f>
        <v>-127913325.45</v>
      </c>
      <c r="H43" s="87">
        <f>'A7-CFlow'!I27</f>
        <v>-127913325.45</v>
      </c>
      <c r="I43" s="88">
        <f>'A7-CFlow'!J27</f>
        <v>-128700834</v>
      </c>
      <c r="J43" s="84">
        <f>'A7-CFlow'!K27</f>
        <v>-105607484</v>
      </c>
      <c r="K43" s="426">
        <f>'A7-CFlow'!L27</f>
        <v>-111711842</v>
      </c>
    </row>
    <row r="44" spans="1:15" ht="11.25" customHeight="1">
      <c r="A44" s="761" t="s">
        <v>853</v>
      </c>
      <c r="B44" s="963">
        <f>'A7-CFlow'!C36</f>
        <v>-31247404</v>
      </c>
      <c r="C44" s="84">
        <f>'A7-CFlow'!D36</f>
        <v>-21312438</v>
      </c>
      <c r="D44" s="425">
        <f>'A7-CFlow'!E36</f>
        <v>34364879</v>
      </c>
      <c r="E44" s="88">
        <f>'A7-CFlow'!F36</f>
        <v>-4215227.7100000009</v>
      </c>
      <c r="F44" s="84">
        <f>'A7-CFlow'!G36</f>
        <v>-4215227.7100000009</v>
      </c>
      <c r="G44" s="426">
        <f>'A7-CFlow'!H36</f>
        <v>-4215227.7100000009</v>
      </c>
      <c r="H44" s="87">
        <f>'A7-CFlow'!I36</f>
        <v>-4215227.7100000009</v>
      </c>
      <c r="I44" s="88">
        <f>'A7-CFlow'!J36</f>
        <v>21768503.301153567</v>
      </c>
      <c r="J44" s="84">
        <f>'A7-CFlow'!K36</f>
        <v>-10729477.550696159</v>
      </c>
      <c r="K44" s="426">
        <f>'A7-CFlow'!L36</f>
        <v>-12960423.210138457</v>
      </c>
    </row>
    <row r="45" spans="1:15" ht="11.25" customHeight="1">
      <c r="A45" s="762" t="str">
        <f>LEFT('A7-CFlow'!A40,37)</f>
        <v>Cash/cash equivalents at the year end</v>
      </c>
      <c r="B45" s="963">
        <f>'A7-CFlow'!C40</f>
        <v>32550919.149999976</v>
      </c>
      <c r="C45" s="84">
        <f>'A7-CFlow'!D40</f>
        <v>8055460</v>
      </c>
      <c r="D45" s="425">
        <f>'A7-CFlow'!E40</f>
        <v>42450532</v>
      </c>
      <c r="E45" s="88">
        <f>'A7-CFlow'!F40</f>
        <v>7240867.7669000998</v>
      </c>
      <c r="F45" s="84">
        <f>'A7-CFlow'!G40</f>
        <v>91036798.766900092</v>
      </c>
      <c r="G45" s="426">
        <f>'A7-CFlow'!H40</f>
        <v>42032597.030000053</v>
      </c>
      <c r="H45" s="87">
        <f>'A7-CFlow'!I40</f>
        <v>42032597.030000053</v>
      </c>
      <c r="I45" s="88">
        <f>'A7-CFlow'!J40</f>
        <v>43999999.901153475</v>
      </c>
      <c r="J45" s="84">
        <f>'A7-CFlow'!K40</f>
        <v>44999999.850457318</v>
      </c>
      <c r="K45" s="426">
        <f>'A7-CFlow'!L40</f>
        <v>45999999.840318911</v>
      </c>
    </row>
    <row r="46" spans="1:15" ht="4.9000000000000004" customHeight="1">
      <c r="A46" s="995"/>
      <c r="B46" s="35"/>
      <c r="C46" s="36"/>
      <c r="D46" s="37"/>
      <c r="E46" s="35"/>
      <c r="F46" s="36"/>
      <c r="G46" s="37"/>
      <c r="H46" s="38"/>
      <c r="I46" s="35"/>
      <c r="J46" s="36"/>
      <c r="K46" s="37"/>
    </row>
    <row r="47" spans="1:15" ht="11.25" customHeight="1">
      <c r="A47" s="758" t="s">
        <v>241</v>
      </c>
      <c r="B47" s="42"/>
      <c r="C47" s="43"/>
      <c r="D47" s="44"/>
      <c r="E47" s="42"/>
      <c r="F47" s="43"/>
      <c r="G47" s="44"/>
      <c r="H47" s="45"/>
      <c r="I47" s="42"/>
      <c r="J47" s="43"/>
      <c r="K47" s="44"/>
    </row>
    <row r="48" spans="1:15" ht="11.25" customHeight="1">
      <c r="A48" s="761" t="str">
        <f>'A8-ResRecon'!A4</f>
        <v>Cash and investments available</v>
      </c>
      <c r="B48" s="963">
        <f>'A8-ResRecon'!C8</f>
        <v>57725195.149999976</v>
      </c>
      <c r="C48" s="84">
        <f>'A8-ResRecon'!D8</f>
        <v>34943468</v>
      </c>
      <c r="D48" s="425">
        <f>'A8-ResRecon'!E8</f>
        <v>73975615</v>
      </c>
      <c r="E48" s="88">
        <f>'A8-ResRecon'!F8</f>
        <v>43681938.7669001</v>
      </c>
      <c r="F48" s="84">
        <f>'A8-ResRecon'!G8</f>
        <v>113889231.3231</v>
      </c>
      <c r="G48" s="426">
        <f>'A8-ResRecon'!H8</f>
        <v>62028915.030000053</v>
      </c>
      <c r="H48" s="87">
        <f>'A8-ResRecon'!I8</f>
        <v>62028915.030000053</v>
      </c>
      <c r="I48" s="88">
        <f>'A8-ResRecon'!J8</f>
        <v>65995949.901153475</v>
      </c>
      <c r="J48" s="84">
        <f>'A8-ResRecon'!K8</f>
        <v>69195544.850457311</v>
      </c>
      <c r="K48" s="426">
        <f>'A8-ResRecon'!L8</f>
        <v>72615099.840318918</v>
      </c>
    </row>
    <row r="49" spans="1:12" ht="11.25" customHeight="1">
      <c r="A49" s="761" t="str">
        <f>'A8-ResRecon'!A10</f>
        <v>Application of cash and investments</v>
      </c>
      <c r="B49" s="963">
        <f>'A8-ResRecon'!C18</f>
        <v>-99953014</v>
      </c>
      <c r="C49" s="84">
        <f>'A8-ResRecon'!D18</f>
        <v>-63303515</v>
      </c>
      <c r="D49" s="425">
        <f>'A8-ResRecon'!E18</f>
        <v>-71090578</v>
      </c>
      <c r="E49" s="88">
        <f>'A8-ResRecon'!F18</f>
        <v>-94078154.54975</v>
      </c>
      <c r="F49" s="84">
        <f>'A8-ResRecon'!G18</f>
        <v>-91867154.54975</v>
      </c>
      <c r="G49" s="426">
        <f>'A8-ResRecon'!H18</f>
        <v>-9188158.0372000001</v>
      </c>
      <c r="H49" s="87">
        <f>'A8-ResRecon'!I18</f>
        <v>-5850252.7399999984</v>
      </c>
      <c r="I49" s="88">
        <f>'A8-ResRecon'!J18</f>
        <v>-37672119.858799994</v>
      </c>
      <c r="J49" s="84">
        <f>'A8-ResRecon'!K18</f>
        <v>-31549858.932376001</v>
      </c>
      <c r="K49" s="426">
        <f>'A8-ResRecon'!L18</f>
        <v>-26341843.365063518</v>
      </c>
    </row>
    <row r="50" spans="1:12" ht="11.25" customHeight="1">
      <c r="A50" s="762" t="s">
        <v>947</v>
      </c>
      <c r="B50" s="963">
        <f>B48-B49</f>
        <v>157678209.14999998</v>
      </c>
      <c r="C50" s="84">
        <f t="shared" ref="C50:K50" si="6">C48-C49</f>
        <v>98246983</v>
      </c>
      <c r="D50" s="425">
        <f t="shared" si="6"/>
        <v>145066193</v>
      </c>
      <c r="E50" s="88">
        <f t="shared" si="6"/>
        <v>137760093.31665009</v>
      </c>
      <c r="F50" s="84">
        <f t="shared" si="6"/>
        <v>205756385.87285</v>
      </c>
      <c r="G50" s="426">
        <f t="shared" si="6"/>
        <v>71217073.06720005</v>
      </c>
      <c r="H50" s="87">
        <f t="shared" si="6"/>
        <v>67879167.770000055</v>
      </c>
      <c r="I50" s="88">
        <f t="shared" si="6"/>
        <v>103668069.75995347</v>
      </c>
      <c r="J50" s="84">
        <f t="shared" si="6"/>
        <v>100745403.78283331</v>
      </c>
      <c r="K50" s="426">
        <f t="shared" si="6"/>
        <v>98956943.205382437</v>
      </c>
    </row>
    <row r="51" spans="1:12" ht="4.9000000000000004" customHeight="1">
      <c r="A51" s="787"/>
      <c r="B51" s="51"/>
      <c r="C51" s="52"/>
      <c r="D51" s="53"/>
      <c r="E51" s="51"/>
      <c r="F51" s="52"/>
      <c r="G51" s="53"/>
      <c r="H51" s="54"/>
      <c r="I51" s="51"/>
      <c r="J51" s="52"/>
      <c r="K51" s="53"/>
    </row>
    <row r="52" spans="1:12" ht="11.25" customHeight="1">
      <c r="A52" s="996" t="s">
        <v>1084</v>
      </c>
      <c r="B52" s="35"/>
      <c r="C52" s="36"/>
      <c r="D52" s="37"/>
      <c r="E52" s="35"/>
      <c r="F52" s="36"/>
      <c r="G52" s="37"/>
      <c r="H52" s="38"/>
      <c r="I52" s="35"/>
      <c r="J52" s="36"/>
      <c r="K52" s="37"/>
      <c r="L52" s="240"/>
    </row>
    <row r="53" spans="1:12" ht="11.25" customHeight="1">
      <c r="A53" s="997" t="s">
        <v>831</v>
      </c>
      <c r="B53" s="963">
        <f>'A9-Asset'!C165</f>
        <v>1784919996</v>
      </c>
      <c r="C53" s="84">
        <f>'A9-Asset'!D165</f>
        <v>1669639150</v>
      </c>
      <c r="D53" s="425">
        <f>'A9-Asset'!E165</f>
        <v>1638050711</v>
      </c>
      <c r="E53" s="88">
        <f>'A9-Asset'!F165</f>
        <v>3048322623</v>
      </c>
      <c r="F53" s="84">
        <f>'A9-Asset'!G165</f>
        <v>2011367076</v>
      </c>
      <c r="G53" s="426">
        <f>'A9-Asset'!H165</f>
        <v>2011367076</v>
      </c>
      <c r="H53" s="87">
        <f>'A9-Asset'!H165</f>
        <v>2011367076</v>
      </c>
      <c r="I53" s="88">
        <f>'A9-Asset'!I165</f>
        <v>1955535988</v>
      </c>
      <c r="J53" s="84">
        <f>'A9-Asset'!J165</f>
        <v>2095609824</v>
      </c>
      <c r="K53" s="426">
        <f>'A9-Asset'!K165</f>
        <v>2238496269</v>
      </c>
      <c r="L53" s="240"/>
    </row>
    <row r="54" spans="1:12" ht="11.25" customHeight="1">
      <c r="A54" s="997" t="str">
        <f>'A9-Asset'!A168</f>
        <v>Depreciation</v>
      </c>
      <c r="B54" s="963">
        <f>'A9-Asset'!C168</f>
        <v>130212940</v>
      </c>
      <c r="C54" s="84">
        <f>'A9-Asset'!D168</f>
        <v>129496184</v>
      </c>
      <c r="D54" s="425">
        <f>'A9-Asset'!E168</f>
        <v>127793108</v>
      </c>
      <c r="E54" s="88">
        <f>'A9-Asset'!F168</f>
        <v>134196513</v>
      </c>
      <c r="F54" s="84">
        <f>'A9-Asset'!G168</f>
        <v>130083000</v>
      </c>
      <c r="G54" s="426">
        <f>'A9-Asset'!H168</f>
        <v>130000000</v>
      </c>
      <c r="H54" s="87">
        <f>'A9-Asset'!H168</f>
        <v>130000000</v>
      </c>
      <c r="I54" s="88">
        <f>'A9-Asset'!I168</f>
        <v>132970807</v>
      </c>
      <c r="J54" s="84">
        <f>'A9-Asset'!J168</f>
        <v>130548742</v>
      </c>
      <c r="K54" s="426">
        <f>'A9-Asset'!K168</f>
        <v>136675059.75260001</v>
      </c>
      <c r="L54" s="240"/>
    </row>
    <row r="55" spans="1:12" ht="11.25" customHeight="1">
      <c r="A55" s="997" t="s">
        <v>2536</v>
      </c>
      <c r="B55" s="963">
        <f>'A9-Asset'!C37+'A9-Asset'!C69</f>
        <v>26759823.639298245</v>
      </c>
      <c r="C55" s="84">
        <f>'A9-Asset'!D37+'A9-Asset'!D69</f>
        <v>21732907</v>
      </c>
      <c r="D55" s="425">
        <f>'A9-Asset'!E37+'A9-Asset'!E69</f>
        <v>17531610</v>
      </c>
      <c r="E55" s="88">
        <f>'A9-Asset'!F37+'A9-Asset'!F69</f>
        <v>45409467</v>
      </c>
      <c r="F55" s="84">
        <f>'A9-Asset'!G37+'A9-Asset'!G69</f>
        <v>74629787</v>
      </c>
      <c r="G55" s="426">
        <f>'A9-Asset'!H37+'A9-Asset'!H69</f>
        <v>74629787</v>
      </c>
      <c r="H55" s="87">
        <f>'A9-Asset'!H37+'A9-Asset'!H69</f>
        <v>74629787</v>
      </c>
      <c r="I55" s="88">
        <f>'A9-Asset'!I37+'A9-Asset'!I69</f>
        <v>106938050</v>
      </c>
      <c r="J55" s="84">
        <f>'A9-Asset'!J37+'A9-Asset'!J69</f>
        <v>96829700</v>
      </c>
      <c r="K55" s="426">
        <f>'A9-Asset'!K37+'A9-Asset'!K69</f>
        <v>102603794</v>
      </c>
      <c r="L55" s="240"/>
    </row>
    <row r="56" spans="1:12" ht="11.25" customHeight="1">
      <c r="A56" s="997" t="s">
        <v>380</v>
      </c>
      <c r="B56" s="963">
        <f>'A9-Asset'!C169</f>
        <v>29735140</v>
      </c>
      <c r="C56" s="84">
        <f>'A9-Asset'!D169</f>
        <v>43762434</v>
      </c>
      <c r="D56" s="425">
        <f>'A9-Asset'!E169</f>
        <v>36065583</v>
      </c>
      <c r="E56" s="88">
        <f>'A9-Asset'!F169</f>
        <v>49545421</v>
      </c>
      <c r="F56" s="84">
        <f>'A9-Asset'!G169</f>
        <v>37224812</v>
      </c>
      <c r="G56" s="426">
        <f>'A9-Asset'!H169</f>
        <v>37224812</v>
      </c>
      <c r="H56" s="87">
        <f>'A9-Asset'!H169</f>
        <v>37224812</v>
      </c>
      <c r="I56" s="88">
        <f>'A9-Asset'!I169</f>
        <v>56241084.879999995</v>
      </c>
      <c r="J56" s="84">
        <f>'A9-Asset'!J169</f>
        <v>58828482.246480003</v>
      </c>
      <c r="K56" s="426">
        <f>'A9-Asset'!K169</f>
        <v>61534927.543818086</v>
      </c>
      <c r="L56" s="240"/>
    </row>
    <row r="57" spans="1:12" ht="4.9000000000000004" customHeight="1">
      <c r="A57" s="998"/>
      <c r="B57" s="778"/>
      <c r="C57" s="776"/>
      <c r="D57" s="777"/>
      <c r="E57" s="778"/>
      <c r="F57" s="776"/>
      <c r="G57" s="777"/>
      <c r="H57" s="779"/>
      <c r="I57" s="778"/>
      <c r="J57" s="776"/>
      <c r="K57" s="777"/>
      <c r="L57" s="240"/>
    </row>
    <row r="58" spans="1:12" ht="11.25" customHeight="1">
      <c r="A58" s="996" t="s">
        <v>698</v>
      </c>
      <c r="B58" s="35"/>
      <c r="C58" s="36"/>
      <c r="D58" s="37"/>
      <c r="E58" s="35"/>
      <c r="F58" s="36"/>
      <c r="G58" s="37"/>
      <c r="H58" s="38"/>
      <c r="I58" s="39"/>
      <c r="J58" s="40"/>
      <c r="K58" s="41"/>
      <c r="L58" s="240"/>
    </row>
    <row r="59" spans="1:12" ht="11.25" customHeight="1">
      <c r="A59" s="1337" t="s">
        <v>700</v>
      </c>
      <c r="B59" s="963">
        <f>'A10-SerDel'!C60</f>
        <v>4843000</v>
      </c>
      <c r="C59" s="84">
        <f>'A10-SerDel'!D60</f>
        <v>5011000</v>
      </c>
      <c r="D59" s="425">
        <f>'A10-SerDel'!E60</f>
        <v>5011000</v>
      </c>
      <c r="E59" s="88">
        <f>'A10-SerDel'!F60</f>
        <v>5300000</v>
      </c>
      <c r="F59" s="84">
        <f>'A10-SerDel'!G60</f>
        <v>5300000</v>
      </c>
      <c r="G59" s="426">
        <f>'A10-SerDel'!H60</f>
        <v>5300000</v>
      </c>
      <c r="H59" s="87">
        <f>'A10-SerDel'!I60</f>
        <v>5300000</v>
      </c>
      <c r="I59" s="88">
        <f>'A10-SerDel'!I60</f>
        <v>5300000</v>
      </c>
      <c r="J59" s="84">
        <f>'A10-SerDel'!J60</f>
        <v>5300000</v>
      </c>
      <c r="K59" s="426">
        <f>'A10-SerDel'!K60</f>
        <v>4000000</v>
      </c>
      <c r="L59" s="240"/>
    </row>
    <row r="60" spans="1:12" ht="11.25" customHeight="1">
      <c r="A60" s="1337" t="s">
        <v>428</v>
      </c>
      <c r="B60" s="963">
        <f>'A10-SerDel'!C79</f>
        <v>21826516.400000002</v>
      </c>
      <c r="C60" s="84">
        <f>'A10-SerDel'!D79</f>
        <v>39488615.300000004</v>
      </c>
      <c r="D60" s="425">
        <f>'A10-SerDel'!E79</f>
        <v>39138173.120000005</v>
      </c>
      <c r="E60" s="88">
        <f>'A10-SerDel'!F79</f>
        <v>36170000</v>
      </c>
      <c r="F60" s="84">
        <f>'A10-SerDel'!G79</f>
        <v>36170000</v>
      </c>
      <c r="G60" s="426">
        <f>'A10-SerDel'!H79</f>
        <v>1011978.0199999999</v>
      </c>
      <c r="H60" s="87">
        <f>'A10-SerDel'!I79</f>
        <v>36400000</v>
      </c>
      <c r="I60" s="88">
        <f>'A10-SerDel'!I79</f>
        <v>36400000</v>
      </c>
      <c r="J60" s="84">
        <f>'A10-SerDel'!J79</f>
        <v>38074400</v>
      </c>
      <c r="K60" s="426">
        <f>'A10-SerDel'!K79</f>
        <v>39825822.400000006</v>
      </c>
      <c r="L60" s="240"/>
    </row>
    <row r="61" spans="1:12" ht="11.25" customHeight="1">
      <c r="A61" s="1339" t="s">
        <v>699</v>
      </c>
      <c r="B61" s="39"/>
      <c r="C61" s="40"/>
      <c r="D61" s="41"/>
      <c r="E61" s="39"/>
      <c r="F61" s="40"/>
      <c r="G61" s="41"/>
      <c r="H61" s="478"/>
      <c r="I61" s="39"/>
      <c r="J61" s="40"/>
      <c r="K61" s="41"/>
      <c r="L61" s="240"/>
    </row>
    <row r="62" spans="1:12" ht="11.25" customHeight="1">
      <c r="A62" s="1167" t="str">
        <f>'A10-SerDel'!A5</f>
        <v>Water:</v>
      </c>
      <c r="B62" s="134">
        <f>'A10-SerDel'!C14</f>
        <v>23511</v>
      </c>
      <c r="C62" s="133">
        <f>'A10-SerDel'!D14</f>
        <v>23511</v>
      </c>
      <c r="D62" s="137">
        <f>'A10-SerDel'!E14</f>
        <v>23511</v>
      </c>
      <c r="E62" s="134">
        <f>'A10-SerDel'!F14</f>
        <v>23511</v>
      </c>
      <c r="F62" s="133">
        <f>'A10-SerDel'!G14</f>
        <v>23511</v>
      </c>
      <c r="G62" s="137">
        <f>'A10-SerDel'!H14</f>
        <v>23511</v>
      </c>
      <c r="H62" s="136">
        <f>'A10-SerDel'!I14</f>
        <v>23511</v>
      </c>
      <c r="I62" s="134">
        <f>'A10-SerDel'!I14</f>
        <v>23511</v>
      </c>
      <c r="J62" s="133">
        <f>'A10-SerDel'!J14</f>
        <v>23511</v>
      </c>
      <c r="K62" s="137">
        <f>'A10-SerDel'!K14</f>
        <v>23511</v>
      </c>
      <c r="L62" s="240"/>
    </row>
    <row r="63" spans="1:12" ht="11.25" customHeight="1">
      <c r="A63" s="1167" t="str">
        <f>'A10-SerDel'!A16</f>
        <v>Sanitation/sewerage:</v>
      </c>
      <c r="B63" s="134">
        <f>'A10-SerDel'!C26</f>
        <v>27058</v>
      </c>
      <c r="C63" s="133">
        <f>'A10-SerDel'!D26</f>
        <v>27058</v>
      </c>
      <c r="D63" s="137">
        <f>'A10-SerDel'!E26</f>
        <v>27058</v>
      </c>
      <c r="E63" s="134">
        <f>'A10-SerDel'!F26</f>
        <v>27058</v>
      </c>
      <c r="F63" s="133">
        <f>'A10-SerDel'!G26</f>
        <v>27058</v>
      </c>
      <c r="G63" s="137">
        <f>'A10-SerDel'!H26</f>
        <v>27058</v>
      </c>
      <c r="H63" s="136">
        <f>'A10-SerDel'!I26</f>
        <v>27058</v>
      </c>
      <c r="I63" s="134">
        <f>'A10-SerDel'!I26</f>
        <v>27058</v>
      </c>
      <c r="J63" s="133">
        <f>'A10-SerDel'!J26</f>
        <v>27058</v>
      </c>
      <c r="K63" s="137">
        <f>'A10-SerDel'!K26</f>
        <v>27058</v>
      </c>
      <c r="L63" s="240"/>
    </row>
    <row r="64" spans="1:12" ht="11.25" customHeight="1">
      <c r="A64" s="1167" t="str">
        <f>'A10-SerDel'!A28</f>
        <v>Energy:</v>
      </c>
      <c r="B64" s="134">
        <f>'A10-SerDel'!C35</f>
        <v>0</v>
      </c>
      <c r="C64" s="133">
        <f>'A10-SerDel'!D35</f>
        <v>0</v>
      </c>
      <c r="D64" s="137">
        <f>'A10-SerDel'!E35</f>
        <v>0</v>
      </c>
      <c r="E64" s="134">
        <f>'A10-SerDel'!F35</f>
        <v>0</v>
      </c>
      <c r="F64" s="133">
        <f>'A10-SerDel'!G35</f>
        <v>0</v>
      </c>
      <c r="G64" s="137">
        <f>'A10-SerDel'!H35</f>
        <v>0</v>
      </c>
      <c r="H64" s="136">
        <f>'A10-SerDel'!I35</f>
        <v>0</v>
      </c>
      <c r="I64" s="134">
        <f>'A10-SerDel'!I35</f>
        <v>0</v>
      </c>
      <c r="J64" s="133">
        <f>'A10-SerDel'!J35</f>
        <v>0</v>
      </c>
      <c r="K64" s="137">
        <f>'A10-SerDel'!K35</f>
        <v>0</v>
      </c>
      <c r="L64" s="240"/>
    </row>
    <row r="65" spans="1:12" ht="11.25" customHeight="1">
      <c r="A65" s="1167" t="str">
        <f>'A10-SerDel'!A37</f>
        <v>Refuse:</v>
      </c>
      <c r="B65" s="134">
        <f>'A10-SerDel'!C45</f>
        <v>100150</v>
      </c>
      <c r="C65" s="133">
        <f>'A10-SerDel'!D45</f>
        <v>99992</v>
      </c>
      <c r="D65" s="137">
        <f>'A10-SerDel'!E45</f>
        <v>99992</v>
      </c>
      <c r="E65" s="134">
        <f>'A10-SerDel'!F45</f>
        <v>99992</v>
      </c>
      <c r="F65" s="133">
        <f>'A10-SerDel'!G45</f>
        <v>99992</v>
      </c>
      <c r="G65" s="137">
        <f>'A10-SerDel'!H45</f>
        <v>99992</v>
      </c>
      <c r="H65" s="136">
        <f>'A10-SerDel'!I45</f>
        <v>99992</v>
      </c>
      <c r="I65" s="134">
        <f>'A10-SerDel'!I45</f>
        <v>99992</v>
      </c>
      <c r="J65" s="133">
        <f>'A10-SerDel'!J45</f>
        <v>99992</v>
      </c>
      <c r="K65" s="137">
        <f>'A10-SerDel'!K45</f>
        <v>99992</v>
      </c>
      <c r="L65" s="240"/>
    </row>
    <row r="66" spans="1:12" ht="4.9000000000000004" customHeight="1">
      <c r="A66" s="998"/>
      <c r="B66" s="778"/>
      <c r="C66" s="776"/>
      <c r="D66" s="777"/>
      <c r="E66" s="778"/>
      <c r="F66" s="776"/>
      <c r="G66" s="777"/>
      <c r="H66" s="779"/>
      <c r="I66" s="778"/>
      <c r="J66" s="776"/>
      <c r="K66" s="777"/>
      <c r="L66" s="240"/>
    </row>
    <row r="67" spans="1:12" ht="4.5" customHeight="1">
      <c r="A67" s="123"/>
      <c r="B67" s="38"/>
      <c r="C67" s="38"/>
      <c r="D67" s="38"/>
      <c r="E67" s="38"/>
      <c r="F67" s="38"/>
      <c r="G67" s="38"/>
      <c r="H67" s="38"/>
      <c r="I67" s="38"/>
      <c r="J67" s="38"/>
      <c r="K67" s="38"/>
    </row>
    <row r="68" spans="1:12">
      <c r="A68" s="55"/>
      <c r="B68" s="55"/>
      <c r="C68" s="55"/>
      <c r="D68" s="55"/>
      <c r="E68" s="55"/>
      <c r="F68" s="55"/>
      <c r="G68" s="55"/>
      <c r="H68" s="55"/>
      <c r="I68" s="55"/>
      <c r="J68" s="55"/>
      <c r="K68" s="55"/>
    </row>
  </sheetData>
  <mergeCells count="3">
    <mergeCell ref="I2:K2"/>
    <mergeCell ref="E2:H2"/>
    <mergeCell ref="A1:C1"/>
  </mergeCells>
  <phoneticPr fontId="5"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55" activePane="bottomRight" state="frozen"/>
      <selection pane="topRight"/>
      <selection pane="bottomLeft"/>
      <selection pane="bottomRight" activeCell="D58" sqref="D58"/>
    </sheetView>
  </sheetViews>
  <sheetFormatPr defaultColWidth="9.140625" defaultRowHeight="12.75"/>
  <cols>
    <col min="1" max="1" width="30.7109375" style="26" customWidth="1"/>
    <col min="2" max="2" width="3" style="124" customWidth="1"/>
    <col min="3" max="11" width="9.28515625" style="26" customWidth="1"/>
    <col min="12" max="41" width="9.42578125" style="26" customWidth="1"/>
    <col min="42" max="16384" width="9.140625" style="26"/>
  </cols>
  <sheetData>
    <row r="1" spans="1:18" ht="13.5">
      <c r="A1" s="24" t="str">
        <f>muni&amp;" - "&amp;Approve3</f>
        <v>LIM333 Greater Tzaneen - Table A2 Consolidated Budgeted Financial Performance (revenue and expenditure by functional classification)</v>
      </c>
      <c r="B1" s="125"/>
      <c r="C1" s="125"/>
      <c r="D1" s="125"/>
      <c r="E1" s="125"/>
      <c r="F1" s="125"/>
      <c r="G1" s="125"/>
      <c r="H1" s="125"/>
      <c r="I1" s="125"/>
      <c r="J1" s="125"/>
      <c r="K1" s="125"/>
    </row>
    <row r="2" spans="1:18" ht="28.5" customHeight="1">
      <c r="A2" s="831" t="str">
        <f>"Functional Classification "&amp;desc</f>
        <v>Functional Classification Description</v>
      </c>
      <c r="B2" s="288" t="str">
        <f>head27</f>
        <v>Ref</v>
      </c>
      <c r="C2" s="27" t="str">
        <f>head1b</f>
        <v>2016/17</v>
      </c>
      <c r="D2" s="27" t="str">
        <f>head1A</f>
        <v>2017/18</v>
      </c>
      <c r="E2" s="23" t="str">
        <f>Head1</f>
        <v>2018/19</v>
      </c>
      <c r="F2" s="2842" t="str">
        <f>Head2</f>
        <v>Current Year 2019/20</v>
      </c>
      <c r="G2" s="2843"/>
      <c r="H2" s="2847"/>
      <c r="I2" s="2839" t="str">
        <f>Head3</f>
        <v>2020/21 Medium Term Revenue &amp; Expenditure Framework</v>
      </c>
      <c r="J2" s="2840"/>
      <c r="K2" s="2841"/>
    </row>
    <row r="3" spans="1:18" ht="25.5">
      <c r="A3" s="57" t="s">
        <v>569</v>
      </c>
      <c r="B3" s="842">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8" ht="11.25" customHeight="1">
      <c r="A4" s="126" t="s">
        <v>2460</v>
      </c>
      <c r="B4" s="59"/>
      <c r="C4" s="61"/>
      <c r="D4" s="61"/>
      <c r="E4" s="62"/>
      <c r="F4" s="63"/>
      <c r="G4" s="61"/>
      <c r="H4" s="60"/>
      <c r="I4" s="64"/>
      <c r="J4" s="61"/>
      <c r="K4" s="62"/>
      <c r="L4" s="240"/>
    </row>
    <row r="5" spans="1:18" ht="11.25" customHeight="1">
      <c r="A5" s="1101" t="s">
        <v>991</v>
      </c>
      <c r="B5" s="1018"/>
      <c r="C5" s="963">
        <f>SUM(C6:C8)</f>
        <v>444282427.92000002</v>
      </c>
      <c r="D5" s="963">
        <f t="shared" ref="D5:K5" si="0">SUM(D6:D8)</f>
        <v>484325735</v>
      </c>
      <c r="E5" s="1230">
        <f t="shared" si="0"/>
        <v>513466196.56999999</v>
      </c>
      <c r="F5" s="967">
        <f t="shared" si="0"/>
        <v>510038007</v>
      </c>
      <c r="G5" s="963">
        <f t="shared" si="0"/>
        <v>511419123.01999998</v>
      </c>
      <c r="H5" s="1231">
        <f t="shared" si="0"/>
        <v>564253543.22000003</v>
      </c>
      <c r="I5" s="1232">
        <f t="shared" si="0"/>
        <v>552813082</v>
      </c>
      <c r="J5" s="963">
        <f t="shared" si="0"/>
        <v>590974638.60000002</v>
      </c>
      <c r="K5" s="1231">
        <f t="shared" si="0"/>
        <v>626359960.52760005</v>
      </c>
      <c r="L5" s="240"/>
      <c r="Q5" s="129"/>
      <c r="R5" s="130"/>
    </row>
    <row r="6" spans="1:18" ht="11.25" customHeight="1">
      <c r="A6" s="1102" t="s">
        <v>119</v>
      </c>
      <c r="B6" s="1018"/>
      <c r="C6" s="900">
        <f>A2A!C6</f>
        <v>0</v>
      </c>
      <c r="D6" s="900">
        <f>A2A!D6</f>
        <v>0</v>
      </c>
      <c r="E6" s="901">
        <f>A2A!E6</f>
        <v>0</v>
      </c>
      <c r="F6" s="902">
        <f>A2A!F6</f>
        <v>1100</v>
      </c>
      <c r="G6" s="900">
        <f>A2A!G6</f>
        <v>299100</v>
      </c>
      <c r="H6" s="903">
        <f>A2A!H6</f>
        <v>0</v>
      </c>
      <c r="I6" s="904">
        <f>A2A!I6</f>
        <v>1100</v>
      </c>
      <c r="J6" s="900">
        <f>A2A!J6</f>
        <v>1150.5999999999999</v>
      </c>
      <c r="K6" s="901">
        <f>A2A!K6</f>
        <v>1203.5275999999999</v>
      </c>
      <c r="L6" s="240"/>
      <c r="Q6" s="129"/>
      <c r="R6" s="130"/>
    </row>
    <row r="7" spans="1:18" ht="11.25" customHeight="1">
      <c r="A7" s="1102" t="s">
        <v>2383</v>
      </c>
      <c r="B7" s="1018"/>
      <c r="C7" s="1279">
        <f>A2A!C9</f>
        <v>444282427.92000002</v>
      </c>
      <c r="D7" s="1279">
        <f>A2A!D9</f>
        <v>484325735</v>
      </c>
      <c r="E7" s="1280">
        <f>A2A!E9</f>
        <v>513466196.56999999</v>
      </c>
      <c r="F7" s="1281">
        <f>A2A!F9</f>
        <v>510036907</v>
      </c>
      <c r="G7" s="1279">
        <f>A2A!G9</f>
        <v>511120023.01999998</v>
      </c>
      <c r="H7" s="1282">
        <f>A2A!H9</f>
        <v>564253543.22000003</v>
      </c>
      <c r="I7" s="1283">
        <f>A2A!I9</f>
        <v>552811982</v>
      </c>
      <c r="J7" s="1279">
        <f>A2A!J9</f>
        <v>590973488</v>
      </c>
      <c r="K7" s="1280">
        <f>A2A!K9</f>
        <v>626358757</v>
      </c>
      <c r="L7" s="240"/>
      <c r="Q7" s="129"/>
      <c r="R7" s="130"/>
    </row>
    <row r="8" spans="1:18" ht="11.25" customHeight="1">
      <c r="A8" s="1102" t="s">
        <v>2379</v>
      </c>
      <c r="B8" s="1018"/>
      <c r="C8" s="900">
        <f>A2A!C23</f>
        <v>0</v>
      </c>
      <c r="D8" s="900">
        <f>A2A!D23</f>
        <v>0</v>
      </c>
      <c r="E8" s="901">
        <f>A2A!E23</f>
        <v>0</v>
      </c>
      <c r="F8" s="902">
        <f>A2A!F23</f>
        <v>0</v>
      </c>
      <c r="G8" s="900">
        <f>A2A!G23</f>
        <v>0</v>
      </c>
      <c r="H8" s="903">
        <f>A2A!H23</f>
        <v>0</v>
      </c>
      <c r="I8" s="904">
        <f>A2A!I23</f>
        <v>0</v>
      </c>
      <c r="J8" s="900">
        <f>A2A!J23</f>
        <v>0</v>
      </c>
      <c r="K8" s="901">
        <f>A2A!K23</f>
        <v>0</v>
      </c>
      <c r="L8" s="240"/>
      <c r="Q8" s="129"/>
      <c r="R8" s="130"/>
    </row>
    <row r="9" spans="1:18" ht="11.25" customHeight="1">
      <c r="A9" s="1101" t="s">
        <v>122</v>
      </c>
      <c r="B9" s="1018"/>
      <c r="C9" s="963">
        <f>SUM(C10:C14)</f>
        <v>45612011.010000005</v>
      </c>
      <c r="D9" s="963">
        <f t="shared" ref="D9:K9" si="1">SUM(D10:D14)</f>
        <v>39979633.469999999</v>
      </c>
      <c r="E9" s="964">
        <f t="shared" si="1"/>
        <v>34735594.060000002</v>
      </c>
      <c r="F9" s="965">
        <f t="shared" si="1"/>
        <v>41092127</v>
      </c>
      <c r="G9" s="963">
        <f t="shared" si="1"/>
        <v>41092127</v>
      </c>
      <c r="H9" s="966">
        <f t="shared" si="1"/>
        <v>3872008</v>
      </c>
      <c r="I9" s="967">
        <f t="shared" si="1"/>
        <v>40390127</v>
      </c>
      <c r="J9" s="963">
        <f t="shared" si="1"/>
        <v>42248075</v>
      </c>
      <c r="K9" s="964">
        <f t="shared" si="1"/>
        <v>44191491.115999997</v>
      </c>
      <c r="L9" s="240"/>
      <c r="Q9" s="129"/>
      <c r="R9" s="130"/>
    </row>
    <row r="10" spans="1:18" ht="11.25" customHeight="1">
      <c r="A10" s="1102" t="s">
        <v>123</v>
      </c>
      <c r="B10" s="1018"/>
      <c r="C10" s="900">
        <f>A2A!C26</f>
        <v>78205.5</v>
      </c>
      <c r="D10" s="900">
        <f>A2A!D26</f>
        <v>46323.5</v>
      </c>
      <c r="E10" s="901">
        <f>A2A!E26</f>
        <v>37722.5</v>
      </c>
      <c r="F10" s="902">
        <f>A2A!F26</f>
        <v>56136</v>
      </c>
      <c r="G10" s="900">
        <f>A2A!G26</f>
        <v>56136</v>
      </c>
      <c r="H10" s="903">
        <f>A2A!H26</f>
        <v>40412</v>
      </c>
      <c r="I10" s="904">
        <f>A2A!I26</f>
        <v>56136</v>
      </c>
      <c r="J10" s="900">
        <f>A2A!J26</f>
        <v>58719</v>
      </c>
      <c r="K10" s="901">
        <f>A2A!K26</f>
        <v>61422</v>
      </c>
      <c r="L10" s="240"/>
      <c r="N10" s="240"/>
      <c r="Q10" s="129"/>
      <c r="R10" s="130"/>
    </row>
    <row r="11" spans="1:18" ht="11.25" customHeight="1">
      <c r="A11" s="1102" t="s">
        <v>124</v>
      </c>
      <c r="B11" s="1018"/>
      <c r="C11" s="900">
        <f>A2A!C48</f>
        <v>0</v>
      </c>
      <c r="D11" s="900">
        <f>A2A!D48</f>
        <v>149130</v>
      </c>
      <c r="E11" s="901">
        <f>A2A!E48</f>
        <v>124948</v>
      </c>
      <c r="F11" s="902">
        <f>A2A!F48</f>
        <v>560766</v>
      </c>
      <c r="G11" s="900">
        <f>A2A!G48</f>
        <v>560766</v>
      </c>
      <c r="H11" s="903">
        <f>A2A!H48</f>
        <v>236602.82</v>
      </c>
      <c r="I11" s="904">
        <f>A2A!I48</f>
        <v>660766</v>
      </c>
      <c r="J11" s="900">
        <f>A2A!J48</f>
        <v>691162</v>
      </c>
      <c r="K11" s="901">
        <f>A2A!K48</f>
        <v>722957</v>
      </c>
      <c r="L11" s="240"/>
      <c r="Q11" s="129"/>
      <c r="R11" s="130"/>
    </row>
    <row r="12" spans="1:18" ht="11.25" customHeight="1">
      <c r="A12" s="1102" t="s">
        <v>125</v>
      </c>
      <c r="B12" s="1018"/>
      <c r="C12" s="900">
        <f>A2A!C54</f>
        <v>43333907</v>
      </c>
      <c r="D12" s="900">
        <f>A2A!D54</f>
        <v>37451500</v>
      </c>
      <c r="E12" s="901">
        <f>A2A!E54</f>
        <v>31635630</v>
      </c>
      <c r="F12" s="902">
        <f>A2A!F54</f>
        <v>38001000</v>
      </c>
      <c r="G12" s="900">
        <f>A2A!G54</f>
        <v>38001000</v>
      </c>
      <c r="H12" s="903">
        <f>A2A!H54</f>
        <v>1588340</v>
      </c>
      <c r="I12" s="904">
        <f>A2A!I54</f>
        <v>38001000</v>
      </c>
      <c r="J12" s="900">
        <f>A2A!J54</f>
        <v>39749046</v>
      </c>
      <c r="K12" s="901">
        <f>A2A!K54</f>
        <v>41577502.115999997</v>
      </c>
      <c r="L12" s="240"/>
      <c r="Q12" s="129"/>
      <c r="R12" s="130"/>
    </row>
    <row r="13" spans="1:18" ht="11.25" customHeight="1">
      <c r="A13" s="1102" t="s">
        <v>1493</v>
      </c>
      <c r="B13" s="1018"/>
      <c r="C13" s="900">
        <f>A2A!C63</f>
        <v>2153837.31</v>
      </c>
      <c r="D13" s="900">
        <f>A2A!D63</f>
        <v>2308823.6</v>
      </c>
      <c r="E13" s="901">
        <f>A2A!E63</f>
        <v>2724294.14</v>
      </c>
      <c r="F13" s="902">
        <f>A2A!F63</f>
        <v>2461225</v>
      </c>
      <c r="G13" s="900">
        <f>A2A!G63</f>
        <v>2461225</v>
      </c>
      <c r="H13" s="903">
        <f>A2A!H63</f>
        <v>1993850.98</v>
      </c>
      <c r="I13" s="904">
        <f>A2A!I63</f>
        <v>1659225</v>
      </c>
      <c r="J13" s="900">
        <f>A2A!J63</f>
        <v>1735550</v>
      </c>
      <c r="K13" s="901">
        <f>A2A!K63</f>
        <v>1815386</v>
      </c>
      <c r="L13" s="240"/>
      <c r="Q13" s="129"/>
      <c r="R13" s="130"/>
    </row>
    <row r="14" spans="1:18" ht="11.25" customHeight="1">
      <c r="A14" s="1102" t="s">
        <v>1557</v>
      </c>
      <c r="B14" s="1018"/>
      <c r="C14" s="1279">
        <f>A2A!C66</f>
        <v>46061.2</v>
      </c>
      <c r="D14" s="1279">
        <f>A2A!D66</f>
        <v>23856.37</v>
      </c>
      <c r="E14" s="1280">
        <f>A2A!E66</f>
        <v>212999.42</v>
      </c>
      <c r="F14" s="1281">
        <f>A2A!F66</f>
        <v>13000</v>
      </c>
      <c r="G14" s="1279">
        <f>A2A!G66</f>
        <v>13000</v>
      </c>
      <c r="H14" s="1282">
        <f>A2A!H66</f>
        <v>12802.2</v>
      </c>
      <c r="I14" s="1283">
        <f>A2A!I66</f>
        <v>13000</v>
      </c>
      <c r="J14" s="1279">
        <f>A2A!J66</f>
        <v>13598</v>
      </c>
      <c r="K14" s="1280">
        <f>A2A!K66</f>
        <v>14224</v>
      </c>
      <c r="L14" s="240"/>
      <c r="Q14" s="129"/>
      <c r="R14" s="130"/>
    </row>
    <row r="15" spans="1:18" ht="11.25" customHeight="1">
      <c r="A15" s="1101" t="s">
        <v>126</v>
      </c>
      <c r="B15" s="962"/>
      <c r="C15" s="963">
        <f>SUM(C16:C18)</f>
        <v>139955222.25</v>
      </c>
      <c r="D15" s="963">
        <f t="shared" ref="D15:K15" si="2">SUM(D16:D18)</f>
        <v>113896631</v>
      </c>
      <c r="E15" s="964">
        <f t="shared" si="2"/>
        <v>94549127.040000007</v>
      </c>
      <c r="F15" s="965">
        <f t="shared" si="2"/>
        <v>148244516</v>
      </c>
      <c r="G15" s="963">
        <f t="shared" si="2"/>
        <v>148244516</v>
      </c>
      <c r="H15" s="966">
        <f t="shared" si="2"/>
        <v>154577644.47999999</v>
      </c>
      <c r="I15" s="967">
        <f t="shared" si="2"/>
        <v>152700516</v>
      </c>
      <c r="J15" s="963">
        <f t="shared" si="2"/>
        <v>163725265.986</v>
      </c>
      <c r="K15" s="964">
        <f t="shared" si="2"/>
        <v>172646033.395356</v>
      </c>
      <c r="L15" s="240"/>
      <c r="Q15" s="129"/>
      <c r="R15" s="130"/>
    </row>
    <row r="16" spans="1:18" ht="11.25" customHeight="1">
      <c r="A16" s="1102" t="s">
        <v>127</v>
      </c>
      <c r="B16" s="1018"/>
      <c r="C16" s="900">
        <f>A2A!C75</f>
        <v>5686995.25</v>
      </c>
      <c r="D16" s="900">
        <f>A2A!D75</f>
        <v>271294</v>
      </c>
      <c r="E16" s="901">
        <f>A2A!E75</f>
        <v>3372625</v>
      </c>
      <c r="F16" s="902">
        <f>A2A!F75</f>
        <v>300125</v>
      </c>
      <c r="G16" s="900">
        <f>A2A!G75</f>
        <v>300125</v>
      </c>
      <c r="H16" s="903">
        <f>A2A!H75</f>
        <v>290694.48</v>
      </c>
      <c r="I16" s="904">
        <f>A2A!I75</f>
        <v>400125</v>
      </c>
      <c r="J16" s="900">
        <f>A2A!J75</f>
        <v>418531</v>
      </c>
      <c r="K16" s="901">
        <f>A2A!K75</f>
        <v>437784.6</v>
      </c>
      <c r="L16" s="240"/>
      <c r="Q16" s="129"/>
      <c r="R16" s="130"/>
    </row>
    <row r="17" spans="1:18" ht="11.25" customHeight="1">
      <c r="A17" s="1102" t="s">
        <v>128</v>
      </c>
      <c r="B17" s="1018"/>
      <c r="C17" s="900">
        <f>A2A!C86</f>
        <v>134268227</v>
      </c>
      <c r="D17" s="900">
        <f>A2A!D86</f>
        <v>113625337</v>
      </c>
      <c r="E17" s="901">
        <f>A2A!E86</f>
        <v>91176502.040000007</v>
      </c>
      <c r="F17" s="902">
        <f>A2A!F86</f>
        <v>147944391</v>
      </c>
      <c r="G17" s="900">
        <f>A2A!G86</f>
        <v>147944391</v>
      </c>
      <c r="H17" s="903">
        <f>A2A!H86</f>
        <v>154286950</v>
      </c>
      <c r="I17" s="904">
        <f>A2A!I86</f>
        <v>152300391</v>
      </c>
      <c r="J17" s="900">
        <f>A2A!J86</f>
        <v>163306734.986</v>
      </c>
      <c r="K17" s="901">
        <f>A2A!K86</f>
        <v>172208248.79535601</v>
      </c>
      <c r="L17" s="240"/>
      <c r="Q17" s="129"/>
      <c r="R17" s="130"/>
    </row>
    <row r="18" spans="1:18" ht="11.25" customHeight="1">
      <c r="A18" s="1102" t="s">
        <v>129</v>
      </c>
      <c r="B18" s="1018"/>
      <c r="C18" s="900">
        <f>A2A!C91</f>
        <v>0</v>
      </c>
      <c r="D18" s="900">
        <f>A2A!D91</f>
        <v>0</v>
      </c>
      <c r="E18" s="901">
        <f>A2A!E91</f>
        <v>0</v>
      </c>
      <c r="F18" s="902">
        <f>A2A!F91</f>
        <v>0</v>
      </c>
      <c r="G18" s="900">
        <f>A2A!G91</f>
        <v>0</v>
      </c>
      <c r="H18" s="903">
        <f>A2A!H91</f>
        <v>0</v>
      </c>
      <c r="I18" s="904">
        <f>A2A!I91</f>
        <v>0</v>
      </c>
      <c r="J18" s="900">
        <f>A2A!J91</f>
        <v>0</v>
      </c>
      <c r="K18" s="901">
        <f>A2A!K91</f>
        <v>0</v>
      </c>
      <c r="L18" s="240"/>
      <c r="Q18" s="129"/>
      <c r="R18" s="130"/>
    </row>
    <row r="19" spans="1:18" ht="11.25" customHeight="1">
      <c r="A19" s="1101" t="s">
        <v>130</v>
      </c>
      <c r="B19" s="962"/>
      <c r="C19" s="963">
        <f>SUM(C20:C23)</f>
        <v>502428738.91999996</v>
      </c>
      <c r="D19" s="963">
        <f t="shared" ref="D19:K19" si="3">SUM(D20:D23)</f>
        <v>499225536</v>
      </c>
      <c r="E19" s="964">
        <f t="shared" si="3"/>
        <v>498213465.48000002</v>
      </c>
      <c r="F19" s="965">
        <f t="shared" si="3"/>
        <v>659801657</v>
      </c>
      <c r="G19" s="963">
        <f t="shared" si="3"/>
        <v>667752270.99999499</v>
      </c>
      <c r="H19" s="966">
        <f t="shared" si="3"/>
        <v>681100164.46000004</v>
      </c>
      <c r="I19" s="967">
        <f t="shared" si="3"/>
        <v>659741507</v>
      </c>
      <c r="J19" s="963">
        <f>SUM(J20:J23)</f>
        <v>682976641.07200003</v>
      </c>
      <c r="K19" s="964">
        <f t="shared" si="3"/>
        <v>713720291.74531198</v>
      </c>
      <c r="L19" s="240"/>
      <c r="Q19" s="129"/>
      <c r="R19" s="130"/>
    </row>
    <row r="20" spans="1:18" ht="11.25" customHeight="1">
      <c r="A20" s="1102" t="s">
        <v>2380</v>
      </c>
      <c r="B20" s="1018"/>
      <c r="C20" s="900">
        <f>A2A!C99</f>
        <v>472400247.70999998</v>
      </c>
      <c r="D20" s="900">
        <f>A2A!D99</f>
        <v>462749771</v>
      </c>
      <c r="E20" s="901">
        <f>A2A!E99</f>
        <v>459468534.35000002</v>
      </c>
      <c r="F20" s="902">
        <f>A2A!F99</f>
        <v>597331000</v>
      </c>
      <c r="G20" s="900">
        <f>A2A!G99</f>
        <v>605281613.99999499</v>
      </c>
      <c r="H20" s="903">
        <f>A2A!H99</f>
        <v>618113608.98000002</v>
      </c>
      <c r="I20" s="904">
        <f>A2A!I99</f>
        <v>586201000</v>
      </c>
      <c r="J20" s="900">
        <f>A2A!J99</f>
        <v>612492242</v>
      </c>
      <c r="K20" s="901">
        <f>A2A!K99</f>
        <v>639993610.31599998</v>
      </c>
      <c r="L20" s="240"/>
      <c r="Q20" s="129"/>
      <c r="R20" s="130"/>
    </row>
    <row r="21" spans="1:18" ht="11.25" customHeight="1">
      <c r="A21" s="1102" t="s">
        <v>2381</v>
      </c>
      <c r="B21" s="1018"/>
      <c r="C21" s="900">
        <f>A2A!C103</f>
        <v>0</v>
      </c>
      <c r="D21" s="900">
        <f>A2A!D103</f>
        <v>0</v>
      </c>
      <c r="E21" s="901">
        <f>A2A!E103</f>
        <v>0</v>
      </c>
      <c r="F21" s="902">
        <f>A2A!F103</f>
        <v>0</v>
      </c>
      <c r="G21" s="900">
        <f>A2A!G103</f>
        <v>0</v>
      </c>
      <c r="H21" s="903">
        <f>A2A!H103</f>
        <v>0</v>
      </c>
      <c r="I21" s="904">
        <f>A2A!I103</f>
        <v>0</v>
      </c>
      <c r="J21" s="900">
        <f>A2A!J103</f>
        <v>0</v>
      </c>
      <c r="K21" s="901">
        <f>A2A!K103</f>
        <v>0</v>
      </c>
      <c r="L21" s="240"/>
      <c r="Q21" s="129"/>
      <c r="R21" s="130"/>
    </row>
    <row r="22" spans="1:18" ht="11.25" customHeight="1">
      <c r="A22" s="1102" t="s">
        <v>993</v>
      </c>
      <c r="B22" s="1018"/>
      <c r="C22" s="1279">
        <f>A2A!C107</f>
        <v>0</v>
      </c>
      <c r="D22" s="1279">
        <f>A2A!D107</f>
        <v>3272451</v>
      </c>
      <c r="E22" s="1280">
        <f>A2A!E107</f>
        <v>0</v>
      </c>
      <c r="F22" s="1281">
        <f>A2A!F107</f>
        <v>0</v>
      </c>
      <c r="G22" s="1279">
        <f>A2A!G107</f>
        <v>0</v>
      </c>
      <c r="H22" s="1282">
        <f>A2A!H107</f>
        <v>0</v>
      </c>
      <c r="I22" s="1283">
        <f>A2A!I107</f>
        <v>0</v>
      </c>
      <c r="J22" s="1279">
        <f>A2A!J107</f>
        <v>0</v>
      </c>
      <c r="K22" s="1280">
        <f>A2A!K107</f>
        <v>0</v>
      </c>
      <c r="L22" s="240"/>
      <c r="Q22" s="129"/>
      <c r="R22" s="130"/>
    </row>
    <row r="23" spans="1:18" ht="11.25" customHeight="1">
      <c r="A23" s="1102" t="s">
        <v>994</v>
      </c>
      <c r="B23" s="1018"/>
      <c r="C23" s="900">
        <f>A2A!C112</f>
        <v>30028491.210000001</v>
      </c>
      <c r="D23" s="900">
        <f>A2A!D112</f>
        <v>33203314</v>
      </c>
      <c r="E23" s="901">
        <f>A2A!E112</f>
        <v>38744931.130000003</v>
      </c>
      <c r="F23" s="902">
        <f>A2A!F112</f>
        <v>62470657</v>
      </c>
      <c r="G23" s="900">
        <f>A2A!G112</f>
        <v>62470657</v>
      </c>
      <c r="H23" s="903">
        <f>A2A!H112</f>
        <v>62986555.479999997</v>
      </c>
      <c r="I23" s="904">
        <f>A2A!I112</f>
        <v>73540507</v>
      </c>
      <c r="J23" s="900">
        <f>A2A!J112</f>
        <v>70484399.071999997</v>
      </c>
      <c r="K23" s="901">
        <f>A2A!K112</f>
        <v>73726681.429312006</v>
      </c>
      <c r="L23" s="240"/>
      <c r="Q23" s="129"/>
      <c r="R23" s="130"/>
    </row>
    <row r="24" spans="1:18" ht="11.25" customHeight="1">
      <c r="A24" s="1101" t="s">
        <v>245</v>
      </c>
      <c r="B24" s="962">
        <v>4</v>
      </c>
      <c r="C24" s="963">
        <f>A2A!C117</f>
        <v>0</v>
      </c>
      <c r="D24" s="963">
        <f>A2A!D117</f>
        <v>0</v>
      </c>
      <c r="E24" s="964">
        <f>A2A!E117</f>
        <v>0</v>
      </c>
      <c r="F24" s="965">
        <f>A2A!F117</f>
        <v>0</v>
      </c>
      <c r="G24" s="963">
        <f>A2A!G117</f>
        <v>0</v>
      </c>
      <c r="H24" s="966">
        <f>A2A!H117</f>
        <v>0</v>
      </c>
      <c r="I24" s="967">
        <f>A2A!I117</f>
        <v>0</v>
      </c>
      <c r="J24" s="963">
        <f>A2A!J117</f>
        <v>0</v>
      </c>
      <c r="K24" s="964">
        <f>A2A!K117</f>
        <v>0</v>
      </c>
      <c r="L24" s="240"/>
      <c r="Q24" s="122"/>
      <c r="R24" s="130"/>
    </row>
    <row r="25" spans="1:18" ht="11.25" customHeight="1">
      <c r="A25" s="1185" t="str">
        <f>"Total "&amp;A4</f>
        <v>Total Revenue - Functional</v>
      </c>
      <c r="B25" s="1186">
        <v>2</v>
      </c>
      <c r="C25" s="675">
        <f>C5+C9+C15+C19+C24</f>
        <v>1132278400.0999999</v>
      </c>
      <c r="D25" s="675">
        <f>D5+D9+D15+D19+D24</f>
        <v>1137427535.47</v>
      </c>
      <c r="E25" s="676">
        <f t="shared" ref="E25:K25" si="4">E5+E9+E15+E19+E24</f>
        <v>1140964383.1500001</v>
      </c>
      <c r="F25" s="677">
        <f t="shared" si="4"/>
        <v>1359176307</v>
      </c>
      <c r="G25" s="675">
        <f t="shared" si="4"/>
        <v>1368508037.019995</v>
      </c>
      <c r="H25" s="678">
        <f t="shared" si="4"/>
        <v>1403803360.1600001</v>
      </c>
      <c r="I25" s="940">
        <f>I5+I9+I15+I19+I24</f>
        <v>1405645232</v>
      </c>
      <c r="J25" s="675">
        <f t="shared" si="4"/>
        <v>1479924620.658</v>
      </c>
      <c r="K25" s="676">
        <f t="shared" si="4"/>
        <v>1556917776.7842679</v>
      </c>
      <c r="L25" s="240"/>
      <c r="Q25" s="146"/>
      <c r="R25" s="147"/>
    </row>
    <row r="26" spans="1:18" ht="4.9000000000000004" customHeight="1">
      <c r="A26" s="981"/>
      <c r="B26" s="1018"/>
      <c r="C26" s="84"/>
      <c r="D26" s="84"/>
      <c r="E26" s="139"/>
      <c r="F26" s="128"/>
      <c r="G26" s="84"/>
      <c r="H26" s="87"/>
      <c r="I26" s="88"/>
      <c r="J26" s="84"/>
      <c r="K26" s="139"/>
      <c r="L26" s="240"/>
      <c r="Q26" s="122"/>
    </row>
    <row r="27" spans="1:18" ht="11.25" customHeight="1">
      <c r="A27" s="961" t="s">
        <v>2461</v>
      </c>
      <c r="B27" s="1020"/>
      <c r="C27" s="84"/>
      <c r="D27" s="84"/>
      <c r="E27" s="139"/>
      <c r="F27" s="128"/>
      <c r="G27" s="84"/>
      <c r="H27" s="87"/>
      <c r="I27" s="88"/>
      <c r="J27" s="84"/>
      <c r="K27" s="139"/>
      <c r="L27" s="240"/>
      <c r="Q27" s="122"/>
    </row>
    <row r="28" spans="1:18" ht="11.25" customHeight="1">
      <c r="A28" s="1101" t="s">
        <v>991</v>
      </c>
      <c r="B28" s="1018"/>
      <c r="C28" s="963">
        <f>SUM(C29:C31)</f>
        <v>217119491.65000004</v>
      </c>
      <c r="D28" s="963">
        <f t="shared" ref="D28:K28" si="5">SUM(D29:D31)</f>
        <v>321341329.81</v>
      </c>
      <c r="E28" s="1230">
        <f t="shared" si="5"/>
        <v>305977276.00000006</v>
      </c>
      <c r="F28" s="967">
        <f t="shared" si="5"/>
        <v>304543919</v>
      </c>
      <c r="G28" s="963">
        <f t="shared" si="5"/>
        <v>278187983</v>
      </c>
      <c r="H28" s="1231">
        <f t="shared" si="5"/>
        <v>261689309.67999998</v>
      </c>
      <c r="I28" s="1232">
        <f t="shared" si="5"/>
        <v>288154389</v>
      </c>
      <c r="J28" s="963">
        <f t="shared" si="5"/>
        <v>297917120</v>
      </c>
      <c r="K28" s="1231">
        <f t="shared" si="5"/>
        <v>311538525</v>
      </c>
      <c r="L28" s="240"/>
    </row>
    <row r="29" spans="1:18" ht="11.25" customHeight="1">
      <c r="A29" s="1102" t="s">
        <v>119</v>
      </c>
      <c r="B29" s="1018"/>
      <c r="C29" s="900">
        <f>A2A!C128</f>
        <v>34350721.899999999</v>
      </c>
      <c r="D29" s="900">
        <f>A2A!D128</f>
        <v>37938806</v>
      </c>
      <c r="E29" s="901">
        <f>A2A!E128</f>
        <v>39479040.050000004</v>
      </c>
      <c r="F29" s="902">
        <f>A2A!F128</f>
        <v>46030387</v>
      </c>
      <c r="G29" s="900">
        <f>A2A!G128</f>
        <v>44555060</v>
      </c>
      <c r="H29" s="903">
        <f>A2A!H128</f>
        <v>40361390.319999993</v>
      </c>
      <c r="I29" s="904">
        <f>A2A!I128</f>
        <v>44674724</v>
      </c>
      <c r="J29" s="900">
        <f>A2A!J128</f>
        <v>45828093</v>
      </c>
      <c r="K29" s="901">
        <f>A2A!K128</f>
        <v>47974905</v>
      </c>
      <c r="L29" s="240"/>
    </row>
    <row r="30" spans="1:18" ht="11.25" customHeight="1">
      <c r="A30" s="1102" t="s">
        <v>2383</v>
      </c>
      <c r="B30" s="1018"/>
      <c r="C30" s="1279">
        <f>A2A!C131</f>
        <v>178897425.69000003</v>
      </c>
      <c r="D30" s="1279">
        <f>A2A!D131</f>
        <v>279500312</v>
      </c>
      <c r="E30" s="1280">
        <f>A2A!E131</f>
        <v>262160506.41000003</v>
      </c>
      <c r="F30" s="1281">
        <f>A2A!F131</f>
        <v>252749265</v>
      </c>
      <c r="G30" s="1279">
        <f>A2A!G131</f>
        <v>228197711</v>
      </c>
      <c r="H30" s="1282">
        <f>A2A!H131</f>
        <v>216345225.91999999</v>
      </c>
      <c r="I30" s="1283">
        <f>A2A!I131</f>
        <v>237609210</v>
      </c>
      <c r="J30" s="1279">
        <f>A2A!J131</f>
        <v>245949362</v>
      </c>
      <c r="K30" s="1280">
        <f>A2A!K131</f>
        <v>257141619</v>
      </c>
      <c r="L30" s="240"/>
    </row>
    <row r="31" spans="1:18" ht="11.25" customHeight="1">
      <c r="A31" s="1102" t="s">
        <v>2379</v>
      </c>
      <c r="B31" s="1018"/>
      <c r="C31" s="900">
        <f>A2A!C145</f>
        <v>3871344.0600000005</v>
      </c>
      <c r="D31" s="900">
        <f>A2A!D145</f>
        <v>3902211.8099999996</v>
      </c>
      <c r="E31" s="901">
        <f>A2A!E145</f>
        <v>4337729.54</v>
      </c>
      <c r="F31" s="902">
        <f>A2A!F145</f>
        <v>5764267</v>
      </c>
      <c r="G31" s="900">
        <f>A2A!G145</f>
        <v>5435212</v>
      </c>
      <c r="H31" s="903">
        <f>A2A!H145</f>
        <v>4982693.4400000004</v>
      </c>
      <c r="I31" s="904">
        <f>A2A!I145</f>
        <v>5870455</v>
      </c>
      <c r="J31" s="900">
        <f>A2A!J145</f>
        <v>6139665</v>
      </c>
      <c r="K31" s="901">
        <f>A2A!K145</f>
        <v>6422001</v>
      </c>
      <c r="L31" s="240"/>
    </row>
    <row r="32" spans="1:18" ht="11.25" customHeight="1">
      <c r="A32" s="1101" t="s">
        <v>122</v>
      </c>
      <c r="B32" s="1018"/>
      <c r="C32" s="963">
        <f>SUM(C33:C37)</f>
        <v>80403462.329999998</v>
      </c>
      <c r="D32" s="963">
        <f t="shared" ref="D32:K32" si="6">SUM(D33:D37)</f>
        <v>77895298.620000005</v>
      </c>
      <c r="E32" s="964">
        <f t="shared" si="6"/>
        <v>73159025.289999992</v>
      </c>
      <c r="F32" s="965">
        <f t="shared" si="6"/>
        <v>124347604</v>
      </c>
      <c r="G32" s="963">
        <f t="shared" si="6"/>
        <v>111921247.5</v>
      </c>
      <c r="H32" s="966">
        <f t="shared" si="6"/>
        <v>140950482.63999999</v>
      </c>
      <c r="I32" s="967">
        <f t="shared" si="6"/>
        <v>120243047</v>
      </c>
      <c r="J32" s="963">
        <f t="shared" si="6"/>
        <v>125347469.428</v>
      </c>
      <c r="K32" s="964">
        <f t="shared" si="6"/>
        <v>131113161.23968799</v>
      </c>
      <c r="L32" s="240"/>
    </row>
    <row r="33" spans="1:17" ht="11.25" customHeight="1">
      <c r="A33" s="1102" t="s">
        <v>123</v>
      </c>
      <c r="B33" s="1018"/>
      <c r="C33" s="900">
        <f>A2A!C148</f>
        <v>9867235.2599999998</v>
      </c>
      <c r="D33" s="900">
        <f>A2A!D148</f>
        <v>11010030.76</v>
      </c>
      <c r="E33" s="901">
        <f>A2A!E148</f>
        <v>11067663.879999999</v>
      </c>
      <c r="F33" s="902">
        <f>A2A!F148</f>
        <v>12614844</v>
      </c>
      <c r="G33" s="900">
        <f>A2A!G148</f>
        <v>12423705</v>
      </c>
      <c r="H33" s="903">
        <f>A2A!H148</f>
        <v>12042010</v>
      </c>
      <c r="I33" s="904">
        <f>A2A!I148</f>
        <v>13290578</v>
      </c>
      <c r="J33" s="900">
        <f>A2A!J148</f>
        <v>13767240</v>
      </c>
      <c r="K33" s="901">
        <f>A2A!K148</f>
        <v>14400358</v>
      </c>
      <c r="L33" s="240"/>
    </row>
    <row r="34" spans="1:17" ht="11.25" customHeight="1">
      <c r="A34" s="1102" t="s">
        <v>124</v>
      </c>
      <c r="B34" s="1018"/>
      <c r="C34" s="900">
        <f>A2A!C170</f>
        <v>23221189.069999997</v>
      </c>
      <c r="D34" s="900">
        <f>A2A!D170</f>
        <v>23678467.610000003</v>
      </c>
      <c r="E34" s="901">
        <f>A2A!E170</f>
        <v>23016098.579999998</v>
      </c>
      <c r="F34" s="902">
        <f>A2A!F170</f>
        <v>27120105</v>
      </c>
      <c r="G34" s="900">
        <f>A2A!G170</f>
        <v>25367366</v>
      </c>
      <c r="H34" s="903">
        <f>A2A!H170</f>
        <v>23042290.680000003</v>
      </c>
      <c r="I34" s="904">
        <f>A2A!I170</f>
        <v>25601180</v>
      </c>
      <c r="J34" s="900">
        <f>A2A!J170</f>
        <v>26708576</v>
      </c>
      <c r="K34" s="901">
        <f>A2A!K170</f>
        <v>27937178</v>
      </c>
      <c r="L34" s="240"/>
    </row>
    <row r="35" spans="1:17" ht="11.25" customHeight="1">
      <c r="A35" s="1102" t="s">
        <v>125</v>
      </c>
      <c r="B35" s="1018"/>
      <c r="C35" s="900">
        <f>A2A!C176</f>
        <v>28205228</v>
      </c>
      <c r="D35" s="900">
        <f>A2A!D176</f>
        <v>22276860.059999995</v>
      </c>
      <c r="E35" s="901">
        <f>A2A!E176</f>
        <v>16183046.639999999</v>
      </c>
      <c r="F35" s="902">
        <f>A2A!F176</f>
        <v>56026008</v>
      </c>
      <c r="G35" s="900">
        <f>A2A!G176</f>
        <v>47099665</v>
      </c>
      <c r="H35" s="903">
        <f>A2A!H176</f>
        <v>76676559.519999996</v>
      </c>
      <c r="I35" s="904">
        <f>A2A!I176</f>
        <v>51032724</v>
      </c>
      <c r="J35" s="900">
        <f>A2A!J176</f>
        <v>53303393</v>
      </c>
      <c r="K35" s="901">
        <f>A2A!K176</f>
        <v>55755299</v>
      </c>
      <c r="L35" s="240"/>
    </row>
    <row r="36" spans="1:17" ht="11.25" customHeight="1">
      <c r="A36" s="1102" t="s">
        <v>1493</v>
      </c>
      <c r="B36" s="1018"/>
      <c r="C36" s="900">
        <f>A2A!C185</f>
        <v>10936544</v>
      </c>
      <c r="D36" s="900">
        <f>A2A!D185</f>
        <v>12233675.189999999</v>
      </c>
      <c r="E36" s="901">
        <f>A2A!E185</f>
        <v>13788554.93</v>
      </c>
      <c r="F36" s="902">
        <f>A2A!F185</f>
        <v>18041702</v>
      </c>
      <c r="G36" s="900">
        <f>A2A!G185</f>
        <v>16859919</v>
      </c>
      <c r="H36" s="903">
        <f>A2A!H185</f>
        <v>14524021.960000001</v>
      </c>
      <c r="I36" s="904">
        <f>A2A!I185</f>
        <v>18596061</v>
      </c>
      <c r="J36" s="900">
        <f>A2A!J185</f>
        <v>19329047.079999998</v>
      </c>
      <c r="K36" s="901">
        <f>A2A!K185</f>
        <v>20218091.245679993</v>
      </c>
      <c r="L36" s="240"/>
    </row>
    <row r="37" spans="1:17" ht="11.25" customHeight="1">
      <c r="A37" s="1102" t="s">
        <v>1557</v>
      </c>
      <c r="B37" s="1018"/>
      <c r="C37" s="1279">
        <f>A2A!C188</f>
        <v>8173266</v>
      </c>
      <c r="D37" s="1279">
        <f>A2A!D188</f>
        <v>8696265</v>
      </c>
      <c r="E37" s="1280">
        <f>A2A!E188</f>
        <v>9103661.2599999998</v>
      </c>
      <c r="F37" s="1281">
        <f>A2A!F188</f>
        <v>10544945</v>
      </c>
      <c r="G37" s="1279">
        <f>A2A!G188</f>
        <v>10170592.5</v>
      </c>
      <c r="H37" s="1282">
        <f>A2A!H188</f>
        <v>14665600.48</v>
      </c>
      <c r="I37" s="1283">
        <f>A2A!I188</f>
        <v>11722504</v>
      </c>
      <c r="J37" s="1279">
        <f>A2A!J188</f>
        <v>12239213.348000003</v>
      </c>
      <c r="K37" s="1280">
        <f>A2A!K188</f>
        <v>12802234.994008007</v>
      </c>
      <c r="L37" s="240"/>
    </row>
    <row r="38" spans="1:17" ht="11.25" customHeight="1">
      <c r="A38" s="1101" t="s">
        <v>126</v>
      </c>
      <c r="B38" s="962"/>
      <c r="C38" s="963">
        <f>SUM(C39:C41)</f>
        <v>261149816.44</v>
      </c>
      <c r="D38" s="963">
        <f t="shared" ref="D38:K38" si="7">SUM(D39:D41)</f>
        <v>272868353</v>
      </c>
      <c r="E38" s="964">
        <f t="shared" si="7"/>
        <v>218519225.17999995</v>
      </c>
      <c r="F38" s="965">
        <f t="shared" si="7"/>
        <v>217625469</v>
      </c>
      <c r="G38" s="963">
        <f t="shared" si="7"/>
        <v>203679992</v>
      </c>
      <c r="H38" s="966">
        <f t="shared" si="7"/>
        <v>294268598.38</v>
      </c>
      <c r="I38" s="967">
        <f t="shared" si="7"/>
        <v>215242849</v>
      </c>
      <c r="J38" s="963">
        <f t="shared" si="7"/>
        <v>214729469.09799999</v>
      </c>
      <c r="K38" s="964">
        <f t="shared" si="7"/>
        <v>224443874.964508</v>
      </c>
      <c r="L38" s="240"/>
    </row>
    <row r="39" spans="1:17" ht="11.25" customHeight="1">
      <c r="A39" s="1102" t="s">
        <v>127</v>
      </c>
      <c r="B39" s="1018"/>
      <c r="C39" s="900">
        <f>A2A!C197</f>
        <v>20508307.41</v>
      </c>
      <c r="D39" s="900">
        <f>A2A!D197</f>
        <v>24086493</v>
      </c>
      <c r="E39" s="901">
        <f>A2A!E197</f>
        <v>27073626.649999999</v>
      </c>
      <c r="F39" s="902">
        <f>A2A!F197</f>
        <v>27428264</v>
      </c>
      <c r="G39" s="900">
        <f>A2A!G197</f>
        <v>25493555</v>
      </c>
      <c r="H39" s="903">
        <f>A2A!H197</f>
        <v>27616271.380000003</v>
      </c>
      <c r="I39" s="904">
        <f>A2A!I197</f>
        <v>28248926</v>
      </c>
      <c r="J39" s="900">
        <f>A2A!J197</f>
        <v>29501346</v>
      </c>
      <c r="K39" s="901">
        <f>A2A!K197</f>
        <v>30817635</v>
      </c>
      <c r="L39" s="240"/>
    </row>
    <row r="40" spans="1:17" ht="11.25" customHeight="1">
      <c r="A40" s="1102" t="s">
        <v>128</v>
      </c>
      <c r="B40" s="1018"/>
      <c r="C40" s="900">
        <f>A2A!C208</f>
        <v>240641509.03</v>
      </c>
      <c r="D40" s="900">
        <f>A2A!D208</f>
        <v>248781860</v>
      </c>
      <c r="E40" s="901">
        <f>A2A!E208</f>
        <v>191445598.52999994</v>
      </c>
      <c r="F40" s="902">
        <f>A2A!F208</f>
        <v>190197205</v>
      </c>
      <c r="G40" s="900">
        <f>A2A!G208</f>
        <v>178186437</v>
      </c>
      <c r="H40" s="903">
        <f>A2A!H208</f>
        <v>266652327</v>
      </c>
      <c r="I40" s="904">
        <f>A2A!I208</f>
        <v>186993923</v>
      </c>
      <c r="J40" s="900">
        <f>A2A!J208</f>
        <v>185228123.09799999</v>
      </c>
      <c r="K40" s="901">
        <f>A2A!K208</f>
        <v>193626239.964508</v>
      </c>
      <c r="L40" s="240"/>
    </row>
    <row r="41" spans="1:17" ht="11.25" customHeight="1">
      <c r="A41" s="1102" t="s">
        <v>129</v>
      </c>
      <c r="B41" s="1018"/>
      <c r="C41" s="900">
        <f>A2A!C213</f>
        <v>0</v>
      </c>
      <c r="D41" s="900">
        <f>A2A!D213</f>
        <v>0</v>
      </c>
      <c r="E41" s="901">
        <f>A2A!E213</f>
        <v>0</v>
      </c>
      <c r="F41" s="902">
        <f>A2A!F213</f>
        <v>0</v>
      </c>
      <c r="G41" s="900">
        <f>A2A!G213</f>
        <v>0</v>
      </c>
      <c r="H41" s="903">
        <f>A2A!H213</f>
        <v>0</v>
      </c>
      <c r="I41" s="904">
        <f>A2A!I213</f>
        <v>0</v>
      </c>
      <c r="J41" s="900">
        <f>A2A!J213</f>
        <v>0</v>
      </c>
      <c r="K41" s="901">
        <f>A2A!K213</f>
        <v>0</v>
      </c>
      <c r="L41" s="240"/>
    </row>
    <row r="42" spans="1:17" ht="11.25" customHeight="1">
      <c r="A42" s="1101" t="s">
        <v>130</v>
      </c>
      <c r="B42" s="962"/>
      <c r="C42" s="963">
        <f>SUM(C43:C46)</f>
        <v>559703778.6099999</v>
      </c>
      <c r="D42" s="963">
        <f t="shared" ref="D42:J42" si="8">SUM(D43:D46)</f>
        <v>550500663.47000003</v>
      </c>
      <c r="E42" s="964">
        <f t="shared" si="8"/>
        <v>611173102.71999991</v>
      </c>
      <c r="F42" s="965">
        <f>SUM(F43:F46)</f>
        <v>682668925.91999996</v>
      </c>
      <c r="G42" s="963">
        <f t="shared" si="8"/>
        <v>654875796</v>
      </c>
      <c r="H42" s="966">
        <f t="shared" si="8"/>
        <v>578256581.29999995</v>
      </c>
      <c r="I42" s="967">
        <f t="shared" si="8"/>
        <v>663714756</v>
      </c>
      <c r="J42" s="963">
        <f t="shared" si="8"/>
        <v>692228308.10200024</v>
      </c>
      <c r="K42" s="964">
        <f>SUM(K43:K46)</f>
        <v>721971769.97469199</v>
      </c>
      <c r="L42" s="240"/>
    </row>
    <row r="43" spans="1:17" ht="11.25" customHeight="1">
      <c r="A43" s="1102" t="s">
        <v>2380</v>
      </c>
      <c r="B43" s="1018"/>
      <c r="C43" s="900">
        <f>A2A!C221</f>
        <v>482189062.60999995</v>
      </c>
      <c r="D43" s="900">
        <f>A2A!D221</f>
        <v>465539284</v>
      </c>
      <c r="E43" s="901">
        <f>A2A!E221</f>
        <v>514259456.2899999</v>
      </c>
      <c r="F43" s="902">
        <f>A2A!F221</f>
        <v>591014579</v>
      </c>
      <c r="G43" s="900">
        <f>A2A!G221</f>
        <v>577311629</v>
      </c>
      <c r="H43" s="903">
        <f>A2A!H221</f>
        <v>507752476.98000002</v>
      </c>
      <c r="I43" s="904">
        <f>A2A!I221</f>
        <v>572684922</v>
      </c>
      <c r="J43" s="900">
        <f>A2A!J221</f>
        <v>604549039.17400026</v>
      </c>
      <c r="K43" s="901">
        <f>A2A!K221</f>
        <v>630259437.96200395</v>
      </c>
      <c r="L43" s="240"/>
    </row>
    <row r="44" spans="1:17" ht="11.25" customHeight="1">
      <c r="A44" s="1102" t="s">
        <v>2381</v>
      </c>
      <c r="B44" s="1018"/>
      <c r="C44" s="900">
        <f>A2A!C225</f>
        <v>0</v>
      </c>
      <c r="D44" s="900">
        <f>A2A!D225</f>
        <v>0</v>
      </c>
      <c r="E44" s="901">
        <f>A2A!E225</f>
        <v>0</v>
      </c>
      <c r="F44" s="902">
        <f>A2A!F225</f>
        <v>0</v>
      </c>
      <c r="G44" s="900">
        <f>A2A!G225</f>
        <v>0</v>
      </c>
      <c r="H44" s="903">
        <f>A2A!H225</f>
        <v>0</v>
      </c>
      <c r="I44" s="904">
        <f>A2A!I225</f>
        <v>0</v>
      </c>
      <c r="J44" s="900">
        <f>A2A!J225</f>
        <v>0</v>
      </c>
      <c r="K44" s="901">
        <f>A2A!K225</f>
        <v>0</v>
      </c>
      <c r="L44" s="240"/>
    </row>
    <row r="45" spans="1:17" ht="11.25" customHeight="1">
      <c r="A45" s="1102" t="s">
        <v>993</v>
      </c>
      <c r="B45" s="1018"/>
      <c r="C45" s="1279">
        <f>A2A!C229</f>
        <v>7197656</v>
      </c>
      <c r="D45" s="1279">
        <f>A2A!D229</f>
        <v>5972910.5</v>
      </c>
      <c r="E45" s="1280">
        <f>A2A!E229</f>
        <v>4516272.6499999994</v>
      </c>
      <c r="F45" s="1281">
        <f>A2A!F229</f>
        <v>5765190</v>
      </c>
      <c r="G45" s="1279">
        <f>A2A!G229</f>
        <v>5017505</v>
      </c>
      <c r="H45" s="1282">
        <f>A2A!H229</f>
        <v>4426183.0199999996</v>
      </c>
      <c r="I45" s="1283">
        <f>A2A!I229</f>
        <v>5125814</v>
      </c>
      <c r="J45" s="1279">
        <f>A2A!J229</f>
        <v>5359439.49</v>
      </c>
      <c r="K45" s="1280">
        <f>A2A!K229</f>
        <v>5605973.7065399997</v>
      </c>
      <c r="L45" s="240"/>
    </row>
    <row r="46" spans="1:17" ht="11.25" customHeight="1">
      <c r="A46" s="1102" t="s">
        <v>994</v>
      </c>
      <c r="B46" s="1018"/>
      <c r="C46" s="900">
        <f>A2A!C234</f>
        <v>70317060</v>
      </c>
      <c r="D46" s="900">
        <f>A2A!D234</f>
        <v>78988468.969999999</v>
      </c>
      <c r="E46" s="901">
        <f>A2A!E234</f>
        <v>92397373.779999986</v>
      </c>
      <c r="F46" s="902">
        <f>A2A!F234</f>
        <v>85889156.920000002</v>
      </c>
      <c r="G46" s="900">
        <f>A2A!G234</f>
        <v>72546662</v>
      </c>
      <c r="H46" s="903">
        <f>A2A!H234</f>
        <v>66077921.300000004</v>
      </c>
      <c r="I46" s="904">
        <f>A2A!I234</f>
        <v>85904020</v>
      </c>
      <c r="J46" s="900">
        <f>A2A!J234</f>
        <v>82319829.438000008</v>
      </c>
      <c r="K46" s="901">
        <f>A2A!K234</f>
        <v>86106358.306148008</v>
      </c>
      <c r="L46" s="240"/>
    </row>
    <row r="47" spans="1:17" ht="11.25" customHeight="1">
      <c r="A47" s="1101" t="s">
        <v>245</v>
      </c>
      <c r="B47" s="962">
        <v>4</v>
      </c>
      <c r="C47" s="963">
        <f>A2A!C239</f>
        <v>0</v>
      </c>
      <c r="D47" s="963">
        <f>A2A!D239</f>
        <v>0</v>
      </c>
      <c r="E47" s="964">
        <f>A2A!E239</f>
        <v>0</v>
      </c>
      <c r="F47" s="965">
        <f>A2A!F239</f>
        <v>0</v>
      </c>
      <c r="G47" s="963">
        <f>A2A!G239</f>
        <v>0</v>
      </c>
      <c r="H47" s="966">
        <f>A2A!H239</f>
        <v>0</v>
      </c>
      <c r="I47" s="967">
        <f>A2A!I239</f>
        <v>0</v>
      </c>
      <c r="J47" s="963">
        <f>A2A!J239</f>
        <v>0</v>
      </c>
      <c r="K47" s="964">
        <f>A2A!K239</f>
        <v>0</v>
      </c>
      <c r="L47" s="240"/>
    </row>
    <row r="48" spans="1:17" ht="11.25" customHeight="1">
      <c r="A48" s="1185" t="str">
        <f>"Total "&amp;A27</f>
        <v>Total Expenditure - Functional</v>
      </c>
      <c r="B48" s="1186">
        <v>3</v>
      </c>
      <c r="C48" s="675">
        <f>C28+C32+C38+C42+C47</f>
        <v>1118376549.03</v>
      </c>
      <c r="D48" s="675">
        <f>D28+D32+D38+D42+D47</f>
        <v>1222605644.9000001</v>
      </c>
      <c r="E48" s="676">
        <f>E28+E32+E38+E42+E47</f>
        <v>1208828629.1900001</v>
      </c>
      <c r="F48" s="677">
        <f t="shared" ref="F48:K48" si="9">F28+F32+F38+F42+F47</f>
        <v>1329185917.9200001</v>
      </c>
      <c r="G48" s="675">
        <f t="shared" si="9"/>
        <v>1248665018.5</v>
      </c>
      <c r="H48" s="678">
        <f t="shared" si="9"/>
        <v>1275164972</v>
      </c>
      <c r="I48" s="940">
        <f t="shared" si="9"/>
        <v>1287355041</v>
      </c>
      <c r="J48" s="675">
        <f t="shared" si="9"/>
        <v>1330222366.6280003</v>
      </c>
      <c r="K48" s="676">
        <f t="shared" si="9"/>
        <v>1389067331.1788878</v>
      </c>
      <c r="L48" s="240"/>
      <c r="Q48" s="154"/>
    </row>
    <row r="49" spans="1:12">
      <c r="A49" s="1021" t="str">
        <f>result</f>
        <v>Surplus/(Deficit) for the year</v>
      </c>
      <c r="B49" s="1022"/>
      <c r="C49" s="157">
        <f>C25-C48</f>
        <v>13901851.069999933</v>
      </c>
      <c r="D49" s="157">
        <f t="shared" ref="D49:K49" si="10">D25-D48</f>
        <v>-85178109.430000067</v>
      </c>
      <c r="E49" s="158">
        <f t="shared" si="10"/>
        <v>-67864246.039999962</v>
      </c>
      <c r="F49" s="159">
        <f t="shared" si="10"/>
        <v>29990389.079999924</v>
      </c>
      <c r="G49" s="157">
        <f t="shared" si="10"/>
        <v>119843018.51999497</v>
      </c>
      <c r="H49" s="156">
        <f t="shared" si="10"/>
        <v>128638388.16000009</v>
      </c>
      <c r="I49" s="160">
        <f t="shared" si="10"/>
        <v>118290191</v>
      </c>
      <c r="J49" s="157">
        <f t="shared" si="10"/>
        <v>149702254.02999973</v>
      </c>
      <c r="K49" s="158">
        <f t="shared" si="10"/>
        <v>167850445.60538006</v>
      </c>
      <c r="L49" s="240"/>
    </row>
    <row r="50" spans="1:12">
      <c r="A50" s="1023" t="str">
        <f>head27a</f>
        <v>References</v>
      </c>
      <c r="B50" s="1024"/>
      <c r="C50" s="895"/>
      <c r="D50" s="895"/>
      <c r="E50" s="895"/>
      <c r="F50" s="895"/>
      <c r="G50" s="895"/>
      <c r="H50" s="895"/>
      <c r="I50" s="895"/>
      <c r="J50" s="895"/>
      <c r="K50" s="895"/>
    </row>
    <row r="51" spans="1:12" ht="11.25" customHeight="1">
      <c r="A51" s="1025" t="s">
        <v>992</v>
      </c>
      <c r="B51" s="1024"/>
      <c r="C51" s="1026"/>
      <c r="D51" s="1026"/>
      <c r="E51" s="1027"/>
      <c r="F51" s="1027"/>
      <c r="G51" s="1027"/>
      <c r="H51" s="1027"/>
      <c r="I51" s="1027"/>
      <c r="J51" s="1027"/>
      <c r="K51" s="1027"/>
    </row>
    <row r="52" spans="1:12" ht="11.25" customHeight="1">
      <c r="A52" s="1028" t="s">
        <v>2468</v>
      </c>
      <c r="B52" s="1024"/>
      <c r="C52" s="1026"/>
      <c r="D52" s="1026"/>
      <c r="E52" s="1027"/>
      <c r="F52" s="1027"/>
      <c r="G52" s="1027"/>
      <c r="H52" s="1027"/>
      <c r="I52" s="1027"/>
      <c r="J52" s="1027"/>
      <c r="K52" s="1027"/>
    </row>
    <row r="53" spans="1:12" ht="11.25" customHeight="1">
      <c r="A53" s="1025" t="s">
        <v>2466</v>
      </c>
      <c r="B53" s="1024"/>
      <c r="C53" s="1026"/>
      <c r="D53" s="1026"/>
      <c r="E53" s="1027"/>
      <c r="F53" s="1027"/>
      <c r="G53" s="1027"/>
      <c r="H53" s="1027"/>
      <c r="I53" s="1027"/>
      <c r="J53" s="1027"/>
      <c r="K53" s="1027"/>
    </row>
    <row r="54" spans="1:12" ht="25.5" customHeight="1">
      <c r="A54" s="2846" t="s">
        <v>2467</v>
      </c>
      <c r="B54" s="2846"/>
      <c r="C54" s="2846"/>
      <c r="D54" s="2846"/>
      <c r="E54" s="2846"/>
      <c r="F54" s="2846"/>
      <c r="G54" s="2846"/>
      <c r="H54" s="2846"/>
      <c r="I54" s="2846"/>
      <c r="J54" s="2846"/>
      <c r="K54" s="2846"/>
    </row>
    <row r="55" spans="1:12" ht="11.25" customHeight="1">
      <c r="A55" s="123"/>
      <c r="B55" s="113"/>
      <c r="C55" s="117"/>
      <c r="D55" s="117"/>
      <c r="E55" s="118"/>
      <c r="F55" s="118"/>
      <c r="G55" s="118"/>
      <c r="H55" s="118"/>
      <c r="I55" s="118"/>
      <c r="J55" s="118"/>
      <c r="K55" s="118"/>
    </row>
    <row r="56" spans="1:12" ht="11.25" customHeight="1">
      <c r="A56" s="123"/>
      <c r="B56" s="113"/>
      <c r="C56" s="117"/>
      <c r="D56" s="117"/>
      <c r="E56" s="118"/>
      <c r="F56" s="118"/>
      <c r="G56" s="118"/>
      <c r="H56" s="118"/>
      <c r="I56" s="118"/>
      <c r="J56" s="118"/>
      <c r="K56" s="118"/>
    </row>
    <row r="57" spans="1:12" ht="11.25" customHeight="1">
      <c r="A57" s="162" t="s">
        <v>131</v>
      </c>
      <c r="B57" s="120"/>
      <c r="C57" s="163">
        <f>C25-'A4-FinPerf RE'!C59</f>
        <v>-305.85999989509583</v>
      </c>
      <c r="D57" s="163"/>
      <c r="E57" s="867">
        <f>E25-'A4-FinPerf RE'!E59</f>
        <v>0.63000035285949707</v>
      </c>
      <c r="F57" s="163">
        <f>F25-'A4-FinPerf RE'!F59</f>
        <v>0</v>
      </c>
      <c r="G57" s="163">
        <f>G25-'A4-FinPerf RE'!G59</f>
        <v>-5.0067901611328125E-6</v>
      </c>
      <c r="H57" s="163">
        <f>H25-'A4-FinPerf RE'!H59</f>
        <v>0.31999993324279785</v>
      </c>
      <c r="I57" s="163">
        <f>I25-'A4-FinPerf RE'!J59</f>
        <v>0</v>
      </c>
      <c r="J57" s="163">
        <f>J25-'A4-FinPerf RE'!K59</f>
        <v>-1.399993896484375E-2</v>
      </c>
      <c r="K57" s="163">
        <f>K25-'A4-FinPerf RE'!L59</f>
        <v>-0.4386439323425293</v>
      </c>
    </row>
    <row r="58" spans="1:12" ht="11.25" customHeight="1">
      <c r="A58" s="162" t="s">
        <v>752</v>
      </c>
      <c r="B58" s="120"/>
      <c r="C58" s="163">
        <f>C48-'A4-FinPerf RE'!C35</f>
        <v>-2.4900000095367432</v>
      </c>
      <c r="D58" s="163"/>
      <c r="E58" s="867">
        <f>E48-'A4-FinPerf RE'!E35</f>
        <v>-0.87000012397766113</v>
      </c>
      <c r="F58" s="163">
        <f>F48-'A4-FinPerf RE'!F35</f>
        <v>-61.339999914169312</v>
      </c>
      <c r="G58" s="163">
        <f>G48-'A4-FinPerf RE'!G35</f>
        <v>1.0799999237060547</v>
      </c>
      <c r="H58" s="163">
        <f>H48-'A4-FinPerf RE'!H35</f>
        <v>-0.30999994277954102</v>
      </c>
      <c r="I58" s="163">
        <f>I48-'A4-FinPerf RE'!J35</f>
        <v>0.93000006675720215</v>
      </c>
      <c r="J58" s="163">
        <f>J48-'A4-FinPerf RE'!K35</f>
        <v>0.34754014015197754</v>
      </c>
      <c r="K58" s="163">
        <f>K48-'A4-FinPerf RE'!L35</f>
        <v>-0.76651358604431152</v>
      </c>
    </row>
    <row r="59" spans="1:12" ht="11.25" customHeight="1"/>
    <row r="60" spans="1:12" ht="11.25" customHeight="1"/>
    <row r="61" spans="1:12" ht="11.25" customHeight="1"/>
    <row r="62" spans="1:12" ht="11.25" customHeight="1">
      <c r="E62" s="235"/>
    </row>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sheetData>
  <mergeCells count="3">
    <mergeCell ref="A54:K54"/>
    <mergeCell ref="F2:H2"/>
    <mergeCell ref="I2:K2"/>
  </mergeCells>
  <phoneticPr fontId="5"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0"/>
  <sheetViews>
    <sheetView showGridLines="0" topLeftCell="A236" zoomScaleNormal="100" zoomScaleSheetLayoutView="80" workbookViewId="0">
      <selection activeCell="D132" sqref="D132:D141"/>
    </sheetView>
  </sheetViews>
  <sheetFormatPr defaultColWidth="9.140625" defaultRowHeight="12.75"/>
  <cols>
    <col min="1" max="1" width="49.7109375" style="26" customWidth="1"/>
    <col min="2" max="2" width="3" style="124" customWidth="1"/>
    <col min="3" max="11" width="9.28515625" style="26" customWidth="1"/>
    <col min="12" max="41" width="9.42578125" style="26" customWidth="1"/>
    <col min="42" max="16384" width="9.140625" style="26"/>
  </cols>
  <sheetData>
    <row r="1" spans="1:18" ht="13.5">
      <c r="A1" s="24" t="str">
        <f>muni&amp;" - "&amp;Approve3</f>
        <v>LIM333 Greater Tzaneen - Table A2 Consolidated Budgeted Financial Performance (revenue and expenditure by functional classification)</v>
      </c>
      <c r="B1" s="125"/>
      <c r="C1" s="125"/>
      <c r="D1" s="125"/>
      <c r="E1" s="125"/>
      <c r="F1" s="125"/>
      <c r="G1" s="125"/>
      <c r="H1" s="125"/>
      <c r="I1" s="125"/>
      <c r="J1" s="125"/>
      <c r="K1" s="125"/>
    </row>
    <row r="2" spans="1:18" ht="28.5" customHeight="1">
      <c r="A2" s="831" t="str">
        <f>"Functional Classification "&amp;desc</f>
        <v>Functional Classification Description</v>
      </c>
      <c r="B2" s="288" t="str">
        <f>head27</f>
        <v>Ref</v>
      </c>
      <c r="C2" s="27" t="str">
        <f>head1b</f>
        <v>2016/17</v>
      </c>
      <c r="D2" s="27" t="str">
        <f>head1A</f>
        <v>2017/18</v>
      </c>
      <c r="E2" s="601" t="str">
        <f>Head1</f>
        <v>2018/19</v>
      </c>
      <c r="F2" s="2848" t="str">
        <f>Head2</f>
        <v>Current Year 2019/20</v>
      </c>
      <c r="G2" s="2849"/>
      <c r="H2" s="2850"/>
      <c r="I2" s="2839" t="str">
        <f>Head3</f>
        <v>2020/21 Medium Term Revenue &amp; Expenditure Framework</v>
      </c>
      <c r="J2" s="2840"/>
      <c r="K2" s="2841"/>
    </row>
    <row r="3" spans="1:18" ht="25.5">
      <c r="A3" s="57" t="s">
        <v>569</v>
      </c>
      <c r="B3" s="842">
        <v>1</v>
      </c>
      <c r="C3" s="260" t="str">
        <f>Head5</f>
        <v>Audited Outcome</v>
      </c>
      <c r="D3" s="260" t="str">
        <f>Head5</f>
        <v>Audited Outcome</v>
      </c>
      <c r="E3" s="2531" t="str">
        <f>Head5</f>
        <v>Audited Outcome</v>
      </c>
      <c r="F3" s="844" t="str">
        <f>Head6</f>
        <v>Original Budget</v>
      </c>
      <c r="G3" s="260" t="str">
        <f>Head7</f>
        <v>Adjusted Budget</v>
      </c>
      <c r="H3" s="2531" t="str">
        <f>Head8</f>
        <v>Full Year Forecast</v>
      </c>
      <c r="I3" s="172" t="str">
        <f>Head9</f>
        <v>Budget Year 2020/21</v>
      </c>
      <c r="J3" s="260" t="str">
        <f>Head10</f>
        <v>Budget Year +1 2021/22</v>
      </c>
      <c r="K3" s="261" t="str">
        <f>Head11</f>
        <v>Budget Year +2 2022/23</v>
      </c>
    </row>
    <row r="4" spans="1:18" ht="11.25" customHeight="1">
      <c r="A4" s="126" t="s">
        <v>2460</v>
      </c>
      <c r="B4" s="59"/>
      <c r="C4" s="61"/>
      <c r="D4" s="61"/>
      <c r="E4" s="2547"/>
      <c r="F4" s="64"/>
      <c r="G4" s="61"/>
      <c r="H4" s="2547"/>
      <c r="I4" s="64"/>
      <c r="J4" s="61"/>
      <c r="K4" s="2547"/>
      <c r="L4" s="240"/>
    </row>
    <row r="5" spans="1:18" ht="11.25" customHeight="1">
      <c r="A5" s="1101" t="s">
        <v>118</v>
      </c>
      <c r="B5" s="1018"/>
      <c r="C5" s="1160">
        <f t="shared" ref="C5:K5" si="0">C6+C9+C23</f>
        <v>444282427.92000002</v>
      </c>
      <c r="D5" s="1160">
        <f t="shared" si="0"/>
        <v>484325735</v>
      </c>
      <c r="E5" s="1320">
        <f t="shared" si="0"/>
        <v>513466196.56999999</v>
      </c>
      <c r="F5" s="1161">
        <f t="shared" si="0"/>
        <v>510038007</v>
      </c>
      <c r="G5" s="1160">
        <f t="shared" si="0"/>
        <v>511419123.01999998</v>
      </c>
      <c r="H5" s="1320">
        <f t="shared" si="0"/>
        <v>564253543.22000003</v>
      </c>
      <c r="I5" s="1161">
        <f t="shared" si="0"/>
        <v>552813082</v>
      </c>
      <c r="J5" s="1160">
        <f t="shared" si="0"/>
        <v>590974638.60000002</v>
      </c>
      <c r="K5" s="1320">
        <f t="shared" si="0"/>
        <v>626359960.52760005</v>
      </c>
      <c r="L5" s="240"/>
      <c r="Q5" s="129"/>
      <c r="R5" s="130"/>
    </row>
    <row r="6" spans="1:18" ht="11.25" customHeight="1">
      <c r="A6" s="1155" t="s">
        <v>119</v>
      </c>
      <c r="B6" s="1018"/>
      <c r="C6" s="943">
        <f>SUM(C7:C8)</f>
        <v>0</v>
      </c>
      <c r="D6" s="943">
        <f t="shared" ref="D6:K6" si="1">SUM(D7:D8)</f>
        <v>0</v>
      </c>
      <c r="E6" s="980">
        <f t="shared" si="1"/>
        <v>0</v>
      </c>
      <c r="F6" s="944">
        <f t="shared" si="1"/>
        <v>1100</v>
      </c>
      <c r="G6" s="943">
        <f t="shared" si="1"/>
        <v>299100</v>
      </c>
      <c r="H6" s="980">
        <f t="shared" si="1"/>
        <v>0</v>
      </c>
      <c r="I6" s="944">
        <f t="shared" si="1"/>
        <v>1100</v>
      </c>
      <c r="J6" s="943">
        <f t="shared" si="1"/>
        <v>1150.5999999999999</v>
      </c>
      <c r="K6" s="980">
        <f t="shared" si="1"/>
        <v>1203.5275999999999</v>
      </c>
      <c r="L6" s="240"/>
      <c r="Q6" s="129"/>
      <c r="R6" s="130"/>
    </row>
    <row r="7" spans="1:18" ht="11.25" customHeight="1">
      <c r="A7" s="1354" t="s">
        <v>284</v>
      </c>
      <c r="B7" s="1018"/>
      <c r="C7" s="1951"/>
      <c r="D7" s="1951"/>
      <c r="E7" s="1954"/>
      <c r="F7" s="1953">
        <v>1100</v>
      </c>
      <c r="G7" s="1951">
        <v>1100</v>
      </c>
      <c r="H7" s="1954"/>
      <c r="I7" s="1953">
        <v>1100</v>
      </c>
      <c r="J7" s="1951">
        <v>1150.5999999999999</v>
      </c>
      <c r="K7" s="1954">
        <v>1203.5275999999999</v>
      </c>
      <c r="L7" s="240"/>
      <c r="Q7" s="129"/>
      <c r="R7" s="130"/>
    </row>
    <row r="8" spans="1:18" ht="11.25" customHeight="1">
      <c r="A8" s="1354" t="s">
        <v>2382</v>
      </c>
      <c r="B8" s="1018"/>
      <c r="C8" s="1951"/>
      <c r="D8" s="1951"/>
      <c r="E8" s="1954"/>
      <c r="F8" s="1953"/>
      <c r="G8" s="1951">
        <v>298000</v>
      </c>
      <c r="H8" s="1954"/>
      <c r="I8" s="1953"/>
      <c r="J8" s="1951"/>
      <c r="K8" s="1954"/>
      <c r="L8" s="240"/>
      <c r="Q8" s="129"/>
      <c r="R8" s="130"/>
    </row>
    <row r="9" spans="1:18" ht="11.25" customHeight="1">
      <c r="A9" s="1155" t="s">
        <v>2383</v>
      </c>
      <c r="B9" s="1018"/>
      <c r="C9" s="943">
        <f t="shared" ref="C9:K9" si="2">SUM(C10:C22)</f>
        <v>444282427.92000002</v>
      </c>
      <c r="D9" s="943">
        <f t="shared" si="2"/>
        <v>484325735</v>
      </c>
      <c r="E9" s="980">
        <f t="shared" si="2"/>
        <v>513466196.56999999</v>
      </c>
      <c r="F9" s="944">
        <f t="shared" si="2"/>
        <v>510036907</v>
      </c>
      <c r="G9" s="943">
        <f t="shared" si="2"/>
        <v>511120023.01999998</v>
      </c>
      <c r="H9" s="980">
        <f t="shared" si="2"/>
        <v>564253543.22000003</v>
      </c>
      <c r="I9" s="944">
        <f t="shared" si="2"/>
        <v>552811982</v>
      </c>
      <c r="J9" s="943">
        <f t="shared" si="2"/>
        <v>590973488</v>
      </c>
      <c r="K9" s="980">
        <f t="shared" si="2"/>
        <v>626358757</v>
      </c>
      <c r="L9" s="240"/>
      <c r="Q9" s="129"/>
      <c r="R9" s="130"/>
    </row>
    <row r="10" spans="1:18" ht="11.25" customHeight="1">
      <c r="A10" s="1354" t="s">
        <v>2385</v>
      </c>
      <c r="B10" s="1018"/>
      <c r="C10" s="1951"/>
      <c r="D10" s="2778">
        <v>22539691</v>
      </c>
      <c r="E10" s="1954"/>
      <c r="F10" s="1953">
        <v>128</v>
      </c>
      <c r="G10" s="1951">
        <v>128</v>
      </c>
      <c r="H10" s="1954"/>
      <c r="I10" s="1953">
        <v>0</v>
      </c>
      <c r="J10" s="1951">
        <v>0</v>
      </c>
      <c r="K10" s="1954">
        <v>0</v>
      </c>
      <c r="L10" s="240"/>
      <c r="Q10" s="129"/>
      <c r="R10" s="130"/>
    </row>
    <row r="11" spans="1:18" ht="11.25" customHeight="1">
      <c r="A11" s="1354" t="s">
        <v>2386</v>
      </c>
      <c r="B11" s="1018"/>
      <c r="C11" s="1951"/>
      <c r="D11" s="2778">
        <v>0</v>
      </c>
      <c r="E11" s="1954"/>
      <c r="F11" s="1953"/>
      <c r="G11" s="1951"/>
      <c r="H11" s="1954"/>
      <c r="I11" s="1953">
        <v>0</v>
      </c>
      <c r="J11" s="1951">
        <v>0</v>
      </c>
      <c r="K11" s="1954">
        <v>1</v>
      </c>
      <c r="L11" s="240"/>
      <c r="Q11" s="129"/>
      <c r="R11" s="130"/>
    </row>
    <row r="12" spans="1:18" ht="11.25" customHeight="1">
      <c r="A12" s="1354" t="s">
        <v>1580</v>
      </c>
      <c r="B12" s="1018"/>
      <c r="C12" s="1951">
        <v>444281459.92000002</v>
      </c>
      <c r="D12" s="2778">
        <v>461786044</v>
      </c>
      <c r="E12" s="1954">
        <v>512718806</v>
      </c>
      <c r="F12" s="1953">
        <v>510036650</v>
      </c>
      <c r="G12" s="1951">
        <v>510036650</v>
      </c>
      <c r="H12" s="1954">
        <v>563314437.22000003</v>
      </c>
      <c r="I12" s="1953">
        <v>551611853</v>
      </c>
      <c r="J12" s="1951">
        <v>589718153</v>
      </c>
      <c r="K12" s="1954">
        <v>625045674</v>
      </c>
      <c r="L12" s="240"/>
      <c r="Q12" s="129"/>
      <c r="R12" s="130"/>
    </row>
    <row r="13" spans="1:18" ht="11.25" customHeight="1">
      <c r="A13" s="1354" t="s">
        <v>2387</v>
      </c>
      <c r="B13" s="1018"/>
      <c r="C13" s="1951"/>
      <c r="D13" s="2778">
        <v>0</v>
      </c>
      <c r="E13" s="1954"/>
      <c r="F13" s="1953"/>
      <c r="G13" s="1951"/>
      <c r="H13" s="1954"/>
      <c r="I13" s="1953">
        <v>0</v>
      </c>
      <c r="J13" s="1951">
        <v>0</v>
      </c>
      <c r="K13" s="1954">
        <v>0</v>
      </c>
      <c r="L13" s="240"/>
      <c r="Q13" s="129"/>
      <c r="R13" s="130"/>
    </row>
    <row r="14" spans="1:18" ht="11.25" customHeight="1">
      <c r="A14" s="1354" t="s">
        <v>285</v>
      </c>
      <c r="B14" s="1018"/>
      <c r="C14" s="1951">
        <v>968</v>
      </c>
      <c r="D14" s="2778">
        <v>0</v>
      </c>
      <c r="E14" s="1954"/>
      <c r="F14" s="1953"/>
      <c r="G14" s="1951">
        <v>1083116.02</v>
      </c>
      <c r="H14" s="1954">
        <v>939106</v>
      </c>
      <c r="I14" s="1953">
        <v>1200000</v>
      </c>
      <c r="J14" s="1951">
        <v>1255200</v>
      </c>
      <c r="K14" s="1954">
        <v>1312940</v>
      </c>
      <c r="L14" s="240"/>
      <c r="Q14" s="129"/>
      <c r="R14" s="130"/>
    </row>
    <row r="15" spans="1:18" ht="11.25" customHeight="1">
      <c r="A15" s="1354" t="s">
        <v>286</v>
      </c>
      <c r="B15" s="1018"/>
      <c r="C15" s="1951"/>
      <c r="D15" s="2778">
        <v>0</v>
      </c>
      <c r="E15" s="1954">
        <v>110986.5</v>
      </c>
      <c r="F15" s="1953"/>
      <c r="G15" s="1951"/>
      <c r="H15" s="1954"/>
      <c r="I15" s="1953">
        <v>0</v>
      </c>
      <c r="J15" s="1951">
        <v>0</v>
      </c>
      <c r="K15" s="1954">
        <v>0</v>
      </c>
      <c r="L15" s="240"/>
      <c r="Q15" s="129"/>
      <c r="R15" s="130"/>
    </row>
    <row r="16" spans="1:18" ht="11.25" customHeight="1">
      <c r="A16" s="1354" t="s">
        <v>2388</v>
      </c>
      <c r="B16" s="1018"/>
      <c r="C16" s="1951"/>
      <c r="D16" s="1951"/>
      <c r="E16" s="1954"/>
      <c r="F16" s="1953">
        <v>129</v>
      </c>
      <c r="G16" s="1951">
        <v>129</v>
      </c>
      <c r="H16" s="1954"/>
      <c r="I16" s="1953">
        <v>129</v>
      </c>
      <c r="J16" s="1951">
        <v>135</v>
      </c>
      <c r="K16" s="1954">
        <v>142</v>
      </c>
      <c r="L16" s="240"/>
      <c r="Q16" s="129"/>
      <c r="R16" s="130"/>
    </row>
    <row r="17" spans="1:18" ht="11.25" customHeight="1">
      <c r="A17" s="1354" t="s">
        <v>2389</v>
      </c>
      <c r="B17" s="1018"/>
      <c r="C17" s="1951"/>
      <c r="D17" s="1951"/>
      <c r="E17" s="1954"/>
      <c r="F17" s="1953"/>
      <c r="G17" s="1951"/>
      <c r="H17" s="1954"/>
      <c r="I17" s="1953"/>
      <c r="J17" s="1951"/>
      <c r="K17" s="1954"/>
      <c r="L17" s="240"/>
      <c r="Q17" s="129"/>
      <c r="R17" s="130"/>
    </row>
    <row r="18" spans="1:18" ht="11.25" customHeight="1">
      <c r="A18" s="1354" t="s">
        <v>929</v>
      </c>
      <c r="B18" s="1018"/>
      <c r="C18" s="1951"/>
      <c r="D18" s="1951"/>
      <c r="E18" s="1954">
        <v>636404.06999999995</v>
      </c>
      <c r="F18" s="1953"/>
      <c r="G18" s="1951"/>
      <c r="H18" s="1954"/>
      <c r="I18" s="1953"/>
      <c r="J18" s="1951"/>
      <c r="K18" s="1954"/>
      <c r="L18" s="240"/>
      <c r="Q18" s="129"/>
      <c r="R18" s="130"/>
    </row>
    <row r="19" spans="1:18" ht="11.25" customHeight="1">
      <c r="A19" s="1354" t="s">
        <v>2390</v>
      </c>
      <c r="B19" s="1018"/>
      <c r="C19" s="1951"/>
      <c r="D19" s="1951"/>
      <c r="E19" s="1954"/>
      <c r="F19" s="1953"/>
      <c r="G19" s="1951"/>
      <c r="H19" s="1954"/>
      <c r="I19" s="1953"/>
      <c r="J19" s="1951"/>
      <c r="K19" s="1954"/>
      <c r="L19" s="240"/>
      <c r="Q19" s="129"/>
      <c r="R19" s="130"/>
    </row>
    <row r="20" spans="1:18" ht="11.25" customHeight="1">
      <c r="A20" s="1354" t="s">
        <v>2391</v>
      </c>
      <c r="B20" s="1018"/>
      <c r="C20" s="1951"/>
      <c r="D20" s="1951"/>
      <c r="E20" s="1954"/>
      <c r="F20" s="1953"/>
      <c r="G20" s="1951"/>
      <c r="H20" s="1954"/>
      <c r="I20" s="1953"/>
      <c r="J20" s="1951"/>
      <c r="K20" s="1954"/>
      <c r="L20" s="240"/>
      <c r="Q20" s="129"/>
      <c r="R20" s="130"/>
    </row>
    <row r="21" spans="1:18" ht="11.25" customHeight="1">
      <c r="A21" s="1354" t="s">
        <v>2392</v>
      </c>
      <c r="B21" s="1018"/>
      <c r="C21" s="1951"/>
      <c r="D21" s="1951"/>
      <c r="E21" s="1954"/>
      <c r="F21" s="1953"/>
      <c r="G21" s="1951"/>
      <c r="H21" s="1954"/>
      <c r="I21" s="1953"/>
      <c r="J21" s="1951"/>
      <c r="K21" s="1954"/>
      <c r="L21" s="240"/>
      <c r="Q21" s="129"/>
      <c r="R21" s="130"/>
    </row>
    <row r="22" spans="1:18" ht="11.25" customHeight="1">
      <c r="A22" s="1354" t="s">
        <v>2393</v>
      </c>
      <c r="B22" s="1018"/>
      <c r="C22" s="1951"/>
      <c r="D22" s="1951"/>
      <c r="E22" s="1954"/>
      <c r="F22" s="1953"/>
      <c r="G22" s="1951"/>
      <c r="H22" s="1954"/>
      <c r="I22" s="1953"/>
      <c r="J22" s="1951"/>
      <c r="K22" s="1954"/>
      <c r="L22" s="240"/>
      <c r="Q22" s="129"/>
      <c r="R22" s="130"/>
    </row>
    <row r="23" spans="1:18" ht="11.25" customHeight="1">
      <c r="A23" s="1155" t="s">
        <v>2379</v>
      </c>
      <c r="B23" s="1018"/>
      <c r="C23" s="943">
        <f t="shared" ref="C23:K23" si="3">SUM(C24:C24)</f>
        <v>0</v>
      </c>
      <c r="D23" s="943">
        <f t="shared" si="3"/>
        <v>0</v>
      </c>
      <c r="E23" s="980">
        <f t="shared" si="3"/>
        <v>0</v>
      </c>
      <c r="F23" s="944">
        <f t="shared" si="3"/>
        <v>0</v>
      </c>
      <c r="G23" s="943">
        <f t="shared" si="3"/>
        <v>0</v>
      </c>
      <c r="H23" s="980">
        <f t="shared" si="3"/>
        <v>0</v>
      </c>
      <c r="I23" s="944">
        <f t="shared" si="3"/>
        <v>0</v>
      </c>
      <c r="J23" s="943">
        <f t="shared" si="3"/>
        <v>0</v>
      </c>
      <c r="K23" s="980">
        <f t="shared" si="3"/>
        <v>0</v>
      </c>
      <c r="L23" s="240"/>
      <c r="Q23" s="129"/>
      <c r="R23" s="130"/>
    </row>
    <row r="24" spans="1:18" ht="11.25" customHeight="1">
      <c r="A24" s="1354" t="s">
        <v>2384</v>
      </c>
      <c r="B24" s="1018"/>
      <c r="C24" s="1951"/>
      <c r="D24" s="1951"/>
      <c r="E24" s="1954"/>
      <c r="F24" s="1953"/>
      <c r="G24" s="1951"/>
      <c r="H24" s="1954"/>
      <c r="I24" s="1953"/>
      <c r="J24" s="1951"/>
      <c r="K24" s="1954"/>
      <c r="L24" s="240"/>
      <c r="Q24" s="129"/>
      <c r="R24" s="130"/>
    </row>
    <row r="25" spans="1:18" ht="11.25" customHeight="1">
      <c r="A25" s="1101" t="s">
        <v>122</v>
      </c>
      <c r="B25" s="1018"/>
      <c r="C25" s="1160">
        <f t="shared" ref="C25:K25" si="4">C26+C48+C54+C63+C66</f>
        <v>45612011.010000005</v>
      </c>
      <c r="D25" s="1160">
        <f t="shared" si="4"/>
        <v>39979633.469999999</v>
      </c>
      <c r="E25" s="1320">
        <f t="shared" si="4"/>
        <v>34735594.060000002</v>
      </c>
      <c r="F25" s="1161">
        <f t="shared" si="4"/>
        <v>41092127</v>
      </c>
      <c r="G25" s="1160">
        <f t="shared" si="4"/>
        <v>41092127</v>
      </c>
      <c r="H25" s="1320">
        <f t="shared" si="4"/>
        <v>3872008</v>
      </c>
      <c r="I25" s="1161">
        <f t="shared" si="4"/>
        <v>40390127</v>
      </c>
      <c r="J25" s="1160">
        <f t="shared" si="4"/>
        <v>42248075</v>
      </c>
      <c r="K25" s="1320">
        <f t="shared" si="4"/>
        <v>44191491.115999997</v>
      </c>
      <c r="L25" s="240"/>
      <c r="Q25" s="129"/>
      <c r="R25" s="130"/>
    </row>
    <row r="26" spans="1:18" ht="11.25" customHeight="1">
      <c r="A26" s="1155" t="s">
        <v>123</v>
      </c>
      <c r="B26" s="1018"/>
      <c r="C26" s="971">
        <f>SUM(C27:C47)</f>
        <v>78205.5</v>
      </c>
      <c r="D26" s="971">
        <f t="shared" ref="D26:K26" si="5">SUM(D27:D47)</f>
        <v>46323.5</v>
      </c>
      <c r="E26" s="1321">
        <f t="shared" si="5"/>
        <v>37722.5</v>
      </c>
      <c r="F26" s="972">
        <f t="shared" si="5"/>
        <v>56136</v>
      </c>
      <c r="G26" s="971">
        <f t="shared" si="5"/>
        <v>56136</v>
      </c>
      <c r="H26" s="1321">
        <f t="shared" si="5"/>
        <v>40412</v>
      </c>
      <c r="I26" s="972">
        <f t="shared" si="5"/>
        <v>56136</v>
      </c>
      <c r="J26" s="971">
        <f t="shared" si="5"/>
        <v>58719</v>
      </c>
      <c r="K26" s="1321">
        <f t="shared" si="5"/>
        <v>61422</v>
      </c>
      <c r="L26" s="240"/>
      <c r="Q26" s="129"/>
      <c r="R26" s="130"/>
    </row>
    <row r="27" spans="1:18" ht="11.25" customHeight="1">
      <c r="A27" s="1354" t="s">
        <v>1451</v>
      </c>
      <c r="B27" s="1018"/>
      <c r="C27" s="1951"/>
      <c r="D27" s="1951"/>
      <c r="E27" s="1954"/>
      <c r="F27" s="1953"/>
      <c r="G27" s="1951"/>
      <c r="H27" s="1954"/>
      <c r="I27" s="1953"/>
      <c r="J27" s="1951"/>
      <c r="K27" s="1954"/>
      <c r="L27" s="240"/>
      <c r="Q27" s="129"/>
      <c r="R27" s="130"/>
    </row>
    <row r="28" spans="1:18" ht="11.25" customHeight="1">
      <c r="A28" s="1354" t="s">
        <v>819</v>
      </c>
      <c r="B28" s="1018"/>
      <c r="C28" s="1951"/>
      <c r="D28" s="1951"/>
      <c r="E28" s="1954"/>
      <c r="F28" s="1953"/>
      <c r="G28" s="1951"/>
      <c r="H28" s="1954"/>
      <c r="I28" s="1953"/>
      <c r="J28" s="1951"/>
      <c r="K28" s="1954"/>
      <c r="L28" s="240"/>
      <c r="Q28" s="129"/>
      <c r="R28" s="130"/>
    </row>
    <row r="29" spans="1:18" ht="11.25" customHeight="1">
      <c r="A29" s="1354" t="s">
        <v>2411</v>
      </c>
      <c r="B29" s="1018"/>
      <c r="C29" s="1951"/>
      <c r="D29" s="1951"/>
      <c r="E29" s="1954"/>
      <c r="F29" s="1953"/>
      <c r="G29" s="1951"/>
      <c r="H29" s="1954"/>
      <c r="I29" s="1953"/>
      <c r="J29" s="1951"/>
      <c r="K29" s="1954"/>
      <c r="L29" s="240"/>
      <c r="Q29" s="129"/>
      <c r="R29" s="130"/>
    </row>
    <row r="30" spans="1:18" ht="11.25" customHeight="1">
      <c r="A30" s="1354" t="s">
        <v>2412</v>
      </c>
      <c r="B30" s="1018"/>
      <c r="C30" s="1951"/>
      <c r="D30" s="1951"/>
      <c r="E30" s="1954"/>
      <c r="F30" s="1953"/>
      <c r="G30" s="1951"/>
      <c r="H30" s="1954"/>
      <c r="I30" s="1953"/>
      <c r="J30" s="1951"/>
      <c r="K30" s="1954"/>
      <c r="L30" s="240"/>
      <c r="Q30" s="129"/>
      <c r="R30" s="130"/>
    </row>
    <row r="31" spans="1:18" ht="11.25" customHeight="1">
      <c r="A31" s="1354" t="s">
        <v>2413</v>
      </c>
      <c r="B31" s="1018"/>
      <c r="C31" s="1951"/>
      <c r="D31" s="1951"/>
      <c r="E31" s="1954"/>
      <c r="F31" s="1953"/>
      <c r="G31" s="1951"/>
      <c r="H31" s="1954"/>
      <c r="I31" s="1953"/>
      <c r="J31" s="1951"/>
      <c r="K31" s="1954"/>
      <c r="L31" s="240"/>
      <c r="Q31" s="129"/>
      <c r="R31" s="130"/>
    </row>
    <row r="32" spans="1:18" ht="11.25" customHeight="1">
      <c r="A32" s="1354" t="s">
        <v>2414</v>
      </c>
      <c r="B32" s="1018"/>
      <c r="C32" s="1951"/>
      <c r="D32" s="1951"/>
      <c r="E32" s="1954"/>
      <c r="F32" s="1953"/>
      <c r="G32" s="1951"/>
      <c r="H32" s="1954"/>
      <c r="I32" s="1953"/>
      <c r="J32" s="1951"/>
      <c r="K32" s="1954"/>
      <c r="L32" s="240"/>
      <c r="Q32" s="129"/>
      <c r="R32" s="130"/>
    </row>
    <row r="33" spans="1:18" ht="11.25" customHeight="1">
      <c r="A33" s="1354" t="s">
        <v>2415</v>
      </c>
      <c r="B33" s="1018"/>
      <c r="C33" s="1951"/>
      <c r="D33" s="1951"/>
      <c r="E33" s="1954"/>
      <c r="F33" s="1953"/>
      <c r="G33" s="1951"/>
      <c r="H33" s="1954"/>
      <c r="I33" s="1953"/>
      <c r="J33" s="1951"/>
      <c r="K33" s="1954"/>
      <c r="L33" s="240"/>
      <c r="Q33" s="129"/>
      <c r="R33" s="130"/>
    </row>
    <row r="34" spans="1:18" ht="11.25" customHeight="1">
      <c r="A34" s="1354" t="s">
        <v>2416</v>
      </c>
      <c r="B34" s="1018"/>
      <c r="C34" s="1951"/>
      <c r="D34" s="1951"/>
      <c r="E34" s="1954"/>
      <c r="F34" s="1953"/>
      <c r="G34" s="1951"/>
      <c r="H34" s="1954"/>
      <c r="I34" s="1953"/>
      <c r="J34" s="1951"/>
      <c r="K34" s="1954"/>
      <c r="L34" s="240"/>
      <c r="Q34" s="129"/>
      <c r="R34" s="130"/>
    </row>
    <row r="35" spans="1:18" ht="11.25" customHeight="1">
      <c r="A35" s="1354" t="s">
        <v>2417</v>
      </c>
      <c r="B35" s="1018"/>
      <c r="C35" s="1951"/>
      <c r="D35" s="1951"/>
      <c r="E35" s="1954"/>
      <c r="F35" s="1953"/>
      <c r="G35" s="1951"/>
      <c r="H35" s="1954"/>
      <c r="I35" s="1953"/>
      <c r="J35" s="1951"/>
      <c r="K35" s="1954"/>
      <c r="L35" s="240"/>
      <c r="Q35" s="129"/>
      <c r="R35" s="130"/>
    </row>
    <row r="36" spans="1:18" ht="11.25" customHeight="1">
      <c r="A36" s="1354" t="s">
        <v>1677</v>
      </c>
      <c r="B36" s="1018"/>
      <c r="C36" s="1951"/>
      <c r="D36" s="1951"/>
      <c r="E36" s="1954"/>
      <c r="F36" s="1953"/>
      <c r="G36" s="1951"/>
      <c r="H36" s="1954"/>
      <c r="I36" s="1953"/>
      <c r="J36" s="1951"/>
      <c r="K36" s="1954"/>
      <c r="L36" s="240"/>
      <c r="Q36" s="129"/>
      <c r="R36" s="130"/>
    </row>
    <row r="37" spans="1:18" ht="11.25" customHeight="1">
      <c r="A37" s="1354" t="s">
        <v>2418</v>
      </c>
      <c r="B37" s="1018"/>
      <c r="C37" s="1951"/>
      <c r="D37" s="1951"/>
      <c r="E37" s="1954"/>
      <c r="F37" s="1953"/>
      <c r="G37" s="1951"/>
      <c r="H37" s="1954"/>
      <c r="I37" s="1953"/>
      <c r="J37" s="1951"/>
      <c r="K37" s="1954"/>
      <c r="L37" s="240"/>
      <c r="Q37" s="129"/>
      <c r="R37" s="130"/>
    </row>
    <row r="38" spans="1:18" ht="11.25" customHeight="1">
      <c r="A38" s="1354" t="s">
        <v>2419</v>
      </c>
      <c r="B38" s="1018"/>
      <c r="C38" s="1951"/>
      <c r="D38" s="1951"/>
      <c r="E38" s="1954"/>
      <c r="F38" s="1953"/>
      <c r="G38" s="1951"/>
      <c r="H38" s="1954"/>
      <c r="I38" s="1953"/>
      <c r="J38" s="1951"/>
      <c r="K38" s="1954"/>
      <c r="L38" s="240"/>
      <c r="Q38" s="129"/>
      <c r="R38" s="130"/>
    </row>
    <row r="39" spans="1:18" ht="11.25" customHeight="1">
      <c r="A39" s="1354" t="s">
        <v>2420</v>
      </c>
      <c r="B39" s="1018"/>
      <c r="C39" s="1951"/>
      <c r="D39" s="1951"/>
      <c r="E39" s="1954"/>
      <c r="F39" s="1953"/>
      <c r="G39" s="1951"/>
      <c r="H39" s="1954"/>
      <c r="I39" s="1953"/>
      <c r="J39" s="1951"/>
      <c r="K39" s="1954"/>
      <c r="L39" s="240"/>
      <c r="Q39" s="129"/>
      <c r="R39" s="130"/>
    </row>
    <row r="40" spans="1:18" ht="11.25" customHeight="1">
      <c r="A40" s="1354" t="s">
        <v>1450</v>
      </c>
      <c r="B40" s="1018"/>
      <c r="C40" s="1951">
        <v>78205.5</v>
      </c>
      <c r="D40" s="1951">
        <v>46323.5</v>
      </c>
      <c r="E40" s="1954">
        <v>37722.5</v>
      </c>
      <c r="F40" s="1953">
        <v>56136</v>
      </c>
      <c r="G40" s="1951">
        <v>56136</v>
      </c>
      <c r="H40" s="1954">
        <v>40412</v>
      </c>
      <c r="I40" s="1953">
        <v>56136</v>
      </c>
      <c r="J40" s="1951">
        <v>58719</v>
      </c>
      <c r="K40" s="1954">
        <v>61422</v>
      </c>
      <c r="L40" s="240"/>
      <c r="Q40" s="129"/>
      <c r="R40" s="130"/>
    </row>
    <row r="41" spans="1:18" ht="11.25" customHeight="1">
      <c r="A41" s="1354" t="s">
        <v>2421</v>
      </c>
      <c r="B41" s="1018"/>
      <c r="C41" s="1951"/>
      <c r="D41" s="1951"/>
      <c r="E41" s="1954"/>
      <c r="F41" s="1953"/>
      <c r="G41" s="1951"/>
      <c r="H41" s="1954"/>
      <c r="I41" s="1953"/>
      <c r="J41" s="1951"/>
      <c r="K41" s="1954"/>
      <c r="L41" s="240"/>
      <c r="Q41" s="129"/>
      <c r="R41" s="130"/>
    </row>
    <row r="42" spans="1:18" ht="11.25" customHeight="1">
      <c r="A42" s="1354" t="s">
        <v>2422</v>
      </c>
      <c r="B42" s="1018"/>
      <c r="C42" s="1951"/>
      <c r="D42" s="1951"/>
      <c r="E42" s="1954"/>
      <c r="F42" s="1953"/>
      <c r="G42" s="1951"/>
      <c r="H42" s="1954"/>
      <c r="I42" s="1953"/>
      <c r="J42" s="1951"/>
      <c r="K42" s="1954"/>
      <c r="L42" s="240"/>
      <c r="Q42" s="129"/>
      <c r="R42" s="130"/>
    </row>
    <row r="43" spans="1:18" ht="11.25" customHeight="1">
      <c r="A43" s="1354" t="s">
        <v>2423</v>
      </c>
      <c r="B43" s="1018"/>
      <c r="C43" s="1951"/>
      <c r="D43" s="1951"/>
      <c r="E43" s="1954"/>
      <c r="F43" s="1953"/>
      <c r="G43" s="1951"/>
      <c r="H43" s="1954"/>
      <c r="I43" s="1953"/>
      <c r="J43" s="1951"/>
      <c r="K43" s="1954"/>
      <c r="L43" s="240"/>
      <c r="Q43" s="129"/>
      <c r="R43" s="130"/>
    </row>
    <row r="44" spans="1:18" ht="11.25" customHeight="1">
      <c r="A44" s="1354" t="s">
        <v>2424</v>
      </c>
      <c r="B44" s="1018"/>
      <c r="C44" s="1951"/>
      <c r="D44" s="1951"/>
      <c r="E44" s="1954"/>
      <c r="F44" s="1953"/>
      <c r="G44" s="1951"/>
      <c r="H44" s="1954"/>
      <c r="I44" s="1953"/>
      <c r="J44" s="1951"/>
      <c r="K44" s="1954"/>
      <c r="L44" s="240"/>
      <c r="Q44" s="129"/>
      <c r="R44" s="130"/>
    </row>
    <row r="45" spans="1:18" ht="11.25" customHeight="1">
      <c r="A45" s="1354" t="s">
        <v>2425</v>
      </c>
      <c r="B45" s="1018"/>
      <c r="C45" s="1951"/>
      <c r="D45" s="1951"/>
      <c r="E45" s="1954"/>
      <c r="F45" s="1953"/>
      <c r="G45" s="1951"/>
      <c r="H45" s="1954"/>
      <c r="I45" s="1953"/>
      <c r="J45" s="1951"/>
      <c r="K45" s="1954"/>
      <c r="L45" s="240"/>
      <c r="Q45" s="129"/>
      <c r="R45" s="130"/>
    </row>
    <row r="46" spans="1:18" ht="11.25" customHeight="1">
      <c r="A46" s="1354" t="s">
        <v>2307</v>
      </c>
      <c r="B46" s="1018"/>
      <c r="C46" s="1951"/>
      <c r="D46" s="1951"/>
      <c r="E46" s="1954"/>
      <c r="F46" s="1953"/>
      <c r="G46" s="1951"/>
      <c r="H46" s="1954"/>
      <c r="I46" s="1953"/>
      <c r="J46" s="1951"/>
      <c r="K46" s="1954"/>
      <c r="L46" s="240"/>
      <c r="Q46" s="129"/>
      <c r="R46" s="130"/>
    </row>
    <row r="47" spans="1:18" ht="11.25" customHeight="1">
      <c r="A47" s="1354" t="s">
        <v>2426</v>
      </c>
      <c r="B47" s="1018"/>
      <c r="C47" s="1951"/>
      <c r="D47" s="1951"/>
      <c r="E47" s="1954"/>
      <c r="F47" s="1953"/>
      <c r="G47" s="1951"/>
      <c r="H47" s="1954"/>
      <c r="I47" s="1953"/>
      <c r="J47" s="1951"/>
      <c r="K47" s="1954"/>
      <c r="L47" s="240"/>
      <c r="Q47" s="129"/>
      <c r="R47" s="130"/>
    </row>
    <row r="48" spans="1:18" ht="11.25" customHeight="1">
      <c r="A48" s="1155" t="s">
        <v>124</v>
      </c>
      <c r="B48" s="1018"/>
      <c r="C48" s="971">
        <f>SUM(C49:C53)</f>
        <v>0</v>
      </c>
      <c r="D48" s="971">
        <f t="shared" ref="D48:K48" si="6">SUM(D49:D53)</f>
        <v>149130</v>
      </c>
      <c r="E48" s="1321">
        <f t="shared" si="6"/>
        <v>124948</v>
      </c>
      <c r="F48" s="972">
        <f t="shared" si="6"/>
        <v>560766</v>
      </c>
      <c r="G48" s="971">
        <f t="shared" si="6"/>
        <v>560766</v>
      </c>
      <c r="H48" s="1321">
        <f t="shared" si="6"/>
        <v>236602.82</v>
      </c>
      <c r="I48" s="972">
        <f t="shared" si="6"/>
        <v>660766</v>
      </c>
      <c r="J48" s="971">
        <f t="shared" si="6"/>
        <v>691162</v>
      </c>
      <c r="K48" s="1321">
        <f t="shared" si="6"/>
        <v>722957</v>
      </c>
      <c r="L48" s="240"/>
      <c r="Q48" s="129"/>
      <c r="R48" s="130"/>
    </row>
    <row r="49" spans="1:18" ht="11.25" customHeight="1">
      <c r="A49" s="1354" t="s">
        <v>2401</v>
      </c>
      <c r="B49" s="1018"/>
      <c r="C49" s="1951"/>
      <c r="D49" s="1951"/>
      <c r="E49" s="1954"/>
      <c r="F49" s="1953"/>
      <c r="G49" s="1951"/>
      <c r="H49" s="1954"/>
      <c r="I49" s="1953"/>
      <c r="J49" s="1951"/>
      <c r="K49" s="1954"/>
      <c r="L49" s="240"/>
      <c r="Q49" s="129"/>
      <c r="R49" s="130"/>
    </row>
    <row r="50" spans="1:18" ht="11.25" customHeight="1">
      <c r="A50" s="1354" t="s">
        <v>2402</v>
      </c>
      <c r="B50" s="1018"/>
      <c r="C50" s="1951"/>
      <c r="D50" s="1951"/>
      <c r="E50" s="1954"/>
      <c r="F50" s="1953"/>
      <c r="G50" s="1951"/>
      <c r="H50" s="1954"/>
      <c r="I50" s="1953"/>
      <c r="J50" s="1951"/>
      <c r="K50" s="1954"/>
      <c r="L50" s="240"/>
      <c r="Q50" s="129"/>
      <c r="R50" s="130"/>
    </row>
    <row r="51" spans="1:18" ht="11.25" customHeight="1">
      <c r="A51" s="1354" t="s">
        <v>2403</v>
      </c>
      <c r="B51" s="1018"/>
      <c r="C51" s="1951"/>
      <c r="D51" s="1951"/>
      <c r="E51" s="1954"/>
      <c r="F51" s="1953"/>
      <c r="G51" s="1951"/>
      <c r="H51" s="1954"/>
      <c r="I51" s="1953"/>
      <c r="J51" s="1951"/>
      <c r="K51" s="1954"/>
      <c r="L51" s="240"/>
      <c r="Q51" s="129"/>
      <c r="R51" s="130"/>
    </row>
    <row r="52" spans="1:18" ht="11.25" customHeight="1">
      <c r="A52" s="1354" t="s">
        <v>2404</v>
      </c>
      <c r="B52" s="1018"/>
      <c r="C52" s="1951"/>
      <c r="D52" s="1951">
        <v>149130</v>
      </c>
      <c r="E52" s="1954">
        <v>124948</v>
      </c>
      <c r="F52" s="1953">
        <v>560766</v>
      </c>
      <c r="G52" s="1951">
        <v>560766</v>
      </c>
      <c r="H52" s="1954">
        <v>236602.82</v>
      </c>
      <c r="I52" s="1953">
        <v>660766</v>
      </c>
      <c r="J52" s="1951">
        <v>691162</v>
      </c>
      <c r="K52" s="1954">
        <v>722957</v>
      </c>
      <c r="L52" s="240"/>
      <c r="Q52" s="129"/>
      <c r="R52" s="130"/>
    </row>
    <row r="53" spans="1:18" ht="11.25" customHeight="1">
      <c r="A53" s="1354" t="s">
        <v>2405</v>
      </c>
      <c r="B53" s="1018"/>
      <c r="C53" s="1951"/>
      <c r="D53" s="1951"/>
      <c r="E53" s="1954"/>
      <c r="F53" s="1953"/>
      <c r="G53" s="1951"/>
      <c r="H53" s="1954"/>
      <c r="I53" s="1953"/>
      <c r="J53" s="1951"/>
      <c r="K53" s="1954"/>
      <c r="L53" s="240"/>
      <c r="Q53" s="129"/>
      <c r="R53" s="130"/>
    </row>
    <row r="54" spans="1:18" ht="11.25" customHeight="1">
      <c r="A54" s="1155" t="s">
        <v>125</v>
      </c>
      <c r="B54" s="1018"/>
      <c r="C54" s="971">
        <f t="shared" ref="C54:K54" si="7">SUM(C55:C62)</f>
        <v>43333907</v>
      </c>
      <c r="D54" s="971">
        <f t="shared" si="7"/>
        <v>37451500</v>
      </c>
      <c r="E54" s="1321">
        <f t="shared" si="7"/>
        <v>31635630</v>
      </c>
      <c r="F54" s="972">
        <f t="shared" si="7"/>
        <v>38001000</v>
      </c>
      <c r="G54" s="971">
        <f t="shared" si="7"/>
        <v>38001000</v>
      </c>
      <c r="H54" s="1321">
        <f t="shared" si="7"/>
        <v>1588340</v>
      </c>
      <c r="I54" s="972">
        <f t="shared" si="7"/>
        <v>38001000</v>
      </c>
      <c r="J54" s="971">
        <f t="shared" si="7"/>
        <v>39749046</v>
      </c>
      <c r="K54" s="1321">
        <f t="shared" si="7"/>
        <v>41577502.115999997</v>
      </c>
      <c r="L54" s="240"/>
      <c r="Q54" s="129"/>
      <c r="R54" s="130"/>
    </row>
    <row r="55" spans="1:18" ht="11.25" customHeight="1">
      <c r="A55" s="1354" t="s">
        <v>683</v>
      </c>
      <c r="B55" s="1018"/>
      <c r="C55" s="1951"/>
      <c r="D55" s="1951"/>
      <c r="E55" s="1954"/>
      <c r="F55" s="1953"/>
      <c r="G55" s="1951"/>
      <c r="H55" s="1954"/>
      <c r="I55" s="1953"/>
      <c r="J55" s="1951"/>
      <c r="K55" s="1954"/>
      <c r="L55" s="240"/>
      <c r="Q55" s="129"/>
      <c r="R55" s="130"/>
    </row>
    <row r="56" spans="1:18" ht="11.25" customHeight="1">
      <c r="A56" s="1354" t="s">
        <v>2406</v>
      </c>
      <c r="B56" s="1018"/>
      <c r="C56" s="1951"/>
      <c r="D56" s="1951"/>
      <c r="E56" s="1954"/>
      <c r="F56" s="1953"/>
      <c r="G56" s="1951"/>
      <c r="H56" s="1954"/>
      <c r="I56" s="1953"/>
      <c r="J56" s="1951"/>
      <c r="K56" s="1954"/>
      <c r="L56" s="240"/>
      <c r="Q56" s="129"/>
      <c r="R56" s="130"/>
    </row>
    <row r="57" spans="1:18" ht="11.25" customHeight="1">
      <c r="A57" s="1354" t="s">
        <v>2407</v>
      </c>
      <c r="B57" s="1018"/>
      <c r="C57" s="1951">
        <v>43333907</v>
      </c>
      <c r="D57" s="1951">
        <v>37451500</v>
      </c>
      <c r="E57" s="1954">
        <v>31635630</v>
      </c>
      <c r="F57" s="1953">
        <v>38001000</v>
      </c>
      <c r="G57" s="1951">
        <v>38001000</v>
      </c>
      <c r="H57" s="1954">
        <v>1588340</v>
      </c>
      <c r="I57" s="1953">
        <v>38001000</v>
      </c>
      <c r="J57" s="1951">
        <v>39749046</v>
      </c>
      <c r="K57" s="1954">
        <v>41577502.115999997</v>
      </c>
      <c r="L57" s="240"/>
      <c r="Q57" s="129"/>
      <c r="R57" s="130"/>
    </row>
    <row r="58" spans="1:18" ht="11.25" customHeight="1">
      <c r="A58" s="1354" t="s">
        <v>2408</v>
      </c>
      <c r="B58" s="1018"/>
      <c r="C58" s="1951"/>
      <c r="D58" s="1951"/>
      <c r="E58" s="1954"/>
      <c r="F58" s="1953"/>
      <c r="G58" s="1951"/>
      <c r="H58" s="1954"/>
      <c r="I58" s="1953"/>
      <c r="J58" s="1951"/>
      <c r="K58" s="1954"/>
      <c r="L58" s="240"/>
      <c r="Q58" s="129"/>
      <c r="R58" s="130"/>
    </row>
    <row r="59" spans="1:18" ht="11.25" customHeight="1">
      <c r="A59" s="1354" t="s">
        <v>2409</v>
      </c>
      <c r="B59" s="1018"/>
      <c r="C59" s="1951"/>
      <c r="D59" s="1951"/>
      <c r="E59" s="1954"/>
      <c r="F59" s="1953"/>
      <c r="G59" s="1951"/>
      <c r="H59" s="1954"/>
      <c r="I59" s="1953"/>
      <c r="J59" s="1951"/>
      <c r="K59" s="1954"/>
      <c r="L59" s="240"/>
      <c r="Q59" s="129"/>
      <c r="R59" s="130"/>
    </row>
    <row r="60" spans="1:18" ht="11.25" customHeight="1">
      <c r="A60" s="1354" t="s">
        <v>2410</v>
      </c>
      <c r="B60" s="1018"/>
      <c r="C60" s="1951"/>
      <c r="D60" s="1951"/>
      <c r="E60" s="1954"/>
      <c r="F60" s="1953"/>
      <c r="G60" s="1951"/>
      <c r="H60" s="1954"/>
      <c r="I60" s="1953"/>
      <c r="J60" s="1951"/>
      <c r="K60" s="1954"/>
      <c r="L60" s="240"/>
      <c r="Q60" s="129"/>
      <c r="R60" s="130"/>
    </row>
    <row r="61" spans="1:18" ht="11.25" customHeight="1">
      <c r="A61" s="1354" t="s">
        <v>2437</v>
      </c>
      <c r="B61" s="1018"/>
      <c r="C61" s="1951"/>
      <c r="D61" s="1951"/>
      <c r="E61" s="1954"/>
      <c r="F61" s="1953"/>
      <c r="G61" s="1951"/>
      <c r="H61" s="1954"/>
      <c r="I61" s="1953"/>
      <c r="J61" s="1951"/>
      <c r="K61" s="1954"/>
      <c r="L61" s="240"/>
      <c r="Q61" s="129"/>
      <c r="R61" s="130"/>
    </row>
    <row r="62" spans="1:18" ht="11.25" customHeight="1">
      <c r="A62" s="1354" t="s">
        <v>2438</v>
      </c>
      <c r="B62" s="1018"/>
      <c r="C62" s="1951"/>
      <c r="D62" s="1951"/>
      <c r="E62" s="1954"/>
      <c r="F62" s="1953"/>
      <c r="G62" s="1951"/>
      <c r="H62" s="1954"/>
      <c r="I62" s="1953"/>
      <c r="J62" s="1951"/>
      <c r="K62" s="1954"/>
      <c r="L62" s="240"/>
      <c r="Q62" s="129"/>
      <c r="R62" s="130"/>
    </row>
    <row r="63" spans="1:18" ht="11.25" customHeight="1">
      <c r="A63" s="1155" t="s">
        <v>1493</v>
      </c>
      <c r="B63" s="1018"/>
      <c r="C63" s="971">
        <f>SUM(C64:C65)</f>
        <v>2153837.31</v>
      </c>
      <c r="D63" s="971">
        <f t="shared" ref="D63:K63" si="8">SUM(D64:D65)</f>
        <v>2308823.6</v>
      </c>
      <c r="E63" s="1321">
        <f t="shared" si="8"/>
        <v>2724294.14</v>
      </c>
      <c r="F63" s="972">
        <f t="shared" si="8"/>
        <v>2461225</v>
      </c>
      <c r="G63" s="971">
        <f t="shared" si="8"/>
        <v>2461225</v>
      </c>
      <c r="H63" s="1321">
        <f t="shared" si="8"/>
        <v>1993850.98</v>
      </c>
      <c r="I63" s="972">
        <f t="shared" si="8"/>
        <v>1659225</v>
      </c>
      <c r="J63" s="971">
        <f t="shared" si="8"/>
        <v>1735550</v>
      </c>
      <c r="K63" s="1321">
        <f t="shared" si="8"/>
        <v>1815386</v>
      </c>
      <c r="L63" s="240"/>
      <c r="Q63" s="129"/>
      <c r="R63" s="130"/>
    </row>
    <row r="64" spans="1:18" ht="11.25" customHeight="1">
      <c r="A64" s="1354" t="s">
        <v>1493</v>
      </c>
      <c r="B64" s="1018"/>
      <c r="C64" s="1951">
        <v>2153837.31</v>
      </c>
      <c r="D64" s="1951">
        <v>2308823.6</v>
      </c>
      <c r="E64" s="1954">
        <v>2724294.14</v>
      </c>
      <c r="F64" s="1953">
        <v>2461225</v>
      </c>
      <c r="G64" s="1951">
        <v>2461225</v>
      </c>
      <c r="H64" s="1954">
        <v>1993850.98</v>
      </c>
      <c r="I64" s="1953">
        <v>1659225</v>
      </c>
      <c r="J64" s="1951">
        <v>1735550</v>
      </c>
      <c r="K64" s="1954">
        <v>1815386</v>
      </c>
      <c r="L64" s="240"/>
      <c r="Q64" s="129"/>
      <c r="R64" s="130"/>
    </row>
    <row r="65" spans="1:18" ht="11.25" customHeight="1">
      <c r="A65" s="1354" t="s">
        <v>2400</v>
      </c>
      <c r="B65" s="1018"/>
      <c r="C65" s="1951"/>
      <c r="D65" s="1951"/>
      <c r="E65" s="1954"/>
      <c r="F65" s="1953"/>
      <c r="G65" s="1951"/>
      <c r="H65" s="1954"/>
      <c r="I65" s="1953"/>
      <c r="J65" s="1951"/>
      <c r="K65" s="1954"/>
      <c r="L65" s="240"/>
      <c r="Q65" s="129"/>
      <c r="R65" s="130"/>
    </row>
    <row r="66" spans="1:18" ht="11.25" customHeight="1">
      <c r="A66" s="1155" t="s">
        <v>1557</v>
      </c>
      <c r="B66" s="1018"/>
      <c r="C66" s="971">
        <f>SUM(C67:C73)</f>
        <v>46061.2</v>
      </c>
      <c r="D66" s="971">
        <f t="shared" ref="D66:K66" si="9">SUM(D67:D73)</f>
        <v>23856.37</v>
      </c>
      <c r="E66" s="1321">
        <f t="shared" si="9"/>
        <v>212999.42</v>
      </c>
      <c r="F66" s="972">
        <f t="shared" si="9"/>
        <v>13000</v>
      </c>
      <c r="G66" s="971">
        <f t="shared" si="9"/>
        <v>13000</v>
      </c>
      <c r="H66" s="1321">
        <f t="shared" si="9"/>
        <v>12802.2</v>
      </c>
      <c r="I66" s="972">
        <f t="shared" si="9"/>
        <v>13000</v>
      </c>
      <c r="J66" s="971">
        <f t="shared" si="9"/>
        <v>13598</v>
      </c>
      <c r="K66" s="1321">
        <f t="shared" si="9"/>
        <v>14224</v>
      </c>
      <c r="L66" s="240"/>
      <c r="Q66" s="129"/>
      <c r="R66" s="130"/>
    </row>
    <row r="67" spans="1:18" ht="11.25" customHeight="1">
      <c r="A67" s="1354" t="s">
        <v>535</v>
      </c>
      <c r="B67" s="1018"/>
      <c r="C67" s="1951"/>
      <c r="D67" s="1951"/>
      <c r="E67" s="1954"/>
      <c r="F67" s="1953"/>
      <c r="G67" s="1951"/>
      <c r="H67" s="1954"/>
      <c r="I67" s="1953"/>
      <c r="J67" s="1951"/>
      <c r="K67" s="1954"/>
      <c r="L67" s="240"/>
      <c r="Q67" s="129"/>
      <c r="R67" s="130"/>
    </row>
    <row r="68" spans="1:18" ht="11.25" customHeight="1">
      <c r="A68" s="1354" t="s">
        <v>2394</v>
      </c>
      <c r="B68" s="1018"/>
      <c r="C68" s="1951">
        <v>46061.2</v>
      </c>
      <c r="D68" s="1951">
        <v>23856.37</v>
      </c>
      <c r="E68" s="1954">
        <v>212999.42</v>
      </c>
      <c r="F68" s="1953">
        <v>13000</v>
      </c>
      <c r="G68" s="1951">
        <v>13000</v>
      </c>
      <c r="H68" s="1954">
        <v>12802.2</v>
      </c>
      <c r="I68" s="1953">
        <v>13000</v>
      </c>
      <c r="J68" s="1951">
        <v>13598</v>
      </c>
      <c r="K68" s="1954">
        <v>14224</v>
      </c>
      <c r="L68" s="240"/>
      <c r="Q68" s="129"/>
      <c r="R68" s="130"/>
    </row>
    <row r="69" spans="1:18" ht="11.25" customHeight="1">
      <c r="A69" s="1354" t="s">
        <v>2395</v>
      </c>
      <c r="B69" s="1018"/>
      <c r="C69" s="1951"/>
      <c r="D69" s="1951"/>
      <c r="E69" s="1954"/>
      <c r="F69" s="1953"/>
      <c r="G69" s="1951"/>
      <c r="H69" s="1954"/>
      <c r="I69" s="1953"/>
      <c r="J69" s="1951"/>
      <c r="K69" s="1954"/>
      <c r="L69" s="240"/>
      <c r="Q69" s="129"/>
      <c r="R69" s="130"/>
    </row>
    <row r="70" spans="1:18" ht="11.25" customHeight="1">
      <c r="A70" s="1354" t="s">
        <v>2396</v>
      </c>
      <c r="B70" s="1018"/>
      <c r="C70" s="1951"/>
      <c r="D70" s="1951"/>
      <c r="E70" s="1954"/>
      <c r="F70" s="1953"/>
      <c r="G70" s="1951"/>
      <c r="H70" s="1954"/>
      <c r="I70" s="1953"/>
      <c r="J70" s="1951"/>
      <c r="K70" s="1954"/>
      <c r="L70" s="240"/>
      <c r="Q70" s="129"/>
      <c r="R70" s="130"/>
    </row>
    <row r="71" spans="1:18" ht="11.25" customHeight="1">
      <c r="A71" s="1354" t="s">
        <v>2397</v>
      </c>
      <c r="B71" s="1018"/>
      <c r="C71" s="1951"/>
      <c r="D71" s="1951"/>
      <c r="E71" s="1954"/>
      <c r="F71" s="1953"/>
      <c r="G71" s="1951"/>
      <c r="H71" s="1954"/>
      <c r="I71" s="1953"/>
      <c r="J71" s="1951"/>
      <c r="K71" s="1954"/>
      <c r="L71" s="240"/>
      <c r="Q71" s="129"/>
      <c r="R71" s="130"/>
    </row>
    <row r="72" spans="1:18" ht="11.25" customHeight="1">
      <c r="A72" s="1354" t="s">
        <v>2398</v>
      </c>
      <c r="B72" s="1018"/>
      <c r="C72" s="1951"/>
      <c r="D72" s="1951"/>
      <c r="E72" s="1954"/>
      <c r="F72" s="1953"/>
      <c r="G72" s="1951"/>
      <c r="H72" s="1954"/>
      <c r="I72" s="1953"/>
      <c r="J72" s="1951"/>
      <c r="K72" s="1954"/>
      <c r="L72" s="240"/>
      <c r="Q72" s="129"/>
      <c r="R72" s="130"/>
    </row>
    <row r="73" spans="1:18" ht="11.25" customHeight="1">
      <c r="A73" s="1354" t="s">
        <v>2399</v>
      </c>
      <c r="B73" s="1018"/>
      <c r="C73" s="1951"/>
      <c r="D73" s="1951"/>
      <c r="E73" s="1954"/>
      <c r="F73" s="1953"/>
      <c r="G73" s="1951"/>
      <c r="H73" s="1954"/>
      <c r="I73" s="1953"/>
      <c r="J73" s="1951"/>
      <c r="K73" s="1954"/>
      <c r="L73" s="240"/>
      <c r="Q73" s="129"/>
      <c r="R73" s="130"/>
    </row>
    <row r="74" spans="1:18" ht="11.25" customHeight="1">
      <c r="A74" s="1101" t="s">
        <v>126</v>
      </c>
      <c r="B74" s="962"/>
      <c r="C74" s="1160">
        <f t="shared" ref="C74:K74" si="10">C75+C86+C91</f>
        <v>139955222.25</v>
      </c>
      <c r="D74" s="1160">
        <f t="shared" si="10"/>
        <v>113896631</v>
      </c>
      <c r="E74" s="1320">
        <f t="shared" si="10"/>
        <v>94549127.040000007</v>
      </c>
      <c r="F74" s="1161">
        <f t="shared" si="10"/>
        <v>148244516</v>
      </c>
      <c r="G74" s="1160">
        <f t="shared" si="10"/>
        <v>148244516</v>
      </c>
      <c r="H74" s="1320">
        <f t="shared" si="10"/>
        <v>154577644.47999999</v>
      </c>
      <c r="I74" s="1161">
        <f t="shared" si="10"/>
        <v>152700516</v>
      </c>
      <c r="J74" s="1160">
        <f t="shared" si="10"/>
        <v>163725265.986</v>
      </c>
      <c r="K74" s="1320">
        <f t="shared" si="10"/>
        <v>172646033.395356</v>
      </c>
      <c r="L74" s="240"/>
      <c r="Q74" s="129"/>
      <c r="R74" s="130"/>
    </row>
    <row r="75" spans="1:18" ht="11.25" customHeight="1">
      <c r="A75" s="1155" t="s">
        <v>127</v>
      </c>
      <c r="B75" s="962"/>
      <c r="C75" s="971">
        <f>SUM(C76:C85)</f>
        <v>5686995.25</v>
      </c>
      <c r="D75" s="971">
        <f t="shared" ref="D75:K75" si="11">SUM(D76:D85)</f>
        <v>271294</v>
      </c>
      <c r="E75" s="1321">
        <f t="shared" si="11"/>
        <v>3372625</v>
      </c>
      <c r="F75" s="972">
        <f t="shared" si="11"/>
        <v>300125</v>
      </c>
      <c r="G75" s="971">
        <f t="shared" si="11"/>
        <v>300125</v>
      </c>
      <c r="H75" s="1321">
        <f t="shared" si="11"/>
        <v>290694.48</v>
      </c>
      <c r="I75" s="972">
        <f t="shared" si="11"/>
        <v>400125</v>
      </c>
      <c r="J75" s="971">
        <f t="shared" si="11"/>
        <v>418531</v>
      </c>
      <c r="K75" s="1321">
        <f t="shared" si="11"/>
        <v>437784.6</v>
      </c>
      <c r="L75" s="240"/>
      <c r="Q75" s="129"/>
      <c r="R75" s="130"/>
    </row>
    <row r="76" spans="1:18" ht="11.25" customHeight="1">
      <c r="A76" s="1354" t="s">
        <v>2427</v>
      </c>
      <c r="B76" s="962"/>
      <c r="C76" s="1951"/>
      <c r="D76" s="1951"/>
      <c r="E76" s="1954"/>
      <c r="F76" s="1953"/>
      <c r="G76" s="1951"/>
      <c r="H76" s="1954"/>
      <c r="I76" s="1953">
        <v>0</v>
      </c>
      <c r="J76" s="1951">
        <v>0</v>
      </c>
      <c r="K76" s="1954">
        <v>0</v>
      </c>
      <c r="L76" s="240"/>
      <c r="Q76" s="129"/>
      <c r="R76" s="130"/>
    </row>
    <row r="77" spans="1:18" ht="11.25" customHeight="1">
      <c r="A77" s="1354" t="s">
        <v>2428</v>
      </c>
      <c r="B77" s="962"/>
      <c r="C77" s="1951">
        <v>5536146.2800000003</v>
      </c>
      <c r="D77" s="1951">
        <v>50468</v>
      </c>
      <c r="E77" s="1954">
        <f>23230+217388+2898502</f>
        <v>3139120</v>
      </c>
      <c r="F77" s="1953">
        <v>100125</v>
      </c>
      <c r="G77" s="1951">
        <v>100125</v>
      </c>
      <c r="H77" s="1954">
        <v>2720</v>
      </c>
      <c r="I77" s="1953">
        <v>200125</v>
      </c>
      <c r="J77" s="1951">
        <v>209331</v>
      </c>
      <c r="K77" s="1954">
        <v>218960.6</v>
      </c>
      <c r="L77" s="240"/>
      <c r="Q77" s="129"/>
      <c r="R77" s="130"/>
    </row>
    <row r="78" spans="1:18" ht="11.25" customHeight="1">
      <c r="A78" s="1354" t="s">
        <v>2429</v>
      </c>
      <c r="B78" s="962"/>
      <c r="C78" s="1951"/>
      <c r="D78" s="1951"/>
      <c r="E78" s="1954"/>
      <c r="F78" s="1953"/>
      <c r="G78" s="1951"/>
      <c r="H78" s="1954"/>
      <c r="I78" s="1953">
        <v>0</v>
      </c>
      <c r="J78" s="1951">
        <v>0</v>
      </c>
      <c r="K78" s="1954">
        <v>0</v>
      </c>
      <c r="L78" s="240"/>
      <c r="Q78" s="129"/>
      <c r="R78" s="130"/>
    </row>
    <row r="79" spans="1:18" ht="11.25" customHeight="1">
      <c r="A79" s="1354" t="s">
        <v>2430</v>
      </c>
      <c r="B79" s="962"/>
      <c r="C79" s="1951"/>
      <c r="D79" s="1951"/>
      <c r="E79" s="1954"/>
      <c r="F79" s="1953"/>
      <c r="G79" s="1951"/>
      <c r="H79" s="1954"/>
      <c r="I79" s="1953">
        <v>0</v>
      </c>
      <c r="J79" s="1951">
        <v>0</v>
      </c>
      <c r="K79" s="1954">
        <v>0</v>
      </c>
      <c r="L79" s="240"/>
      <c r="Q79" s="129"/>
      <c r="R79" s="130"/>
    </row>
    <row r="80" spans="1:18" ht="11.25" customHeight="1">
      <c r="A80" s="1354" t="s">
        <v>2431</v>
      </c>
      <c r="B80" s="962"/>
      <c r="C80" s="1951"/>
      <c r="D80" s="1951"/>
      <c r="E80" s="1954"/>
      <c r="F80" s="1953"/>
      <c r="G80" s="1951"/>
      <c r="H80" s="1954"/>
      <c r="I80" s="1953">
        <v>0</v>
      </c>
      <c r="J80" s="1951">
        <v>0</v>
      </c>
      <c r="K80" s="1954">
        <v>0</v>
      </c>
      <c r="L80" s="240"/>
      <c r="Q80" s="129"/>
      <c r="R80" s="130"/>
    </row>
    <row r="81" spans="1:18" ht="11.25" customHeight="1">
      <c r="A81" s="1354" t="s">
        <v>2432</v>
      </c>
      <c r="B81" s="962"/>
      <c r="C81" s="1951"/>
      <c r="D81" s="1951"/>
      <c r="E81" s="1954"/>
      <c r="F81" s="1953"/>
      <c r="G81" s="1951"/>
      <c r="H81" s="1954"/>
      <c r="I81" s="1953">
        <v>0</v>
      </c>
      <c r="J81" s="1951">
        <v>0</v>
      </c>
      <c r="K81" s="1954">
        <v>0</v>
      </c>
      <c r="L81" s="240"/>
      <c r="Q81" s="129"/>
      <c r="R81" s="130"/>
    </row>
    <row r="82" spans="1:18" ht="11.25" customHeight="1">
      <c r="A82" s="1354" t="s">
        <v>2433</v>
      </c>
      <c r="B82" s="962"/>
      <c r="C82" s="1951">
        <v>150848.97</v>
      </c>
      <c r="D82" s="1951">
        <v>220826</v>
      </c>
      <c r="E82" s="1954">
        <v>233505</v>
      </c>
      <c r="F82" s="1953">
        <v>200000</v>
      </c>
      <c r="G82" s="1951">
        <v>200000</v>
      </c>
      <c r="H82" s="1954">
        <v>287974.48</v>
      </c>
      <c r="I82" s="1953">
        <v>200000</v>
      </c>
      <c r="J82" s="1951">
        <v>209200</v>
      </c>
      <c r="K82" s="1954">
        <v>218824</v>
      </c>
      <c r="L82" s="240"/>
      <c r="Q82" s="129"/>
      <c r="R82" s="130"/>
    </row>
    <row r="83" spans="1:18" ht="11.25" customHeight="1">
      <c r="A83" s="1354" t="s">
        <v>2434</v>
      </c>
      <c r="B83" s="962"/>
      <c r="C83" s="1951"/>
      <c r="D83" s="1951"/>
      <c r="E83" s="1954"/>
      <c r="F83" s="1953"/>
      <c r="G83" s="1951"/>
      <c r="H83" s="1954"/>
      <c r="I83" s="1953">
        <v>0</v>
      </c>
      <c r="J83" s="1951">
        <v>0</v>
      </c>
      <c r="K83" s="1954">
        <v>0</v>
      </c>
      <c r="L83" s="240"/>
      <c r="Q83" s="129"/>
      <c r="R83" s="130"/>
    </row>
    <row r="84" spans="1:18" ht="11.25" customHeight="1">
      <c r="A84" s="1354" t="s">
        <v>2435</v>
      </c>
      <c r="B84" s="962"/>
      <c r="C84" s="1951"/>
      <c r="D84" s="1951"/>
      <c r="E84" s="1954"/>
      <c r="F84" s="1953"/>
      <c r="G84" s="1951"/>
      <c r="H84" s="1954"/>
      <c r="I84" s="1953">
        <v>0</v>
      </c>
      <c r="J84" s="1951">
        <v>0</v>
      </c>
      <c r="K84" s="1954">
        <v>0</v>
      </c>
      <c r="L84" s="240"/>
      <c r="Q84" s="129"/>
      <c r="R84" s="130"/>
    </row>
    <row r="85" spans="1:18" ht="11.25" customHeight="1">
      <c r="A85" s="1354" t="s">
        <v>2436</v>
      </c>
      <c r="B85" s="962"/>
      <c r="C85" s="1951"/>
      <c r="D85" s="1951"/>
      <c r="E85" s="1954"/>
      <c r="F85" s="1953"/>
      <c r="G85" s="1951"/>
      <c r="H85" s="1954"/>
      <c r="I85" s="1953">
        <v>0</v>
      </c>
      <c r="J85" s="1951">
        <v>0</v>
      </c>
      <c r="K85" s="1954">
        <v>0</v>
      </c>
      <c r="L85" s="240"/>
      <c r="Q85" s="129"/>
      <c r="R85" s="130"/>
    </row>
    <row r="86" spans="1:18" ht="11.25" customHeight="1">
      <c r="A86" s="1155" t="s">
        <v>128</v>
      </c>
      <c r="B86" s="962"/>
      <c r="C86" s="971">
        <f t="shared" ref="C86:K86" si="12">SUM(C87:C90)</f>
        <v>134268227</v>
      </c>
      <c r="D86" s="971">
        <f t="shared" si="12"/>
        <v>113625337</v>
      </c>
      <c r="E86" s="1321">
        <f t="shared" si="12"/>
        <v>91176502.040000007</v>
      </c>
      <c r="F86" s="972">
        <f t="shared" si="12"/>
        <v>147944391</v>
      </c>
      <c r="G86" s="971">
        <f t="shared" si="12"/>
        <v>147944391</v>
      </c>
      <c r="H86" s="1321">
        <f t="shared" si="12"/>
        <v>154286950</v>
      </c>
      <c r="I86" s="972">
        <f t="shared" si="12"/>
        <v>152300391</v>
      </c>
      <c r="J86" s="971">
        <f t="shared" si="12"/>
        <v>163306734.986</v>
      </c>
      <c r="K86" s="1321">
        <f t="shared" si="12"/>
        <v>172208248.79535601</v>
      </c>
      <c r="L86" s="240"/>
      <c r="Q86" s="129"/>
      <c r="R86" s="130"/>
    </row>
    <row r="87" spans="1:18" ht="11.25" customHeight="1">
      <c r="A87" s="1354" t="s">
        <v>2439</v>
      </c>
      <c r="B87" s="962"/>
      <c r="C87" s="1951"/>
      <c r="D87" s="1951"/>
      <c r="E87" s="1954"/>
      <c r="F87" s="1953"/>
      <c r="G87" s="1951"/>
      <c r="H87" s="1954"/>
      <c r="I87" s="1953"/>
      <c r="J87" s="1951"/>
      <c r="K87" s="1954"/>
      <c r="L87" s="240"/>
      <c r="Q87" s="129"/>
      <c r="R87" s="130"/>
    </row>
    <row r="88" spans="1:18" ht="11.25" customHeight="1">
      <c r="A88" s="1354" t="s">
        <v>2440</v>
      </c>
      <c r="B88" s="962"/>
      <c r="C88" s="1951"/>
      <c r="D88" s="1951"/>
      <c r="E88" s="1954"/>
      <c r="F88" s="1953"/>
      <c r="G88" s="1951"/>
      <c r="H88" s="1954"/>
      <c r="I88" s="1953"/>
      <c r="J88" s="1951"/>
      <c r="K88" s="1954"/>
      <c r="L88" s="240"/>
      <c r="Q88" s="129"/>
      <c r="R88" s="130"/>
    </row>
    <row r="89" spans="1:18" ht="11.25" customHeight="1">
      <c r="A89" s="1354" t="s">
        <v>632</v>
      </c>
      <c r="B89" s="962"/>
      <c r="C89" s="1951">
        <v>134268227</v>
      </c>
      <c r="D89" s="2779">
        <v>113625337</v>
      </c>
      <c r="E89" s="1954">
        <v>91176502.040000007</v>
      </c>
      <c r="F89" s="1953">
        <v>147944391</v>
      </c>
      <c r="G89" s="1951">
        <v>147944391</v>
      </c>
      <c r="H89" s="1954">
        <v>154286950</v>
      </c>
      <c r="I89" s="1953">
        <v>152300391</v>
      </c>
      <c r="J89" s="1951">
        <v>163306734.986</v>
      </c>
      <c r="K89" s="1954">
        <v>172208248.79535601</v>
      </c>
      <c r="L89" s="240"/>
      <c r="Q89" s="129"/>
      <c r="R89" s="130"/>
    </row>
    <row r="90" spans="1:18" ht="11.25" customHeight="1">
      <c r="A90" s="1354" t="s">
        <v>2441</v>
      </c>
      <c r="B90" s="962"/>
      <c r="C90" s="1951"/>
      <c r="D90" s="1951"/>
      <c r="E90" s="1954"/>
      <c r="F90" s="1953"/>
      <c r="G90" s="1951"/>
      <c r="H90" s="1954"/>
      <c r="I90" s="1953"/>
      <c r="J90" s="1951"/>
      <c r="K90" s="1954"/>
      <c r="L90" s="240"/>
      <c r="Q90" s="129"/>
      <c r="R90" s="130"/>
    </row>
    <row r="91" spans="1:18" ht="11.25" customHeight="1">
      <c r="A91" s="1155" t="s">
        <v>129</v>
      </c>
      <c r="B91" s="962"/>
      <c r="C91" s="971">
        <f>SUM(C92:C97)</f>
        <v>0</v>
      </c>
      <c r="D91" s="971">
        <f t="shared" ref="D91:K91" si="13">SUM(D92:D97)</f>
        <v>0</v>
      </c>
      <c r="E91" s="1321">
        <f t="shared" si="13"/>
        <v>0</v>
      </c>
      <c r="F91" s="972">
        <f t="shared" si="13"/>
        <v>0</v>
      </c>
      <c r="G91" s="971">
        <f t="shared" si="13"/>
        <v>0</v>
      </c>
      <c r="H91" s="1321">
        <f t="shared" si="13"/>
        <v>0</v>
      </c>
      <c r="I91" s="972">
        <f t="shared" si="13"/>
        <v>0</v>
      </c>
      <c r="J91" s="971">
        <f t="shared" si="13"/>
        <v>0</v>
      </c>
      <c r="K91" s="1321">
        <f t="shared" si="13"/>
        <v>0</v>
      </c>
      <c r="L91" s="240"/>
      <c r="Q91" s="129"/>
      <c r="R91" s="130"/>
    </row>
    <row r="92" spans="1:18" ht="11.25" customHeight="1">
      <c r="A92" s="1354" t="s">
        <v>2442</v>
      </c>
      <c r="B92" s="962"/>
      <c r="C92" s="1951"/>
      <c r="D92" s="1951"/>
      <c r="E92" s="1954"/>
      <c r="F92" s="1953"/>
      <c r="G92" s="1951"/>
      <c r="H92" s="1954"/>
      <c r="I92" s="1953"/>
      <c r="J92" s="1951"/>
      <c r="K92" s="1954"/>
      <c r="L92" s="240"/>
      <c r="Q92" s="129"/>
      <c r="R92" s="130"/>
    </row>
    <row r="93" spans="1:18" ht="11.25" customHeight="1">
      <c r="A93" s="1354" t="s">
        <v>2443</v>
      </c>
      <c r="B93" s="962"/>
      <c r="C93" s="1951"/>
      <c r="D93" s="1951"/>
      <c r="E93" s="1954"/>
      <c r="F93" s="1953"/>
      <c r="G93" s="1951"/>
      <c r="H93" s="1954"/>
      <c r="I93" s="1953"/>
      <c r="J93" s="1951"/>
      <c r="K93" s="1954"/>
      <c r="L93" s="240"/>
      <c r="Q93" s="129"/>
      <c r="R93" s="130"/>
    </row>
    <row r="94" spans="1:18" ht="11.25" customHeight="1">
      <c r="A94" s="1354" t="s">
        <v>2444</v>
      </c>
      <c r="B94" s="962"/>
      <c r="C94" s="1951"/>
      <c r="D94" s="1951"/>
      <c r="E94" s="1954"/>
      <c r="F94" s="1953"/>
      <c r="G94" s="1951"/>
      <c r="H94" s="1954"/>
      <c r="I94" s="1953"/>
      <c r="J94" s="1951"/>
      <c r="K94" s="1954"/>
      <c r="L94" s="240"/>
      <c r="Q94" s="129"/>
      <c r="R94" s="130"/>
    </row>
    <row r="95" spans="1:18" ht="11.25" customHeight="1">
      <c r="A95" s="1354" t="s">
        <v>2445</v>
      </c>
      <c r="B95" s="962"/>
      <c r="C95" s="1951"/>
      <c r="D95" s="1951"/>
      <c r="E95" s="1954"/>
      <c r="F95" s="1953"/>
      <c r="G95" s="1951"/>
      <c r="H95" s="1954"/>
      <c r="I95" s="1953"/>
      <c r="J95" s="1951"/>
      <c r="K95" s="1954"/>
      <c r="L95" s="240"/>
      <c r="Q95" s="129"/>
      <c r="R95" s="130"/>
    </row>
    <row r="96" spans="1:18" ht="11.25" customHeight="1">
      <c r="A96" s="1354" t="s">
        <v>628</v>
      </c>
      <c r="B96" s="962"/>
      <c r="C96" s="1951"/>
      <c r="D96" s="1951"/>
      <c r="E96" s="1954"/>
      <c r="F96" s="1953"/>
      <c r="G96" s="1951"/>
      <c r="H96" s="1954"/>
      <c r="I96" s="1953"/>
      <c r="J96" s="1951"/>
      <c r="K96" s="1954"/>
      <c r="L96" s="240"/>
      <c r="Q96" s="129"/>
      <c r="R96" s="130"/>
    </row>
    <row r="97" spans="1:18" ht="11.25" customHeight="1">
      <c r="A97" s="1354" t="s">
        <v>2446</v>
      </c>
      <c r="B97" s="962"/>
      <c r="C97" s="1951"/>
      <c r="D97" s="1951"/>
      <c r="E97" s="1954"/>
      <c r="F97" s="1953"/>
      <c r="G97" s="1951"/>
      <c r="H97" s="1954"/>
      <c r="I97" s="1953"/>
      <c r="J97" s="1951"/>
      <c r="K97" s="1954"/>
      <c r="L97" s="240"/>
      <c r="Q97" s="129"/>
      <c r="R97" s="130"/>
    </row>
    <row r="98" spans="1:18" ht="11.25" customHeight="1">
      <c r="A98" s="1101" t="s">
        <v>130</v>
      </c>
      <c r="B98" s="962"/>
      <c r="C98" s="1160">
        <f>C99+C103+C107+C112</f>
        <v>502428738.91999996</v>
      </c>
      <c r="D98" s="1160">
        <f t="shared" ref="D98:J98" si="14">D99+D103+D107+D112</f>
        <v>499225536</v>
      </c>
      <c r="E98" s="1320">
        <f t="shared" si="14"/>
        <v>498213465.48000002</v>
      </c>
      <c r="F98" s="1161">
        <f t="shared" si="14"/>
        <v>659801657</v>
      </c>
      <c r="G98" s="1160">
        <f t="shared" si="14"/>
        <v>667752270.99999499</v>
      </c>
      <c r="H98" s="1320">
        <f t="shared" si="14"/>
        <v>681100164.46000004</v>
      </c>
      <c r="I98" s="1161">
        <f t="shared" si="14"/>
        <v>659741507</v>
      </c>
      <c r="J98" s="1160">
        <f t="shared" si="14"/>
        <v>682976641.07200003</v>
      </c>
      <c r="K98" s="1320">
        <f>K99+K103+K107+K112</f>
        <v>713720291.74531198</v>
      </c>
      <c r="L98" s="240"/>
      <c r="Q98" s="129"/>
      <c r="R98" s="130"/>
    </row>
    <row r="99" spans="1:18" ht="11.25" customHeight="1">
      <c r="A99" s="1155" t="s">
        <v>2380</v>
      </c>
      <c r="B99" s="962"/>
      <c r="C99" s="971">
        <f>SUM(C100:C102)</f>
        <v>472400247.70999998</v>
      </c>
      <c r="D99" s="971">
        <f t="shared" ref="D99:K99" si="15">SUM(D100:D102)</f>
        <v>462749771</v>
      </c>
      <c r="E99" s="1321">
        <f t="shared" si="15"/>
        <v>459468534.35000002</v>
      </c>
      <c r="F99" s="972">
        <f t="shared" si="15"/>
        <v>597331000</v>
      </c>
      <c r="G99" s="971">
        <f t="shared" si="15"/>
        <v>605281613.99999499</v>
      </c>
      <c r="H99" s="1321">
        <f t="shared" si="15"/>
        <v>618113608.98000002</v>
      </c>
      <c r="I99" s="972">
        <f t="shared" si="15"/>
        <v>586201000</v>
      </c>
      <c r="J99" s="971">
        <f t="shared" si="15"/>
        <v>612492242</v>
      </c>
      <c r="K99" s="1321">
        <f t="shared" si="15"/>
        <v>639993610.31599998</v>
      </c>
      <c r="L99" s="240"/>
      <c r="Q99" s="129"/>
      <c r="R99" s="130"/>
    </row>
    <row r="100" spans="1:18" ht="11.25" customHeight="1">
      <c r="A100" s="1354" t="s">
        <v>2447</v>
      </c>
      <c r="B100" s="962"/>
      <c r="C100" s="1951">
        <v>472400247.70999998</v>
      </c>
      <c r="D100" s="1951">
        <v>462749771</v>
      </c>
      <c r="E100" s="1954">
        <v>459468534.35000002</v>
      </c>
      <c r="F100" s="1953">
        <v>597331000</v>
      </c>
      <c r="G100" s="1951">
        <v>605281613.99999499</v>
      </c>
      <c r="H100" s="1954">
        <f>608113608.98+10000000</f>
        <v>618113608.98000002</v>
      </c>
      <c r="I100" s="1953">
        <v>586201000</v>
      </c>
      <c r="J100" s="1951">
        <f>612492246-4</f>
        <v>612492242</v>
      </c>
      <c r="K100" s="1954">
        <f>639993657.316-47</f>
        <v>639993610.31599998</v>
      </c>
      <c r="L100" s="240"/>
      <c r="Q100" s="129"/>
      <c r="R100" s="130"/>
    </row>
    <row r="101" spans="1:18" ht="11.25" customHeight="1">
      <c r="A101" s="1354" t="s">
        <v>2448</v>
      </c>
      <c r="B101" s="962"/>
      <c r="C101" s="1951"/>
      <c r="D101" s="1951"/>
      <c r="E101" s="1954"/>
      <c r="F101" s="1953"/>
      <c r="G101" s="1951"/>
      <c r="H101" s="1954"/>
      <c r="I101" s="1953"/>
      <c r="J101" s="1951"/>
      <c r="K101" s="1954"/>
      <c r="L101" s="240"/>
      <c r="Q101" s="129"/>
      <c r="R101" s="130"/>
    </row>
    <row r="102" spans="1:18" ht="11.25" customHeight="1">
      <c r="A102" s="1354" t="s">
        <v>2449</v>
      </c>
      <c r="B102" s="962"/>
      <c r="C102" s="1951"/>
      <c r="D102" s="1951"/>
      <c r="E102" s="1954"/>
      <c r="F102" s="1953"/>
      <c r="G102" s="1951"/>
      <c r="H102" s="1954"/>
      <c r="I102" s="1953"/>
      <c r="J102" s="1951"/>
      <c r="K102" s="1954"/>
      <c r="L102" s="240"/>
      <c r="Q102" s="129"/>
      <c r="R102" s="130"/>
    </row>
    <row r="103" spans="1:18" ht="11.25" customHeight="1">
      <c r="A103" s="1155" t="s">
        <v>2381</v>
      </c>
      <c r="B103" s="962"/>
      <c r="C103" s="971">
        <f>SUM(C104:C106)</f>
        <v>0</v>
      </c>
      <c r="D103" s="971">
        <f t="shared" ref="D103:K103" si="16">SUM(D104:D106)</f>
        <v>0</v>
      </c>
      <c r="E103" s="1321">
        <f t="shared" si="16"/>
        <v>0</v>
      </c>
      <c r="F103" s="972">
        <f t="shared" si="16"/>
        <v>0</v>
      </c>
      <c r="G103" s="971">
        <f t="shared" si="16"/>
        <v>0</v>
      </c>
      <c r="H103" s="1321">
        <f t="shared" si="16"/>
        <v>0</v>
      </c>
      <c r="I103" s="972">
        <f t="shared" si="16"/>
        <v>0</v>
      </c>
      <c r="J103" s="971">
        <f t="shared" si="16"/>
        <v>0</v>
      </c>
      <c r="K103" s="1321">
        <f t="shared" si="16"/>
        <v>0</v>
      </c>
      <c r="L103" s="240"/>
      <c r="Q103" s="129"/>
      <c r="R103" s="130"/>
    </row>
    <row r="104" spans="1:18" ht="11.25" customHeight="1">
      <c r="A104" s="1354" t="s">
        <v>2450</v>
      </c>
      <c r="B104" s="962"/>
      <c r="C104" s="1951"/>
      <c r="D104" s="1951"/>
      <c r="E104" s="1954"/>
      <c r="F104" s="1953"/>
      <c r="G104" s="1951"/>
      <c r="H104" s="1954"/>
      <c r="I104" s="1953"/>
      <c r="J104" s="1951"/>
      <c r="K104" s="1954"/>
      <c r="L104" s="240"/>
      <c r="Q104" s="129"/>
      <c r="R104" s="130"/>
    </row>
    <row r="105" spans="1:18" ht="11.25" customHeight="1">
      <c r="A105" s="1354" t="s">
        <v>633</v>
      </c>
      <c r="B105" s="962"/>
      <c r="C105" s="1951"/>
      <c r="D105" s="1951"/>
      <c r="E105" s="1954"/>
      <c r="F105" s="1953"/>
      <c r="G105" s="1951"/>
      <c r="H105" s="1954"/>
      <c r="I105" s="1953"/>
      <c r="J105" s="1951"/>
      <c r="K105" s="1954"/>
      <c r="L105" s="240"/>
      <c r="Q105" s="129"/>
      <c r="R105" s="130"/>
    </row>
    <row r="106" spans="1:18" ht="11.25" customHeight="1">
      <c r="A106" s="1354" t="s">
        <v>634</v>
      </c>
      <c r="B106" s="962"/>
      <c r="C106" s="1951"/>
      <c r="D106" s="1951"/>
      <c r="E106" s="1954"/>
      <c r="F106" s="1953"/>
      <c r="G106" s="1951"/>
      <c r="H106" s="1954"/>
      <c r="I106" s="1953"/>
      <c r="J106" s="1951"/>
      <c r="K106" s="1954"/>
      <c r="L106" s="240"/>
      <c r="Q106" s="129"/>
      <c r="R106" s="130"/>
    </row>
    <row r="107" spans="1:18" ht="11.25" customHeight="1">
      <c r="A107" s="1155" t="s">
        <v>993</v>
      </c>
      <c r="B107" s="962"/>
      <c r="C107" s="971">
        <f>SUM(C108:C111)</f>
        <v>0</v>
      </c>
      <c r="D107" s="971">
        <f t="shared" ref="D107:K107" si="17">SUM(D108:D111)</f>
        <v>3272451</v>
      </c>
      <c r="E107" s="1321">
        <f t="shared" si="17"/>
        <v>0</v>
      </c>
      <c r="F107" s="972">
        <f t="shared" si="17"/>
        <v>0</v>
      </c>
      <c r="G107" s="971">
        <f t="shared" si="17"/>
        <v>0</v>
      </c>
      <c r="H107" s="1321">
        <f t="shared" si="17"/>
        <v>0</v>
      </c>
      <c r="I107" s="972">
        <f t="shared" si="17"/>
        <v>0</v>
      </c>
      <c r="J107" s="971">
        <f t="shared" si="17"/>
        <v>0</v>
      </c>
      <c r="K107" s="1321">
        <f t="shared" si="17"/>
        <v>0</v>
      </c>
      <c r="L107" s="240"/>
      <c r="Q107" s="129"/>
      <c r="R107" s="130"/>
    </row>
    <row r="108" spans="1:18" ht="11.25" customHeight="1">
      <c r="A108" s="1354" t="s">
        <v>631</v>
      </c>
      <c r="B108" s="962"/>
      <c r="C108" s="1951"/>
      <c r="D108" s="2780">
        <v>3272451</v>
      </c>
      <c r="E108" s="1954"/>
      <c r="F108" s="1953"/>
      <c r="G108" s="1951"/>
      <c r="H108" s="1954"/>
      <c r="I108" s="1953"/>
      <c r="J108" s="1951"/>
      <c r="K108" s="1954"/>
      <c r="L108" s="240"/>
      <c r="Q108" s="129"/>
      <c r="R108" s="130"/>
    </row>
    <row r="109" spans="1:18" ht="11.25" customHeight="1">
      <c r="A109" s="1354" t="s">
        <v>629</v>
      </c>
      <c r="B109" s="962"/>
      <c r="C109" s="1951"/>
      <c r="D109" s="1951"/>
      <c r="E109" s="1954"/>
      <c r="F109" s="1953"/>
      <c r="G109" s="1951"/>
      <c r="H109" s="1954"/>
      <c r="I109" s="1953"/>
      <c r="J109" s="1951"/>
      <c r="K109" s="1954"/>
      <c r="L109" s="240"/>
      <c r="Q109" s="129"/>
      <c r="R109" s="130"/>
    </row>
    <row r="110" spans="1:18" ht="11.25" customHeight="1">
      <c r="A110" s="1354" t="s">
        <v>630</v>
      </c>
      <c r="B110" s="962"/>
      <c r="C110" s="1951"/>
      <c r="D110" s="1951"/>
      <c r="E110" s="1954"/>
      <c r="F110" s="1953"/>
      <c r="G110" s="1951"/>
      <c r="H110" s="1954"/>
      <c r="I110" s="1953"/>
      <c r="J110" s="1951"/>
      <c r="K110" s="1954"/>
      <c r="L110" s="240"/>
      <c r="Q110" s="129"/>
      <c r="R110" s="130"/>
    </row>
    <row r="111" spans="1:18" ht="11.25" customHeight="1">
      <c r="A111" s="1354" t="s">
        <v>2451</v>
      </c>
      <c r="B111" s="962"/>
      <c r="C111" s="1951"/>
      <c r="D111" s="1951"/>
      <c r="E111" s="1954"/>
      <c r="F111" s="1953"/>
      <c r="G111" s="1951"/>
      <c r="H111" s="1954"/>
      <c r="I111" s="1953"/>
      <c r="J111" s="1951"/>
      <c r="K111" s="1954"/>
      <c r="L111" s="240"/>
      <c r="Q111" s="129"/>
      <c r="R111" s="130"/>
    </row>
    <row r="112" spans="1:18" ht="11.25" customHeight="1">
      <c r="A112" s="1155" t="s">
        <v>994</v>
      </c>
      <c r="B112" s="962"/>
      <c r="C112" s="971">
        <f>SUM(C113:C116)</f>
        <v>30028491.210000001</v>
      </c>
      <c r="D112" s="971">
        <f t="shared" ref="D112:K112" si="18">SUM(D113:D116)</f>
        <v>33203314</v>
      </c>
      <c r="E112" s="1321">
        <f t="shared" si="18"/>
        <v>38744931.130000003</v>
      </c>
      <c r="F112" s="972">
        <f t="shared" si="18"/>
        <v>62470657</v>
      </c>
      <c r="G112" s="971">
        <f t="shared" si="18"/>
        <v>62470657</v>
      </c>
      <c r="H112" s="1321">
        <f t="shared" si="18"/>
        <v>62986555.479999997</v>
      </c>
      <c r="I112" s="972">
        <f t="shared" si="18"/>
        <v>73540507</v>
      </c>
      <c r="J112" s="971">
        <f t="shared" si="18"/>
        <v>70484399.071999997</v>
      </c>
      <c r="K112" s="1321">
        <f t="shared" si="18"/>
        <v>73726681.429312006</v>
      </c>
      <c r="L112" s="240"/>
      <c r="Q112" s="129"/>
      <c r="R112" s="130"/>
    </row>
    <row r="113" spans="1:18" ht="11.25" customHeight="1">
      <c r="A113" s="1354" t="s">
        <v>2452</v>
      </c>
      <c r="B113" s="962"/>
      <c r="C113" s="1951"/>
      <c r="D113" s="1951"/>
      <c r="E113" s="1954"/>
      <c r="F113" s="1953"/>
      <c r="G113" s="1951"/>
      <c r="H113" s="1954"/>
      <c r="I113" s="1953"/>
      <c r="J113" s="1951"/>
      <c r="K113" s="1954"/>
      <c r="L113" s="240"/>
      <c r="Q113" s="129"/>
      <c r="R113" s="130"/>
    </row>
    <row r="114" spans="1:18" ht="11.25" customHeight="1">
      <c r="A114" s="1354" t="s">
        <v>2453</v>
      </c>
      <c r="B114" s="962"/>
      <c r="C114" s="1951"/>
      <c r="D114" s="1951"/>
      <c r="E114" s="1954"/>
      <c r="F114" s="1953"/>
      <c r="G114" s="1951"/>
      <c r="H114" s="1954"/>
      <c r="I114" s="1953"/>
      <c r="J114" s="1951"/>
      <c r="K114" s="1954"/>
      <c r="L114" s="240"/>
      <c r="Q114" s="129"/>
      <c r="R114" s="130"/>
    </row>
    <row r="115" spans="1:18" ht="11.25" customHeight="1">
      <c r="A115" s="1354" t="s">
        <v>2454</v>
      </c>
      <c r="B115" s="962"/>
      <c r="C115" s="1951">
        <v>30028491.210000001</v>
      </c>
      <c r="D115" s="2781">
        <v>33203314</v>
      </c>
      <c r="E115" s="1954">
        <v>38744931.130000003</v>
      </c>
      <c r="F115" s="1953">
        <v>62470657</v>
      </c>
      <c r="G115" s="1951">
        <v>62470657</v>
      </c>
      <c r="H115" s="1954">
        <v>62986555.479999997</v>
      </c>
      <c r="I115" s="1953">
        <v>73540507</v>
      </c>
      <c r="J115" s="1951">
        <v>70484399.071999997</v>
      </c>
      <c r="K115" s="1954">
        <v>73726681.429312006</v>
      </c>
      <c r="L115" s="240"/>
      <c r="Q115" s="129"/>
      <c r="R115" s="130"/>
    </row>
    <row r="116" spans="1:18" ht="11.25" customHeight="1">
      <c r="A116" s="1354" t="s">
        <v>2455</v>
      </c>
      <c r="B116" s="962"/>
      <c r="C116" s="1951"/>
      <c r="D116" s="1951"/>
      <c r="E116" s="1954"/>
      <c r="F116" s="1953"/>
      <c r="G116" s="1951"/>
      <c r="H116" s="1954"/>
      <c r="I116" s="1953"/>
      <c r="J116" s="1951"/>
      <c r="K116" s="1954"/>
      <c r="L116" s="240"/>
      <c r="Q116" s="129"/>
      <c r="R116" s="130"/>
    </row>
    <row r="117" spans="1:18" ht="11.25" customHeight="1">
      <c r="A117" s="1101" t="s">
        <v>245</v>
      </c>
      <c r="B117" s="962"/>
      <c r="C117" s="1160">
        <f>SUM(C118:C123)</f>
        <v>0</v>
      </c>
      <c r="D117" s="1160">
        <f t="shared" ref="D117:K117" si="19">SUM(D118:D123)</f>
        <v>0</v>
      </c>
      <c r="E117" s="1320">
        <f t="shared" si="19"/>
        <v>0</v>
      </c>
      <c r="F117" s="1161">
        <f t="shared" si="19"/>
        <v>0</v>
      </c>
      <c r="G117" s="1160">
        <f t="shared" si="19"/>
        <v>0</v>
      </c>
      <c r="H117" s="1320">
        <f t="shared" si="19"/>
        <v>0</v>
      </c>
      <c r="I117" s="1161">
        <f t="shared" si="19"/>
        <v>0</v>
      </c>
      <c r="J117" s="1160">
        <f t="shared" si="19"/>
        <v>0</v>
      </c>
      <c r="K117" s="1320">
        <f t="shared" si="19"/>
        <v>0</v>
      </c>
      <c r="L117" s="240"/>
      <c r="Q117" s="129"/>
      <c r="R117" s="130"/>
    </row>
    <row r="118" spans="1:18" ht="11.25" customHeight="1">
      <c r="A118" s="1155" t="s">
        <v>1086</v>
      </c>
      <c r="B118" s="962"/>
      <c r="C118" s="1951"/>
      <c r="D118" s="1951"/>
      <c r="E118" s="1954"/>
      <c r="F118" s="1953"/>
      <c r="G118" s="1951"/>
      <c r="H118" s="1954"/>
      <c r="I118" s="1953"/>
      <c r="J118" s="1951"/>
      <c r="K118" s="1954"/>
      <c r="L118" s="240"/>
      <c r="Q118" s="129"/>
      <c r="R118" s="130"/>
    </row>
    <row r="119" spans="1:18" ht="11.25" customHeight="1">
      <c r="A119" s="1155" t="s">
        <v>77</v>
      </c>
      <c r="B119" s="962"/>
      <c r="C119" s="1951"/>
      <c r="D119" s="1951"/>
      <c r="E119" s="1954"/>
      <c r="F119" s="1953"/>
      <c r="G119" s="1951"/>
      <c r="H119" s="1954"/>
      <c r="I119" s="1953"/>
      <c r="J119" s="1951"/>
      <c r="K119" s="1954"/>
      <c r="L119" s="240"/>
      <c r="Q119" s="129"/>
      <c r="R119" s="130"/>
    </row>
    <row r="120" spans="1:18" ht="11.25" customHeight="1">
      <c r="A120" s="1155" t="s">
        <v>2456</v>
      </c>
      <c r="B120" s="1018"/>
      <c r="C120" s="1951"/>
      <c r="D120" s="1951"/>
      <c r="E120" s="1954"/>
      <c r="F120" s="1953"/>
      <c r="G120" s="1951"/>
      <c r="H120" s="1954"/>
      <c r="I120" s="1953"/>
      <c r="J120" s="1951"/>
      <c r="K120" s="1954"/>
      <c r="L120" s="240"/>
      <c r="Q120" s="129"/>
      <c r="R120" s="130"/>
    </row>
    <row r="121" spans="1:18" ht="11.25" customHeight="1">
      <c r="A121" s="1155" t="s">
        <v>2457</v>
      </c>
      <c r="B121" s="962"/>
      <c r="C121" s="1951"/>
      <c r="D121" s="1951"/>
      <c r="E121" s="1954"/>
      <c r="F121" s="1953"/>
      <c r="G121" s="1951"/>
      <c r="H121" s="1954"/>
      <c r="I121" s="1953"/>
      <c r="J121" s="1951"/>
      <c r="K121" s="1954"/>
      <c r="L121" s="240"/>
      <c r="Q121" s="129"/>
      <c r="R121" s="130"/>
    </row>
    <row r="122" spans="1:18" ht="11.25" customHeight="1">
      <c r="A122" s="1155" t="s">
        <v>1087</v>
      </c>
      <c r="B122" s="1018"/>
      <c r="C122" s="1951"/>
      <c r="D122" s="1951"/>
      <c r="E122" s="1954"/>
      <c r="F122" s="1953"/>
      <c r="G122" s="1951"/>
      <c r="H122" s="1954"/>
      <c r="I122" s="1953"/>
      <c r="J122" s="1951"/>
      <c r="K122" s="1954"/>
      <c r="L122" s="240"/>
      <c r="Q122" s="129"/>
      <c r="R122" s="130"/>
    </row>
    <row r="123" spans="1:18" ht="11.25" customHeight="1">
      <c r="A123" s="1155" t="s">
        <v>534</v>
      </c>
      <c r="B123" s="1018"/>
      <c r="C123" s="1951"/>
      <c r="D123" s="1951"/>
      <c r="E123" s="1954"/>
      <c r="F123" s="1953"/>
      <c r="G123" s="1951"/>
      <c r="H123" s="1954"/>
      <c r="I123" s="1953"/>
      <c r="J123" s="1951"/>
      <c r="K123" s="1954"/>
      <c r="L123" s="240"/>
      <c r="Q123" s="129"/>
      <c r="R123" s="130"/>
    </row>
    <row r="124" spans="1:18" ht="11.25" customHeight="1">
      <c r="A124" s="1019" t="str">
        <f>"Total "&amp;A4</f>
        <v>Total Revenue - Functional</v>
      </c>
      <c r="B124" s="1018">
        <v>2</v>
      </c>
      <c r="C124" s="142">
        <f t="shared" ref="C124:K124" si="20">C5+C25+C74+C98+C117</f>
        <v>1132278400.0999999</v>
      </c>
      <c r="D124" s="142">
        <f t="shared" si="20"/>
        <v>1137427535.47</v>
      </c>
      <c r="E124" s="1326">
        <f t="shared" si="20"/>
        <v>1140964383.1500001</v>
      </c>
      <c r="F124" s="145">
        <f t="shared" si="20"/>
        <v>1359176307</v>
      </c>
      <c r="G124" s="142">
        <f t="shared" si="20"/>
        <v>1368508037.019995</v>
      </c>
      <c r="H124" s="1326">
        <f t="shared" si="20"/>
        <v>1403803360.1600001</v>
      </c>
      <c r="I124" s="145">
        <f t="shared" si="20"/>
        <v>1405645232</v>
      </c>
      <c r="J124" s="142">
        <f t="shared" si="20"/>
        <v>1479924620.658</v>
      </c>
      <c r="K124" s="1326">
        <f t="shared" si="20"/>
        <v>1556917776.7842679</v>
      </c>
      <c r="L124" s="240"/>
      <c r="Q124" s="146"/>
      <c r="R124" s="147"/>
    </row>
    <row r="125" spans="1:18" ht="4.9000000000000004" customHeight="1">
      <c r="A125" s="981"/>
      <c r="B125" s="1018"/>
      <c r="C125" s="80"/>
      <c r="D125" s="80"/>
      <c r="E125" s="670"/>
      <c r="F125" s="83"/>
      <c r="G125" s="80"/>
      <c r="H125" s="670"/>
      <c r="I125" s="83"/>
      <c r="J125" s="80"/>
      <c r="K125" s="670"/>
      <c r="L125" s="240"/>
      <c r="Q125" s="122"/>
    </row>
    <row r="126" spans="1:18" ht="11.25" customHeight="1">
      <c r="A126" s="961" t="s">
        <v>2461</v>
      </c>
      <c r="B126" s="1020"/>
      <c r="C126" s="80"/>
      <c r="D126" s="80"/>
      <c r="E126" s="670"/>
      <c r="F126" s="83"/>
      <c r="G126" s="80"/>
      <c r="H126" s="670"/>
      <c r="I126" s="83"/>
      <c r="J126" s="80"/>
      <c r="K126" s="670"/>
      <c r="L126" s="240"/>
      <c r="Q126" s="122"/>
    </row>
    <row r="127" spans="1:18" ht="11.25" customHeight="1">
      <c r="A127" s="1101" t="str">
        <f t="shared" ref="A127:A158" si="21">A5</f>
        <v>Municipal governance and administration</v>
      </c>
      <c r="B127" s="1020"/>
      <c r="C127" s="1160">
        <f t="shared" ref="C127:K127" si="22">C128+C131+C145</f>
        <v>217119491.65000004</v>
      </c>
      <c r="D127" s="1160">
        <f t="shared" si="22"/>
        <v>321341329.81</v>
      </c>
      <c r="E127" s="1320">
        <f t="shared" si="22"/>
        <v>305977276.00000006</v>
      </c>
      <c r="F127" s="1161">
        <f t="shared" si="22"/>
        <v>304543919</v>
      </c>
      <c r="G127" s="1160">
        <f t="shared" si="22"/>
        <v>278187983</v>
      </c>
      <c r="H127" s="1320">
        <f t="shared" si="22"/>
        <v>261689309.67999998</v>
      </c>
      <c r="I127" s="1161">
        <f t="shared" si="22"/>
        <v>288154389</v>
      </c>
      <c r="J127" s="1160">
        <f t="shared" si="22"/>
        <v>297917120</v>
      </c>
      <c r="K127" s="1320">
        <f t="shared" si="22"/>
        <v>311538525</v>
      </c>
      <c r="L127" s="240"/>
      <c r="Q127" s="122"/>
    </row>
    <row r="128" spans="1:18" ht="11.25" customHeight="1">
      <c r="A128" s="1155" t="str">
        <f t="shared" si="21"/>
        <v>Executive and council</v>
      </c>
      <c r="B128" s="1020"/>
      <c r="C128" s="943">
        <f t="shared" ref="C128:K128" si="23">SUM(C129:C130)</f>
        <v>34350721.899999999</v>
      </c>
      <c r="D128" s="943">
        <f t="shared" si="23"/>
        <v>37938806</v>
      </c>
      <c r="E128" s="980">
        <f t="shared" si="23"/>
        <v>39479040.050000004</v>
      </c>
      <c r="F128" s="944">
        <f t="shared" si="23"/>
        <v>46030387</v>
      </c>
      <c r="G128" s="943">
        <f t="shared" si="23"/>
        <v>44555060</v>
      </c>
      <c r="H128" s="980">
        <f t="shared" si="23"/>
        <v>40361390.319999993</v>
      </c>
      <c r="I128" s="944">
        <f t="shared" si="23"/>
        <v>44674724</v>
      </c>
      <c r="J128" s="943">
        <f t="shared" si="23"/>
        <v>45828093</v>
      </c>
      <c r="K128" s="980">
        <f t="shared" si="23"/>
        <v>47974905</v>
      </c>
      <c r="L128" s="240"/>
      <c r="Q128" s="122"/>
    </row>
    <row r="129" spans="1:17" ht="11.25" customHeight="1">
      <c r="A129" s="1354" t="str">
        <f t="shared" si="21"/>
        <v>Mayor and Council</v>
      </c>
      <c r="B129" s="1020"/>
      <c r="C129" s="1951">
        <v>32028804.390000001</v>
      </c>
      <c r="D129" s="2782">
        <v>37938806</v>
      </c>
      <c r="E129" s="1954">
        <v>36394995.490000002</v>
      </c>
      <c r="F129" s="1953">
        <v>29385561</v>
      </c>
      <c r="G129" s="1951">
        <v>29317131</v>
      </c>
      <c r="H129" s="1954">
        <v>37536534.119999997</v>
      </c>
      <c r="I129" s="1953">
        <v>29534983</v>
      </c>
      <c r="J129" s="1951">
        <v>30929994</v>
      </c>
      <c r="K129" s="1954">
        <v>32392815</v>
      </c>
      <c r="L129" s="240"/>
      <c r="Q129" s="122"/>
    </row>
    <row r="130" spans="1:17" ht="11.25" customHeight="1">
      <c r="A130" s="1354" t="str">
        <f t="shared" si="21"/>
        <v>Municipal Manager, Town Secretary and Chief Executive</v>
      </c>
      <c r="B130" s="1020"/>
      <c r="C130" s="1951">
        <v>2321917.5099999998</v>
      </c>
      <c r="D130" s="1951"/>
      <c r="E130" s="1954">
        <v>3084044.56</v>
      </c>
      <c r="F130" s="1953">
        <v>16644826</v>
      </c>
      <c r="G130" s="1951">
        <v>15237929</v>
      </c>
      <c r="H130" s="1954">
        <v>2824856.1999999993</v>
      </c>
      <c r="I130" s="1953">
        <v>15139741</v>
      </c>
      <c r="J130" s="1951">
        <v>14898099</v>
      </c>
      <c r="K130" s="1954">
        <v>15582090</v>
      </c>
      <c r="L130" s="240"/>
      <c r="Q130" s="122"/>
    </row>
    <row r="131" spans="1:17" ht="11.25" customHeight="1">
      <c r="A131" s="1155" t="str">
        <f t="shared" si="21"/>
        <v>Finance and administration</v>
      </c>
      <c r="B131" s="1020"/>
      <c r="C131" s="943">
        <f t="shared" ref="C131:K131" si="24">SUM(C132:C144)</f>
        <v>178897425.69000003</v>
      </c>
      <c r="D131" s="943">
        <f t="shared" si="24"/>
        <v>279500312</v>
      </c>
      <c r="E131" s="980">
        <f t="shared" si="24"/>
        <v>262160506.41000003</v>
      </c>
      <c r="F131" s="944">
        <f t="shared" si="24"/>
        <v>252749265</v>
      </c>
      <c r="G131" s="943">
        <f t="shared" si="24"/>
        <v>228197711</v>
      </c>
      <c r="H131" s="980">
        <f t="shared" si="24"/>
        <v>216345225.91999999</v>
      </c>
      <c r="I131" s="944">
        <f t="shared" si="24"/>
        <v>237609210</v>
      </c>
      <c r="J131" s="943">
        <f t="shared" si="24"/>
        <v>245949362</v>
      </c>
      <c r="K131" s="980">
        <f t="shared" si="24"/>
        <v>257141619</v>
      </c>
      <c r="L131" s="240"/>
      <c r="Q131" s="122"/>
    </row>
    <row r="132" spans="1:17" ht="11.25" customHeight="1">
      <c r="A132" s="1354" t="str">
        <f t="shared" si="21"/>
        <v>Administrative and Corporate Support</v>
      </c>
      <c r="B132" s="1020"/>
      <c r="C132" s="1951">
        <v>20742204.749999996</v>
      </c>
      <c r="D132" s="2786">
        <v>35759</v>
      </c>
      <c r="E132" s="1954">
        <v>25662492.789999995</v>
      </c>
      <c r="F132" s="1953">
        <v>26620961</v>
      </c>
      <c r="G132" s="1951">
        <v>28055475</v>
      </c>
      <c r="H132" s="1954">
        <v>25967128.040000003</v>
      </c>
      <c r="I132" s="1953">
        <v>27393800</v>
      </c>
      <c r="J132" s="1951">
        <v>28608211</v>
      </c>
      <c r="K132" s="1954">
        <v>29923916</v>
      </c>
      <c r="L132" s="240"/>
      <c r="Q132" s="122"/>
    </row>
    <row r="133" spans="1:17" ht="11.25" customHeight="1">
      <c r="A133" s="1354" t="str">
        <f t="shared" si="21"/>
        <v>Asset Management</v>
      </c>
      <c r="B133" s="1020"/>
      <c r="C133" s="1951"/>
      <c r="D133" s="2786">
        <v>25797383</v>
      </c>
      <c r="E133" s="1954"/>
      <c r="F133" s="1953">
        <v>6137991</v>
      </c>
      <c r="G133" s="1951">
        <v>5655938</v>
      </c>
      <c r="H133" s="1954"/>
      <c r="I133" s="1953">
        <v>6105960</v>
      </c>
      <c r="J133" s="1951">
        <v>6386537</v>
      </c>
      <c r="K133" s="1954">
        <v>6680321</v>
      </c>
      <c r="L133" s="240"/>
      <c r="Q133" s="122"/>
    </row>
    <row r="134" spans="1:17" ht="11.25" customHeight="1">
      <c r="A134" s="1354" t="str">
        <f t="shared" si="21"/>
        <v>Finance</v>
      </c>
      <c r="B134" s="1020"/>
      <c r="C134" s="1951">
        <v>91215372.370000005</v>
      </c>
      <c r="D134" s="2786">
        <v>253667170</v>
      </c>
      <c r="E134" s="1954">
        <v>169091233</v>
      </c>
      <c r="F134" s="1953">
        <v>116387385</v>
      </c>
      <c r="G134" s="1951">
        <v>92605560</v>
      </c>
      <c r="H134" s="1954">
        <v>106635826.73999995</v>
      </c>
      <c r="I134" s="1953">
        <v>102133089</v>
      </c>
      <c r="J134" s="1951">
        <v>105761572</v>
      </c>
      <c r="K134" s="1954">
        <v>110529938</v>
      </c>
      <c r="L134" s="240"/>
      <c r="Q134" s="122"/>
    </row>
    <row r="135" spans="1:17" ht="11.25" customHeight="1">
      <c r="A135" s="1354" t="str">
        <f t="shared" si="21"/>
        <v>Fleet Management</v>
      </c>
      <c r="B135" s="1020"/>
      <c r="C135" s="1951">
        <v>3432948.4200000004</v>
      </c>
      <c r="D135" s="2786">
        <v>0</v>
      </c>
      <c r="E135" s="1954">
        <v>4432754.4699999969</v>
      </c>
      <c r="F135" s="1953">
        <v>37705901</v>
      </c>
      <c r="G135" s="1951">
        <v>33331491</v>
      </c>
      <c r="H135" s="1954">
        <v>18278334.879999999</v>
      </c>
      <c r="I135" s="1953">
        <v>37088599</v>
      </c>
      <c r="J135" s="1951">
        <v>37387276</v>
      </c>
      <c r="K135" s="1954">
        <v>39107003</v>
      </c>
      <c r="L135" s="240"/>
      <c r="Q135" s="122"/>
    </row>
    <row r="136" spans="1:17" ht="11.25" customHeight="1">
      <c r="A136" s="1354" t="str">
        <f t="shared" si="21"/>
        <v>Human Resources</v>
      </c>
      <c r="B136" s="1020"/>
      <c r="C136" s="1951">
        <v>8830540</v>
      </c>
      <c r="D136" s="2786">
        <v>0</v>
      </c>
      <c r="E136" s="1954">
        <v>9556065.8700000029</v>
      </c>
      <c r="F136" s="1953">
        <v>15300725</v>
      </c>
      <c r="G136" s="1951">
        <v>15161412</v>
      </c>
      <c r="H136" s="1954">
        <v>14021894.34</v>
      </c>
      <c r="I136" s="1953">
        <v>17230604</v>
      </c>
      <c r="J136" s="1951">
        <v>18022997</v>
      </c>
      <c r="K136" s="1954">
        <v>18851965</v>
      </c>
      <c r="L136" s="240"/>
      <c r="Q136" s="122"/>
    </row>
    <row r="137" spans="1:17" ht="11.25" customHeight="1">
      <c r="A137" s="1354" t="str">
        <f t="shared" si="21"/>
        <v>Information Technology</v>
      </c>
      <c r="B137" s="1020"/>
      <c r="C137" s="1951">
        <v>11861584.91</v>
      </c>
      <c r="D137" s="2786">
        <v>0</v>
      </c>
      <c r="E137" s="1954">
        <v>10598289.420000002</v>
      </c>
      <c r="F137" s="1953">
        <v>17804754</v>
      </c>
      <c r="G137" s="1951">
        <v>16397149</v>
      </c>
      <c r="H137" s="1954">
        <v>12199193.140000002</v>
      </c>
      <c r="I137" s="1953">
        <v>15465345</v>
      </c>
      <c r="J137" s="1951">
        <v>16138281</v>
      </c>
      <c r="K137" s="1954">
        <v>16876026</v>
      </c>
      <c r="L137" s="240"/>
      <c r="Q137" s="122"/>
    </row>
    <row r="138" spans="1:17" ht="11.25" customHeight="1">
      <c r="A138" s="1354" t="str">
        <f t="shared" si="21"/>
        <v>Legal Services</v>
      </c>
      <c r="B138" s="1020"/>
      <c r="C138" s="1951">
        <v>27753356.949999999</v>
      </c>
      <c r="D138" s="2786">
        <v>0</v>
      </c>
      <c r="E138" s="1954">
        <v>22170045.860000003</v>
      </c>
      <c r="F138" s="1953">
        <v>15447452</v>
      </c>
      <c r="G138" s="1951">
        <v>20315876</v>
      </c>
      <c r="H138" s="1954">
        <v>22069788.859999999</v>
      </c>
      <c r="I138" s="1953">
        <v>13604572</v>
      </c>
      <c r="J138" s="1951">
        <v>14230297</v>
      </c>
      <c r="K138" s="1954">
        <v>14884802</v>
      </c>
      <c r="L138" s="240"/>
      <c r="Q138" s="122"/>
    </row>
    <row r="139" spans="1:17" ht="11.25" customHeight="1">
      <c r="A139" s="1354" t="str">
        <f t="shared" si="21"/>
        <v>Marketing, Customer Relations, Publicity and Media Co-ordination</v>
      </c>
      <c r="B139" s="1020"/>
      <c r="C139" s="1951">
        <v>3727337.01</v>
      </c>
      <c r="D139" s="2786">
        <v>0</v>
      </c>
      <c r="E139" s="1954">
        <v>3887705.85</v>
      </c>
      <c r="F139" s="1953">
        <v>3817572</v>
      </c>
      <c r="G139" s="1951">
        <v>3557663</v>
      </c>
      <c r="H139" s="1954">
        <v>3477077.38</v>
      </c>
      <c r="I139" s="1953">
        <v>3883421</v>
      </c>
      <c r="J139" s="1951">
        <v>4061953</v>
      </c>
      <c r="K139" s="1954">
        <v>4248710</v>
      </c>
      <c r="L139" s="240"/>
      <c r="Q139" s="122"/>
    </row>
    <row r="140" spans="1:17" ht="11.25" customHeight="1">
      <c r="A140" s="1354" t="str">
        <f t="shared" si="21"/>
        <v>Property Services</v>
      </c>
      <c r="B140" s="1020"/>
      <c r="C140" s="1951">
        <v>6501691.6799999988</v>
      </c>
      <c r="D140" s="2786">
        <v>0</v>
      </c>
      <c r="E140" s="1954">
        <v>10550600.58</v>
      </c>
      <c r="F140" s="1953">
        <v>7275090</v>
      </c>
      <c r="G140" s="1951">
        <v>6919395</v>
      </c>
      <c r="H140" s="1954">
        <v>7087038.1600000001</v>
      </c>
      <c r="I140" s="1953">
        <v>7481318</v>
      </c>
      <c r="J140" s="1951">
        <v>7798936</v>
      </c>
      <c r="K140" s="1954">
        <v>8138639</v>
      </c>
      <c r="L140" s="240"/>
      <c r="Q140" s="122"/>
    </row>
    <row r="141" spans="1:17" ht="11.25" customHeight="1">
      <c r="A141" s="1354" t="str">
        <f t="shared" si="21"/>
        <v>Risk Management</v>
      </c>
      <c r="B141" s="1020"/>
      <c r="C141" s="1951">
        <v>984412.08</v>
      </c>
      <c r="D141" s="2786">
        <v>0</v>
      </c>
      <c r="E141" s="1954">
        <v>2020230.06</v>
      </c>
      <c r="F141" s="1953">
        <v>2096278</v>
      </c>
      <c r="G141" s="1951">
        <v>2062000</v>
      </c>
      <c r="H141" s="1954">
        <v>1909740.82</v>
      </c>
      <c r="I141" s="1953">
        <v>2266056</v>
      </c>
      <c r="J141" s="1951">
        <v>2369934</v>
      </c>
      <c r="K141" s="1954">
        <v>2478584</v>
      </c>
      <c r="L141" s="240"/>
      <c r="Q141" s="122"/>
    </row>
    <row r="142" spans="1:17" ht="11.25" customHeight="1">
      <c r="A142" s="1354" t="str">
        <f t="shared" si="21"/>
        <v>Security Services</v>
      </c>
      <c r="B142" s="1020"/>
      <c r="C142" s="1951"/>
      <c r="D142" s="2783">
        <v>0</v>
      </c>
      <c r="E142" s="1954"/>
      <c r="F142" s="1953">
        <v>0</v>
      </c>
      <c r="G142" s="1951">
        <v>0</v>
      </c>
      <c r="H142" s="1954"/>
      <c r="I142" s="1953">
        <v>0</v>
      </c>
      <c r="J142" s="1951">
        <v>0</v>
      </c>
      <c r="K142" s="1954">
        <v>0</v>
      </c>
      <c r="L142" s="240"/>
      <c r="Q142" s="122"/>
    </row>
    <row r="143" spans="1:17" ht="11.25" customHeight="1">
      <c r="A143" s="1354" t="str">
        <f t="shared" si="21"/>
        <v xml:space="preserve">Supply Chain Management </v>
      </c>
      <c r="B143" s="1020"/>
      <c r="C143" s="1951">
        <v>3847977.5200000005</v>
      </c>
      <c r="D143" s="2783">
        <v>0</v>
      </c>
      <c r="E143" s="1954">
        <v>4191088.5099999988</v>
      </c>
      <c r="F143" s="1953">
        <v>4155156</v>
      </c>
      <c r="G143" s="1951">
        <v>4135752</v>
      </c>
      <c r="H143" s="1954">
        <v>4699203.5599999996</v>
      </c>
      <c r="I143" s="1953">
        <v>4956446</v>
      </c>
      <c r="J143" s="1951">
        <v>5183368</v>
      </c>
      <c r="K143" s="1954">
        <v>5421715</v>
      </c>
      <c r="L143" s="240"/>
      <c r="Q143" s="122"/>
    </row>
    <row r="144" spans="1:17" ht="11.25" customHeight="1">
      <c r="A144" s="1354" t="str">
        <f t="shared" si="21"/>
        <v>Valuation Service</v>
      </c>
      <c r="B144" s="1020"/>
      <c r="C144" s="1951"/>
      <c r="D144" s="1951"/>
      <c r="E144" s="1954"/>
      <c r="F144" s="1953"/>
      <c r="G144" s="1951">
        <v>0</v>
      </c>
      <c r="H144" s="1954"/>
      <c r="I144" s="1953">
        <v>0</v>
      </c>
      <c r="J144" s="1951">
        <v>0</v>
      </c>
      <c r="K144" s="1954">
        <v>0</v>
      </c>
      <c r="L144" s="240"/>
      <c r="Q144" s="122"/>
    </row>
    <row r="145" spans="1:17" ht="11.25" customHeight="1">
      <c r="A145" s="1155" t="str">
        <f t="shared" si="21"/>
        <v>Internal audit</v>
      </c>
      <c r="B145" s="1020"/>
      <c r="C145" s="943">
        <f t="shared" ref="C145:K145" si="25">SUM(C146:C146)</f>
        <v>3871344.0600000005</v>
      </c>
      <c r="D145" s="943">
        <f t="shared" si="25"/>
        <v>3902211.8099999996</v>
      </c>
      <c r="E145" s="980">
        <f t="shared" si="25"/>
        <v>4337729.54</v>
      </c>
      <c r="F145" s="944">
        <f t="shared" si="25"/>
        <v>5764267</v>
      </c>
      <c r="G145" s="943">
        <f t="shared" si="25"/>
        <v>5435212</v>
      </c>
      <c r="H145" s="980">
        <f t="shared" si="25"/>
        <v>4982693.4400000004</v>
      </c>
      <c r="I145" s="944">
        <f t="shared" si="25"/>
        <v>5870455</v>
      </c>
      <c r="J145" s="943">
        <f t="shared" si="25"/>
        <v>6139665</v>
      </c>
      <c r="K145" s="980">
        <f t="shared" si="25"/>
        <v>6422001</v>
      </c>
      <c r="L145" s="240"/>
      <c r="Q145" s="122"/>
    </row>
    <row r="146" spans="1:17" ht="11.25" customHeight="1">
      <c r="A146" s="1354" t="str">
        <f t="shared" si="21"/>
        <v>Governance Function</v>
      </c>
      <c r="B146" s="1020"/>
      <c r="C146" s="1951">
        <v>3871344.0600000005</v>
      </c>
      <c r="D146" s="1951">
        <v>3902211.8099999996</v>
      </c>
      <c r="E146" s="1954">
        <v>4337729.54</v>
      </c>
      <c r="F146" s="1953">
        <v>5764267</v>
      </c>
      <c r="G146" s="1951">
        <v>5435212</v>
      </c>
      <c r="H146" s="1954">
        <v>4982693.4400000004</v>
      </c>
      <c r="I146" s="1953">
        <v>5870455</v>
      </c>
      <c r="J146" s="1951">
        <v>6139665</v>
      </c>
      <c r="K146" s="1954">
        <v>6422001</v>
      </c>
      <c r="L146" s="240"/>
      <c r="Q146" s="122"/>
    </row>
    <row r="147" spans="1:17" ht="11.25" customHeight="1">
      <c r="A147" s="1101" t="str">
        <f t="shared" si="21"/>
        <v>Community and public safety</v>
      </c>
      <c r="B147" s="1020"/>
      <c r="C147" s="1160">
        <f t="shared" ref="C147:K147" si="26">C148+C170+C176+C185+C188</f>
        <v>80403462.329999998</v>
      </c>
      <c r="D147" s="1160">
        <f t="shared" si="26"/>
        <v>77895298.620000005</v>
      </c>
      <c r="E147" s="1320">
        <f t="shared" si="26"/>
        <v>73159025.289999992</v>
      </c>
      <c r="F147" s="1161">
        <f t="shared" si="26"/>
        <v>124347604</v>
      </c>
      <c r="G147" s="1160">
        <f t="shared" si="26"/>
        <v>111921247.5</v>
      </c>
      <c r="H147" s="1320">
        <f t="shared" si="26"/>
        <v>140950482.63999999</v>
      </c>
      <c r="I147" s="1161">
        <f t="shared" si="26"/>
        <v>120243047</v>
      </c>
      <c r="J147" s="1160">
        <f t="shared" si="26"/>
        <v>125347469.428</v>
      </c>
      <c r="K147" s="1320">
        <f t="shared" si="26"/>
        <v>131113161.23968799</v>
      </c>
      <c r="L147" s="240"/>
      <c r="Q147" s="122"/>
    </row>
    <row r="148" spans="1:17" ht="11.25" customHeight="1">
      <c r="A148" s="1155" t="str">
        <f t="shared" si="21"/>
        <v>Community and social services</v>
      </c>
      <c r="B148" s="1020"/>
      <c r="C148" s="971">
        <f>SUM(C149:C169)</f>
        <v>9867235.2599999998</v>
      </c>
      <c r="D148" s="971">
        <f t="shared" ref="D148:K148" si="27">SUM(D149:D169)</f>
        <v>11010030.76</v>
      </c>
      <c r="E148" s="1321">
        <f t="shared" si="27"/>
        <v>11067663.879999999</v>
      </c>
      <c r="F148" s="972">
        <f t="shared" si="27"/>
        <v>12614844</v>
      </c>
      <c r="G148" s="971">
        <f t="shared" si="27"/>
        <v>12423705</v>
      </c>
      <c r="H148" s="1321">
        <f t="shared" si="27"/>
        <v>12042010</v>
      </c>
      <c r="I148" s="972">
        <f t="shared" si="27"/>
        <v>13290578</v>
      </c>
      <c r="J148" s="971">
        <f t="shared" si="27"/>
        <v>13767240</v>
      </c>
      <c r="K148" s="1321">
        <f t="shared" si="27"/>
        <v>14400358</v>
      </c>
      <c r="L148" s="240"/>
      <c r="Q148" s="122"/>
    </row>
    <row r="149" spans="1:17" ht="11.25" customHeight="1">
      <c r="A149" s="1354" t="str">
        <f t="shared" si="21"/>
        <v>Aged Care</v>
      </c>
      <c r="B149" s="1020"/>
      <c r="C149" s="1951"/>
      <c r="D149" s="1951"/>
      <c r="E149" s="1954"/>
      <c r="F149" s="1953"/>
      <c r="G149" s="1951"/>
      <c r="H149" s="1954"/>
      <c r="I149" s="1953">
        <v>0</v>
      </c>
      <c r="J149" s="1951">
        <v>0</v>
      </c>
      <c r="K149" s="1954">
        <v>0</v>
      </c>
      <c r="L149" s="240"/>
      <c r="Q149" s="122"/>
    </row>
    <row r="150" spans="1:17" ht="11.25" customHeight="1">
      <c r="A150" s="1354" t="str">
        <f t="shared" si="21"/>
        <v>Agricultural</v>
      </c>
      <c r="B150" s="1020"/>
      <c r="C150" s="1951"/>
      <c r="D150" s="1951"/>
      <c r="E150" s="1954"/>
      <c r="F150" s="1953"/>
      <c r="G150" s="1951"/>
      <c r="H150" s="1954"/>
      <c r="I150" s="1953">
        <v>0</v>
      </c>
      <c r="J150" s="1951">
        <v>0</v>
      </c>
      <c r="K150" s="1954">
        <v>0</v>
      </c>
      <c r="L150" s="240"/>
      <c r="Q150" s="122"/>
    </row>
    <row r="151" spans="1:17" ht="11.25" customHeight="1">
      <c r="A151" s="1354" t="str">
        <f t="shared" si="21"/>
        <v>Animal Care and Diseases</v>
      </c>
      <c r="B151" s="1020"/>
      <c r="C151" s="1951"/>
      <c r="D151" s="1951"/>
      <c r="E151" s="1954"/>
      <c r="F151" s="1953"/>
      <c r="G151" s="1951"/>
      <c r="H151" s="1954"/>
      <c r="I151" s="1953">
        <v>0</v>
      </c>
      <c r="J151" s="1951">
        <v>0</v>
      </c>
      <c r="K151" s="1954">
        <v>0</v>
      </c>
      <c r="L151" s="240"/>
      <c r="Q151" s="122"/>
    </row>
    <row r="152" spans="1:17" ht="11.25" customHeight="1">
      <c r="A152" s="1354" t="str">
        <f t="shared" si="21"/>
        <v>Cemeteries, Funeral Parlours and Crematoriums</v>
      </c>
      <c r="B152" s="1020"/>
      <c r="C152" s="1951"/>
      <c r="D152" s="1951"/>
      <c r="E152" s="1954"/>
      <c r="F152" s="1953"/>
      <c r="G152" s="1951"/>
      <c r="H152" s="1954"/>
      <c r="I152" s="1953">
        <v>0</v>
      </c>
      <c r="J152" s="1951">
        <v>0</v>
      </c>
      <c r="K152" s="1954">
        <v>0</v>
      </c>
      <c r="L152" s="240"/>
      <c r="Q152" s="122"/>
    </row>
    <row r="153" spans="1:17" ht="11.25" customHeight="1">
      <c r="A153" s="1354" t="str">
        <f t="shared" si="21"/>
        <v>Child Care Facilities</v>
      </c>
      <c r="B153" s="1020"/>
      <c r="C153" s="1951"/>
      <c r="D153" s="1951"/>
      <c r="E153" s="1954"/>
      <c r="F153" s="1953"/>
      <c r="G153" s="1951"/>
      <c r="H153" s="1954"/>
      <c r="I153" s="1953">
        <v>0</v>
      </c>
      <c r="J153" s="1951">
        <v>0</v>
      </c>
      <c r="K153" s="1954">
        <v>0</v>
      </c>
      <c r="L153" s="240"/>
      <c r="Q153" s="122"/>
    </row>
    <row r="154" spans="1:17" ht="11.25" customHeight="1">
      <c r="A154" s="1354" t="str">
        <f t="shared" si="21"/>
        <v>Community Halls and Facilities</v>
      </c>
      <c r="B154" s="1020"/>
      <c r="C154" s="1951"/>
      <c r="D154" s="1951"/>
      <c r="E154" s="1954"/>
      <c r="F154" s="1953"/>
      <c r="G154" s="1951"/>
      <c r="H154" s="1954"/>
      <c r="I154" s="1953">
        <v>0</v>
      </c>
      <c r="J154" s="1951">
        <v>0</v>
      </c>
      <c r="K154" s="1954">
        <v>0</v>
      </c>
      <c r="L154" s="240"/>
      <c r="Q154" s="122"/>
    </row>
    <row r="155" spans="1:17" ht="11.25" customHeight="1">
      <c r="A155" s="1354" t="str">
        <f t="shared" si="21"/>
        <v>Consumer Protection</v>
      </c>
      <c r="B155" s="1020"/>
      <c r="C155" s="1951"/>
      <c r="D155" s="1951"/>
      <c r="E155" s="1954"/>
      <c r="F155" s="1953"/>
      <c r="G155" s="1951"/>
      <c r="H155" s="1954"/>
      <c r="I155" s="1953">
        <v>0</v>
      </c>
      <c r="J155" s="1951">
        <v>0</v>
      </c>
      <c r="K155" s="1954">
        <v>0</v>
      </c>
      <c r="L155" s="240"/>
      <c r="Q155" s="122"/>
    </row>
    <row r="156" spans="1:17" ht="11.25" customHeight="1">
      <c r="A156" s="1354" t="str">
        <f t="shared" si="21"/>
        <v>Cultural Matters</v>
      </c>
      <c r="B156" s="1020"/>
      <c r="C156" s="1951"/>
      <c r="D156" s="1951"/>
      <c r="E156" s="1954"/>
      <c r="F156" s="1953"/>
      <c r="G156" s="1951"/>
      <c r="H156" s="1954"/>
      <c r="I156" s="1953">
        <v>0</v>
      </c>
      <c r="J156" s="1951">
        <v>0</v>
      </c>
      <c r="K156" s="1954">
        <v>0</v>
      </c>
      <c r="L156" s="240"/>
      <c r="Q156" s="122"/>
    </row>
    <row r="157" spans="1:17" ht="11.25" customHeight="1">
      <c r="A157" s="1354" t="str">
        <f t="shared" si="21"/>
        <v>Disaster Management</v>
      </c>
      <c r="B157" s="1020"/>
      <c r="C157" s="1951">
        <v>2221208.5900000003</v>
      </c>
      <c r="D157" s="1951">
        <v>2143448.59</v>
      </c>
      <c r="E157" s="1954">
        <v>2086387.5499999998</v>
      </c>
      <c r="F157" s="1953">
        <v>2562316</v>
      </c>
      <c r="G157" s="1951">
        <v>2647491</v>
      </c>
      <c r="H157" s="1954">
        <v>2647491</v>
      </c>
      <c r="I157" s="1953">
        <v>2711398</v>
      </c>
      <c r="J157" s="1951">
        <v>2707783</v>
      </c>
      <c r="K157" s="1954">
        <v>2832252</v>
      </c>
      <c r="L157" s="240"/>
      <c r="Q157" s="122"/>
    </row>
    <row r="158" spans="1:17" ht="11.25" customHeight="1">
      <c r="A158" s="1354" t="str">
        <f t="shared" si="21"/>
        <v>Education</v>
      </c>
      <c r="B158" s="1020"/>
      <c r="C158" s="1951"/>
      <c r="D158" s="1951"/>
      <c r="E158" s="1954"/>
      <c r="F158" s="1953"/>
      <c r="G158" s="1951">
        <v>0</v>
      </c>
      <c r="H158" s="1954">
        <v>0</v>
      </c>
      <c r="I158" s="1953">
        <v>0</v>
      </c>
      <c r="J158" s="1951">
        <v>0</v>
      </c>
      <c r="K158" s="1954">
        <v>0</v>
      </c>
      <c r="L158" s="240"/>
      <c r="Q158" s="122"/>
    </row>
    <row r="159" spans="1:17" ht="11.25" customHeight="1">
      <c r="A159" s="1354" t="str">
        <f t="shared" ref="A159:A178" si="28">A37</f>
        <v>Indigenous and Customary Law</v>
      </c>
      <c r="B159" s="1020"/>
      <c r="C159" s="1951"/>
      <c r="D159" s="1951"/>
      <c r="E159" s="1954"/>
      <c r="F159" s="1953"/>
      <c r="G159" s="1951">
        <v>0</v>
      </c>
      <c r="H159" s="1954">
        <v>0</v>
      </c>
      <c r="I159" s="1953">
        <v>0</v>
      </c>
      <c r="J159" s="1951">
        <v>0</v>
      </c>
      <c r="K159" s="1954">
        <v>0</v>
      </c>
      <c r="L159" s="240"/>
      <c r="Q159" s="122"/>
    </row>
    <row r="160" spans="1:17" ht="11.25" customHeight="1">
      <c r="A160" s="1354" t="str">
        <f t="shared" si="28"/>
        <v>Industrial Promotion</v>
      </c>
      <c r="B160" s="1020"/>
      <c r="C160" s="1951"/>
      <c r="D160" s="1951"/>
      <c r="E160" s="1954"/>
      <c r="F160" s="1953"/>
      <c r="G160" s="1951">
        <v>0</v>
      </c>
      <c r="H160" s="1954">
        <v>0</v>
      </c>
      <c r="I160" s="1953">
        <v>0</v>
      </c>
      <c r="J160" s="1951">
        <v>0</v>
      </c>
      <c r="K160" s="1954">
        <v>0</v>
      </c>
      <c r="L160" s="240"/>
      <c r="Q160" s="122"/>
    </row>
    <row r="161" spans="1:17" ht="11.25" customHeight="1">
      <c r="A161" s="1354" t="str">
        <f t="shared" si="28"/>
        <v>Language Policy</v>
      </c>
      <c r="B161" s="1020"/>
      <c r="C161" s="1951"/>
      <c r="D161" s="1951"/>
      <c r="E161" s="1954"/>
      <c r="F161" s="1953"/>
      <c r="G161" s="1951">
        <v>0</v>
      </c>
      <c r="H161" s="1954">
        <v>0</v>
      </c>
      <c r="I161" s="1953">
        <v>0</v>
      </c>
      <c r="J161" s="1951">
        <v>0</v>
      </c>
      <c r="K161" s="1954">
        <v>0</v>
      </c>
      <c r="L161" s="240"/>
      <c r="Q161" s="122"/>
    </row>
    <row r="162" spans="1:17" ht="11.25" customHeight="1">
      <c r="A162" s="1354" t="str">
        <f t="shared" si="28"/>
        <v>Libraries and Archives</v>
      </c>
      <c r="B162" s="1020"/>
      <c r="C162" s="1951">
        <v>7646026.6699999999</v>
      </c>
      <c r="D162" s="1951">
        <v>8866582.1699999999</v>
      </c>
      <c r="E162" s="1954">
        <v>8981276.3300000001</v>
      </c>
      <c r="F162" s="1953">
        <v>10052528</v>
      </c>
      <c r="G162" s="1951">
        <v>9776214</v>
      </c>
      <c r="H162" s="1954">
        <f>9776214-381695</f>
        <v>9394519</v>
      </c>
      <c r="I162" s="1953">
        <v>10579180</v>
      </c>
      <c r="J162" s="1951">
        <v>11059457</v>
      </c>
      <c r="K162" s="1954">
        <v>11568106</v>
      </c>
      <c r="L162" s="240"/>
      <c r="Q162" s="122"/>
    </row>
    <row r="163" spans="1:17" ht="11.25" customHeight="1">
      <c r="A163" s="1354" t="str">
        <f t="shared" si="28"/>
        <v>Literacy Programmes</v>
      </c>
      <c r="B163" s="1020"/>
      <c r="C163" s="1951"/>
      <c r="D163" s="1951"/>
      <c r="E163" s="1954"/>
      <c r="F163" s="1953"/>
      <c r="G163" s="1951"/>
      <c r="H163" s="1954"/>
      <c r="I163" s="1953">
        <v>0</v>
      </c>
      <c r="J163" s="1951">
        <v>0</v>
      </c>
      <c r="K163" s="1954">
        <v>0</v>
      </c>
      <c r="L163" s="240"/>
      <c r="Q163" s="122"/>
    </row>
    <row r="164" spans="1:17" ht="11.25" customHeight="1">
      <c r="A164" s="1354" t="str">
        <f t="shared" si="28"/>
        <v>Media Services</v>
      </c>
      <c r="B164" s="1020"/>
      <c r="C164" s="1951"/>
      <c r="D164" s="1951"/>
      <c r="E164" s="1954"/>
      <c r="F164" s="1953"/>
      <c r="G164" s="1951"/>
      <c r="H164" s="1954"/>
      <c r="I164" s="1953">
        <v>0</v>
      </c>
      <c r="J164" s="1951">
        <v>0</v>
      </c>
      <c r="K164" s="1954">
        <v>0</v>
      </c>
      <c r="L164" s="240"/>
      <c r="Q164" s="122"/>
    </row>
    <row r="165" spans="1:17" ht="11.25" customHeight="1">
      <c r="A165" s="1354" t="str">
        <f t="shared" si="28"/>
        <v>Museums and Art Galleries</v>
      </c>
      <c r="B165" s="1020"/>
      <c r="C165" s="1951"/>
      <c r="D165" s="1951"/>
      <c r="E165" s="1954"/>
      <c r="F165" s="1953"/>
      <c r="G165" s="1951"/>
      <c r="H165" s="1954"/>
      <c r="I165" s="1953">
        <v>0</v>
      </c>
      <c r="J165" s="1951">
        <v>0</v>
      </c>
      <c r="K165" s="1954">
        <v>0</v>
      </c>
      <c r="L165" s="240"/>
      <c r="Q165" s="122"/>
    </row>
    <row r="166" spans="1:17" ht="11.25" customHeight="1">
      <c r="A166" s="1354" t="str">
        <f t="shared" si="28"/>
        <v>Population Development</v>
      </c>
      <c r="B166" s="1020"/>
      <c r="C166" s="1951"/>
      <c r="D166" s="1951"/>
      <c r="E166" s="1954"/>
      <c r="F166" s="1953"/>
      <c r="G166" s="1951"/>
      <c r="H166" s="1954"/>
      <c r="I166" s="1953">
        <v>0</v>
      </c>
      <c r="J166" s="1951">
        <v>0</v>
      </c>
      <c r="K166" s="1954">
        <v>0</v>
      </c>
      <c r="L166" s="240"/>
      <c r="Q166" s="122"/>
    </row>
    <row r="167" spans="1:17" ht="11.25" customHeight="1">
      <c r="A167" s="1354" t="str">
        <f t="shared" si="28"/>
        <v>Provincial Cultural Matters</v>
      </c>
      <c r="B167" s="1020"/>
      <c r="C167" s="1951"/>
      <c r="D167" s="1951"/>
      <c r="E167" s="1954"/>
      <c r="F167" s="1953"/>
      <c r="G167" s="1951"/>
      <c r="H167" s="1954"/>
      <c r="I167" s="1953">
        <v>0</v>
      </c>
      <c r="J167" s="1951">
        <v>0</v>
      </c>
      <c r="K167" s="1954">
        <v>0</v>
      </c>
      <c r="L167" s="240"/>
      <c r="Q167" s="122"/>
    </row>
    <row r="168" spans="1:17" ht="11.25" customHeight="1">
      <c r="A168" s="1354" t="str">
        <f t="shared" si="28"/>
        <v>Theatres</v>
      </c>
      <c r="B168" s="1020"/>
      <c r="C168" s="1951"/>
      <c r="D168" s="1951"/>
      <c r="E168" s="1954"/>
      <c r="F168" s="1953"/>
      <c r="G168" s="1951"/>
      <c r="H168" s="1954"/>
      <c r="I168" s="1953">
        <v>0</v>
      </c>
      <c r="J168" s="1951">
        <v>0</v>
      </c>
      <c r="K168" s="1954">
        <v>0</v>
      </c>
      <c r="L168" s="240"/>
      <c r="Q168" s="122"/>
    </row>
    <row r="169" spans="1:17" ht="11.25" customHeight="1">
      <c r="A169" s="1354" t="str">
        <f t="shared" si="28"/>
        <v>Zoo's</v>
      </c>
      <c r="B169" s="1020"/>
      <c r="C169" s="1951"/>
      <c r="D169" s="1951"/>
      <c r="E169" s="1954"/>
      <c r="F169" s="1953"/>
      <c r="G169" s="1951"/>
      <c r="H169" s="1954"/>
      <c r="I169" s="1953">
        <v>0</v>
      </c>
      <c r="J169" s="1951">
        <v>0</v>
      </c>
      <c r="K169" s="1954">
        <v>0</v>
      </c>
      <c r="L169" s="240"/>
      <c r="Q169" s="122"/>
    </row>
    <row r="170" spans="1:17" ht="11.25" customHeight="1">
      <c r="A170" s="1155" t="str">
        <f t="shared" si="28"/>
        <v>Sport and recreation</v>
      </c>
      <c r="B170" s="1020"/>
      <c r="C170" s="971">
        <f t="shared" ref="C170:K170" si="29">SUM(C171:C175)</f>
        <v>23221189.069999997</v>
      </c>
      <c r="D170" s="971">
        <f t="shared" si="29"/>
        <v>23678467.610000003</v>
      </c>
      <c r="E170" s="1321">
        <f t="shared" si="29"/>
        <v>23016098.579999998</v>
      </c>
      <c r="F170" s="972">
        <f t="shared" si="29"/>
        <v>27120105</v>
      </c>
      <c r="G170" s="971">
        <f t="shared" si="29"/>
        <v>25367366</v>
      </c>
      <c r="H170" s="1321">
        <f t="shared" si="29"/>
        <v>23042290.680000003</v>
      </c>
      <c r="I170" s="972">
        <f t="shared" si="29"/>
        <v>25601180</v>
      </c>
      <c r="J170" s="971">
        <f t="shared" si="29"/>
        <v>26708576</v>
      </c>
      <c r="K170" s="1321">
        <f t="shared" si="29"/>
        <v>27937178</v>
      </c>
      <c r="L170" s="240"/>
      <c r="Q170" s="122"/>
    </row>
    <row r="171" spans="1:17" ht="11.25" customHeight="1">
      <c r="A171" s="1354" t="str">
        <f t="shared" si="28"/>
        <v xml:space="preserve">Beaches and Jetties </v>
      </c>
      <c r="B171" s="1020"/>
      <c r="C171" s="1951"/>
      <c r="D171" s="1951"/>
      <c r="E171" s="1954"/>
      <c r="F171" s="1953"/>
      <c r="G171" s="1951"/>
      <c r="H171" s="1954"/>
      <c r="I171" s="1953">
        <v>0</v>
      </c>
      <c r="J171" s="1951">
        <v>0</v>
      </c>
      <c r="K171" s="1954">
        <v>0</v>
      </c>
      <c r="L171" s="240"/>
      <c r="Q171" s="122"/>
    </row>
    <row r="172" spans="1:17" ht="11.25" customHeight="1">
      <c r="A172" s="1354" t="str">
        <f t="shared" si="28"/>
        <v>Casinos, Racing, Gambling, Wagering</v>
      </c>
      <c r="B172" s="1020"/>
      <c r="C172" s="1951"/>
      <c r="D172" s="1951"/>
      <c r="E172" s="1954"/>
      <c r="F172" s="1953"/>
      <c r="G172" s="1951"/>
      <c r="H172" s="1954"/>
      <c r="I172" s="1953">
        <v>0</v>
      </c>
      <c r="J172" s="1951">
        <v>0</v>
      </c>
      <c r="K172" s="1954">
        <v>0</v>
      </c>
      <c r="L172" s="240"/>
      <c r="Q172" s="122"/>
    </row>
    <row r="173" spans="1:17" ht="11.25" customHeight="1">
      <c r="A173" s="1354" t="str">
        <f t="shared" si="28"/>
        <v>Community Parks (including Nurseries)</v>
      </c>
      <c r="B173" s="1020"/>
      <c r="C173" s="1951"/>
      <c r="D173" s="1951"/>
      <c r="E173" s="1954"/>
      <c r="F173" s="1953"/>
      <c r="G173" s="1951"/>
      <c r="H173" s="1954"/>
      <c r="I173" s="1953">
        <v>0</v>
      </c>
      <c r="J173" s="1951">
        <v>0</v>
      </c>
      <c r="K173" s="1954">
        <v>0</v>
      </c>
      <c r="L173" s="240"/>
      <c r="Q173" s="122"/>
    </row>
    <row r="174" spans="1:17" ht="11.25" customHeight="1">
      <c r="A174" s="1354" t="str">
        <f t="shared" si="28"/>
        <v>Recreational Facilities</v>
      </c>
      <c r="B174" s="1020"/>
      <c r="C174" s="1951">
        <v>23221189.069999997</v>
      </c>
      <c r="D174" s="1951">
        <v>23678467.610000003</v>
      </c>
      <c r="E174" s="1954">
        <v>23016098.579999998</v>
      </c>
      <c r="F174" s="1953">
        <v>27120105</v>
      </c>
      <c r="G174" s="1951">
        <v>25367366</v>
      </c>
      <c r="H174" s="1954">
        <v>23042290.680000003</v>
      </c>
      <c r="I174" s="1953">
        <v>25601180</v>
      </c>
      <c r="J174" s="1951">
        <v>26708576</v>
      </c>
      <c r="K174" s="1954">
        <v>27937178</v>
      </c>
      <c r="L174" s="240"/>
      <c r="Q174" s="122"/>
    </row>
    <row r="175" spans="1:17" ht="11.25" customHeight="1">
      <c r="A175" s="1354" t="str">
        <f t="shared" si="28"/>
        <v>Sports Grounds and Stadiums</v>
      </c>
      <c r="B175" s="1020"/>
      <c r="C175" s="1951"/>
      <c r="D175" s="1951"/>
      <c r="E175" s="1954"/>
      <c r="F175" s="1953"/>
      <c r="G175" s="1951"/>
      <c r="H175" s="1954"/>
      <c r="I175" s="1953">
        <v>0</v>
      </c>
      <c r="J175" s="1951">
        <v>0</v>
      </c>
      <c r="K175" s="1954">
        <v>0</v>
      </c>
      <c r="L175" s="240"/>
      <c r="Q175" s="122"/>
    </row>
    <row r="176" spans="1:17" ht="11.25" customHeight="1">
      <c r="A176" s="1155" t="str">
        <f t="shared" si="28"/>
        <v>Public safety</v>
      </c>
      <c r="B176" s="1020"/>
      <c r="C176" s="971">
        <f t="shared" ref="C176:K176" si="30">SUM(C177:C184)</f>
        <v>28205228</v>
      </c>
      <c r="D176" s="971">
        <f t="shared" si="30"/>
        <v>22276860.059999995</v>
      </c>
      <c r="E176" s="1321">
        <f t="shared" si="30"/>
        <v>16183046.639999999</v>
      </c>
      <c r="F176" s="972">
        <f t="shared" si="30"/>
        <v>56026008</v>
      </c>
      <c r="G176" s="971">
        <f t="shared" si="30"/>
        <v>47099665</v>
      </c>
      <c r="H176" s="1321">
        <f t="shared" si="30"/>
        <v>76676559.519999996</v>
      </c>
      <c r="I176" s="972">
        <f t="shared" si="30"/>
        <v>51032724</v>
      </c>
      <c r="J176" s="971">
        <f t="shared" si="30"/>
        <v>53303393</v>
      </c>
      <c r="K176" s="1321">
        <f t="shared" si="30"/>
        <v>55755299</v>
      </c>
      <c r="L176" s="240"/>
      <c r="Q176" s="122"/>
    </row>
    <row r="177" spans="1:18" ht="11.25" customHeight="1">
      <c r="A177" s="1354" t="str">
        <f t="shared" si="28"/>
        <v>Civil Defence</v>
      </c>
      <c r="B177" s="1020"/>
      <c r="C177" s="1951"/>
      <c r="D177" s="1951"/>
      <c r="E177" s="1954"/>
      <c r="F177" s="1953"/>
      <c r="G177" s="1951"/>
      <c r="H177" s="1954"/>
      <c r="I177" s="1953">
        <v>0</v>
      </c>
      <c r="J177" s="1951">
        <v>0</v>
      </c>
      <c r="K177" s="1954">
        <v>0</v>
      </c>
      <c r="L177" s="240"/>
      <c r="Q177" s="122"/>
    </row>
    <row r="178" spans="1:18" ht="11.25" customHeight="1">
      <c r="A178" s="1354" t="str">
        <f t="shared" si="28"/>
        <v>Cleansing</v>
      </c>
      <c r="B178" s="1020"/>
      <c r="C178" s="1951"/>
      <c r="D178" s="1951"/>
      <c r="E178" s="1954"/>
      <c r="F178" s="1953"/>
      <c r="G178" s="1951"/>
      <c r="H178" s="1954"/>
      <c r="I178" s="1953">
        <v>0</v>
      </c>
      <c r="J178" s="1951">
        <v>0</v>
      </c>
      <c r="K178" s="1954">
        <v>0</v>
      </c>
      <c r="L178" s="240"/>
      <c r="Q178" s="122"/>
    </row>
    <row r="179" spans="1:18" ht="11.25" customHeight="1">
      <c r="A179" s="1354" t="str">
        <f t="shared" ref="A179:A184" si="31">A57</f>
        <v>Control of Public Nuisances</v>
      </c>
      <c r="B179" s="1018"/>
      <c r="C179" s="1951">
        <v>28205228</v>
      </c>
      <c r="D179" s="1951">
        <v>22276860.059999995</v>
      </c>
      <c r="E179" s="1954">
        <v>16183046.639999999</v>
      </c>
      <c r="F179" s="1953">
        <v>56026008</v>
      </c>
      <c r="G179" s="1951">
        <v>47099665</v>
      </c>
      <c r="H179" s="1954">
        <v>76676559.519999996</v>
      </c>
      <c r="I179" s="1953">
        <v>51032724</v>
      </c>
      <c r="J179" s="1951">
        <v>53303393</v>
      </c>
      <c r="K179" s="1954">
        <v>55755299</v>
      </c>
      <c r="L179" s="240"/>
      <c r="Q179" s="129"/>
      <c r="R179" s="130"/>
    </row>
    <row r="180" spans="1:18" ht="11.25" customHeight="1">
      <c r="A180" s="1354" t="str">
        <f t="shared" si="31"/>
        <v xml:space="preserve">Fencing and Fences </v>
      </c>
      <c r="B180" s="1020"/>
      <c r="C180" s="1951"/>
      <c r="D180" s="1951"/>
      <c r="E180" s="1954"/>
      <c r="F180" s="1953"/>
      <c r="G180" s="1951"/>
      <c r="H180" s="1954"/>
      <c r="I180" s="1953">
        <v>0</v>
      </c>
      <c r="J180" s="1951">
        <v>0</v>
      </c>
      <c r="K180" s="1954">
        <v>0</v>
      </c>
      <c r="L180" s="240"/>
      <c r="Q180" s="122"/>
    </row>
    <row r="181" spans="1:18" ht="11.25" customHeight="1">
      <c r="A181" s="1354" t="str">
        <f t="shared" si="31"/>
        <v>Fire Fighting and Protection</v>
      </c>
      <c r="B181" s="1020"/>
      <c r="C181" s="1951"/>
      <c r="D181" s="1951"/>
      <c r="E181" s="1954"/>
      <c r="F181" s="1953"/>
      <c r="G181" s="1951"/>
      <c r="H181" s="1954"/>
      <c r="I181" s="1953">
        <v>0</v>
      </c>
      <c r="J181" s="1951">
        <v>0</v>
      </c>
      <c r="K181" s="1954">
        <v>0</v>
      </c>
      <c r="L181" s="240"/>
      <c r="Q181" s="122"/>
    </row>
    <row r="182" spans="1:18" ht="11.25" customHeight="1">
      <c r="A182" s="1354" t="str">
        <f t="shared" si="31"/>
        <v>Licensing and Control of Animals</v>
      </c>
      <c r="B182" s="1020"/>
      <c r="C182" s="1951"/>
      <c r="D182" s="1951"/>
      <c r="E182" s="1954"/>
      <c r="F182" s="1953"/>
      <c r="G182" s="1951"/>
      <c r="H182" s="1954"/>
      <c r="I182" s="1953">
        <v>0</v>
      </c>
      <c r="J182" s="1951">
        <v>0</v>
      </c>
      <c r="K182" s="1954">
        <v>0</v>
      </c>
      <c r="L182" s="240"/>
      <c r="Q182" s="122"/>
    </row>
    <row r="183" spans="1:18" ht="11.25" customHeight="1">
      <c r="A183" s="1354" t="str">
        <f t="shared" si="31"/>
        <v>Police Forces, Traffic and Street Parking Control</v>
      </c>
      <c r="B183" s="1020"/>
      <c r="C183" s="1951"/>
      <c r="D183" s="1951"/>
      <c r="E183" s="1954"/>
      <c r="F183" s="1953"/>
      <c r="G183" s="1951"/>
      <c r="H183" s="1954"/>
      <c r="I183" s="1953">
        <v>0</v>
      </c>
      <c r="J183" s="1951">
        <v>0</v>
      </c>
      <c r="K183" s="1954">
        <v>0</v>
      </c>
      <c r="L183" s="240"/>
      <c r="Q183" s="122"/>
    </row>
    <row r="184" spans="1:18" ht="11.25" customHeight="1">
      <c r="A184" s="1354" t="str">
        <f t="shared" si="31"/>
        <v>Pounds</v>
      </c>
      <c r="B184" s="1020"/>
      <c r="C184" s="1951"/>
      <c r="D184" s="1951"/>
      <c r="E184" s="1954"/>
      <c r="F184" s="1953"/>
      <c r="G184" s="1951"/>
      <c r="H184" s="1954"/>
      <c r="I184" s="1953"/>
      <c r="J184" s="1951"/>
      <c r="K184" s="1954"/>
      <c r="L184" s="240"/>
      <c r="Q184" s="122"/>
    </row>
    <row r="185" spans="1:18" ht="11.25" customHeight="1">
      <c r="A185" s="1155" t="str">
        <f t="shared" ref="A185:A216" si="32">A63</f>
        <v>Housing</v>
      </c>
      <c r="B185" s="1020"/>
      <c r="C185" s="971">
        <f t="shared" ref="C185:K185" si="33">SUM(C186:C187)</f>
        <v>10936544</v>
      </c>
      <c r="D185" s="971">
        <f t="shared" si="33"/>
        <v>12233675.189999999</v>
      </c>
      <c r="E185" s="1321">
        <f t="shared" si="33"/>
        <v>13788554.93</v>
      </c>
      <c r="F185" s="972">
        <f t="shared" si="33"/>
        <v>18041702</v>
      </c>
      <c r="G185" s="971">
        <f t="shared" si="33"/>
        <v>16859919</v>
      </c>
      <c r="H185" s="1321">
        <f t="shared" si="33"/>
        <v>14524021.960000001</v>
      </c>
      <c r="I185" s="972">
        <f t="shared" si="33"/>
        <v>18596061</v>
      </c>
      <c r="J185" s="971">
        <f t="shared" si="33"/>
        <v>19329047.079999998</v>
      </c>
      <c r="K185" s="1321">
        <f t="shared" si="33"/>
        <v>20218091.245679993</v>
      </c>
      <c r="L185" s="240"/>
      <c r="Q185" s="122"/>
    </row>
    <row r="186" spans="1:18" ht="11.25" customHeight="1">
      <c r="A186" s="1354" t="str">
        <f t="shared" si="32"/>
        <v>Housing</v>
      </c>
      <c r="B186" s="1020"/>
      <c r="C186" s="1951">
        <v>10936544</v>
      </c>
      <c r="D186" s="1951">
        <v>12233675.189999999</v>
      </c>
      <c r="E186" s="1954">
        <v>13788554.93</v>
      </c>
      <c r="F186" s="1953">
        <v>18041702</v>
      </c>
      <c r="G186" s="1951">
        <v>16859919</v>
      </c>
      <c r="H186" s="1954">
        <v>14524021.960000001</v>
      </c>
      <c r="I186" s="1953">
        <v>18596061</v>
      </c>
      <c r="J186" s="1951">
        <v>19329047.079999998</v>
      </c>
      <c r="K186" s="1954">
        <v>20218091.245679993</v>
      </c>
      <c r="L186" s="240"/>
      <c r="Q186" s="122"/>
    </row>
    <row r="187" spans="1:18" ht="11.25" customHeight="1">
      <c r="A187" s="1354" t="str">
        <f t="shared" si="32"/>
        <v>Informal Settlements</v>
      </c>
      <c r="B187" s="1020"/>
      <c r="C187" s="1951"/>
      <c r="D187" s="1951"/>
      <c r="E187" s="1954"/>
      <c r="F187" s="1953"/>
      <c r="G187" s="1951"/>
      <c r="H187" s="1954"/>
      <c r="I187" s="1953"/>
      <c r="J187" s="1951"/>
      <c r="K187" s="1954"/>
      <c r="L187" s="240"/>
      <c r="Q187" s="122"/>
    </row>
    <row r="188" spans="1:18" ht="11.25" customHeight="1">
      <c r="A188" s="1155" t="str">
        <f t="shared" si="32"/>
        <v>Health</v>
      </c>
      <c r="B188" s="1020"/>
      <c r="C188" s="971">
        <f>SUM(C189:C195)</f>
        <v>8173266</v>
      </c>
      <c r="D188" s="971">
        <f t="shared" ref="D188:K188" si="34">SUM(D189:D195)</f>
        <v>8696265</v>
      </c>
      <c r="E188" s="1321">
        <f t="shared" si="34"/>
        <v>9103661.2599999998</v>
      </c>
      <c r="F188" s="972">
        <f t="shared" si="34"/>
        <v>10544945</v>
      </c>
      <c r="G188" s="971">
        <f t="shared" si="34"/>
        <v>10170592.5</v>
      </c>
      <c r="H188" s="1321">
        <f t="shared" si="34"/>
        <v>14665600.48</v>
      </c>
      <c r="I188" s="972">
        <f t="shared" si="34"/>
        <v>11722504</v>
      </c>
      <c r="J188" s="971">
        <f t="shared" si="34"/>
        <v>12239213.348000003</v>
      </c>
      <c r="K188" s="1321">
        <f t="shared" si="34"/>
        <v>12802234.994008007</v>
      </c>
      <c r="L188" s="240"/>
      <c r="Q188" s="122"/>
    </row>
    <row r="189" spans="1:18" ht="11.25" customHeight="1">
      <c r="A189" s="1354" t="str">
        <f t="shared" si="32"/>
        <v>Ambulance</v>
      </c>
      <c r="B189" s="1020"/>
      <c r="C189" s="1951"/>
      <c r="D189" s="1951"/>
      <c r="E189" s="1954"/>
      <c r="F189" s="1953"/>
      <c r="G189" s="1951"/>
      <c r="H189" s="1954"/>
      <c r="I189" s="1953"/>
      <c r="J189" s="1951"/>
      <c r="K189" s="1954"/>
      <c r="L189" s="240"/>
      <c r="Q189" s="122"/>
    </row>
    <row r="190" spans="1:18" ht="11.25" customHeight="1">
      <c r="A190" s="1354" t="str">
        <f t="shared" si="32"/>
        <v>Health Services</v>
      </c>
      <c r="B190" s="1020"/>
      <c r="C190" s="1951">
        <v>8173266</v>
      </c>
      <c r="D190" s="1951">
        <v>8696265</v>
      </c>
      <c r="E190" s="1954">
        <v>9103661.2599999998</v>
      </c>
      <c r="F190" s="1953">
        <v>10544945</v>
      </c>
      <c r="G190" s="1951">
        <v>10170592.5</v>
      </c>
      <c r="H190" s="1954">
        <v>14665600.48</v>
      </c>
      <c r="I190" s="1953">
        <v>11722504</v>
      </c>
      <c r="J190" s="1951">
        <v>12239213.348000003</v>
      </c>
      <c r="K190" s="1954">
        <v>12802234.994008007</v>
      </c>
      <c r="L190" s="240"/>
      <c r="Q190" s="122"/>
    </row>
    <row r="191" spans="1:18" ht="11.25" customHeight="1">
      <c r="A191" s="1354" t="str">
        <f t="shared" si="32"/>
        <v>Laboratory Services</v>
      </c>
      <c r="B191" s="1020"/>
      <c r="C191" s="1951"/>
      <c r="D191" s="1951"/>
      <c r="E191" s="1954"/>
      <c r="F191" s="1953"/>
      <c r="G191" s="1951"/>
      <c r="H191" s="1954"/>
      <c r="I191" s="1953"/>
      <c r="J191" s="1951"/>
      <c r="K191" s="1954"/>
      <c r="L191" s="240"/>
      <c r="Q191" s="122"/>
    </row>
    <row r="192" spans="1:18" ht="11.25" customHeight="1">
      <c r="A192" s="1354" t="str">
        <f t="shared" si="32"/>
        <v>Food Control</v>
      </c>
      <c r="B192" s="1020"/>
      <c r="C192" s="1951"/>
      <c r="D192" s="1951"/>
      <c r="E192" s="1954"/>
      <c r="F192" s="1953"/>
      <c r="G192" s="1951"/>
      <c r="H192" s="1954"/>
      <c r="I192" s="1953"/>
      <c r="J192" s="1951"/>
      <c r="K192" s="1954"/>
      <c r="L192" s="240"/>
      <c r="Q192" s="122"/>
    </row>
    <row r="193" spans="1:17" ht="11.25" customHeight="1">
      <c r="A193" s="1354" t="str">
        <f t="shared" si="32"/>
        <v>Health Surveillance and Prevention of Communicable Diseases including immunizations</v>
      </c>
      <c r="B193" s="1020"/>
      <c r="C193" s="1951"/>
      <c r="D193" s="1951"/>
      <c r="E193" s="1954"/>
      <c r="F193" s="1953"/>
      <c r="G193" s="1951"/>
      <c r="H193" s="1954"/>
      <c r="I193" s="1953"/>
      <c r="J193" s="1951"/>
      <c r="K193" s="1954"/>
      <c r="L193" s="240"/>
      <c r="Q193" s="122"/>
    </row>
    <row r="194" spans="1:17" ht="11.25" customHeight="1">
      <c r="A194" s="1354" t="str">
        <f t="shared" si="32"/>
        <v>Vector Control</v>
      </c>
      <c r="B194" s="1020"/>
      <c r="C194" s="1951"/>
      <c r="D194" s="1951"/>
      <c r="E194" s="1954"/>
      <c r="F194" s="1953"/>
      <c r="G194" s="1951"/>
      <c r="H194" s="1954"/>
      <c r="I194" s="1953"/>
      <c r="J194" s="1951"/>
      <c r="K194" s="1954"/>
      <c r="L194" s="240"/>
      <c r="Q194" s="122"/>
    </row>
    <row r="195" spans="1:17" ht="11.25" customHeight="1">
      <c r="A195" s="1354" t="str">
        <f t="shared" si="32"/>
        <v>Chemical Safety</v>
      </c>
      <c r="B195" s="1020"/>
      <c r="C195" s="1951"/>
      <c r="D195" s="1951"/>
      <c r="E195" s="1954"/>
      <c r="F195" s="1953"/>
      <c r="G195" s="1951"/>
      <c r="H195" s="1954"/>
      <c r="I195" s="1953"/>
      <c r="J195" s="1951"/>
      <c r="K195" s="1954"/>
      <c r="L195" s="240"/>
      <c r="Q195" s="122"/>
    </row>
    <row r="196" spans="1:17" ht="11.25" customHeight="1">
      <c r="A196" s="1101" t="str">
        <f t="shared" si="32"/>
        <v>Economic and environmental services</v>
      </c>
      <c r="B196" s="1020"/>
      <c r="C196" s="1160">
        <f t="shared" ref="C196:K196" si="35">C197+C208+C213</f>
        <v>261149816.44</v>
      </c>
      <c r="D196" s="1160">
        <f t="shared" si="35"/>
        <v>272868353</v>
      </c>
      <c r="E196" s="1320">
        <f t="shared" si="35"/>
        <v>218519225.17999995</v>
      </c>
      <c r="F196" s="1161">
        <f t="shared" si="35"/>
        <v>217625469</v>
      </c>
      <c r="G196" s="1160">
        <f t="shared" si="35"/>
        <v>203679992</v>
      </c>
      <c r="H196" s="1320">
        <f t="shared" si="35"/>
        <v>294268598.38</v>
      </c>
      <c r="I196" s="1161">
        <f t="shared" si="35"/>
        <v>215242849</v>
      </c>
      <c r="J196" s="1160">
        <f t="shared" si="35"/>
        <v>214729469.09799999</v>
      </c>
      <c r="K196" s="1320">
        <f t="shared" si="35"/>
        <v>224443874.964508</v>
      </c>
      <c r="L196" s="240"/>
      <c r="Q196" s="122"/>
    </row>
    <row r="197" spans="1:17" ht="11.25" customHeight="1">
      <c r="A197" s="1155" t="str">
        <f t="shared" si="32"/>
        <v>Planning and development</v>
      </c>
      <c r="B197" s="1020"/>
      <c r="C197" s="971">
        <f>SUM(C198:C207)</f>
        <v>20508307.41</v>
      </c>
      <c r="D197" s="971">
        <f t="shared" ref="D197:K197" si="36">SUM(D198:D207)</f>
        <v>24086493</v>
      </c>
      <c r="E197" s="1321">
        <f t="shared" si="36"/>
        <v>27073626.649999999</v>
      </c>
      <c r="F197" s="972">
        <f t="shared" si="36"/>
        <v>27428264</v>
      </c>
      <c r="G197" s="971">
        <f t="shared" si="36"/>
        <v>25493555</v>
      </c>
      <c r="H197" s="1321">
        <f t="shared" si="36"/>
        <v>27616271.380000003</v>
      </c>
      <c r="I197" s="972">
        <f t="shared" si="36"/>
        <v>28248926</v>
      </c>
      <c r="J197" s="971">
        <f t="shared" si="36"/>
        <v>29501346</v>
      </c>
      <c r="K197" s="1321">
        <f t="shared" si="36"/>
        <v>30817635</v>
      </c>
      <c r="L197" s="240"/>
      <c r="Q197" s="122"/>
    </row>
    <row r="198" spans="1:17" ht="11.25" customHeight="1">
      <c r="A198" s="1354" t="str">
        <f t="shared" si="32"/>
        <v>Billboards</v>
      </c>
      <c r="B198" s="1020"/>
      <c r="C198" s="1951"/>
      <c r="D198" s="2784">
        <v>0</v>
      </c>
      <c r="E198" s="1954"/>
      <c r="F198" s="1953">
        <v>0</v>
      </c>
      <c r="G198" s="1951">
        <v>0</v>
      </c>
      <c r="H198" s="1954"/>
      <c r="I198" s="1953">
        <v>0</v>
      </c>
      <c r="J198" s="1951">
        <v>0</v>
      </c>
      <c r="K198" s="1954">
        <v>0</v>
      </c>
      <c r="L198" s="240"/>
      <c r="Q198" s="122"/>
    </row>
    <row r="199" spans="1:17" ht="11.25" customHeight="1">
      <c r="A199" s="1354" t="str">
        <f t="shared" si="32"/>
        <v>Corporate Wide Strategic Planning (IDPs, LEDs)</v>
      </c>
      <c r="B199" s="1020"/>
      <c r="C199" s="1951">
        <v>2372891.0299999998</v>
      </c>
      <c r="D199" s="2784">
        <v>23108081</v>
      </c>
      <c r="E199" s="1954">
        <v>3318642.7700000005</v>
      </c>
      <c r="F199" s="1953">
        <v>17883246</v>
      </c>
      <c r="G199" s="1951">
        <v>16860270</v>
      </c>
      <c r="H199" s="1954">
        <v>4262968.3400000008</v>
      </c>
      <c r="I199" s="1953">
        <v>19361812</v>
      </c>
      <c r="J199" s="1951">
        <v>20214479</v>
      </c>
      <c r="K199" s="1954">
        <v>21103750</v>
      </c>
      <c r="L199" s="240"/>
      <c r="Q199" s="122"/>
    </row>
    <row r="200" spans="1:17" ht="11.25" customHeight="1">
      <c r="A200" s="1354" t="str">
        <f t="shared" si="32"/>
        <v>Central City Improvement District</v>
      </c>
      <c r="B200" s="1020"/>
      <c r="C200" s="1951"/>
      <c r="D200" s="2784">
        <v>0</v>
      </c>
      <c r="E200" s="1954"/>
      <c r="F200" s="1953">
        <v>0</v>
      </c>
      <c r="G200" s="1951">
        <v>0</v>
      </c>
      <c r="H200" s="1954"/>
      <c r="I200" s="1953">
        <v>0</v>
      </c>
      <c r="J200" s="1951">
        <v>0</v>
      </c>
      <c r="K200" s="1954">
        <v>0</v>
      </c>
      <c r="L200" s="240"/>
      <c r="Q200" s="122"/>
    </row>
    <row r="201" spans="1:17" ht="11.25" customHeight="1">
      <c r="A201" s="1354" t="str">
        <f t="shared" si="32"/>
        <v>Development Facilitation</v>
      </c>
      <c r="B201" s="1020"/>
      <c r="C201" s="1951"/>
      <c r="D201" s="2784">
        <v>0</v>
      </c>
      <c r="E201" s="1954"/>
      <c r="F201" s="1953">
        <v>0</v>
      </c>
      <c r="G201" s="1951">
        <v>0</v>
      </c>
      <c r="H201" s="1954"/>
      <c r="I201" s="1953">
        <v>0</v>
      </c>
      <c r="J201" s="1951">
        <v>0</v>
      </c>
      <c r="K201" s="1954">
        <v>0</v>
      </c>
      <c r="L201" s="240"/>
      <c r="Q201" s="122"/>
    </row>
    <row r="202" spans="1:17" ht="11.25" customHeight="1">
      <c r="A202" s="1354" t="str">
        <f t="shared" si="32"/>
        <v>Economic Development/Planning</v>
      </c>
      <c r="B202" s="1020"/>
      <c r="C202" s="1951">
        <v>12510428.110000001</v>
      </c>
      <c r="D202" s="2784">
        <v>0</v>
      </c>
      <c r="E202" s="1954">
        <f>14837245.7+3892720</f>
        <v>18729965.699999999</v>
      </c>
      <c r="F202" s="1953">
        <v>2556896</v>
      </c>
      <c r="G202" s="1951">
        <v>2329063</v>
      </c>
      <c r="H202" s="1954">
        <v>17999114.180000003</v>
      </c>
      <c r="I202" s="1953">
        <v>2396635</v>
      </c>
      <c r="J202" s="1951">
        <v>2498294</v>
      </c>
      <c r="K202" s="1954">
        <v>2613122</v>
      </c>
      <c r="L202" s="240"/>
      <c r="Q202" s="122"/>
    </row>
    <row r="203" spans="1:17" ht="11.25" customHeight="1">
      <c r="A203" s="1354" t="str">
        <f t="shared" si="32"/>
        <v>Regional Planning and Development</v>
      </c>
      <c r="B203" s="1020"/>
      <c r="C203" s="1951"/>
      <c r="D203" s="2784">
        <v>0</v>
      </c>
      <c r="E203" s="1954"/>
      <c r="F203" s="1953">
        <v>0</v>
      </c>
      <c r="G203" s="1951">
        <v>0</v>
      </c>
      <c r="H203" s="1954"/>
      <c r="I203" s="1953">
        <v>0</v>
      </c>
      <c r="J203" s="1951">
        <v>0</v>
      </c>
      <c r="K203" s="1954">
        <v>0</v>
      </c>
      <c r="L203" s="240"/>
      <c r="Q203" s="122"/>
    </row>
    <row r="204" spans="1:17" ht="11.25" customHeight="1">
      <c r="A204" s="1354" t="str">
        <f t="shared" si="32"/>
        <v>Town Planning, Building Regulations and Enforcement, and City Engineer</v>
      </c>
      <c r="B204" s="1020"/>
      <c r="C204" s="1951">
        <v>5624988.2700000005</v>
      </c>
      <c r="D204" s="2784">
        <v>978412</v>
      </c>
      <c r="E204" s="1954">
        <v>5025018.18</v>
      </c>
      <c r="F204" s="1953">
        <v>6988122</v>
      </c>
      <c r="G204" s="1951">
        <v>6304222</v>
      </c>
      <c r="H204" s="1954">
        <v>5354188.8599999985</v>
      </c>
      <c r="I204" s="1953">
        <v>6490479</v>
      </c>
      <c r="J204" s="1951">
        <v>6788573</v>
      </c>
      <c r="K204" s="1954">
        <v>7100763</v>
      </c>
      <c r="L204" s="240"/>
      <c r="Q204" s="122"/>
    </row>
    <row r="205" spans="1:17" ht="11.25" customHeight="1">
      <c r="A205" s="1354" t="str">
        <f t="shared" si="32"/>
        <v>Project Management Unit</v>
      </c>
      <c r="B205" s="1020"/>
      <c r="C205" s="1951"/>
      <c r="D205" s="2784">
        <v>0</v>
      </c>
      <c r="E205" s="1954"/>
      <c r="F205" s="1953">
        <v>0</v>
      </c>
      <c r="G205" s="1951">
        <v>0</v>
      </c>
      <c r="H205" s="1954"/>
      <c r="I205" s="1953">
        <v>0</v>
      </c>
      <c r="J205" s="1951">
        <v>0</v>
      </c>
      <c r="K205" s="1954">
        <v>0</v>
      </c>
      <c r="L205" s="240"/>
      <c r="Q205" s="122"/>
    </row>
    <row r="206" spans="1:17" ht="11.25" customHeight="1">
      <c r="A206" s="1354" t="str">
        <f t="shared" si="32"/>
        <v>Provincial Planning</v>
      </c>
      <c r="B206" s="1020"/>
      <c r="C206" s="1951"/>
      <c r="D206" s="2784">
        <v>0</v>
      </c>
      <c r="E206" s="1954"/>
      <c r="F206" s="1953">
        <v>0</v>
      </c>
      <c r="G206" s="1951">
        <v>0</v>
      </c>
      <c r="H206" s="1954"/>
      <c r="I206" s="1953">
        <v>0</v>
      </c>
      <c r="J206" s="1951">
        <v>0</v>
      </c>
      <c r="K206" s="1954">
        <v>0</v>
      </c>
      <c r="L206" s="240"/>
      <c r="Q206" s="122"/>
    </row>
    <row r="207" spans="1:17" ht="11.25" customHeight="1">
      <c r="A207" s="1354" t="str">
        <f t="shared" si="32"/>
        <v>Support to Local Municipalities</v>
      </c>
      <c r="B207" s="1020"/>
      <c r="C207" s="1951"/>
      <c r="D207" s="2784">
        <v>0</v>
      </c>
      <c r="E207" s="1954"/>
      <c r="F207" s="1953">
        <v>0</v>
      </c>
      <c r="G207" s="1951">
        <v>0</v>
      </c>
      <c r="H207" s="1954"/>
      <c r="I207" s="1953">
        <v>0</v>
      </c>
      <c r="J207" s="1951">
        <v>0</v>
      </c>
      <c r="K207" s="1954">
        <v>0</v>
      </c>
      <c r="L207" s="240"/>
      <c r="Q207" s="122"/>
    </row>
    <row r="208" spans="1:17" ht="11.25" customHeight="1">
      <c r="A208" s="1155" t="str">
        <f t="shared" si="32"/>
        <v>Road transport</v>
      </c>
      <c r="B208" s="1020"/>
      <c r="C208" s="971">
        <f t="shared" ref="C208:K208" si="37">SUM(C209:C212)</f>
        <v>240641509.03</v>
      </c>
      <c r="D208" s="971">
        <f t="shared" si="37"/>
        <v>248781860</v>
      </c>
      <c r="E208" s="1321">
        <f t="shared" si="37"/>
        <v>191445598.52999994</v>
      </c>
      <c r="F208" s="972">
        <f t="shared" si="37"/>
        <v>190197205</v>
      </c>
      <c r="G208" s="971">
        <f t="shared" si="37"/>
        <v>178186437</v>
      </c>
      <c r="H208" s="1321">
        <f t="shared" si="37"/>
        <v>266652327</v>
      </c>
      <c r="I208" s="972">
        <f t="shared" si="37"/>
        <v>186993923</v>
      </c>
      <c r="J208" s="971">
        <f t="shared" si="37"/>
        <v>185228123.09799999</v>
      </c>
      <c r="K208" s="1321">
        <f t="shared" si="37"/>
        <v>193626239.964508</v>
      </c>
      <c r="L208" s="240"/>
      <c r="Q208" s="122"/>
    </row>
    <row r="209" spans="1:17" ht="11.25" customHeight="1">
      <c r="A209" s="1354" t="str">
        <f t="shared" si="32"/>
        <v>Public Transport</v>
      </c>
      <c r="B209" s="1020"/>
      <c r="C209" s="1951"/>
      <c r="D209" s="1951"/>
      <c r="E209" s="1954"/>
      <c r="F209" s="1953"/>
      <c r="G209" s="1951"/>
      <c r="H209" s="1954"/>
      <c r="I209" s="1953"/>
      <c r="J209" s="1951"/>
      <c r="K209" s="1954"/>
      <c r="L209" s="240"/>
      <c r="Q209" s="122"/>
    </row>
    <row r="210" spans="1:17" ht="11.25" customHeight="1">
      <c r="A210" s="1354" t="str">
        <f t="shared" si="32"/>
        <v>Road and Traffic Regulation</v>
      </c>
      <c r="B210" s="1020"/>
      <c r="C210" s="1951"/>
      <c r="D210" s="1951"/>
      <c r="E210" s="1954"/>
      <c r="F210" s="1953"/>
      <c r="G210" s="1951"/>
      <c r="H210" s="1954"/>
      <c r="I210" s="1953"/>
      <c r="J210" s="1951"/>
      <c r="K210" s="1954"/>
      <c r="L210" s="240"/>
      <c r="Q210" s="122"/>
    </row>
    <row r="211" spans="1:17" ht="11.25" customHeight="1">
      <c r="A211" s="1354" t="str">
        <f t="shared" si="32"/>
        <v>Roads</v>
      </c>
      <c r="B211" s="1020"/>
      <c r="C211" s="1951">
        <v>240641509.03</v>
      </c>
      <c r="D211" s="2785">
        <v>248781860</v>
      </c>
      <c r="E211" s="1954">
        <v>191445598.52999994</v>
      </c>
      <c r="F211" s="1953">
        <v>190197205</v>
      </c>
      <c r="G211" s="1951">
        <v>178186437</v>
      </c>
      <c r="H211" s="1954">
        <v>266652327</v>
      </c>
      <c r="I211" s="1953">
        <v>186993923</v>
      </c>
      <c r="J211" s="1951">
        <v>185228123.09799999</v>
      </c>
      <c r="K211" s="1954">
        <v>193626239.964508</v>
      </c>
      <c r="L211" s="240"/>
      <c r="Q211" s="122"/>
    </row>
    <row r="212" spans="1:17" ht="11.25" customHeight="1">
      <c r="A212" s="1354" t="str">
        <f t="shared" si="32"/>
        <v>Taxi Ranks</v>
      </c>
      <c r="B212" s="1020"/>
      <c r="C212" s="1951"/>
      <c r="D212" s="1951"/>
      <c r="E212" s="1954"/>
      <c r="F212" s="1953"/>
      <c r="G212" s="1951"/>
      <c r="H212" s="1954"/>
      <c r="I212" s="1953"/>
      <c r="J212" s="1951"/>
      <c r="K212" s="1954"/>
      <c r="L212" s="240"/>
      <c r="Q212" s="122"/>
    </row>
    <row r="213" spans="1:17" ht="11.25" customHeight="1">
      <c r="A213" s="1155" t="str">
        <f t="shared" si="32"/>
        <v>Environmental protection</v>
      </c>
      <c r="B213" s="1020"/>
      <c r="C213" s="971">
        <f>SUM(C214:C219)</f>
        <v>0</v>
      </c>
      <c r="D213" s="971">
        <f t="shared" ref="D213:K213" si="38">SUM(D214:D219)</f>
        <v>0</v>
      </c>
      <c r="E213" s="1321">
        <f t="shared" si="38"/>
        <v>0</v>
      </c>
      <c r="F213" s="972">
        <f t="shared" si="38"/>
        <v>0</v>
      </c>
      <c r="G213" s="971">
        <f t="shared" si="38"/>
        <v>0</v>
      </c>
      <c r="H213" s="1321">
        <f t="shared" si="38"/>
        <v>0</v>
      </c>
      <c r="I213" s="972">
        <f t="shared" si="38"/>
        <v>0</v>
      </c>
      <c r="J213" s="971">
        <f t="shared" si="38"/>
        <v>0</v>
      </c>
      <c r="K213" s="1321">
        <f t="shared" si="38"/>
        <v>0</v>
      </c>
      <c r="L213" s="240"/>
      <c r="Q213" s="122"/>
    </row>
    <row r="214" spans="1:17" ht="11.25" customHeight="1">
      <c r="A214" s="1354" t="str">
        <f t="shared" si="32"/>
        <v>Biodiversity and Landscape</v>
      </c>
      <c r="B214" s="1020"/>
      <c r="C214" s="1951"/>
      <c r="D214" s="1951"/>
      <c r="E214" s="1954"/>
      <c r="F214" s="1953"/>
      <c r="G214" s="1951"/>
      <c r="H214" s="1954"/>
      <c r="I214" s="1953"/>
      <c r="J214" s="1951"/>
      <c r="K214" s="1954"/>
      <c r="L214" s="240"/>
      <c r="Q214" s="122"/>
    </row>
    <row r="215" spans="1:17" ht="11.25" customHeight="1">
      <c r="A215" s="1354" t="str">
        <f t="shared" si="32"/>
        <v>Coastal Protection</v>
      </c>
      <c r="B215" s="1020"/>
      <c r="C215" s="1951"/>
      <c r="D215" s="1951"/>
      <c r="E215" s="1954"/>
      <c r="F215" s="1953"/>
      <c r="G215" s="1951"/>
      <c r="H215" s="1954"/>
      <c r="I215" s="1953"/>
      <c r="J215" s="1951"/>
      <c r="K215" s="1954"/>
      <c r="L215" s="240"/>
      <c r="Q215" s="122"/>
    </row>
    <row r="216" spans="1:17" ht="11.25" customHeight="1">
      <c r="A216" s="1354" t="str">
        <f t="shared" si="32"/>
        <v>Indigenous Forests</v>
      </c>
      <c r="B216" s="1020"/>
      <c r="C216" s="1951"/>
      <c r="D216" s="1951"/>
      <c r="E216" s="1954"/>
      <c r="F216" s="1953"/>
      <c r="G216" s="1951"/>
      <c r="H216" s="1954"/>
      <c r="I216" s="1953"/>
      <c r="J216" s="1951"/>
      <c r="K216" s="1954"/>
      <c r="L216" s="240"/>
      <c r="Q216" s="122"/>
    </row>
    <row r="217" spans="1:17" ht="11.25" customHeight="1">
      <c r="A217" s="1354" t="str">
        <f t="shared" ref="A217:A245" si="39">A95</f>
        <v>Nature Conservation</v>
      </c>
      <c r="B217" s="1020"/>
      <c r="C217" s="1951"/>
      <c r="D217" s="1951"/>
      <c r="E217" s="1954"/>
      <c r="F217" s="1953"/>
      <c r="G217" s="1951"/>
      <c r="H217" s="1954"/>
      <c r="I217" s="1953"/>
      <c r="J217" s="1951"/>
      <c r="K217" s="1954"/>
      <c r="L217" s="240"/>
      <c r="Q217" s="122"/>
    </row>
    <row r="218" spans="1:17" ht="11.25" customHeight="1">
      <c r="A218" s="1354" t="str">
        <f t="shared" si="39"/>
        <v>Pollution Control</v>
      </c>
      <c r="B218" s="1020"/>
      <c r="C218" s="1951"/>
      <c r="D218" s="1951"/>
      <c r="E218" s="1954"/>
      <c r="F218" s="1953"/>
      <c r="G218" s="1951"/>
      <c r="H218" s="1954"/>
      <c r="I218" s="1953"/>
      <c r="J218" s="1951"/>
      <c r="K218" s="1954"/>
      <c r="L218" s="240"/>
      <c r="Q218" s="122"/>
    </row>
    <row r="219" spans="1:17" ht="11.25" customHeight="1">
      <c r="A219" s="1354" t="str">
        <f t="shared" si="39"/>
        <v>Soil Conservation</v>
      </c>
      <c r="B219" s="1020"/>
      <c r="C219" s="1951"/>
      <c r="D219" s="1951"/>
      <c r="E219" s="1954"/>
      <c r="F219" s="1953"/>
      <c r="G219" s="1951"/>
      <c r="H219" s="1954"/>
      <c r="I219" s="1953"/>
      <c r="J219" s="1951"/>
      <c r="K219" s="1954"/>
      <c r="L219" s="240"/>
      <c r="Q219" s="122"/>
    </row>
    <row r="220" spans="1:17" ht="11.25" customHeight="1">
      <c r="A220" s="1101" t="str">
        <f t="shared" si="39"/>
        <v>Trading services</v>
      </c>
      <c r="B220" s="1020"/>
      <c r="C220" s="1160">
        <f>C221+C225+C229+C234</f>
        <v>559703778.6099999</v>
      </c>
      <c r="D220" s="1160">
        <f t="shared" ref="D220:K220" si="40">D221+D225+D229+D234</f>
        <v>550500663.47000003</v>
      </c>
      <c r="E220" s="1320">
        <f t="shared" si="40"/>
        <v>611173102.71999991</v>
      </c>
      <c r="F220" s="1161">
        <f t="shared" si="40"/>
        <v>682668925.91999996</v>
      </c>
      <c r="G220" s="1160">
        <f t="shared" si="40"/>
        <v>654875796</v>
      </c>
      <c r="H220" s="1320">
        <f t="shared" si="40"/>
        <v>578256581.29999995</v>
      </c>
      <c r="I220" s="1161">
        <f t="shared" si="40"/>
        <v>663714756</v>
      </c>
      <c r="J220" s="1160">
        <f t="shared" si="40"/>
        <v>692228308.10200024</v>
      </c>
      <c r="K220" s="1320">
        <f t="shared" si="40"/>
        <v>721971769.97469199</v>
      </c>
      <c r="L220" s="240"/>
      <c r="Q220" s="122"/>
    </row>
    <row r="221" spans="1:17" ht="11.25" customHeight="1">
      <c r="A221" s="1155" t="str">
        <f t="shared" si="39"/>
        <v>Energy sources</v>
      </c>
      <c r="B221" s="1020"/>
      <c r="C221" s="971">
        <f>SUM(C222:C224)</f>
        <v>482189062.60999995</v>
      </c>
      <c r="D221" s="971">
        <f t="shared" ref="D221:K221" si="41">SUM(D222:D224)</f>
        <v>465539284</v>
      </c>
      <c r="E221" s="1321">
        <f t="shared" si="41"/>
        <v>514259456.2899999</v>
      </c>
      <c r="F221" s="972">
        <f t="shared" si="41"/>
        <v>591014579</v>
      </c>
      <c r="G221" s="971">
        <f t="shared" si="41"/>
        <v>577311629</v>
      </c>
      <c r="H221" s="1321">
        <f t="shared" si="41"/>
        <v>507752476.98000002</v>
      </c>
      <c r="I221" s="972">
        <f t="shared" si="41"/>
        <v>572684922</v>
      </c>
      <c r="J221" s="971">
        <f t="shared" si="41"/>
        <v>604549039.17400026</v>
      </c>
      <c r="K221" s="1321">
        <f t="shared" si="41"/>
        <v>630259437.96200395</v>
      </c>
      <c r="L221" s="240"/>
      <c r="Q221" s="122"/>
    </row>
    <row r="222" spans="1:17" ht="11.25" customHeight="1">
      <c r="A222" s="1354" t="str">
        <f t="shared" si="39"/>
        <v xml:space="preserve">Electricity </v>
      </c>
      <c r="B222" s="1020"/>
      <c r="C222" s="1951">
        <v>482189062.60999995</v>
      </c>
      <c r="D222" s="1951">
        <v>465539284</v>
      </c>
      <c r="E222" s="1954">
        <v>514259456.2899999</v>
      </c>
      <c r="F222" s="1953">
        <v>591014579</v>
      </c>
      <c r="G222" s="1951">
        <v>577311629</v>
      </c>
      <c r="H222" s="1954">
        <v>507752476.98000002</v>
      </c>
      <c r="I222" s="1953">
        <v>572684922</v>
      </c>
      <c r="J222" s="1951">
        <v>604549039.17400026</v>
      </c>
      <c r="K222" s="1954">
        <v>630259437.96200395</v>
      </c>
      <c r="L222" s="240"/>
      <c r="Q222" s="122"/>
    </row>
    <row r="223" spans="1:17" ht="11.25" customHeight="1">
      <c r="A223" s="1354" t="str">
        <f t="shared" si="39"/>
        <v>Street Lighting and Signal Systems</v>
      </c>
      <c r="B223" s="1020"/>
      <c r="C223" s="1951"/>
      <c r="D223" s="1951"/>
      <c r="E223" s="1954"/>
      <c r="F223" s="1953"/>
      <c r="G223" s="1951"/>
      <c r="H223" s="1954"/>
      <c r="I223" s="1953"/>
      <c r="J223" s="1951"/>
      <c r="K223" s="1954"/>
      <c r="L223" s="240"/>
      <c r="Q223" s="122"/>
    </row>
    <row r="224" spans="1:17" ht="11.25" customHeight="1">
      <c r="A224" s="1354" t="str">
        <f t="shared" si="39"/>
        <v>Nonelectric Energy</v>
      </c>
      <c r="B224" s="1020"/>
      <c r="C224" s="1951"/>
      <c r="D224" s="1951"/>
      <c r="E224" s="1954"/>
      <c r="F224" s="1953"/>
      <c r="G224" s="1951"/>
      <c r="H224" s="1954"/>
      <c r="I224" s="1953"/>
      <c r="J224" s="1951"/>
      <c r="K224" s="1954"/>
      <c r="L224" s="240"/>
      <c r="Q224" s="122"/>
    </row>
    <row r="225" spans="1:17" ht="11.25" customHeight="1">
      <c r="A225" s="1155" t="str">
        <f t="shared" si="39"/>
        <v>Water management</v>
      </c>
      <c r="B225" s="1020"/>
      <c r="C225" s="971">
        <f>SUM(C226:C228)</f>
        <v>0</v>
      </c>
      <c r="D225" s="971">
        <f t="shared" ref="D225:K225" si="42">SUM(D226:D228)</f>
        <v>0</v>
      </c>
      <c r="E225" s="1321">
        <f t="shared" si="42"/>
        <v>0</v>
      </c>
      <c r="F225" s="972">
        <f t="shared" si="42"/>
        <v>0</v>
      </c>
      <c r="G225" s="971">
        <f t="shared" si="42"/>
        <v>0</v>
      </c>
      <c r="H225" s="1321">
        <f t="shared" si="42"/>
        <v>0</v>
      </c>
      <c r="I225" s="972">
        <f t="shared" si="42"/>
        <v>0</v>
      </c>
      <c r="J225" s="971">
        <f t="shared" si="42"/>
        <v>0</v>
      </c>
      <c r="K225" s="1321">
        <f t="shared" si="42"/>
        <v>0</v>
      </c>
      <c r="L225" s="240"/>
      <c r="Q225" s="122"/>
    </row>
    <row r="226" spans="1:17" ht="11.25" customHeight="1">
      <c r="A226" s="1354" t="str">
        <f t="shared" si="39"/>
        <v>Water Treatment</v>
      </c>
      <c r="B226" s="1020"/>
      <c r="C226" s="1951"/>
      <c r="D226" s="1951"/>
      <c r="E226" s="1954"/>
      <c r="F226" s="1953"/>
      <c r="G226" s="1951"/>
      <c r="H226" s="1954"/>
      <c r="I226" s="1953"/>
      <c r="J226" s="1951"/>
      <c r="K226" s="1954"/>
      <c r="L226" s="240"/>
      <c r="Q226" s="122"/>
    </row>
    <row r="227" spans="1:17" ht="11.25" customHeight="1">
      <c r="A227" s="1354" t="str">
        <f t="shared" si="39"/>
        <v>Water Distribution</v>
      </c>
      <c r="B227" s="1020"/>
      <c r="C227" s="1951"/>
      <c r="D227" s="1951"/>
      <c r="E227" s="1954"/>
      <c r="F227" s="1953"/>
      <c r="G227" s="1951"/>
      <c r="H227" s="1954"/>
      <c r="I227" s="1953"/>
      <c r="J227" s="1951"/>
      <c r="K227" s="1954"/>
      <c r="L227" s="240"/>
      <c r="Q227" s="122"/>
    </row>
    <row r="228" spans="1:17" ht="11.25" customHeight="1">
      <c r="A228" s="1354" t="str">
        <f t="shared" si="39"/>
        <v>Water Storage</v>
      </c>
      <c r="B228" s="1020"/>
      <c r="C228" s="1951"/>
      <c r="D228" s="1951"/>
      <c r="E228" s="1954"/>
      <c r="F228" s="1953"/>
      <c r="G228" s="1951"/>
      <c r="H228" s="1954"/>
      <c r="I228" s="1953"/>
      <c r="J228" s="1951"/>
      <c r="K228" s="1954"/>
      <c r="L228" s="240"/>
      <c r="Q228" s="122"/>
    </row>
    <row r="229" spans="1:17" ht="11.25" customHeight="1">
      <c r="A229" s="1155" t="str">
        <f t="shared" si="39"/>
        <v>Waste water management</v>
      </c>
      <c r="B229" s="1020"/>
      <c r="C229" s="971">
        <f>SUM(C230:C233)</f>
        <v>7197656</v>
      </c>
      <c r="D229" s="971">
        <f t="shared" ref="D229:K229" si="43">SUM(D230:D233)</f>
        <v>5972910.5</v>
      </c>
      <c r="E229" s="1321">
        <f t="shared" si="43"/>
        <v>4516272.6499999994</v>
      </c>
      <c r="F229" s="972">
        <f t="shared" si="43"/>
        <v>5765190</v>
      </c>
      <c r="G229" s="971">
        <f t="shared" si="43"/>
        <v>5017505</v>
      </c>
      <c r="H229" s="1321">
        <f t="shared" si="43"/>
        <v>4426183.0199999996</v>
      </c>
      <c r="I229" s="972">
        <f t="shared" si="43"/>
        <v>5125814</v>
      </c>
      <c r="J229" s="971">
        <f t="shared" si="43"/>
        <v>5359439.49</v>
      </c>
      <c r="K229" s="1321">
        <f t="shared" si="43"/>
        <v>5605973.7065399997</v>
      </c>
      <c r="L229" s="240"/>
      <c r="Q229" s="122"/>
    </row>
    <row r="230" spans="1:17" ht="11.25" customHeight="1">
      <c r="A230" s="1354" t="str">
        <f t="shared" si="39"/>
        <v>Public Toilets</v>
      </c>
      <c r="B230" s="1020"/>
      <c r="C230" s="1951">
        <v>7197656</v>
      </c>
      <c r="D230" s="1951">
        <v>5972910.5</v>
      </c>
      <c r="E230" s="1954">
        <v>4516272.6499999994</v>
      </c>
      <c r="F230" s="1953">
        <v>5765190</v>
      </c>
      <c r="G230" s="1951">
        <v>5017505</v>
      </c>
      <c r="H230" s="1954">
        <v>4426183.0199999996</v>
      </c>
      <c r="I230" s="1953">
        <v>5125814</v>
      </c>
      <c r="J230" s="1951">
        <v>5359439.49</v>
      </c>
      <c r="K230" s="1954">
        <v>5605973.7065399997</v>
      </c>
      <c r="L230" s="240"/>
      <c r="Q230" s="122"/>
    </row>
    <row r="231" spans="1:17" ht="11.25" customHeight="1">
      <c r="A231" s="1354" t="str">
        <f t="shared" si="39"/>
        <v>Sewerage</v>
      </c>
      <c r="B231" s="1020"/>
      <c r="C231" s="1951"/>
      <c r="D231" s="1951"/>
      <c r="E231" s="1954"/>
      <c r="F231" s="1953"/>
      <c r="G231" s="1951"/>
      <c r="H231" s="1954"/>
      <c r="I231" s="1953"/>
      <c r="J231" s="1951"/>
      <c r="K231" s="1954"/>
      <c r="L231" s="240"/>
      <c r="Q231" s="122"/>
    </row>
    <row r="232" spans="1:17" ht="11.25" customHeight="1">
      <c r="A232" s="1354" t="str">
        <f t="shared" si="39"/>
        <v>Storm Water Management</v>
      </c>
      <c r="B232" s="1020"/>
      <c r="C232" s="1951"/>
      <c r="D232" s="1951"/>
      <c r="E232" s="1954"/>
      <c r="F232" s="1953"/>
      <c r="G232" s="1951"/>
      <c r="H232" s="1954"/>
      <c r="I232" s="1953"/>
      <c r="J232" s="1951"/>
      <c r="K232" s="1954"/>
      <c r="L232" s="240"/>
      <c r="Q232" s="122"/>
    </row>
    <row r="233" spans="1:17" ht="11.25" customHeight="1">
      <c r="A233" s="1354" t="str">
        <f t="shared" si="39"/>
        <v>Waste Water Treatment</v>
      </c>
      <c r="B233" s="1020"/>
      <c r="C233" s="1951"/>
      <c r="D233" s="1951"/>
      <c r="E233" s="1954"/>
      <c r="F233" s="1953"/>
      <c r="G233" s="1951"/>
      <c r="H233" s="1954"/>
      <c r="I233" s="1953"/>
      <c r="J233" s="1951"/>
      <c r="K233" s="1954"/>
      <c r="L233" s="240"/>
      <c r="Q233" s="122"/>
    </row>
    <row r="234" spans="1:17" ht="11.25" customHeight="1">
      <c r="A234" s="1155" t="str">
        <f t="shared" si="39"/>
        <v>Waste management</v>
      </c>
      <c r="B234" s="1020"/>
      <c r="C234" s="971">
        <f>SUM(C235:C238)</f>
        <v>70317060</v>
      </c>
      <c r="D234" s="971">
        <f t="shared" ref="D234:K234" si="44">SUM(D235:D238)</f>
        <v>78988468.969999999</v>
      </c>
      <c r="E234" s="1321">
        <f t="shared" si="44"/>
        <v>92397373.779999986</v>
      </c>
      <c r="F234" s="972">
        <f t="shared" si="44"/>
        <v>85889156.920000002</v>
      </c>
      <c r="G234" s="971">
        <f t="shared" si="44"/>
        <v>72546662</v>
      </c>
      <c r="H234" s="1321">
        <f t="shared" si="44"/>
        <v>66077921.300000004</v>
      </c>
      <c r="I234" s="972">
        <f t="shared" si="44"/>
        <v>85904020</v>
      </c>
      <c r="J234" s="971">
        <f t="shared" si="44"/>
        <v>82319829.438000008</v>
      </c>
      <c r="K234" s="1321">
        <f t="shared" si="44"/>
        <v>86106358.306148008</v>
      </c>
      <c r="L234" s="240"/>
      <c r="Q234" s="122"/>
    </row>
    <row r="235" spans="1:17" ht="11.25" customHeight="1">
      <c r="A235" s="1354" t="str">
        <f t="shared" si="39"/>
        <v>Recycling</v>
      </c>
      <c r="B235" s="1018"/>
      <c r="C235" s="1951"/>
      <c r="D235" s="1951"/>
      <c r="E235" s="1954"/>
      <c r="F235" s="1953"/>
      <c r="G235" s="1951"/>
      <c r="H235" s="1954"/>
      <c r="I235" s="1953"/>
      <c r="J235" s="1951"/>
      <c r="K235" s="1954"/>
      <c r="L235" s="240"/>
    </row>
    <row r="236" spans="1:17" ht="11.25" customHeight="1">
      <c r="A236" s="1354" t="str">
        <f t="shared" si="39"/>
        <v>Solid Waste Disposal (Landfill Sites)</v>
      </c>
      <c r="B236" s="1018"/>
      <c r="C236" s="1951"/>
      <c r="D236" s="1951"/>
      <c r="E236" s="1954"/>
      <c r="F236" s="1953"/>
      <c r="G236" s="1951"/>
      <c r="H236" s="1954"/>
      <c r="I236" s="1953"/>
      <c r="J236" s="1951"/>
      <c r="K236" s="1954"/>
      <c r="L236" s="240"/>
    </row>
    <row r="237" spans="1:17" ht="11.25" customHeight="1">
      <c r="A237" s="1354" t="str">
        <f t="shared" si="39"/>
        <v>Solid Waste Removal</v>
      </c>
      <c r="B237" s="1018"/>
      <c r="C237" s="2777">
        <v>49701568</v>
      </c>
      <c r="D237" s="1951">
        <v>57075494.710000001</v>
      </c>
      <c r="E237" s="1954">
        <v>67894609.459999993</v>
      </c>
      <c r="F237" s="1953">
        <v>57072030.920000002</v>
      </c>
      <c r="G237" s="1951">
        <v>47045596</v>
      </c>
      <c r="H237" s="1954">
        <v>40255182.420000002</v>
      </c>
      <c r="I237" s="1953">
        <v>57506939</v>
      </c>
      <c r="J237" s="1951">
        <v>52616541.712000005</v>
      </c>
      <c r="K237" s="1954">
        <v>55036718.630752005</v>
      </c>
      <c r="L237" s="240"/>
    </row>
    <row r="238" spans="1:17" ht="11.25" customHeight="1">
      <c r="A238" s="1354" t="str">
        <f t="shared" si="39"/>
        <v>Street Cleaning</v>
      </c>
      <c r="B238" s="1018"/>
      <c r="C238" s="2777">
        <v>20615492</v>
      </c>
      <c r="D238" s="1951">
        <v>21912974.260000002</v>
      </c>
      <c r="E238" s="1954">
        <v>24502764.319999997</v>
      </c>
      <c r="F238" s="1953">
        <v>28817126</v>
      </c>
      <c r="G238" s="1951">
        <v>25501066</v>
      </c>
      <c r="H238" s="1954">
        <v>25822738.880000003</v>
      </c>
      <c r="I238" s="1953">
        <v>28397081</v>
      </c>
      <c r="J238" s="1951">
        <f>29703346.726-59</f>
        <v>29703287.726</v>
      </c>
      <c r="K238" s="1954">
        <f>31069700.675396-61</f>
        <v>31069639.675395999</v>
      </c>
      <c r="L238" s="240"/>
    </row>
    <row r="239" spans="1:17" ht="11.25" customHeight="1">
      <c r="A239" s="1101" t="str">
        <f t="shared" si="39"/>
        <v>Other</v>
      </c>
      <c r="B239" s="1018"/>
      <c r="C239" s="1160">
        <f>SUM(C240:C245)</f>
        <v>0</v>
      </c>
      <c r="D239" s="1160">
        <f t="shared" ref="D239:K239" si="45">SUM(D240:D245)</f>
        <v>0</v>
      </c>
      <c r="E239" s="1320">
        <f t="shared" si="45"/>
        <v>0</v>
      </c>
      <c r="F239" s="1161">
        <f t="shared" si="45"/>
        <v>0</v>
      </c>
      <c r="G239" s="1160">
        <f t="shared" si="45"/>
        <v>0</v>
      </c>
      <c r="H239" s="1320">
        <f t="shared" si="45"/>
        <v>0</v>
      </c>
      <c r="I239" s="1161">
        <f t="shared" si="45"/>
        <v>0</v>
      </c>
      <c r="J239" s="1160">
        <f t="shared" si="45"/>
        <v>0</v>
      </c>
      <c r="K239" s="1320">
        <f t="shared" si="45"/>
        <v>0</v>
      </c>
      <c r="L239" s="240"/>
    </row>
    <row r="240" spans="1:17" ht="11.25" customHeight="1">
      <c r="A240" s="1155" t="str">
        <f t="shared" si="39"/>
        <v>Abattoirs</v>
      </c>
      <c r="B240" s="1018"/>
      <c r="C240" s="1951"/>
      <c r="D240" s="1951"/>
      <c r="E240" s="1954"/>
      <c r="F240" s="1953"/>
      <c r="G240" s="1951"/>
      <c r="H240" s="1954"/>
      <c r="I240" s="1953"/>
      <c r="J240" s="1951"/>
      <c r="K240" s="1954"/>
      <c r="L240" s="240"/>
    </row>
    <row r="241" spans="1:17" ht="11.25" customHeight="1">
      <c r="A241" s="1155" t="str">
        <f t="shared" si="39"/>
        <v>Air Transport</v>
      </c>
      <c r="B241" s="1018"/>
      <c r="C241" s="1951"/>
      <c r="D241" s="1951"/>
      <c r="E241" s="1954"/>
      <c r="F241" s="1953"/>
      <c r="G241" s="1951"/>
      <c r="H241" s="1954"/>
      <c r="I241" s="1953"/>
      <c r="J241" s="1951"/>
      <c r="K241" s="1954"/>
      <c r="L241" s="240"/>
    </row>
    <row r="242" spans="1:17" ht="11.25" customHeight="1">
      <c r="A242" s="1155" t="str">
        <f t="shared" si="39"/>
        <v xml:space="preserve">Forestry </v>
      </c>
      <c r="B242" s="1018"/>
      <c r="C242" s="1951"/>
      <c r="D242" s="1951"/>
      <c r="E242" s="1954"/>
      <c r="F242" s="1953"/>
      <c r="G242" s="1951"/>
      <c r="H242" s="1954"/>
      <c r="I242" s="1953"/>
      <c r="J242" s="1951"/>
      <c r="K242" s="1954"/>
      <c r="L242" s="240"/>
    </row>
    <row r="243" spans="1:17" ht="11.25" customHeight="1">
      <c r="A243" s="1155" t="str">
        <f t="shared" si="39"/>
        <v>Licensing and Regulation</v>
      </c>
      <c r="B243" s="1018"/>
      <c r="C243" s="1951"/>
      <c r="D243" s="1951"/>
      <c r="E243" s="1954"/>
      <c r="F243" s="1953"/>
      <c r="G243" s="1951"/>
      <c r="H243" s="1954"/>
      <c r="I243" s="1953"/>
      <c r="J243" s="1951"/>
      <c r="K243" s="1954"/>
      <c r="L243" s="240"/>
    </row>
    <row r="244" spans="1:17" ht="11.25" customHeight="1">
      <c r="A244" s="1155" t="str">
        <f t="shared" si="39"/>
        <v>Markets</v>
      </c>
      <c r="B244" s="1018"/>
      <c r="C244" s="1951"/>
      <c r="D244" s="1951"/>
      <c r="E244" s="1954"/>
      <c r="F244" s="1953"/>
      <c r="G244" s="1951"/>
      <c r="H244" s="1954"/>
      <c r="I244" s="1953"/>
      <c r="J244" s="1951"/>
      <c r="K244" s="1954"/>
      <c r="L244" s="240"/>
    </row>
    <row r="245" spans="1:17" ht="11.25" customHeight="1">
      <c r="A245" s="1155" t="str">
        <f t="shared" si="39"/>
        <v>Tourism</v>
      </c>
      <c r="B245" s="1018"/>
      <c r="C245" s="1951"/>
      <c r="D245" s="1951"/>
      <c r="E245" s="1954"/>
      <c r="F245" s="1953"/>
      <c r="G245" s="1951"/>
      <c r="H245" s="1954"/>
      <c r="I245" s="1953"/>
      <c r="J245" s="1951"/>
      <c r="K245" s="1954"/>
      <c r="L245" s="240"/>
    </row>
    <row r="246" spans="1:17" ht="11.25" customHeight="1">
      <c r="A246" s="1019" t="str">
        <f>"Total "&amp;A126</f>
        <v>Total Expenditure - Functional</v>
      </c>
      <c r="B246" s="1018">
        <v>3</v>
      </c>
      <c r="C246" s="142">
        <f t="shared" ref="C246:K246" si="46">C127+C147+C196+C220+C239</f>
        <v>1118376549.03</v>
      </c>
      <c r="D246" s="142">
        <f t="shared" si="46"/>
        <v>1222605644.9000001</v>
      </c>
      <c r="E246" s="1326">
        <f t="shared" si="46"/>
        <v>1208828629.1900001</v>
      </c>
      <c r="F246" s="145">
        <f t="shared" si="46"/>
        <v>1329185917.9200001</v>
      </c>
      <c r="G246" s="142">
        <f t="shared" si="46"/>
        <v>1248665018.5</v>
      </c>
      <c r="H246" s="1326">
        <f t="shared" si="46"/>
        <v>1275164972</v>
      </c>
      <c r="I246" s="145">
        <f t="shared" si="46"/>
        <v>1287355041</v>
      </c>
      <c r="J246" s="142">
        <f t="shared" si="46"/>
        <v>1330222366.6280003</v>
      </c>
      <c r="K246" s="1326">
        <f t="shared" si="46"/>
        <v>1389067331.1788878</v>
      </c>
      <c r="L246" s="240"/>
      <c r="Q246" s="154"/>
    </row>
    <row r="247" spans="1:17">
      <c r="A247" s="1021" t="str">
        <f>result</f>
        <v>Surplus/(Deficit) for the year</v>
      </c>
      <c r="B247" s="1022"/>
      <c r="C247" s="157">
        <f t="shared" ref="C247:K247" si="47">C124-C246</f>
        <v>13901851.069999933</v>
      </c>
      <c r="D247" s="157">
        <f t="shared" si="47"/>
        <v>-85178109.430000067</v>
      </c>
      <c r="E247" s="2548">
        <f t="shared" si="47"/>
        <v>-67864246.039999962</v>
      </c>
      <c r="F247" s="160">
        <f t="shared" si="47"/>
        <v>29990389.079999924</v>
      </c>
      <c r="G247" s="157">
        <f t="shared" si="47"/>
        <v>119843018.51999497</v>
      </c>
      <c r="H247" s="2548">
        <f t="shared" si="47"/>
        <v>128638388.16000009</v>
      </c>
      <c r="I247" s="160">
        <f t="shared" si="47"/>
        <v>118290191</v>
      </c>
      <c r="J247" s="157">
        <f t="shared" si="47"/>
        <v>149702254.02999973</v>
      </c>
      <c r="K247" s="2548">
        <f t="shared" si="47"/>
        <v>167850445.60538006</v>
      </c>
      <c r="L247" s="240"/>
    </row>
    <row r="248" spans="1:17">
      <c r="A248" s="1023" t="str">
        <f>head27a</f>
        <v>References</v>
      </c>
      <c r="B248" s="1024"/>
      <c r="C248" s="895"/>
      <c r="D248" s="895"/>
      <c r="E248" s="895"/>
      <c r="F248" s="895"/>
      <c r="G248" s="895"/>
      <c r="H248" s="895"/>
      <c r="I248" s="895"/>
      <c r="J248" s="895"/>
      <c r="K248" s="895"/>
      <c r="L248" s="240"/>
    </row>
    <row r="249" spans="1:17" ht="11.25" customHeight="1">
      <c r="A249" s="1025" t="s">
        <v>376</v>
      </c>
      <c r="B249" s="1024"/>
      <c r="C249" s="1026"/>
      <c r="D249" s="1026"/>
      <c r="E249" s="1027"/>
      <c r="F249" s="1027"/>
      <c r="G249" s="1027"/>
      <c r="H249" s="1027"/>
      <c r="I249" s="1027"/>
      <c r="J249" s="1027"/>
      <c r="K249" s="1027"/>
    </row>
    <row r="250" spans="1:17" ht="11.25" customHeight="1">
      <c r="A250" s="1028" t="s">
        <v>2462</v>
      </c>
      <c r="B250" s="1024"/>
      <c r="C250" s="1026"/>
      <c r="D250" s="1026"/>
      <c r="E250" s="1027"/>
      <c r="F250" s="1027"/>
      <c r="G250" s="1027"/>
      <c r="H250" s="1027"/>
      <c r="I250" s="1027"/>
      <c r="J250" s="1027"/>
      <c r="K250" s="1027"/>
    </row>
    <row r="251" spans="1:17" ht="11.25" customHeight="1">
      <c r="A251" s="1025" t="s">
        <v>2463</v>
      </c>
      <c r="B251" s="1024"/>
      <c r="C251" s="1026"/>
      <c r="D251" s="1026"/>
      <c r="E251" s="1027"/>
      <c r="F251" s="1027"/>
      <c r="G251" s="1027"/>
      <c r="H251" s="1027"/>
      <c r="I251" s="1027"/>
      <c r="J251" s="1027"/>
      <c r="K251" s="1027"/>
    </row>
    <row r="252" spans="1:17" ht="22.5" customHeight="1">
      <c r="A252" s="2846" t="s">
        <v>2464</v>
      </c>
      <c r="B252" s="2846"/>
      <c r="C252" s="2846"/>
      <c r="D252" s="2846"/>
      <c r="E252" s="2846"/>
      <c r="F252" s="2846"/>
      <c r="G252" s="2846"/>
      <c r="H252" s="2846"/>
      <c r="I252" s="2846"/>
      <c r="J252" s="2846"/>
      <c r="K252" s="2846"/>
    </row>
    <row r="253" spans="1:17" ht="11.25" customHeight="1">
      <c r="A253" s="123"/>
      <c r="B253" s="113"/>
      <c r="C253" s="117"/>
      <c r="D253" s="117"/>
      <c r="E253" s="118"/>
      <c r="F253" s="118"/>
      <c r="G253" s="118"/>
      <c r="H253" s="118"/>
      <c r="I253" s="118"/>
      <c r="J253" s="118"/>
      <c r="K253" s="118"/>
    </row>
    <row r="254" spans="1:17" ht="11.25" customHeight="1">
      <c r="A254" s="123"/>
      <c r="B254" s="113"/>
      <c r="C254" s="117"/>
      <c r="D254" s="117"/>
      <c r="E254" s="118"/>
      <c r="F254" s="118"/>
      <c r="G254" s="118"/>
      <c r="H254" s="118"/>
      <c r="I254" s="118"/>
      <c r="J254" s="118"/>
      <c r="K254" s="118"/>
    </row>
    <row r="255" spans="1:17" ht="11.25" customHeight="1">
      <c r="A255" s="162" t="s">
        <v>131</v>
      </c>
      <c r="B255" s="120"/>
      <c r="C255" s="163">
        <f>C124-'A4-FinPerf RE'!C59</f>
        <v>-305.85999989509583</v>
      </c>
      <c r="D255" s="163">
        <f>D124-'A4-FinPerf RE'!D59</f>
        <v>-49274.099999904633</v>
      </c>
      <c r="E255" s="867">
        <f>E124-'A4-FinPerf RE'!E59</f>
        <v>0.63000035285949707</v>
      </c>
      <c r="F255" s="163">
        <f>F124-'A4-FinPerf RE'!F59</f>
        <v>0</v>
      </c>
      <c r="G255" s="163">
        <f>G124-'A4-FinPerf RE'!G59</f>
        <v>-5.0067901611328125E-6</v>
      </c>
      <c r="H255" s="163">
        <f>H124-'A4-FinPerf RE'!H59</f>
        <v>0.31999993324279785</v>
      </c>
      <c r="I255" s="163">
        <f>I124-'A4-FinPerf RE'!J59</f>
        <v>0</v>
      </c>
      <c r="J255" s="163">
        <f>J124-'A4-FinPerf RE'!K59</f>
        <v>-1.399993896484375E-2</v>
      </c>
      <c r="K255" s="163">
        <f>K124-'A4-FinPerf RE'!L59</f>
        <v>-0.4386439323425293</v>
      </c>
    </row>
    <row r="256" spans="1:17" ht="11.25" customHeight="1">
      <c r="A256" s="162" t="s">
        <v>752</v>
      </c>
      <c r="B256" s="120"/>
      <c r="C256" s="163">
        <f>C246-'A4-FinPerf RE'!C35</f>
        <v>-2.4900000095367432</v>
      </c>
      <c r="D256" s="163">
        <f>D246-'A4-FinPerf RE'!D35</f>
        <v>-49273.319999933243</v>
      </c>
      <c r="E256" s="867">
        <f>E246-'A4-FinPerf RE'!E35</f>
        <v>-0.87000012397766113</v>
      </c>
      <c r="F256" s="163">
        <f>F246-'A4-FinPerf RE'!F35</f>
        <v>-61.339999914169312</v>
      </c>
      <c r="G256" s="163">
        <f>G246-'A4-FinPerf RE'!G35</f>
        <v>1.0799999237060547</v>
      </c>
      <c r="H256" s="163">
        <f>H246-'A4-FinPerf RE'!H35</f>
        <v>-0.30999994277954102</v>
      </c>
      <c r="I256" s="163">
        <f>I246-'A4-FinPerf RE'!J35</f>
        <v>0.93000006675720215</v>
      </c>
      <c r="J256" s="163">
        <f>J246-'A4-FinPerf RE'!K35</f>
        <v>0.34754014015197754</v>
      </c>
      <c r="K256" s="163">
        <f>K246-'A4-FinPerf RE'!L35</f>
        <v>-0.76651358604431152</v>
      </c>
    </row>
    <row r="257" spans="5:5" ht="11.25" customHeight="1"/>
    <row r="258" spans="5:5" ht="11.25" customHeight="1"/>
    <row r="259" spans="5:5" ht="11.25" customHeight="1"/>
    <row r="260" spans="5:5" ht="11.25" customHeight="1">
      <c r="E260" s="235"/>
    </row>
    <row r="261" spans="5:5" ht="11.25" customHeight="1"/>
    <row r="262" spans="5:5" ht="11.25" customHeight="1"/>
    <row r="263" spans="5:5" ht="11.25" customHeight="1"/>
    <row r="264" spans="5:5" ht="11.25" customHeight="1"/>
    <row r="265" spans="5:5" ht="11.25" customHeight="1"/>
    <row r="266" spans="5:5" ht="11.25" customHeight="1"/>
    <row r="267" spans="5:5" ht="11.25" customHeight="1"/>
    <row r="268" spans="5:5" ht="11.25" customHeight="1"/>
    <row r="269" spans="5:5" ht="11.25" customHeight="1"/>
    <row r="270" spans="5:5" ht="11.25" customHeight="1"/>
    <row r="271" spans="5:5" ht="11.25" customHeight="1"/>
    <row r="272" spans="5:5"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sheetData>
  <mergeCells count="3">
    <mergeCell ref="F2:H2"/>
    <mergeCell ref="I2:K2"/>
    <mergeCell ref="A252:K252"/>
  </mergeCells>
  <phoneticPr fontId="5" type="noConversion"/>
  <dataValidations count="1">
    <dataValidation type="decimal" allowBlank="1" showInputMessage="1" showErrorMessage="1" sqref="C7:K8 C24:K24 C27:K47 C49:K53 C10:K22 C64:K65 C67:K73 C55:K62 C92:K97 C100:K102 C104:K106 C108:K111 C113:K116 C118:K123 C132:K144 C146:K146 C149:K169 C171:K175 C240:K245 C186:K187 C189:K195 C177:K184 C214:K219 C222:K224 C226:K228 C230:K233 C235:K238 C209:K212 C129:K130 C87:K90 C76:K85 C198:K207">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38" zoomScaleNormal="100" workbookViewId="0">
      <selection activeCell="G39" sqref="G39"/>
    </sheetView>
  </sheetViews>
  <sheetFormatPr defaultColWidth="9.140625" defaultRowHeight="12.75"/>
  <cols>
    <col min="1" max="1" width="30.7109375" style="26" customWidth="1"/>
    <col min="2" max="2" width="3" style="884" customWidth="1"/>
    <col min="3" max="11" width="9.28515625" style="26" customWidth="1"/>
    <col min="12" max="23" width="9.140625" style="26" hidden="1" customWidth="1"/>
    <col min="24" max="16384" width="9.140625" style="26"/>
  </cols>
  <sheetData>
    <row r="1" spans="1:24" s="56" customFormat="1">
      <c r="A1" s="954" t="str">
        <f>muni&amp;" - "&amp;Approve2</f>
        <v>LIM333 Greater Tzaneen - Table A3 Consolidated Budgeted Financial Performance (revenue and expenditure by municipal vote)</v>
      </c>
      <c r="B1" s="954"/>
      <c r="C1" s="954"/>
      <c r="D1" s="954"/>
      <c r="E1" s="954"/>
      <c r="F1" s="954"/>
      <c r="G1" s="954"/>
      <c r="H1" s="954"/>
      <c r="I1" s="954"/>
      <c r="J1" s="954"/>
      <c r="K1" s="954"/>
    </row>
    <row r="2" spans="1:24" ht="28.5" customHeight="1">
      <c r="A2" s="1029" t="str">
        <f>Vdesc</f>
        <v>Vote Description</v>
      </c>
      <c r="B2" s="1030" t="str">
        <f>head27</f>
        <v>Ref</v>
      </c>
      <c r="C2" s="956" t="str">
        <f>head1b</f>
        <v>2016/17</v>
      </c>
      <c r="D2" s="956" t="str">
        <f>head1A</f>
        <v>2017/18</v>
      </c>
      <c r="E2" s="957" t="str">
        <f>Head1</f>
        <v>2018/19</v>
      </c>
      <c r="F2" s="2851" t="str">
        <f>Head2</f>
        <v>Current Year 2019/20</v>
      </c>
      <c r="G2" s="2852"/>
      <c r="H2" s="2852"/>
      <c r="I2" s="2853" t="str">
        <f>Head3</f>
        <v>2020/21 Medium Term Revenue &amp; Expenditure Framework</v>
      </c>
      <c r="J2" s="2854"/>
      <c r="K2" s="2855"/>
      <c r="L2" s="2856" t="str">
        <f>Head4</f>
        <v>LTFS</v>
      </c>
      <c r="M2" s="2857"/>
      <c r="N2" s="2857"/>
      <c r="O2" s="2857"/>
      <c r="P2" s="2857"/>
      <c r="Q2" s="2857"/>
      <c r="R2" s="2857"/>
      <c r="S2" s="2857"/>
      <c r="T2" s="2857"/>
      <c r="U2" s="2857"/>
      <c r="V2" s="2857"/>
      <c r="W2" s="2858"/>
    </row>
    <row r="3" spans="1:24" ht="25.5">
      <c r="A3" s="1031" t="s">
        <v>569</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c r="L3" s="1352" t="str">
        <f>Head12</f>
        <v>Forecast 2023/24</v>
      </c>
      <c r="M3" s="1353" t="str">
        <f>Head13</f>
        <v>Forecast 2024/25</v>
      </c>
      <c r="N3" s="1353" t="str">
        <f>Head14</f>
        <v>Forecast 2025/26</v>
      </c>
      <c r="O3" s="1353" t="str">
        <f>Head15</f>
        <v>Forecast 2026/27</v>
      </c>
      <c r="P3" s="1353" t="str">
        <f>Head16</f>
        <v>Forecast 2027/28</v>
      </c>
      <c r="Q3" s="1353" t="str">
        <f>Head17</f>
        <v>Forecast 2028/29</v>
      </c>
      <c r="R3" s="1353" t="str">
        <f>Head18</f>
        <v>Forecast 2029/30</v>
      </c>
      <c r="S3" s="1353" t="str">
        <f>Head19</f>
        <v>Forecast 2030/31</v>
      </c>
      <c r="T3" s="1353" t="str">
        <f>Head20</f>
        <v>Forecast 2031/32</v>
      </c>
      <c r="U3" s="1353" t="str">
        <f>Head21</f>
        <v>Forecast 2032/33</v>
      </c>
      <c r="V3" s="1353" t="str">
        <f>Head22</f>
        <v>Forecast 2033/34</v>
      </c>
      <c r="W3" s="1353" t="str">
        <f>Head23</f>
        <v>Forecast 2034/35</v>
      </c>
    </row>
    <row r="4" spans="1:24" ht="11.25" customHeight="1">
      <c r="A4" s="1033" t="s">
        <v>1198</v>
      </c>
      <c r="B4" s="1018">
        <v>1</v>
      </c>
      <c r="C4" s="1034"/>
      <c r="D4" s="1034"/>
      <c r="E4" s="1035"/>
      <c r="F4" s="1036"/>
      <c r="G4" s="1034"/>
      <c r="H4" s="1037"/>
      <c r="I4" s="1038"/>
      <c r="J4" s="1034"/>
      <c r="K4" s="1563"/>
      <c r="L4" s="65"/>
      <c r="M4" s="66"/>
      <c r="N4" s="66"/>
      <c r="O4" s="66"/>
      <c r="P4" s="66"/>
      <c r="Q4" s="66"/>
      <c r="R4" s="66"/>
      <c r="S4" s="66"/>
      <c r="T4" s="66"/>
      <c r="U4" s="66"/>
      <c r="V4" s="66"/>
      <c r="W4" s="66"/>
    </row>
    <row r="5" spans="1:24" ht="11.25" customHeight="1">
      <c r="A5" s="1039" t="str">
        <f>A3A!A5</f>
        <v>Vote 1 - Municipal Manager</v>
      </c>
      <c r="B5" s="1018"/>
      <c r="C5" s="1040">
        <f>A3A!C5</f>
        <v>0</v>
      </c>
      <c r="D5" s="1040">
        <f>A3A!D5</f>
        <v>0</v>
      </c>
      <c r="E5" s="1041">
        <f>A3A!E5</f>
        <v>0</v>
      </c>
      <c r="F5" s="1042">
        <f>A3A!F5</f>
        <v>1229</v>
      </c>
      <c r="G5" s="1040">
        <f>A3A!G5</f>
        <v>299229</v>
      </c>
      <c r="H5" s="1043">
        <f>A3A!H5</f>
        <v>0</v>
      </c>
      <c r="I5" s="1044">
        <f>A3A!I5</f>
        <v>1229</v>
      </c>
      <c r="J5" s="1040">
        <f>A3A!J5</f>
        <v>1285.5339999999999</v>
      </c>
      <c r="K5" s="1558">
        <f>A3A!K5</f>
        <v>1344.6685639999998</v>
      </c>
      <c r="L5" s="65"/>
      <c r="M5" s="66"/>
      <c r="N5" s="66"/>
      <c r="O5" s="66"/>
      <c r="P5" s="66"/>
      <c r="Q5" s="66"/>
      <c r="R5" s="66"/>
      <c r="S5" s="66"/>
      <c r="T5" s="66"/>
      <c r="U5" s="66"/>
      <c r="V5" s="66"/>
      <c r="W5" s="66"/>
    </row>
    <row r="6" spans="1:24" ht="11.25" customHeight="1">
      <c r="A6" s="1039" t="str">
        <f>A3A!A16</f>
        <v>Vote 2 - Planning &amp; Economic Development</v>
      </c>
      <c r="B6" s="1018"/>
      <c r="C6" s="1040">
        <f>A3A!C16</f>
        <v>5686995.25</v>
      </c>
      <c r="D6" s="1040">
        <f>A3A!D16</f>
        <v>10715594</v>
      </c>
      <c r="E6" s="1041">
        <f>A3A!E16</f>
        <v>3372625</v>
      </c>
      <c r="F6" s="1042">
        <f>A3A!F16</f>
        <v>300125</v>
      </c>
      <c r="G6" s="1040">
        <f>A3A!G16</f>
        <v>300125</v>
      </c>
      <c r="H6" s="1043">
        <f>A3A!H16</f>
        <v>290694.48</v>
      </c>
      <c r="I6" s="1044">
        <f>A3A!I16</f>
        <v>400125</v>
      </c>
      <c r="J6" s="1040">
        <f>A3A!J16</f>
        <v>418530.75</v>
      </c>
      <c r="K6" s="1558">
        <f>A3A!K16</f>
        <v>437783.16450000001</v>
      </c>
      <c r="L6" s="65"/>
      <c r="M6" s="66"/>
      <c r="N6" s="66"/>
      <c r="O6" s="66"/>
      <c r="P6" s="66"/>
      <c r="Q6" s="66"/>
      <c r="R6" s="66"/>
      <c r="S6" s="66"/>
      <c r="T6" s="66"/>
      <c r="U6" s="66"/>
      <c r="V6" s="66"/>
      <c r="W6" s="66"/>
    </row>
    <row r="7" spans="1:24" ht="11.25" customHeight="1">
      <c r="A7" s="1039" t="str">
        <f>A3A!A27</f>
        <v>Vote 3 - Financial Services</v>
      </c>
      <c r="B7" s="1018"/>
      <c r="C7" s="1040">
        <f>A3A!C27</f>
        <v>444281459.92000002</v>
      </c>
      <c r="D7" s="1040">
        <f>A3A!D27</f>
        <v>473881437.90999997</v>
      </c>
      <c r="E7" s="1041">
        <f>A3A!E27</f>
        <v>512718805.42999995</v>
      </c>
      <c r="F7" s="1042">
        <f>A3A!F27</f>
        <v>510036650</v>
      </c>
      <c r="G7" s="1040">
        <f>A3A!G27</f>
        <v>510036650</v>
      </c>
      <c r="H7" s="1043">
        <f>A3A!H27</f>
        <v>563314437.22000003</v>
      </c>
      <c r="I7" s="1044">
        <f>A3A!I27</f>
        <v>551611725</v>
      </c>
      <c r="J7" s="1040">
        <f>A3A!J27</f>
        <v>589718017.60000002</v>
      </c>
      <c r="K7" s="1558">
        <f>A3A!K27</f>
        <v>625045498.40960002</v>
      </c>
      <c r="L7" s="65"/>
      <c r="M7" s="66"/>
      <c r="N7" s="66"/>
      <c r="O7" s="66"/>
      <c r="P7" s="66"/>
      <c r="Q7" s="66"/>
      <c r="R7" s="66"/>
      <c r="S7" s="66"/>
      <c r="T7" s="66"/>
      <c r="U7" s="66"/>
      <c r="V7" s="66"/>
      <c r="W7" s="66"/>
    </row>
    <row r="8" spans="1:24" ht="11.25" customHeight="1">
      <c r="A8" s="1039" t="str">
        <f>A3A!A38</f>
        <v>Vote 4 - Corporate Services</v>
      </c>
      <c r="B8" s="1018"/>
      <c r="C8" s="1040">
        <f>A3A!C38</f>
        <v>968</v>
      </c>
      <c r="D8" s="1040">
        <f>A3A!D38</f>
        <v>0</v>
      </c>
      <c r="E8" s="1041">
        <f>A3A!E38</f>
        <v>747390.57</v>
      </c>
      <c r="F8" s="1042">
        <f>A3A!F38</f>
        <v>128</v>
      </c>
      <c r="G8" s="1040">
        <f>A3A!G38</f>
        <v>1083244.02</v>
      </c>
      <c r="H8" s="1043">
        <f>A3A!H38</f>
        <v>939106</v>
      </c>
      <c r="I8" s="1044">
        <f>A3A!I38</f>
        <v>1200128</v>
      </c>
      <c r="J8" s="1040">
        <f>A3A!J38</f>
        <v>1255333.8879999998</v>
      </c>
      <c r="K8" s="1558">
        <f>A3A!K38</f>
        <v>1313079.246848</v>
      </c>
      <c r="L8" s="65"/>
      <c r="M8" s="66"/>
      <c r="N8" s="66"/>
      <c r="O8" s="66"/>
      <c r="P8" s="66"/>
      <c r="Q8" s="66"/>
      <c r="R8" s="66"/>
      <c r="S8" s="66"/>
      <c r="T8" s="66"/>
      <c r="U8" s="66"/>
      <c r="V8" s="66"/>
      <c r="W8" s="66"/>
    </row>
    <row r="9" spans="1:24" ht="11.25" customHeight="1">
      <c r="A9" s="1039" t="str">
        <f>A3A!A49</f>
        <v>Vote 5 - Community Services</v>
      </c>
      <c r="B9" s="1018"/>
      <c r="C9" s="1040">
        <f>A3A!C49</f>
        <v>30314051.91</v>
      </c>
      <c r="D9" s="1040">
        <f>A3A!D49</f>
        <v>36695074.379999995</v>
      </c>
      <c r="E9" s="1041">
        <f>A3A!E49</f>
        <v>39120601.050000004</v>
      </c>
      <c r="F9" s="1042">
        <f>A3A!F49</f>
        <v>63100559</v>
      </c>
      <c r="G9" s="1040">
        <f>A3A!G49</f>
        <v>63100559</v>
      </c>
      <c r="H9" s="1043">
        <f>A3A!H49</f>
        <v>63276372.5</v>
      </c>
      <c r="I9" s="1044">
        <f>A3A!I49</f>
        <v>74270409</v>
      </c>
      <c r="J9" s="1040">
        <f>A3A!J49</f>
        <v>71247876.563999996</v>
      </c>
      <c r="K9" s="1558">
        <f>A3A!K49</f>
        <v>74525278.885944009</v>
      </c>
      <c r="L9" s="65"/>
      <c r="M9" s="66"/>
      <c r="N9" s="66"/>
      <c r="O9" s="66"/>
      <c r="P9" s="66"/>
      <c r="Q9" s="66"/>
      <c r="R9" s="66"/>
      <c r="S9" s="66"/>
      <c r="T9" s="66"/>
      <c r="U9" s="66"/>
      <c r="V9" s="66"/>
      <c r="W9" s="66"/>
    </row>
    <row r="10" spans="1:24" ht="11.25" customHeight="1">
      <c r="A10" s="1039" t="str">
        <f>A3A!A60</f>
        <v>Vote 6 - Community Services</v>
      </c>
      <c r="B10" s="1018"/>
      <c r="C10" s="1040">
        <f>A3A!C60</f>
        <v>58691312.260000005</v>
      </c>
      <c r="D10" s="1040">
        <f>A3A!D60</f>
        <v>52151215.359999999</v>
      </c>
      <c r="E10" s="1041">
        <f>A3A!E60</f>
        <v>46661510.850000001</v>
      </c>
      <c r="F10" s="1042">
        <f>A3A!F60</f>
        <v>91682291</v>
      </c>
      <c r="G10" s="1040">
        <f>A3A!G60</f>
        <v>91682291</v>
      </c>
      <c r="H10" s="1043">
        <f>A3A!H60</f>
        <v>61612289.659999996</v>
      </c>
      <c r="I10" s="1044">
        <f>A3A!I60</f>
        <v>96682291</v>
      </c>
      <c r="J10" s="1040">
        <f>A3A!J60</f>
        <v>101129676.38600001</v>
      </c>
      <c r="K10" s="1558">
        <f>A3A!K60</f>
        <v>105781641.49975599</v>
      </c>
      <c r="L10" s="65"/>
      <c r="M10" s="66"/>
      <c r="N10" s="66"/>
      <c r="O10" s="66"/>
      <c r="P10" s="66"/>
      <c r="Q10" s="66"/>
      <c r="R10" s="66"/>
      <c r="S10" s="66"/>
      <c r="T10" s="66"/>
      <c r="U10" s="66"/>
      <c r="V10" s="66"/>
      <c r="W10" s="66"/>
    </row>
    <row r="11" spans="1:24" ht="11.25" customHeight="1">
      <c r="A11" s="1039" t="str">
        <f>A3A!A71</f>
        <v>Vote 7 - Electrical Engineering Services</v>
      </c>
      <c r="B11" s="1018"/>
      <c r="C11" s="1040">
        <f>A3A!C71</f>
        <v>472400247.71000004</v>
      </c>
      <c r="D11" s="1040">
        <f>A3A!D71</f>
        <v>462749771.27999997</v>
      </c>
      <c r="E11" s="1041">
        <f>A3A!E71</f>
        <v>459468534.35000002</v>
      </c>
      <c r="F11" s="1042">
        <f>A3A!F71</f>
        <v>597331000</v>
      </c>
      <c r="G11" s="1040">
        <f>A3A!G71</f>
        <v>605281613.99999499</v>
      </c>
      <c r="H11" s="1043">
        <f>A3A!H71</f>
        <v>618113608.98000002</v>
      </c>
      <c r="I11" s="1044">
        <f>A3A!I71</f>
        <v>586201000</v>
      </c>
      <c r="J11" s="1040">
        <f>A3A!J71</f>
        <v>612492246</v>
      </c>
      <c r="K11" s="1558">
        <f>A3A!K71</f>
        <v>639993657.31599998</v>
      </c>
      <c r="L11" s="65"/>
      <c r="M11" s="66"/>
      <c r="N11" s="66"/>
      <c r="O11" s="66"/>
      <c r="P11" s="66"/>
      <c r="Q11" s="66"/>
      <c r="R11" s="66"/>
      <c r="S11" s="66"/>
      <c r="T11" s="66"/>
      <c r="U11" s="66"/>
      <c r="V11" s="66"/>
      <c r="W11" s="66"/>
    </row>
    <row r="12" spans="1:24" ht="11.25" customHeight="1">
      <c r="A12" s="1039" t="str">
        <f>A3A!A82</f>
        <v>Vote 8 - Engineering Services</v>
      </c>
      <c r="B12" s="1018"/>
      <c r="C12" s="1040">
        <f>A3A!C82</f>
        <v>120903672.01000001</v>
      </c>
      <c r="D12" s="1040">
        <f>A3A!D82</f>
        <v>101283717</v>
      </c>
      <c r="E12" s="1041">
        <f>A3A!E82</f>
        <v>78874915.329999998</v>
      </c>
      <c r="F12" s="1042">
        <f>A3A!F82</f>
        <v>96724325</v>
      </c>
      <c r="G12" s="1040">
        <f>A3A!G82</f>
        <v>96724325</v>
      </c>
      <c r="H12" s="1043">
        <f>A3A!H82</f>
        <v>96256850.980000004</v>
      </c>
      <c r="I12" s="1044">
        <f>A3A!I82</f>
        <v>95278325</v>
      </c>
      <c r="J12" s="1040">
        <f>A3A!J82</f>
        <v>103661653.95</v>
      </c>
      <c r="K12" s="1558">
        <f>A3A!K82</f>
        <v>109819494.0317</v>
      </c>
      <c r="L12" s="65"/>
      <c r="M12" s="66"/>
      <c r="N12" s="66"/>
      <c r="O12" s="66"/>
      <c r="P12" s="66"/>
      <c r="Q12" s="66"/>
      <c r="R12" s="66"/>
      <c r="S12" s="66"/>
      <c r="T12" s="66"/>
      <c r="U12" s="66"/>
      <c r="V12" s="66"/>
      <c r="W12" s="66"/>
    </row>
    <row r="13" spans="1:24" ht="11.25" customHeight="1">
      <c r="A13" s="1039" t="str">
        <f>A3A!A93</f>
        <v>Vote 9 - [NAME OF VOTE 9]</v>
      </c>
      <c r="B13" s="1018"/>
      <c r="C13" s="1040">
        <f>A3A!C93</f>
        <v>0</v>
      </c>
      <c r="D13" s="1040">
        <f>A3A!D93</f>
        <v>0</v>
      </c>
      <c r="E13" s="1041">
        <f>A3A!E93</f>
        <v>0</v>
      </c>
      <c r="F13" s="1042">
        <f>A3A!F93</f>
        <v>0</v>
      </c>
      <c r="G13" s="1040">
        <f>A3A!G93</f>
        <v>0</v>
      </c>
      <c r="H13" s="1043">
        <f>A3A!H93</f>
        <v>0</v>
      </c>
      <c r="I13" s="1044">
        <f>A3A!I93</f>
        <v>0</v>
      </c>
      <c r="J13" s="1040">
        <f>A3A!J93</f>
        <v>0</v>
      </c>
      <c r="K13" s="1558">
        <f>A3A!K93</f>
        <v>0</v>
      </c>
      <c r="L13" s="65"/>
      <c r="M13" s="66"/>
      <c r="N13" s="66"/>
      <c r="O13" s="66"/>
      <c r="P13" s="66"/>
      <c r="Q13" s="66"/>
      <c r="R13" s="66"/>
      <c r="S13" s="66"/>
      <c r="T13" s="66"/>
      <c r="U13" s="66"/>
      <c r="V13" s="66"/>
      <c r="W13" s="66"/>
      <c r="X13" s="240"/>
    </row>
    <row r="14" spans="1:24" ht="11.25" customHeight="1">
      <c r="A14" s="1039" t="str">
        <f>A3A!A104</f>
        <v>Vote 10 - [NAME OF VOTE 10]</v>
      </c>
      <c r="B14" s="1018"/>
      <c r="C14" s="1040">
        <f>A3A!C104</f>
        <v>0</v>
      </c>
      <c r="D14" s="1040">
        <f>A3A!D104</f>
        <v>0</v>
      </c>
      <c r="E14" s="1041">
        <f>A3A!E104</f>
        <v>0</v>
      </c>
      <c r="F14" s="1042">
        <f>A3A!F104</f>
        <v>0</v>
      </c>
      <c r="G14" s="1040">
        <f>A3A!G104</f>
        <v>0</v>
      </c>
      <c r="H14" s="1043">
        <f>A3A!H104</f>
        <v>0</v>
      </c>
      <c r="I14" s="1044">
        <f>A3A!I104</f>
        <v>0</v>
      </c>
      <c r="J14" s="1561">
        <f>A3A!J104</f>
        <v>0</v>
      </c>
      <c r="K14" s="1558">
        <f>A3A!K104</f>
        <v>0</v>
      </c>
      <c r="L14" s="65"/>
      <c r="M14" s="66"/>
      <c r="N14" s="66"/>
      <c r="O14" s="66"/>
      <c r="P14" s="66"/>
      <c r="Q14" s="66"/>
      <c r="R14" s="66"/>
      <c r="S14" s="66"/>
      <c r="T14" s="66"/>
      <c r="U14" s="66"/>
      <c r="V14" s="66"/>
      <c r="W14" s="66"/>
      <c r="X14" s="240"/>
    </row>
    <row r="15" spans="1:24" ht="11.25" customHeight="1">
      <c r="A15" s="1039" t="str">
        <f>A3A!A115</f>
        <v>Vote 11 - [NAME OF VOTE 11]</v>
      </c>
      <c r="B15" s="1018"/>
      <c r="C15" s="69">
        <f>A3A!C115</f>
        <v>0</v>
      </c>
      <c r="D15" s="69">
        <f>A3A!D115</f>
        <v>0</v>
      </c>
      <c r="E15" s="68">
        <f>A3A!E115</f>
        <v>0</v>
      </c>
      <c r="F15" s="71">
        <f>A3A!F115</f>
        <v>0</v>
      </c>
      <c r="G15" s="69">
        <f>A3A!G115</f>
        <v>0</v>
      </c>
      <c r="H15" s="70">
        <f>A3A!H115</f>
        <v>0</v>
      </c>
      <c r="I15" s="1103">
        <f>A3A!I115</f>
        <v>0</v>
      </c>
      <c r="J15" s="68">
        <f>A3A!J115</f>
        <v>0</v>
      </c>
      <c r="K15" s="1104">
        <f>A3A!K115</f>
        <v>0</v>
      </c>
      <c r="L15" s="70">
        <f>A5A!L115</f>
        <v>0</v>
      </c>
      <c r="M15" s="66"/>
      <c r="N15" s="66"/>
      <c r="O15" s="66"/>
      <c r="P15" s="66"/>
      <c r="Q15" s="66"/>
      <c r="R15" s="66"/>
      <c r="S15" s="66"/>
      <c r="T15" s="66"/>
      <c r="U15" s="66"/>
      <c r="V15" s="66"/>
      <c r="W15" s="66"/>
      <c r="X15" s="240"/>
    </row>
    <row r="16" spans="1:24" ht="11.25" customHeight="1">
      <c r="A16" s="1039" t="str">
        <f>A3A!A126</f>
        <v>Vote 12 - [NAME OF VOTE 12]</v>
      </c>
      <c r="B16" s="1018"/>
      <c r="C16" s="69">
        <f>A3A!C126</f>
        <v>0</v>
      </c>
      <c r="D16" s="69">
        <f>A3A!D126</f>
        <v>0</v>
      </c>
      <c r="E16" s="68">
        <f>A3A!E126</f>
        <v>0</v>
      </c>
      <c r="F16" s="71">
        <f>A3A!F126</f>
        <v>0</v>
      </c>
      <c r="G16" s="69">
        <f>A3A!G126</f>
        <v>0</v>
      </c>
      <c r="H16" s="70">
        <f>A3A!H126</f>
        <v>0</v>
      </c>
      <c r="I16" s="1103">
        <f>A3A!I126</f>
        <v>0</v>
      </c>
      <c r="J16" s="68">
        <f>A3A!J126</f>
        <v>0</v>
      </c>
      <c r="K16" s="1104">
        <f>A3A!K126</f>
        <v>0</v>
      </c>
      <c r="L16" s="70">
        <f>A5A!L126</f>
        <v>0</v>
      </c>
      <c r="M16" s="66"/>
      <c r="N16" s="66"/>
      <c r="O16" s="66"/>
      <c r="P16" s="66"/>
      <c r="Q16" s="66"/>
      <c r="R16" s="66"/>
      <c r="S16" s="66"/>
      <c r="T16" s="66"/>
      <c r="U16" s="66"/>
      <c r="V16" s="66"/>
      <c r="W16" s="66"/>
      <c r="X16" s="240"/>
    </row>
    <row r="17" spans="1:24" ht="11.25" customHeight="1">
      <c r="A17" s="1039" t="str">
        <f>A3A!A137</f>
        <v>Vote 13 - [NAME OF VOTE 13]</v>
      </c>
      <c r="B17" s="1018"/>
      <c r="C17" s="69">
        <f>A3A!C137</f>
        <v>0</v>
      </c>
      <c r="D17" s="69">
        <f>A3A!D137</f>
        <v>0</v>
      </c>
      <c r="E17" s="68">
        <f>A3A!E137</f>
        <v>0</v>
      </c>
      <c r="F17" s="71">
        <f>A3A!F137</f>
        <v>0</v>
      </c>
      <c r="G17" s="69">
        <f>A3A!G137</f>
        <v>0</v>
      </c>
      <c r="H17" s="70">
        <f>A3A!H137</f>
        <v>0</v>
      </c>
      <c r="I17" s="1103">
        <f>A3A!I137</f>
        <v>0</v>
      </c>
      <c r="J17" s="68">
        <f>A3A!J137</f>
        <v>0</v>
      </c>
      <c r="K17" s="1104">
        <f>A3A!K137</f>
        <v>0</v>
      </c>
      <c r="L17" s="70">
        <f>A5A!L137</f>
        <v>0</v>
      </c>
      <c r="M17" s="66"/>
      <c r="N17" s="66"/>
      <c r="O17" s="66"/>
      <c r="P17" s="66"/>
      <c r="Q17" s="66"/>
      <c r="R17" s="66"/>
      <c r="S17" s="66"/>
      <c r="T17" s="66"/>
      <c r="U17" s="66"/>
      <c r="V17" s="66"/>
      <c r="W17" s="66"/>
      <c r="X17" s="240"/>
    </row>
    <row r="18" spans="1:24" ht="11.25" customHeight="1">
      <c r="A18" s="1039" t="str">
        <f>A3A!A148</f>
        <v>Vote 14 - [NAME OF VOTE 14]</v>
      </c>
      <c r="B18" s="1018"/>
      <c r="C18" s="69">
        <f>A3A!C148</f>
        <v>0</v>
      </c>
      <c r="D18" s="69">
        <f>A3A!D148</f>
        <v>0</v>
      </c>
      <c r="E18" s="68">
        <f>A3A!E148</f>
        <v>0</v>
      </c>
      <c r="F18" s="71">
        <f>A3A!F148</f>
        <v>0</v>
      </c>
      <c r="G18" s="69">
        <f>A3A!G148</f>
        <v>0</v>
      </c>
      <c r="H18" s="70">
        <f>A3A!H148</f>
        <v>0</v>
      </c>
      <c r="I18" s="1103">
        <f>A3A!I148</f>
        <v>0</v>
      </c>
      <c r="J18" s="68">
        <f>A3A!J148</f>
        <v>0</v>
      </c>
      <c r="K18" s="1104">
        <f>A3A!K148</f>
        <v>0</v>
      </c>
      <c r="L18" s="70">
        <f>A5A!L148</f>
        <v>0</v>
      </c>
      <c r="M18" s="66"/>
      <c r="N18" s="66"/>
      <c r="O18" s="66"/>
      <c r="P18" s="66"/>
      <c r="Q18" s="66"/>
      <c r="R18" s="66"/>
      <c r="S18" s="66"/>
      <c r="T18" s="66"/>
      <c r="U18" s="66"/>
      <c r="V18" s="66"/>
      <c r="W18" s="66"/>
      <c r="X18" s="240"/>
    </row>
    <row r="19" spans="1:24" ht="11.25" customHeight="1">
      <c r="A19" s="1039" t="str">
        <f>A3A!A159</f>
        <v>Vote 15 - [NAME OF VOTE 15]</v>
      </c>
      <c r="B19" s="1018"/>
      <c r="C19" s="69">
        <f>A3A!C159</f>
        <v>0</v>
      </c>
      <c r="D19" s="69">
        <f>A3A!D159</f>
        <v>0</v>
      </c>
      <c r="E19" s="68">
        <f>A3A!E159</f>
        <v>0</v>
      </c>
      <c r="F19" s="71">
        <f>A3A!F159</f>
        <v>0</v>
      </c>
      <c r="G19" s="69">
        <f>A3A!G159</f>
        <v>0</v>
      </c>
      <c r="H19" s="70">
        <f>A3A!H159</f>
        <v>0</v>
      </c>
      <c r="I19" s="1562">
        <f>A3A!I159</f>
        <v>0</v>
      </c>
      <c r="J19" s="68">
        <f>A3A!J159</f>
        <v>0</v>
      </c>
      <c r="K19" s="1104">
        <f>A3A!K159</f>
        <v>0</v>
      </c>
      <c r="L19" s="70">
        <f>A5A!L159</f>
        <v>0</v>
      </c>
      <c r="M19" s="66"/>
      <c r="N19" s="66"/>
      <c r="O19" s="66"/>
      <c r="P19" s="66"/>
      <c r="Q19" s="66"/>
      <c r="R19" s="66"/>
      <c r="S19" s="66"/>
      <c r="T19" s="66"/>
      <c r="U19" s="66"/>
      <c r="V19" s="66"/>
      <c r="W19" s="66"/>
      <c r="X19" s="240"/>
    </row>
    <row r="20" spans="1:24" ht="11.25" customHeight="1">
      <c r="A20" s="1187" t="s">
        <v>156</v>
      </c>
      <c r="B20" s="1186">
        <v>2</v>
      </c>
      <c r="C20" s="1188">
        <f>SUM(C5:C19)</f>
        <v>1132278707.0600002</v>
      </c>
      <c r="D20" s="1188">
        <f t="shared" ref="D20:K20" si="0">SUM(D5:D19)</f>
        <v>1137476809.9299998</v>
      </c>
      <c r="E20" s="1189">
        <f t="shared" si="0"/>
        <v>1140964382.5799999</v>
      </c>
      <c r="F20" s="1190">
        <f t="shared" si="0"/>
        <v>1359176307</v>
      </c>
      <c r="G20" s="1188">
        <f t="shared" si="0"/>
        <v>1368508037.019995</v>
      </c>
      <c r="H20" s="1191">
        <f t="shared" si="0"/>
        <v>1403803359.8200002</v>
      </c>
      <c r="I20" s="1192">
        <f t="shared" si="0"/>
        <v>1405645232</v>
      </c>
      <c r="J20" s="1188">
        <f t="shared" si="0"/>
        <v>1479924620.6720002</v>
      </c>
      <c r="K20" s="1564">
        <f t="shared" si="0"/>
        <v>1556917777.2229118</v>
      </c>
      <c r="L20" s="76"/>
      <c r="M20" s="77"/>
      <c r="N20" s="77"/>
      <c r="O20" s="77"/>
      <c r="P20" s="77"/>
      <c r="Q20" s="77"/>
      <c r="R20" s="77"/>
      <c r="S20" s="77"/>
      <c r="T20" s="77"/>
      <c r="U20" s="77"/>
      <c r="V20" s="77"/>
      <c r="W20" s="77"/>
      <c r="X20" s="240"/>
    </row>
    <row r="21" spans="1:24" ht="4.9000000000000004" customHeight="1">
      <c r="A21" s="1051"/>
      <c r="B21" s="1018"/>
      <c r="C21" s="1052"/>
      <c r="D21" s="1052"/>
      <c r="E21" s="1053"/>
      <c r="F21" s="1054"/>
      <c r="G21" s="1052"/>
      <c r="H21" s="1055"/>
      <c r="I21" s="1056"/>
      <c r="J21" s="1052"/>
      <c r="K21" s="1565"/>
      <c r="L21" s="72"/>
      <c r="M21" s="73"/>
      <c r="N21" s="73"/>
      <c r="O21" s="73"/>
      <c r="P21" s="73"/>
      <c r="Q21" s="73"/>
      <c r="R21" s="73"/>
      <c r="S21" s="73"/>
      <c r="T21" s="73"/>
      <c r="U21" s="73"/>
      <c r="V21" s="73"/>
      <c r="W21" s="73"/>
      <c r="X21" s="240"/>
    </row>
    <row r="22" spans="1:24" ht="11.25" customHeight="1">
      <c r="A22" s="1033" t="s">
        <v>822</v>
      </c>
      <c r="B22" s="1018">
        <v>1</v>
      </c>
      <c r="C22" s="1052"/>
      <c r="D22" s="1052"/>
      <c r="E22" s="1053"/>
      <c r="F22" s="1054"/>
      <c r="G22" s="1052"/>
      <c r="H22" s="1055"/>
      <c r="I22" s="1056"/>
      <c r="J22" s="1052"/>
      <c r="K22" s="1565"/>
      <c r="L22" s="72"/>
      <c r="M22" s="73"/>
      <c r="N22" s="73"/>
      <c r="O22" s="73"/>
      <c r="P22" s="73"/>
      <c r="Q22" s="73"/>
      <c r="R22" s="73"/>
      <c r="S22" s="73"/>
      <c r="T22" s="73"/>
      <c r="U22" s="73"/>
      <c r="V22" s="73"/>
      <c r="W22" s="73"/>
      <c r="X22" s="240"/>
    </row>
    <row r="23" spans="1:24" ht="11.25" customHeight="1">
      <c r="A23" s="1039" t="str">
        <f>A3A!A173</f>
        <v>Vote 1 - Municipal Manager</v>
      </c>
      <c r="B23" s="1018"/>
      <c r="C23" s="1040">
        <f>A3A!C173</f>
        <v>71553934.510000005</v>
      </c>
      <c r="D23" s="1040">
        <f>A3A!D173</f>
        <v>67361180.420000002</v>
      </c>
      <c r="E23" s="1041">
        <f>A3A!E173</f>
        <v>73412075.829999998</v>
      </c>
      <c r="F23" s="1042">
        <f>A3A!F173</f>
        <v>75195251</v>
      </c>
      <c r="G23" s="1040">
        <f>A3A!G173</f>
        <v>76981859.629999995</v>
      </c>
      <c r="H23" s="1043">
        <f>A3A!H173</f>
        <v>76162734.180000007</v>
      </c>
      <c r="I23" s="1044">
        <f>A3A!I173</f>
        <v>73832159.129999995</v>
      </c>
      <c r="J23" s="1040">
        <f>A3A!J173</f>
        <v>76159743.147980005</v>
      </c>
      <c r="K23" s="1558">
        <f>A3A!K173</f>
        <v>79661021.332787067</v>
      </c>
      <c r="L23" s="72"/>
      <c r="M23" s="73"/>
      <c r="N23" s="73"/>
      <c r="O23" s="73"/>
      <c r="P23" s="73"/>
      <c r="Q23" s="73"/>
      <c r="R23" s="73"/>
      <c r="S23" s="73"/>
      <c r="T23" s="73"/>
      <c r="U23" s="73"/>
      <c r="V23" s="73"/>
      <c r="W23" s="73"/>
      <c r="X23" s="240"/>
    </row>
    <row r="24" spans="1:24" ht="11.25" customHeight="1">
      <c r="A24" s="1039" t="str">
        <f>A3A!A184</f>
        <v>Vote 2 - Planning &amp; Economic Development</v>
      </c>
      <c r="B24" s="1018"/>
      <c r="C24" s="1040">
        <f>A3A!C184</f>
        <v>27038713.060000002</v>
      </c>
      <c r="D24" s="1040">
        <f>A3A!D184</f>
        <v>29982808.900000006</v>
      </c>
      <c r="E24" s="1041">
        <f>A3A!E184</f>
        <v>34325093.350000001</v>
      </c>
      <c r="F24" s="1042">
        <f>A3A!F184</f>
        <v>31408863</v>
      </c>
      <c r="G24" s="1040">
        <f>A3A!G184</f>
        <v>29106701</v>
      </c>
      <c r="H24" s="1043">
        <f>A3A!H184</f>
        <v>30467352.84</v>
      </c>
      <c r="I24" s="1044">
        <f>A3A!I184</f>
        <v>31030789</v>
      </c>
      <c r="J24" s="1040">
        <f>A3A!J184</f>
        <v>32422417.638000008</v>
      </c>
      <c r="K24" s="1558">
        <f>A3A!K184</f>
        <v>33894516.787347995</v>
      </c>
      <c r="L24" s="85"/>
      <c r="M24" s="86"/>
      <c r="N24" s="86"/>
      <c r="O24" s="86"/>
      <c r="P24" s="86"/>
      <c r="Q24" s="86"/>
      <c r="R24" s="86"/>
      <c r="S24" s="86"/>
      <c r="T24" s="86"/>
      <c r="U24" s="86"/>
      <c r="V24" s="86"/>
      <c r="W24" s="86"/>
      <c r="X24" s="240"/>
    </row>
    <row r="25" spans="1:24" ht="11.25" customHeight="1">
      <c r="A25" s="1039" t="str">
        <f>A3A!A195</f>
        <v>Vote 3 - Financial Services</v>
      </c>
      <c r="B25" s="1018"/>
      <c r="C25" s="1040">
        <f>A3A!C195</f>
        <v>94911670.409999982</v>
      </c>
      <c r="D25" s="1040">
        <f>A3A!D195</f>
        <v>196336788.37</v>
      </c>
      <c r="E25" s="1041">
        <f>A3A!E195</f>
        <v>173282322.03999996</v>
      </c>
      <c r="F25" s="1042">
        <f>A3A!F195</f>
        <v>126690531</v>
      </c>
      <c r="G25" s="1040">
        <f>A3A!G195</f>
        <v>102502249</v>
      </c>
      <c r="H25" s="1043">
        <f>A3A!H195</f>
        <v>111335030.3</v>
      </c>
      <c r="I25" s="1044">
        <f>A3A!I195</f>
        <v>113189995</v>
      </c>
      <c r="J25" s="1040">
        <f>A3A!J195</f>
        <v>117325417.15399998</v>
      </c>
      <c r="K25" s="1558">
        <f>A3A!K195</f>
        <v>122625326.34308401</v>
      </c>
      <c r="L25" s="85"/>
      <c r="M25" s="86"/>
      <c r="N25" s="86"/>
      <c r="O25" s="86"/>
      <c r="P25" s="86"/>
      <c r="Q25" s="86"/>
      <c r="R25" s="86"/>
      <c r="S25" s="86"/>
      <c r="T25" s="86"/>
      <c r="U25" s="86"/>
      <c r="V25" s="86"/>
      <c r="W25" s="86"/>
      <c r="X25" s="240"/>
    </row>
    <row r="26" spans="1:24" ht="11.25" customHeight="1">
      <c r="A26" s="1039" t="str">
        <f>A3A!A206</f>
        <v>Vote 4 - Corporate Services</v>
      </c>
      <c r="B26" s="1018"/>
      <c r="C26" s="1040">
        <f>A3A!C206</f>
        <v>45132949.670000002</v>
      </c>
      <c r="D26" s="1040">
        <f>A3A!D206</f>
        <v>49028857.819999993</v>
      </c>
      <c r="E26" s="1041">
        <f>A3A!E206</f>
        <v>49685045.039999992</v>
      </c>
      <c r="F26" s="1042">
        <f>A3A!F206</f>
        <v>63300012.329999998</v>
      </c>
      <c r="G26" s="1040">
        <f>A3A!G206</f>
        <v>63027706.649999999</v>
      </c>
      <c r="H26" s="1043">
        <f>A3A!H206</f>
        <v>55638281.260000005</v>
      </c>
      <c r="I26" s="1044">
        <f>A3A!I206</f>
        <v>63973170</v>
      </c>
      <c r="J26" s="1040">
        <f>A3A!J206</f>
        <v>66831373.910000004</v>
      </c>
      <c r="K26" s="1558">
        <f>A3A!K206</f>
        <v>69900537.43186</v>
      </c>
      <c r="L26" s="85"/>
      <c r="M26" s="86"/>
      <c r="N26" s="86"/>
      <c r="O26" s="86"/>
      <c r="P26" s="86"/>
      <c r="Q26" s="86"/>
      <c r="R26" s="86"/>
      <c r="S26" s="86"/>
      <c r="T26" s="86"/>
      <c r="U26" s="86"/>
      <c r="V26" s="86"/>
      <c r="W26" s="86"/>
      <c r="X26" s="240"/>
    </row>
    <row r="27" spans="1:24" ht="11.25" customHeight="1">
      <c r="A27" s="1039" t="str">
        <f>A3A!A217</f>
        <v>Vote 5 - Community Services</v>
      </c>
      <c r="B27" s="1018"/>
      <c r="C27" s="1040">
        <f>A3A!C217</f>
        <v>116552128.10999998</v>
      </c>
      <c r="D27" s="1040">
        <f>A3A!D217</f>
        <v>126202694.40000002</v>
      </c>
      <c r="E27" s="1041">
        <f>A3A!E217</f>
        <v>138014682.60000002</v>
      </c>
      <c r="F27" s="1042">
        <f>A3A!F217</f>
        <v>139371924.92000002</v>
      </c>
      <c r="G27" s="1040">
        <f>A3A!G217</f>
        <v>122958342.87</v>
      </c>
      <c r="H27" s="1043">
        <f>A3A!H217</f>
        <v>117677401.32000001</v>
      </c>
      <c r="I27" s="1044">
        <f>A3A!I217</f>
        <v>138932698</v>
      </c>
      <c r="J27" s="1040">
        <f>A3A!J217</f>
        <v>137686562.15799999</v>
      </c>
      <c r="K27" s="1558">
        <f>A3A!K217</f>
        <v>144019885.84926799</v>
      </c>
      <c r="L27" s="85"/>
      <c r="M27" s="86"/>
      <c r="N27" s="86"/>
      <c r="O27" s="86"/>
      <c r="P27" s="86"/>
      <c r="Q27" s="86"/>
      <c r="R27" s="86"/>
      <c r="S27" s="86"/>
      <c r="T27" s="86"/>
      <c r="U27" s="86"/>
      <c r="V27" s="86"/>
      <c r="W27" s="86"/>
      <c r="X27" s="240"/>
    </row>
    <row r="28" spans="1:24" ht="11.25" customHeight="1">
      <c r="A28" s="1039" t="str">
        <f>A3A!A228</f>
        <v>Vote 6 - Community Services</v>
      </c>
      <c r="B28" s="1018"/>
      <c r="C28" s="1040">
        <f>A3A!C228</f>
        <v>46241943.659999996</v>
      </c>
      <c r="D28" s="1040">
        <f>A3A!D228</f>
        <v>49460587.949999996</v>
      </c>
      <c r="E28" s="1041">
        <f>A3A!E228</f>
        <v>53110645.079999998</v>
      </c>
      <c r="F28" s="1042">
        <f>A3A!F228</f>
        <v>120718445</v>
      </c>
      <c r="G28" s="1040">
        <f>A3A!G228</f>
        <v>114928589.86</v>
      </c>
      <c r="H28" s="1043">
        <f>A3A!H228</f>
        <v>168827767.53999999</v>
      </c>
      <c r="I28" s="1044">
        <f>A3A!I228</f>
        <v>130635365</v>
      </c>
      <c r="J28" s="1040">
        <f>A3A!J228</f>
        <v>136566477.25799999</v>
      </c>
      <c r="K28" s="1558">
        <f>A3A!K228</f>
        <v>142848496.15186802</v>
      </c>
      <c r="L28" s="85"/>
      <c r="M28" s="86"/>
      <c r="N28" s="86"/>
      <c r="O28" s="86"/>
      <c r="P28" s="86"/>
      <c r="Q28" s="86"/>
      <c r="R28" s="86"/>
      <c r="S28" s="86"/>
      <c r="T28" s="86"/>
      <c r="U28" s="86"/>
      <c r="V28" s="86"/>
      <c r="W28" s="86"/>
      <c r="X28" s="240"/>
    </row>
    <row r="29" spans="1:24" ht="11.25" customHeight="1">
      <c r="A29" s="1039" t="str">
        <f>A3A!A239</f>
        <v>Vote 7 - Electrical Engineering Services</v>
      </c>
      <c r="B29" s="1018"/>
      <c r="C29" s="1040">
        <f>A3A!C239</f>
        <v>482189062.61000001</v>
      </c>
      <c r="D29" s="1040">
        <f>A3A!D239</f>
        <v>465539284.45999992</v>
      </c>
      <c r="E29" s="1041">
        <f>A3A!E239</f>
        <v>514259456.29000002</v>
      </c>
      <c r="F29" s="1042">
        <f>A3A!F239</f>
        <v>591014579</v>
      </c>
      <c r="G29" s="1040">
        <f>A3A!G239</f>
        <v>577451637.00999999</v>
      </c>
      <c r="H29" s="1043">
        <f>A3A!H239</f>
        <v>507752476.98000008</v>
      </c>
      <c r="I29" s="1044">
        <f>A3A!I239</f>
        <v>572684922</v>
      </c>
      <c r="J29" s="1040">
        <f>A3A!J239</f>
        <v>604549039.17400002</v>
      </c>
      <c r="K29" s="1558">
        <f>A3A!K239</f>
        <v>630259437.96200395</v>
      </c>
      <c r="L29" s="85"/>
      <c r="M29" s="86"/>
      <c r="N29" s="86"/>
      <c r="O29" s="86"/>
      <c r="P29" s="86"/>
      <c r="Q29" s="86"/>
      <c r="R29" s="86"/>
      <c r="S29" s="86"/>
      <c r="T29" s="86"/>
      <c r="U29" s="86"/>
      <c r="V29" s="86"/>
      <c r="W29" s="86"/>
      <c r="X29" s="240"/>
    </row>
    <row r="30" spans="1:24" ht="11.25" customHeight="1">
      <c r="A30" s="1039" t="str">
        <f>A3A!A250</f>
        <v>Vote 8 - Engineering Services</v>
      </c>
      <c r="B30" s="1018"/>
      <c r="C30" s="1040">
        <f>A3A!C250</f>
        <v>234756150.76999998</v>
      </c>
      <c r="D30" s="1040">
        <f>A3A!D250</f>
        <v>238742716.06</v>
      </c>
      <c r="E30" s="1041">
        <f>A3A!E250</f>
        <v>172739309.49000001</v>
      </c>
      <c r="F30" s="1042">
        <f>A3A!F250</f>
        <v>181486372.71000001</v>
      </c>
      <c r="G30" s="1040">
        <f>A3A!G250</f>
        <v>161707931.15000001</v>
      </c>
      <c r="H30" s="1043">
        <f>A3A!H250</f>
        <v>207303927.89999998</v>
      </c>
      <c r="I30" s="1044">
        <f>A3A!I250</f>
        <v>163075941.88</v>
      </c>
      <c r="J30" s="1040">
        <f>A3A!J250</f>
        <v>158681336.11447999</v>
      </c>
      <c r="K30" s="1558">
        <f>A3A!K250</f>
        <v>165858109.83974609</v>
      </c>
      <c r="L30" s="85"/>
      <c r="M30" s="86"/>
      <c r="N30" s="86"/>
      <c r="O30" s="86"/>
      <c r="P30" s="86"/>
      <c r="Q30" s="86"/>
      <c r="R30" s="86"/>
      <c r="S30" s="86"/>
      <c r="T30" s="86"/>
      <c r="U30" s="86"/>
      <c r="V30" s="86"/>
      <c r="W30" s="86"/>
      <c r="X30" s="240"/>
    </row>
    <row r="31" spans="1:24" ht="11.25" customHeight="1">
      <c r="A31" s="1039" t="str">
        <f>A3A!A261</f>
        <v>Vote 9 - [NAME OF VOTE 9]</v>
      </c>
      <c r="B31" s="1018"/>
      <c r="C31" s="1040">
        <f>A3A!C261</f>
        <v>0</v>
      </c>
      <c r="D31" s="1040">
        <f>A3A!D261</f>
        <v>0</v>
      </c>
      <c r="E31" s="1041">
        <f>A3A!E261</f>
        <v>0</v>
      </c>
      <c r="F31" s="1042">
        <f>A3A!F261</f>
        <v>0</v>
      </c>
      <c r="G31" s="1040">
        <f>A3A!G261</f>
        <v>0</v>
      </c>
      <c r="H31" s="1043">
        <f>A3A!H261</f>
        <v>0</v>
      </c>
      <c r="I31" s="1044">
        <f>A3A!I261</f>
        <v>0</v>
      </c>
      <c r="J31" s="1040">
        <f>A3A!J261</f>
        <v>0</v>
      </c>
      <c r="K31" s="1558">
        <f>A3A!K261</f>
        <v>0</v>
      </c>
      <c r="L31" s="85"/>
      <c r="M31" s="86"/>
      <c r="N31" s="86"/>
      <c r="O31" s="86"/>
      <c r="P31" s="86"/>
      <c r="Q31" s="86"/>
      <c r="R31" s="86"/>
      <c r="S31" s="86"/>
      <c r="T31" s="86"/>
      <c r="U31" s="86"/>
      <c r="V31" s="86"/>
      <c r="W31" s="86"/>
      <c r="X31" s="240"/>
    </row>
    <row r="32" spans="1:24" ht="11.25" customHeight="1">
      <c r="A32" s="1039" t="str">
        <f>A3A!A272</f>
        <v>Vote 10 - [NAME OF VOTE 10]</v>
      </c>
      <c r="B32" s="1018"/>
      <c r="C32" s="1040">
        <f>A3A!C272</f>
        <v>0</v>
      </c>
      <c r="D32" s="1040">
        <f>A3A!D272</f>
        <v>0</v>
      </c>
      <c r="E32" s="1041">
        <f>A3A!E272</f>
        <v>0</v>
      </c>
      <c r="F32" s="1042">
        <f>A3A!F272</f>
        <v>0</v>
      </c>
      <c r="G32" s="1040">
        <f>A3A!G272</f>
        <v>0</v>
      </c>
      <c r="H32" s="1043">
        <f>A3A!H272</f>
        <v>0</v>
      </c>
      <c r="I32" s="1044">
        <f>A3A!I272</f>
        <v>0</v>
      </c>
      <c r="J32" s="1040">
        <f>A3A!J272</f>
        <v>0</v>
      </c>
      <c r="K32" s="1558">
        <f>A3A!K272</f>
        <v>0</v>
      </c>
      <c r="L32" s="85"/>
      <c r="M32" s="86"/>
      <c r="N32" s="86"/>
      <c r="O32" s="86"/>
      <c r="P32" s="86"/>
      <c r="Q32" s="86"/>
      <c r="R32" s="86"/>
      <c r="S32" s="86"/>
      <c r="T32" s="86"/>
      <c r="U32" s="86"/>
      <c r="V32" s="86"/>
      <c r="W32" s="86"/>
      <c r="X32" s="240"/>
    </row>
    <row r="33" spans="1:24" ht="11.25" customHeight="1">
      <c r="A33" s="1039" t="str">
        <f>A3A!A283</f>
        <v>Vote 11 - [NAME OF VOTE 11]</v>
      </c>
      <c r="B33" s="1018"/>
      <c r="C33" s="197">
        <f>A3A!C283</f>
        <v>0</v>
      </c>
      <c r="D33" s="197">
        <f>A3A!D283</f>
        <v>0</v>
      </c>
      <c r="E33" s="70">
        <f>A3A!E283</f>
        <v>0</v>
      </c>
      <c r="F33" s="71">
        <f>A3A!F283</f>
        <v>0</v>
      </c>
      <c r="G33" s="69">
        <f>A3A!G283</f>
        <v>0</v>
      </c>
      <c r="H33" s="70">
        <f>A3A!H283</f>
        <v>0</v>
      </c>
      <c r="I33" s="1103">
        <f>A3A!I283</f>
        <v>0</v>
      </c>
      <c r="J33" s="69">
        <f>A3A!J283</f>
        <v>0</v>
      </c>
      <c r="K33" s="1104">
        <f>A3A!K283</f>
        <v>0</v>
      </c>
      <c r="L33" s="70">
        <f>A3A!L284</f>
        <v>0</v>
      </c>
      <c r="M33" s="86"/>
      <c r="N33" s="86"/>
      <c r="O33" s="86"/>
      <c r="P33" s="86"/>
      <c r="Q33" s="86"/>
      <c r="R33" s="86"/>
      <c r="S33" s="86"/>
      <c r="T33" s="86"/>
      <c r="U33" s="86"/>
      <c r="V33" s="86"/>
      <c r="W33" s="86"/>
      <c r="X33" s="240"/>
    </row>
    <row r="34" spans="1:24" ht="11.25" customHeight="1">
      <c r="A34" s="1039" t="str">
        <f>A3A!A294</f>
        <v>Vote 12 - [NAME OF VOTE 12]</v>
      </c>
      <c r="B34" s="1018"/>
      <c r="C34" s="197">
        <f>A3A!C294</f>
        <v>0</v>
      </c>
      <c r="D34" s="197">
        <f>A3A!D294</f>
        <v>0</v>
      </c>
      <c r="E34" s="70">
        <f>A3A!E294</f>
        <v>0</v>
      </c>
      <c r="F34" s="71">
        <f>A3A!F294</f>
        <v>0</v>
      </c>
      <c r="G34" s="69">
        <f>A3A!G294</f>
        <v>0</v>
      </c>
      <c r="H34" s="70">
        <f>A3A!H294</f>
        <v>0</v>
      </c>
      <c r="I34" s="1103">
        <f>A3A!I294</f>
        <v>0</v>
      </c>
      <c r="J34" s="69">
        <f>A3A!J294</f>
        <v>0</v>
      </c>
      <c r="K34" s="1104">
        <f>A3A!K294</f>
        <v>0</v>
      </c>
      <c r="L34" s="70">
        <f>A3A!L295</f>
        <v>0</v>
      </c>
      <c r="M34" s="86"/>
      <c r="N34" s="86"/>
      <c r="O34" s="86"/>
      <c r="P34" s="86"/>
      <c r="Q34" s="86"/>
      <c r="R34" s="86"/>
      <c r="S34" s="86"/>
      <c r="T34" s="86"/>
      <c r="U34" s="86"/>
      <c r="V34" s="86"/>
      <c r="W34" s="86"/>
      <c r="X34" s="240"/>
    </row>
    <row r="35" spans="1:24" ht="11.25" customHeight="1">
      <c r="A35" s="1039" t="str">
        <f>A3A!A305</f>
        <v>Vote 13 - [NAME OF VOTE 13]</v>
      </c>
      <c r="B35" s="1018"/>
      <c r="C35" s="1322">
        <f>A3A!C305</f>
        <v>0</v>
      </c>
      <c r="D35" s="1322">
        <f>A3A!D305</f>
        <v>0</v>
      </c>
      <c r="E35" s="1323">
        <f>A3A!E305</f>
        <v>0</v>
      </c>
      <c r="F35" s="1324">
        <f>A3A!F305</f>
        <v>0</v>
      </c>
      <c r="G35" s="1286">
        <f>A3A!G305</f>
        <v>0</v>
      </c>
      <c r="H35" s="1323">
        <f>A3A!H305</f>
        <v>0</v>
      </c>
      <c r="I35" s="1559">
        <f>A3A!I305</f>
        <v>0</v>
      </c>
      <c r="J35" s="1286">
        <f>A3A!J305</f>
        <v>0</v>
      </c>
      <c r="K35" s="1566">
        <f>A3A!K305</f>
        <v>0</v>
      </c>
      <c r="L35" s="1323">
        <f>A3A!L306</f>
        <v>0</v>
      </c>
      <c r="M35" s="86"/>
      <c r="N35" s="86"/>
      <c r="O35" s="86"/>
      <c r="P35" s="86"/>
      <c r="Q35" s="86"/>
      <c r="R35" s="86"/>
      <c r="S35" s="86"/>
      <c r="T35" s="86"/>
      <c r="U35" s="86"/>
      <c r="V35" s="86"/>
      <c r="W35" s="86"/>
      <c r="X35" s="240"/>
    </row>
    <row r="36" spans="1:24" ht="11.25" customHeight="1">
      <c r="A36" s="1039" t="str">
        <f>A3A!A316</f>
        <v>Vote 14 - [NAME OF VOTE 14]</v>
      </c>
      <c r="B36" s="1018"/>
      <c r="C36" s="1322">
        <f>A3A!C316</f>
        <v>0</v>
      </c>
      <c r="D36" s="1322">
        <f>A3A!D316</f>
        <v>0</v>
      </c>
      <c r="E36" s="1323">
        <f>A3A!E316</f>
        <v>0</v>
      </c>
      <c r="F36" s="1324">
        <f>A3A!F316</f>
        <v>0</v>
      </c>
      <c r="G36" s="1286">
        <f>A3A!G316</f>
        <v>0</v>
      </c>
      <c r="H36" s="1323">
        <f>A3A!H316</f>
        <v>0</v>
      </c>
      <c r="I36" s="1559">
        <f>A3A!I316</f>
        <v>0</v>
      </c>
      <c r="J36" s="1286">
        <f>A3A!J316</f>
        <v>0</v>
      </c>
      <c r="K36" s="1566">
        <f>A3A!K316</f>
        <v>0</v>
      </c>
      <c r="L36" s="1323">
        <f>A3A!L317</f>
        <v>0</v>
      </c>
      <c r="M36" s="86"/>
      <c r="N36" s="86"/>
      <c r="O36" s="86"/>
      <c r="P36" s="86"/>
      <c r="Q36" s="86"/>
      <c r="R36" s="86"/>
      <c r="S36" s="86"/>
      <c r="T36" s="86"/>
      <c r="U36" s="86"/>
      <c r="V36" s="86"/>
      <c r="W36" s="86"/>
      <c r="X36" s="240"/>
    </row>
    <row r="37" spans="1:24" ht="11.25" customHeight="1">
      <c r="A37" s="1039" t="str">
        <f>A3A!A327</f>
        <v>Vote 15 - [NAME OF VOTE 15]</v>
      </c>
      <c r="B37" s="1018"/>
      <c r="C37" s="1322">
        <f>A3A!C327</f>
        <v>0</v>
      </c>
      <c r="D37" s="1322">
        <f>A3A!D327</f>
        <v>0</v>
      </c>
      <c r="E37" s="1323">
        <f>A3A!E327</f>
        <v>0</v>
      </c>
      <c r="F37" s="1324">
        <f>A3A!F327</f>
        <v>0</v>
      </c>
      <c r="G37" s="1286">
        <f>A3A!G327</f>
        <v>0</v>
      </c>
      <c r="H37" s="1323">
        <f>A3A!H327</f>
        <v>0</v>
      </c>
      <c r="I37" s="1559">
        <f>A3A!I327</f>
        <v>0</v>
      </c>
      <c r="J37" s="1286">
        <f>A3A!J327</f>
        <v>0</v>
      </c>
      <c r="K37" s="1566">
        <f>A3A!K327</f>
        <v>0</v>
      </c>
      <c r="L37" s="1323">
        <f>A3A!L328</f>
        <v>0</v>
      </c>
      <c r="M37" s="86"/>
      <c r="N37" s="86"/>
      <c r="O37" s="86"/>
      <c r="P37" s="86"/>
      <c r="Q37" s="86"/>
      <c r="R37" s="86"/>
      <c r="S37" s="86"/>
      <c r="T37" s="86"/>
      <c r="U37" s="86"/>
      <c r="V37" s="86"/>
      <c r="W37" s="86"/>
      <c r="X37" s="240"/>
    </row>
    <row r="38" spans="1:24" ht="11.25" customHeight="1">
      <c r="A38" s="1187" t="s">
        <v>155</v>
      </c>
      <c r="B38" s="1186">
        <v>2</v>
      </c>
      <c r="C38" s="1193">
        <f>SUM(C23:C37)</f>
        <v>1118376552.8</v>
      </c>
      <c r="D38" s="1193">
        <f t="shared" ref="D38:K38" si="1">SUM(D23:D37)</f>
        <v>1222654918.3799999</v>
      </c>
      <c r="E38" s="1194">
        <f t="shared" si="1"/>
        <v>1208828629.72</v>
      </c>
      <c r="F38" s="1195">
        <f t="shared" si="1"/>
        <v>1329185978.96</v>
      </c>
      <c r="G38" s="1193">
        <f t="shared" si="1"/>
        <v>1248665017.1700001</v>
      </c>
      <c r="H38" s="1196">
        <f t="shared" si="1"/>
        <v>1275164972.3200002</v>
      </c>
      <c r="I38" s="1197">
        <f t="shared" si="1"/>
        <v>1287355040.0100002</v>
      </c>
      <c r="J38" s="1193">
        <f t="shared" si="1"/>
        <v>1330222366.55446</v>
      </c>
      <c r="K38" s="1560">
        <f t="shared" si="1"/>
        <v>1389067331.6979651</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3.5" thickBot="1">
      <c r="A39" s="1057" t="str">
        <f>result</f>
        <v>Surplus/(Deficit) for the year</v>
      </c>
      <c r="B39" s="1022">
        <v>2</v>
      </c>
      <c r="C39" s="984">
        <f t="shared" ref="C39:W39" si="3">C20-C38</f>
        <v>13902154.260000229</v>
      </c>
      <c r="D39" s="984">
        <f t="shared" si="3"/>
        <v>-85178108.450000048</v>
      </c>
      <c r="E39" s="1058">
        <f t="shared" si="3"/>
        <v>-67864247.140000105</v>
      </c>
      <c r="F39" s="1059">
        <f t="shared" si="3"/>
        <v>29990328.039999962</v>
      </c>
      <c r="G39" s="1060">
        <f t="shared" si="3"/>
        <v>119843019.8499949</v>
      </c>
      <c r="H39" s="1061">
        <f t="shared" si="3"/>
        <v>128638387.5</v>
      </c>
      <c r="I39" s="1062">
        <f t="shared" si="3"/>
        <v>118290191.98999977</v>
      </c>
      <c r="J39" s="1060">
        <f t="shared" si="3"/>
        <v>149702254.11754012</v>
      </c>
      <c r="K39" s="1567">
        <f t="shared" si="3"/>
        <v>167850445.52494669</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6" customFormat="1" ht="11.25" customHeight="1" thickTop="1">
      <c r="A40" s="1063" t="str">
        <f>head27a</f>
        <v>References</v>
      </c>
      <c r="B40" s="1064"/>
      <c r="C40" s="990"/>
      <c r="D40" s="1065"/>
      <c r="E40" s="1066"/>
      <c r="F40" s="1066"/>
      <c r="G40" s="1066"/>
      <c r="H40" s="1066"/>
      <c r="I40" s="1066"/>
      <c r="J40" s="1066"/>
      <c r="K40" s="1066"/>
    </row>
    <row r="41" spans="1:24" s="576" customFormat="1" ht="11.25" customHeight="1">
      <c r="A41" s="1028" t="s">
        <v>2465</v>
      </c>
      <c r="B41" s="1064"/>
      <c r="C41" s="1067"/>
      <c r="D41" s="1067"/>
      <c r="E41" s="1068"/>
      <c r="F41" s="1068"/>
      <c r="G41" s="1068"/>
      <c r="H41" s="1068"/>
      <c r="I41" s="1068"/>
      <c r="J41" s="1068"/>
      <c r="K41" s="1068"/>
    </row>
    <row r="42" spans="1:24" s="576" customFormat="1" ht="11.25" customHeight="1">
      <c r="A42" s="1069" t="s">
        <v>162</v>
      </c>
      <c r="B42" s="1064"/>
      <c r="C42" s="1067"/>
      <c r="D42" s="1067"/>
      <c r="E42" s="1068"/>
      <c r="F42" s="1068"/>
      <c r="G42" s="1068"/>
      <c r="H42" s="1068"/>
      <c r="I42" s="1068"/>
      <c r="J42" s="1068"/>
      <c r="K42" s="1068"/>
    </row>
    <row r="43" spans="1:24" s="576" customFormat="1" ht="11.25" customHeight="1">
      <c r="A43" s="1069" t="s">
        <v>375</v>
      </c>
      <c r="B43" s="1024"/>
      <c r="C43" s="1070"/>
      <c r="D43" s="1070"/>
      <c r="E43" s="1071"/>
      <c r="F43" s="1071"/>
      <c r="G43" s="1071"/>
      <c r="H43" s="1071"/>
      <c r="I43" s="1071"/>
      <c r="J43" s="1071"/>
      <c r="K43" s="1071"/>
    </row>
    <row r="44" spans="1:24" ht="11.25" customHeight="1">
      <c r="A44" s="1025"/>
      <c r="B44" s="571"/>
      <c r="C44" s="574"/>
      <c r="D44" s="574"/>
      <c r="E44" s="574"/>
      <c r="F44" s="574"/>
      <c r="G44" s="574"/>
      <c r="H44" s="574"/>
      <c r="I44" s="574"/>
      <c r="J44" s="574"/>
      <c r="K44" s="574"/>
    </row>
    <row r="45" spans="1:24" ht="11.25" customHeight="1">
      <c r="A45" s="1070" t="str">
        <f>"check "&amp;A39</f>
        <v>check Surplus/(Deficit) for the year</v>
      </c>
      <c r="B45" s="571"/>
      <c r="C45" s="1071">
        <f>C39-A3A!C340</f>
        <v>0</v>
      </c>
      <c r="D45" s="1071">
        <f>D39-A3A!D340</f>
        <v>0</v>
      </c>
      <c r="E45" s="1071">
        <f>E39-A3A!E340</f>
        <v>0</v>
      </c>
      <c r="F45" s="1071">
        <f>F39-A3A!F340</f>
        <v>0</v>
      </c>
      <c r="G45" s="1071">
        <f>G39-A3A!G340</f>
        <v>0</v>
      </c>
      <c r="H45" s="1071">
        <f>H39-A3A!H340</f>
        <v>0</v>
      </c>
      <c r="I45" s="1071">
        <f>I39-A3A!I340</f>
        <v>0</v>
      </c>
      <c r="J45" s="1071">
        <f>J39-A3A!J340</f>
        <v>0</v>
      </c>
      <c r="K45" s="1071">
        <f>K39-A3A!K340</f>
        <v>0</v>
      </c>
    </row>
    <row r="46" spans="1:24" ht="11.25" customHeight="1">
      <c r="A46" s="121"/>
      <c r="C46" s="122"/>
      <c r="D46" s="122"/>
      <c r="E46" s="122"/>
      <c r="F46" s="122"/>
      <c r="G46" s="122"/>
      <c r="H46" s="122"/>
      <c r="I46" s="122"/>
      <c r="J46" s="122"/>
      <c r="K46" s="122"/>
    </row>
    <row r="47" spans="1:24" ht="11.25" customHeight="1">
      <c r="A47" s="123"/>
    </row>
    <row r="48" spans="1:24" ht="11.25" customHeight="1">
      <c r="A48" s="123"/>
    </row>
    <row r="49" spans="3:11" ht="11.25" customHeight="1">
      <c r="C49" s="235"/>
      <c r="D49" s="235"/>
      <c r="E49" s="235"/>
      <c r="F49" s="235"/>
      <c r="G49" s="235"/>
      <c r="H49" s="235"/>
      <c r="I49" s="235"/>
      <c r="J49" s="235"/>
      <c r="K49" s="235"/>
    </row>
    <row r="50" spans="3:11" ht="11.25" customHeight="1"/>
    <row r="51" spans="3:11" ht="11.25" customHeight="1"/>
    <row r="52" spans="3:11" ht="11.25" customHeight="1"/>
    <row r="53" spans="3:11" ht="11.25" customHeight="1"/>
    <row r="54" spans="3:11" ht="11.25" customHeight="1"/>
    <row r="55" spans="3:11" ht="11.25" customHeight="1"/>
    <row r="56" spans="3:11" ht="11.25" customHeight="1"/>
    <row r="57" spans="3:11" ht="11.25" customHeight="1"/>
    <row r="58" spans="3:11" ht="11.25" customHeight="1"/>
    <row r="59" spans="3:11" ht="11.25" customHeight="1"/>
    <row r="60" spans="3:11" ht="11.25" customHeight="1"/>
    <row r="61" spans="3:11" ht="11.25" customHeight="1"/>
    <row r="62" spans="3:11" ht="11.25" customHeight="1"/>
    <row r="63" spans="3:11" ht="11.25" customHeight="1"/>
    <row r="64" spans="3: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sheetData>
  <mergeCells count="3">
    <mergeCell ref="F2:H2"/>
    <mergeCell ref="I2:K2"/>
    <mergeCell ref="L2:W2"/>
  </mergeCells>
  <phoneticPr fontId="5"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331" activePane="bottomRight" state="frozen"/>
      <selection pane="topRight"/>
      <selection pane="bottomLeft"/>
      <selection pane="bottomRight" activeCell="D251" sqref="D251:D259"/>
    </sheetView>
  </sheetViews>
  <sheetFormatPr defaultColWidth="9.140625" defaultRowHeight="12.75"/>
  <cols>
    <col min="1" max="1" width="30.7109375" style="26" customWidth="1"/>
    <col min="2" max="2" width="3" style="884" customWidth="1"/>
    <col min="3" max="11" width="9.28515625" style="26" customWidth="1"/>
    <col min="12" max="23" width="9.140625" style="26" hidden="1" customWidth="1"/>
    <col min="24" max="16384" width="9.140625" style="26"/>
  </cols>
  <sheetData>
    <row r="1" spans="1:23" s="56" customFormat="1">
      <c r="A1" s="954" t="str">
        <f>muni&amp;" - "&amp;Approve2&amp;"A"</f>
        <v>LIM333 Greater Tzaneen - Table A3 Consolidated Budgeted Financial Performance (revenue and expenditure by municipal vote)A</v>
      </c>
      <c r="B1" s="954"/>
      <c r="C1" s="954"/>
      <c r="D1" s="954"/>
      <c r="E1" s="954"/>
      <c r="F1" s="954"/>
      <c r="G1" s="954"/>
      <c r="H1" s="954"/>
      <c r="I1" s="954"/>
      <c r="J1" s="954"/>
      <c r="K1" s="954"/>
    </row>
    <row r="2" spans="1:23" ht="28.5" customHeight="1">
      <c r="A2" s="1029" t="str">
        <f>Vdesc</f>
        <v>Vote Description</v>
      </c>
      <c r="B2" s="1030" t="str">
        <f>head27</f>
        <v>Ref</v>
      </c>
      <c r="C2" s="956" t="str">
        <f>head1b</f>
        <v>2016/17</v>
      </c>
      <c r="D2" s="956" t="str">
        <f>head1A</f>
        <v>2017/18</v>
      </c>
      <c r="E2" s="957" t="str">
        <f>Head1</f>
        <v>2018/19</v>
      </c>
      <c r="F2" s="2851" t="str">
        <f>Head2</f>
        <v>Current Year 2019/20</v>
      </c>
      <c r="G2" s="2852"/>
      <c r="H2" s="2852"/>
      <c r="I2" s="2853" t="str">
        <f>Head3</f>
        <v>2020/21 Medium Term Revenue &amp; Expenditure Framework</v>
      </c>
      <c r="J2" s="2854"/>
      <c r="K2" s="2855"/>
      <c r="L2" s="2856" t="str">
        <f>Head4</f>
        <v>LTFS</v>
      </c>
      <c r="M2" s="2857"/>
      <c r="N2" s="2857"/>
      <c r="O2" s="2857"/>
      <c r="P2" s="2857"/>
      <c r="Q2" s="2857"/>
      <c r="R2" s="2857"/>
      <c r="S2" s="2857"/>
      <c r="T2" s="2857"/>
      <c r="U2" s="2857"/>
      <c r="V2" s="2857"/>
      <c r="W2" s="2858"/>
    </row>
    <row r="3" spans="1:23" ht="25.5">
      <c r="A3" s="1031" t="s">
        <v>569</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c r="L3" s="1352" t="str">
        <f>Head12</f>
        <v>Forecast 2023/24</v>
      </c>
      <c r="M3" s="1353" t="str">
        <f>Head13</f>
        <v>Forecast 2024/25</v>
      </c>
      <c r="N3" s="1353" t="str">
        <f>Head14</f>
        <v>Forecast 2025/26</v>
      </c>
      <c r="O3" s="1353" t="str">
        <f>Head15</f>
        <v>Forecast 2026/27</v>
      </c>
      <c r="P3" s="1353" t="str">
        <f>Head16</f>
        <v>Forecast 2027/28</v>
      </c>
      <c r="Q3" s="1353" t="str">
        <f>Head17</f>
        <v>Forecast 2028/29</v>
      </c>
      <c r="R3" s="1353" t="str">
        <f>Head18</f>
        <v>Forecast 2029/30</v>
      </c>
      <c r="S3" s="1353" t="str">
        <f>Head19</f>
        <v>Forecast 2030/31</v>
      </c>
      <c r="T3" s="1353" t="str">
        <f>Head20</f>
        <v>Forecast 2031/32</v>
      </c>
      <c r="U3" s="1353" t="str">
        <f>Head21</f>
        <v>Forecast 2032/33</v>
      </c>
      <c r="V3" s="1353" t="str">
        <f>Head22</f>
        <v>Forecast 2033/34</v>
      </c>
      <c r="W3" s="1353" t="str">
        <f>Head23</f>
        <v>Forecast 2034/35</v>
      </c>
    </row>
    <row r="4" spans="1:23" ht="11.25" customHeight="1">
      <c r="A4" s="1033" t="s">
        <v>1198</v>
      </c>
      <c r="B4" s="1018">
        <v>1</v>
      </c>
      <c r="C4" s="1034"/>
      <c r="D4" s="1034"/>
      <c r="E4" s="1035"/>
      <c r="F4" s="1036"/>
      <c r="G4" s="1034"/>
      <c r="H4" s="1037"/>
      <c r="I4" s="1038"/>
      <c r="J4" s="1034"/>
      <c r="K4" s="1035"/>
      <c r="L4" s="65"/>
      <c r="M4" s="66"/>
      <c r="N4" s="66"/>
      <c r="O4" s="66"/>
      <c r="P4" s="66"/>
      <c r="Q4" s="66"/>
      <c r="R4" s="66"/>
      <c r="S4" s="66"/>
      <c r="T4" s="66"/>
      <c r="U4" s="66"/>
      <c r="V4" s="66"/>
      <c r="W4" s="66"/>
    </row>
    <row r="5" spans="1:23" ht="15" customHeight="1">
      <c r="A5" s="1000" t="str">
        <f>'Org structure'!A2</f>
        <v>Vote 1 - Municipal Manager</v>
      </c>
      <c r="B5" s="894"/>
      <c r="C5" s="832">
        <f>SUM(C6:C15)</f>
        <v>0</v>
      </c>
      <c r="D5" s="832">
        <f t="shared" ref="D5:K5" si="0">SUM(D6:D15)</f>
        <v>0</v>
      </c>
      <c r="E5" s="833">
        <f t="shared" si="0"/>
        <v>0</v>
      </c>
      <c r="F5" s="834">
        <f t="shared" si="0"/>
        <v>1229</v>
      </c>
      <c r="G5" s="832">
        <f t="shared" si="0"/>
        <v>299229</v>
      </c>
      <c r="H5" s="835">
        <f t="shared" si="0"/>
        <v>0</v>
      </c>
      <c r="I5" s="836">
        <f t="shared" si="0"/>
        <v>1229</v>
      </c>
      <c r="J5" s="832">
        <f t="shared" si="0"/>
        <v>1285.5339999999999</v>
      </c>
      <c r="K5" s="833">
        <f t="shared" si="0"/>
        <v>1344.6685639999998</v>
      </c>
      <c r="L5" s="65"/>
      <c r="M5" s="66"/>
      <c r="N5" s="66"/>
      <c r="O5" s="66"/>
      <c r="P5" s="66"/>
      <c r="Q5" s="66"/>
      <c r="R5" s="66"/>
      <c r="S5" s="66"/>
      <c r="T5" s="66"/>
      <c r="U5" s="66"/>
      <c r="V5" s="66"/>
      <c r="W5" s="66"/>
    </row>
    <row r="6" spans="1:23" ht="11.25" customHeight="1">
      <c r="A6" s="1001" t="str">
        <f>'Org structure'!E3</f>
        <v>1.1 - Administration Municipal Manager</v>
      </c>
      <c r="B6" s="882"/>
      <c r="C6" s="1402"/>
      <c r="D6" s="1402"/>
      <c r="E6" s="1957"/>
      <c r="F6" s="1958"/>
      <c r="G6" s="1402">
        <v>298000</v>
      </c>
      <c r="H6" s="1403"/>
      <c r="I6" s="1959"/>
      <c r="J6" s="1402"/>
      <c r="K6" s="1957"/>
      <c r="L6" s="65"/>
      <c r="M6" s="66"/>
      <c r="N6" s="66"/>
      <c r="O6" s="66"/>
      <c r="P6" s="66"/>
      <c r="Q6" s="66"/>
      <c r="R6" s="66"/>
      <c r="S6" s="66"/>
      <c r="T6" s="66"/>
      <c r="U6" s="66"/>
      <c r="V6" s="66"/>
      <c r="W6" s="66"/>
    </row>
    <row r="7" spans="1:23" ht="11.25" customHeight="1">
      <c r="A7" s="1001" t="str">
        <f>'Org structure'!E4</f>
        <v>1.2 - Internal Audit</v>
      </c>
      <c r="B7" s="882"/>
      <c r="C7" s="1402"/>
      <c r="D7" s="1402"/>
      <c r="E7" s="1957"/>
      <c r="F7" s="1958"/>
      <c r="G7" s="1402"/>
      <c r="H7" s="1403"/>
      <c r="I7" s="1959"/>
      <c r="J7" s="1402"/>
      <c r="K7" s="1957"/>
      <c r="L7" s="65"/>
      <c r="M7" s="66"/>
      <c r="N7" s="66"/>
      <c r="O7" s="66"/>
      <c r="P7" s="66"/>
      <c r="Q7" s="66"/>
      <c r="R7" s="66"/>
      <c r="S7" s="66"/>
      <c r="T7" s="66"/>
      <c r="U7" s="66"/>
      <c r="V7" s="66"/>
      <c r="W7" s="66"/>
    </row>
    <row r="8" spans="1:23" ht="11.25" customHeight="1">
      <c r="A8" s="1001" t="str">
        <f>'Org structure'!E5</f>
        <v>1.3 - Strategic Support</v>
      </c>
      <c r="B8" s="882"/>
      <c r="C8" s="1402"/>
      <c r="D8" s="1402"/>
      <c r="E8" s="1957"/>
      <c r="F8" s="1958"/>
      <c r="G8" s="1402"/>
      <c r="H8" s="1403"/>
      <c r="I8" s="1959"/>
      <c r="J8" s="1402"/>
      <c r="K8" s="1957"/>
      <c r="L8" s="65"/>
      <c r="M8" s="66"/>
      <c r="N8" s="66"/>
      <c r="O8" s="66"/>
      <c r="P8" s="66"/>
      <c r="Q8" s="66"/>
      <c r="R8" s="66"/>
      <c r="S8" s="66"/>
      <c r="T8" s="66"/>
      <c r="U8" s="66"/>
      <c r="V8" s="66"/>
      <c r="W8" s="66"/>
    </row>
    <row r="9" spans="1:23" ht="11.25" customHeight="1">
      <c r="A9" s="1001" t="str">
        <f>'Org structure'!E6</f>
        <v>1.4 - Risk Management</v>
      </c>
      <c r="B9" s="882"/>
      <c r="C9" s="1402"/>
      <c r="D9" s="1402"/>
      <c r="E9" s="1957"/>
      <c r="F9" s="1958"/>
      <c r="G9" s="1402"/>
      <c r="H9" s="1403"/>
      <c r="I9" s="1959"/>
      <c r="J9" s="1402"/>
      <c r="K9" s="1957"/>
      <c r="L9" s="65"/>
      <c r="M9" s="66"/>
      <c r="N9" s="66"/>
      <c r="O9" s="66"/>
      <c r="P9" s="66"/>
      <c r="Q9" s="66"/>
      <c r="R9" s="66"/>
      <c r="S9" s="66"/>
      <c r="T9" s="66"/>
      <c r="U9" s="66"/>
      <c r="V9" s="66"/>
      <c r="W9" s="66"/>
    </row>
    <row r="10" spans="1:23" ht="11.25" customHeight="1">
      <c r="A10" s="1001" t="str">
        <f>'Org structure'!E7</f>
        <v>1.5 - Council Expenditure</v>
      </c>
      <c r="B10" s="882"/>
      <c r="C10" s="1402"/>
      <c r="D10" s="1402"/>
      <c r="E10" s="1957"/>
      <c r="F10" s="1958">
        <v>1100</v>
      </c>
      <c r="G10" s="1402">
        <v>1100</v>
      </c>
      <c r="H10" s="1403"/>
      <c r="I10" s="1959">
        <v>1100</v>
      </c>
      <c r="J10" s="1402">
        <v>1150.5999999999999</v>
      </c>
      <c r="K10" s="1957">
        <v>1203.5275999999999</v>
      </c>
      <c r="L10" s="65"/>
      <c r="M10" s="66"/>
      <c r="N10" s="66"/>
      <c r="O10" s="66"/>
      <c r="P10" s="66"/>
      <c r="Q10" s="66"/>
      <c r="R10" s="66"/>
      <c r="S10" s="66"/>
      <c r="T10" s="66"/>
      <c r="U10" s="66"/>
      <c r="V10" s="66"/>
      <c r="W10" s="66"/>
    </row>
    <row r="11" spans="1:23" ht="11.25" customHeight="1">
      <c r="A11" s="1001" t="str">
        <f>'Org structure'!E8</f>
        <v>1.6 - Legal Services</v>
      </c>
      <c r="B11" s="882"/>
      <c r="C11" s="1402"/>
      <c r="D11" s="1402"/>
      <c r="E11" s="1957"/>
      <c r="F11" s="1958">
        <v>129</v>
      </c>
      <c r="G11" s="1402">
        <v>129</v>
      </c>
      <c r="H11" s="1403"/>
      <c r="I11" s="1959">
        <v>129</v>
      </c>
      <c r="J11" s="1402">
        <v>134.934</v>
      </c>
      <c r="K11" s="1957">
        <v>141.140964</v>
      </c>
      <c r="L11" s="65"/>
      <c r="M11" s="66"/>
      <c r="N11" s="66"/>
      <c r="O11" s="66"/>
      <c r="P11" s="66"/>
      <c r="Q11" s="66"/>
      <c r="R11" s="66"/>
      <c r="S11" s="66"/>
      <c r="T11" s="66"/>
      <c r="U11" s="66"/>
      <c r="V11" s="66"/>
      <c r="W11" s="66"/>
    </row>
    <row r="12" spans="1:23" ht="11.25" customHeight="1">
      <c r="A12" s="1001" t="str">
        <f>'Org structure'!E9</f>
        <v>1.7 - Disaster Management</v>
      </c>
      <c r="B12" s="882"/>
      <c r="C12" s="1402"/>
      <c r="D12" s="1402"/>
      <c r="E12" s="1957"/>
      <c r="F12" s="1958"/>
      <c r="G12" s="1402"/>
      <c r="H12" s="1403"/>
      <c r="I12" s="1959"/>
      <c r="J12" s="1402"/>
      <c r="K12" s="1957"/>
      <c r="L12" s="65"/>
      <c r="M12" s="66"/>
      <c r="N12" s="66"/>
      <c r="O12" s="66"/>
      <c r="P12" s="66"/>
      <c r="Q12" s="66"/>
      <c r="R12" s="66"/>
      <c r="S12" s="66"/>
      <c r="T12" s="66"/>
      <c r="U12" s="66"/>
      <c r="V12" s="66"/>
      <c r="W12" s="66"/>
    </row>
    <row r="13" spans="1:23" ht="11.25" customHeight="1">
      <c r="A13" s="1001">
        <f>'Org structure'!E10</f>
        <v>0</v>
      </c>
      <c r="B13" s="882"/>
      <c r="C13" s="1402"/>
      <c r="D13" s="1402"/>
      <c r="E13" s="1957"/>
      <c r="F13" s="1958"/>
      <c r="G13" s="1402"/>
      <c r="H13" s="1403"/>
      <c r="I13" s="1959"/>
      <c r="J13" s="1402"/>
      <c r="K13" s="1957"/>
      <c r="L13" s="65"/>
      <c r="M13" s="66"/>
      <c r="N13" s="66"/>
      <c r="O13" s="66"/>
      <c r="P13" s="66"/>
      <c r="Q13" s="66"/>
      <c r="R13" s="66"/>
      <c r="S13" s="66"/>
      <c r="T13" s="66"/>
      <c r="U13" s="66"/>
      <c r="V13" s="66"/>
      <c r="W13" s="66"/>
    </row>
    <row r="14" spans="1:23" ht="11.25" customHeight="1">
      <c r="A14" s="1001">
        <f>'Org structure'!E11</f>
        <v>0</v>
      </c>
      <c r="B14" s="882"/>
      <c r="C14" s="1402"/>
      <c r="D14" s="1402"/>
      <c r="E14" s="1957"/>
      <c r="F14" s="1958"/>
      <c r="G14" s="1402"/>
      <c r="H14" s="1403"/>
      <c r="I14" s="1959"/>
      <c r="J14" s="1402"/>
      <c r="K14" s="1957"/>
      <c r="L14" s="65"/>
      <c r="M14" s="66"/>
      <c r="N14" s="66"/>
      <c r="O14" s="66"/>
      <c r="P14" s="66"/>
      <c r="Q14" s="66"/>
      <c r="R14" s="66"/>
      <c r="S14" s="66"/>
      <c r="T14" s="66"/>
      <c r="U14" s="66"/>
      <c r="V14" s="66"/>
      <c r="W14" s="66"/>
    </row>
    <row r="15" spans="1:23" ht="11.25" customHeight="1">
      <c r="A15" s="1001">
        <f>'Org structure'!E12</f>
        <v>0</v>
      </c>
      <c r="B15" s="882"/>
      <c r="C15" s="1402"/>
      <c r="D15" s="1402"/>
      <c r="E15" s="1957"/>
      <c r="F15" s="1958"/>
      <c r="G15" s="1402"/>
      <c r="H15" s="1403"/>
      <c r="I15" s="1959"/>
      <c r="J15" s="1402"/>
      <c r="K15" s="1957"/>
      <c r="L15" s="65"/>
      <c r="M15" s="66"/>
      <c r="N15" s="66"/>
      <c r="O15" s="66"/>
      <c r="P15" s="66"/>
      <c r="Q15" s="66"/>
      <c r="R15" s="66"/>
      <c r="S15" s="66"/>
      <c r="T15" s="66"/>
      <c r="U15" s="66"/>
      <c r="V15" s="66"/>
      <c r="W15" s="66"/>
    </row>
    <row r="16" spans="1:23" ht="15" customHeight="1">
      <c r="A16" s="1000" t="str">
        <f>'Org structure'!A3</f>
        <v>Vote 2 - Planning &amp; Economic Development</v>
      </c>
      <c r="B16" s="894"/>
      <c r="C16" s="832">
        <f>SUM(C17:C26)</f>
        <v>5686995.25</v>
      </c>
      <c r="D16" s="832">
        <f t="shared" ref="D16:K16" si="1">SUM(D17:D26)</f>
        <v>10715594</v>
      </c>
      <c r="E16" s="833">
        <f t="shared" si="1"/>
        <v>3372625</v>
      </c>
      <c r="F16" s="834">
        <f t="shared" si="1"/>
        <v>300125</v>
      </c>
      <c r="G16" s="832">
        <f t="shared" si="1"/>
        <v>300125</v>
      </c>
      <c r="H16" s="835">
        <f t="shared" si="1"/>
        <v>290694.48</v>
      </c>
      <c r="I16" s="836">
        <f t="shared" si="1"/>
        <v>400125</v>
      </c>
      <c r="J16" s="832">
        <f t="shared" si="1"/>
        <v>418530.75</v>
      </c>
      <c r="K16" s="833">
        <f t="shared" si="1"/>
        <v>437783.16450000001</v>
      </c>
      <c r="L16" s="65"/>
      <c r="M16" s="66"/>
      <c r="N16" s="66"/>
      <c r="O16" s="66"/>
      <c r="P16" s="66"/>
      <c r="Q16" s="66"/>
      <c r="R16" s="66"/>
      <c r="S16" s="66"/>
      <c r="T16" s="66"/>
      <c r="U16" s="66"/>
      <c r="V16" s="66"/>
      <c r="W16" s="66"/>
    </row>
    <row r="17" spans="1:23" ht="11.25" customHeight="1">
      <c r="A17" s="1001" t="str">
        <f>'Org structure'!E14</f>
        <v>2.1 - Administration Strategy &amp; Development</v>
      </c>
      <c r="B17" s="882"/>
      <c r="C17" s="1402">
        <v>5536146.2800000003</v>
      </c>
      <c r="D17" s="1402"/>
      <c r="E17" s="1957">
        <f>23230+2898502+217388</f>
        <v>3139120</v>
      </c>
      <c r="F17" s="1958"/>
      <c r="G17" s="1402"/>
      <c r="H17" s="1403"/>
      <c r="I17" s="1959"/>
      <c r="J17" s="1402"/>
      <c r="K17" s="1957"/>
      <c r="L17" s="65"/>
      <c r="M17" s="66"/>
      <c r="N17" s="66"/>
      <c r="O17" s="66"/>
      <c r="P17" s="66"/>
      <c r="Q17" s="66"/>
      <c r="R17" s="66"/>
      <c r="S17" s="66"/>
      <c r="T17" s="66"/>
      <c r="U17" s="66"/>
      <c r="V17" s="66"/>
      <c r="W17" s="66"/>
    </row>
    <row r="18" spans="1:23" ht="11.25" customHeight="1">
      <c r="A18" s="1001" t="str">
        <f>'Org structure'!E15</f>
        <v>2.2 - Local Economic Development</v>
      </c>
      <c r="B18" s="882"/>
      <c r="C18" s="1402">
        <v>0</v>
      </c>
      <c r="D18" s="1402">
        <v>50468</v>
      </c>
      <c r="E18" s="1957"/>
      <c r="F18" s="1958">
        <v>100125</v>
      </c>
      <c r="G18" s="1402">
        <v>100125</v>
      </c>
      <c r="H18" s="1403">
        <v>2720</v>
      </c>
      <c r="I18" s="1959">
        <v>200125</v>
      </c>
      <c r="J18" s="1402">
        <v>209330.75</v>
      </c>
      <c r="K18" s="1957">
        <v>218959.9645</v>
      </c>
      <c r="L18" s="65"/>
      <c r="M18" s="66"/>
      <c r="N18" s="66"/>
      <c r="O18" s="66"/>
      <c r="P18" s="66"/>
      <c r="Q18" s="66"/>
      <c r="R18" s="66"/>
      <c r="S18" s="66"/>
      <c r="T18" s="66"/>
      <c r="U18" s="66"/>
      <c r="V18" s="66"/>
      <c r="W18" s="66"/>
    </row>
    <row r="19" spans="1:23" ht="11.25" customHeight="1">
      <c r="A19" s="1001" t="str">
        <f>'Org structure'!E16</f>
        <v>2.3 - Town &amp; Regional Planning</v>
      </c>
      <c r="B19" s="882"/>
      <c r="C19" s="1402">
        <v>150848.97</v>
      </c>
      <c r="D19" s="1402">
        <v>220826</v>
      </c>
      <c r="E19" s="1957">
        <v>233505</v>
      </c>
      <c r="F19" s="1958">
        <v>200000</v>
      </c>
      <c r="G19" s="1402">
        <v>200000</v>
      </c>
      <c r="H19" s="1403">
        <v>287974.48</v>
      </c>
      <c r="I19" s="1959">
        <v>200000</v>
      </c>
      <c r="J19" s="1402">
        <v>209200</v>
      </c>
      <c r="K19" s="1957">
        <v>218823.2</v>
      </c>
      <c r="L19" s="65"/>
      <c r="M19" s="66"/>
      <c r="N19" s="66"/>
      <c r="O19" s="66"/>
      <c r="P19" s="66"/>
      <c r="Q19" s="66"/>
      <c r="R19" s="66"/>
      <c r="S19" s="66"/>
      <c r="T19" s="66"/>
      <c r="U19" s="66"/>
      <c r="V19" s="66"/>
      <c r="W19" s="66"/>
    </row>
    <row r="20" spans="1:23" ht="11.25" customHeight="1">
      <c r="A20" s="1001" t="str">
        <f>'Org structure'!E17</f>
        <v>2.4 - Housing Administration</v>
      </c>
      <c r="B20" s="882"/>
      <c r="C20" s="1402"/>
      <c r="D20" s="1402">
        <v>10444300</v>
      </c>
      <c r="E20" s="1957"/>
      <c r="F20" s="1958"/>
      <c r="G20" s="1402"/>
      <c r="H20" s="1403"/>
      <c r="I20" s="1959"/>
      <c r="J20" s="1402"/>
      <c r="K20" s="1957"/>
      <c r="L20" s="65"/>
      <c r="M20" s="66"/>
      <c r="N20" s="66"/>
      <c r="O20" s="66"/>
      <c r="P20" s="66"/>
      <c r="Q20" s="66"/>
      <c r="R20" s="66"/>
      <c r="S20" s="66"/>
      <c r="T20" s="66"/>
      <c r="U20" s="66"/>
      <c r="V20" s="66"/>
      <c r="W20" s="66"/>
    </row>
    <row r="21" spans="1:23" ht="11.25" customHeight="1">
      <c r="A21" s="1001" t="str">
        <f>'Org structure'!E18</f>
        <v>2.5 - SATELITE OFFICE: NKOWANKOWA</v>
      </c>
      <c r="B21" s="882"/>
      <c r="C21" s="1402"/>
      <c r="D21" s="1402"/>
      <c r="E21" s="1957"/>
      <c r="F21" s="1958"/>
      <c r="G21" s="1402"/>
      <c r="H21" s="1403"/>
      <c r="I21" s="1959"/>
      <c r="J21" s="1402"/>
      <c r="K21" s="1957"/>
      <c r="L21" s="65"/>
      <c r="M21" s="66"/>
      <c r="N21" s="66"/>
      <c r="O21" s="66"/>
      <c r="P21" s="66"/>
      <c r="Q21" s="66"/>
      <c r="R21" s="66"/>
      <c r="S21" s="66"/>
      <c r="T21" s="66"/>
      <c r="U21" s="66"/>
      <c r="V21" s="66"/>
      <c r="W21" s="66"/>
    </row>
    <row r="22" spans="1:23" ht="11.25" customHeight="1">
      <c r="A22" s="1001" t="str">
        <f>'Org structure'!E19</f>
        <v>2.6 - SATELITE OFFICE: LENYENYE</v>
      </c>
      <c r="B22" s="882"/>
      <c r="C22" s="1402"/>
      <c r="D22" s="1402"/>
      <c r="E22" s="1957"/>
      <c r="F22" s="1958"/>
      <c r="G22" s="1402"/>
      <c r="H22" s="1403"/>
      <c r="I22" s="1959"/>
      <c r="J22" s="1402"/>
      <c r="K22" s="1957"/>
      <c r="L22" s="65"/>
      <c r="M22" s="66"/>
      <c r="N22" s="66"/>
      <c r="O22" s="66"/>
      <c r="P22" s="66"/>
      <c r="Q22" s="66"/>
      <c r="R22" s="66"/>
      <c r="S22" s="66"/>
      <c r="T22" s="66"/>
      <c r="U22" s="66"/>
      <c r="V22" s="66"/>
      <c r="W22" s="66"/>
    </row>
    <row r="23" spans="1:23" ht="11.25" customHeight="1">
      <c r="A23" s="1001" t="str">
        <f>'Org structure'!E20</f>
        <v>2.7 - SATELITE OFFICE: LETSITELE</v>
      </c>
      <c r="B23" s="882"/>
      <c r="C23" s="1402"/>
      <c r="D23" s="1402"/>
      <c r="E23" s="1957"/>
      <c r="F23" s="1958"/>
      <c r="G23" s="1402"/>
      <c r="H23" s="1403"/>
      <c r="I23" s="1959"/>
      <c r="J23" s="1402"/>
      <c r="K23" s="1957"/>
      <c r="L23" s="65"/>
      <c r="M23" s="66"/>
      <c r="N23" s="66"/>
      <c r="O23" s="66"/>
      <c r="P23" s="66"/>
      <c r="Q23" s="66"/>
      <c r="R23" s="66"/>
      <c r="S23" s="66"/>
      <c r="T23" s="66"/>
      <c r="U23" s="66"/>
      <c r="V23" s="66"/>
      <c r="W23" s="66"/>
    </row>
    <row r="24" spans="1:23" ht="11.25" customHeight="1">
      <c r="A24" s="1001">
        <f>'Org structure'!E21</f>
        <v>0</v>
      </c>
      <c r="B24" s="882"/>
      <c r="C24" s="1402"/>
      <c r="D24" s="1402"/>
      <c r="E24" s="1957"/>
      <c r="F24" s="1958"/>
      <c r="G24" s="1402"/>
      <c r="H24" s="1403"/>
      <c r="I24" s="1959"/>
      <c r="J24" s="1402"/>
      <c r="K24" s="1957"/>
      <c r="L24" s="65"/>
      <c r="M24" s="66"/>
      <c r="N24" s="66"/>
      <c r="O24" s="66"/>
      <c r="P24" s="66"/>
      <c r="Q24" s="66"/>
      <c r="R24" s="66"/>
      <c r="S24" s="66"/>
      <c r="T24" s="66"/>
      <c r="U24" s="66"/>
      <c r="V24" s="66"/>
      <c r="W24" s="66"/>
    </row>
    <row r="25" spans="1:23" ht="11.25" customHeight="1">
      <c r="A25" s="1001">
        <f>'Org structure'!E22</f>
        <v>0</v>
      </c>
      <c r="B25" s="882"/>
      <c r="C25" s="1402"/>
      <c r="D25" s="1402"/>
      <c r="E25" s="1957"/>
      <c r="F25" s="1958"/>
      <c r="G25" s="1402"/>
      <c r="H25" s="1403"/>
      <c r="I25" s="1959"/>
      <c r="J25" s="1402"/>
      <c r="K25" s="1957"/>
      <c r="L25" s="65"/>
      <c r="M25" s="66"/>
      <c r="N25" s="66"/>
      <c r="O25" s="66"/>
      <c r="P25" s="66"/>
      <c r="Q25" s="66"/>
      <c r="R25" s="66"/>
      <c r="S25" s="66"/>
      <c r="T25" s="66"/>
      <c r="U25" s="66"/>
      <c r="V25" s="66"/>
      <c r="W25" s="66"/>
    </row>
    <row r="26" spans="1:23" ht="11.25" customHeight="1">
      <c r="A26" s="1001">
        <f>'Org structure'!E23</f>
        <v>0</v>
      </c>
      <c r="B26" s="882"/>
      <c r="C26" s="1402"/>
      <c r="D26" s="1402"/>
      <c r="E26" s="1957"/>
      <c r="F26" s="1958"/>
      <c r="G26" s="1402"/>
      <c r="H26" s="1403"/>
      <c r="I26" s="1959"/>
      <c r="J26" s="1402"/>
      <c r="K26" s="1957"/>
      <c r="L26" s="65"/>
      <c r="M26" s="66"/>
      <c r="N26" s="66"/>
      <c r="O26" s="66"/>
      <c r="P26" s="66"/>
      <c r="Q26" s="66"/>
      <c r="R26" s="66"/>
      <c r="S26" s="66"/>
      <c r="T26" s="66"/>
      <c r="U26" s="66"/>
      <c r="V26" s="66"/>
      <c r="W26" s="66"/>
    </row>
    <row r="27" spans="1:23" ht="15" customHeight="1">
      <c r="A27" s="1000" t="str">
        <f>'Org structure'!A4</f>
        <v>Vote 3 - Financial Services</v>
      </c>
      <c r="B27" s="894"/>
      <c r="C27" s="832">
        <f t="shared" ref="C27:K27" si="2">SUM(C28:C37)</f>
        <v>444281459.92000002</v>
      </c>
      <c r="D27" s="832">
        <f t="shared" si="2"/>
        <v>473881437.90999997</v>
      </c>
      <c r="E27" s="833">
        <f t="shared" si="2"/>
        <v>512718805.42999995</v>
      </c>
      <c r="F27" s="834">
        <f t="shared" si="2"/>
        <v>510036650</v>
      </c>
      <c r="G27" s="832">
        <f t="shared" si="2"/>
        <v>510036650</v>
      </c>
      <c r="H27" s="835">
        <f t="shared" si="2"/>
        <v>563314437.22000003</v>
      </c>
      <c r="I27" s="836">
        <f t="shared" si="2"/>
        <v>551611725</v>
      </c>
      <c r="J27" s="832">
        <f t="shared" si="2"/>
        <v>589718017.60000002</v>
      </c>
      <c r="K27" s="833">
        <f t="shared" si="2"/>
        <v>625045498.40960002</v>
      </c>
      <c r="L27" s="65"/>
      <c r="M27" s="66"/>
      <c r="N27" s="66"/>
      <c r="O27" s="66"/>
      <c r="P27" s="66"/>
      <c r="Q27" s="66"/>
      <c r="R27" s="66"/>
      <c r="S27" s="66"/>
      <c r="T27" s="66"/>
      <c r="U27" s="66"/>
      <c r="V27" s="66"/>
      <c r="W27" s="66"/>
    </row>
    <row r="28" spans="1:23" ht="11.25" customHeight="1">
      <c r="A28" s="1001" t="str">
        <f>'Org structure'!E25</f>
        <v>3.1 - Administration Finance</v>
      </c>
      <c r="B28" s="882"/>
      <c r="C28" s="1402">
        <v>102666388.78</v>
      </c>
      <c r="D28" s="1402">
        <v>117175741.23</v>
      </c>
      <c r="E28" s="1957">
        <v>128184872.56999999</v>
      </c>
      <c r="F28" s="1958">
        <v>108745550</v>
      </c>
      <c r="G28" s="1402">
        <v>108745550</v>
      </c>
      <c r="H28" s="1404">
        <v>105097167.98</v>
      </c>
      <c r="I28" s="1959">
        <v>120000000</v>
      </c>
      <c r="J28" s="1402">
        <v>125520000</v>
      </c>
      <c r="K28" s="1957">
        <v>131293920</v>
      </c>
      <c r="L28" s="65"/>
      <c r="M28" s="66"/>
      <c r="N28" s="66"/>
      <c r="O28" s="66"/>
      <c r="P28" s="66"/>
      <c r="Q28" s="66"/>
      <c r="R28" s="66"/>
      <c r="S28" s="66"/>
      <c r="T28" s="66"/>
      <c r="U28" s="66"/>
      <c r="V28" s="66"/>
      <c r="W28" s="66"/>
    </row>
    <row r="29" spans="1:23" ht="11.25" customHeight="1">
      <c r="A29" s="1001" t="str">
        <f>'Org structure'!E26</f>
        <v>3.2 - Budget office</v>
      </c>
      <c r="B29" s="882"/>
      <c r="C29" s="1402">
        <v>14815228.449999999</v>
      </c>
      <c r="D29" s="1402">
        <v>6580674.3600000003</v>
      </c>
      <c r="E29" s="1957">
        <v>11760814.02</v>
      </c>
      <c r="F29" s="1958">
        <v>6946000</v>
      </c>
      <c r="G29" s="1402">
        <v>6946000</v>
      </c>
      <c r="H29" s="1403">
        <v>6373127.7800000003</v>
      </c>
      <c r="I29" s="1959">
        <v>6801000</v>
      </c>
      <c r="J29" s="1402">
        <v>7121846</v>
      </c>
      <c r="K29" s="1957">
        <v>7352850.9160000002</v>
      </c>
      <c r="L29" s="65"/>
      <c r="M29" s="66"/>
      <c r="N29" s="66"/>
      <c r="O29" s="66"/>
      <c r="P29" s="66"/>
      <c r="Q29" s="66"/>
      <c r="R29" s="66"/>
      <c r="S29" s="66"/>
      <c r="T29" s="66"/>
      <c r="U29" s="66"/>
      <c r="V29" s="66"/>
      <c r="W29" s="66"/>
    </row>
    <row r="30" spans="1:23" ht="11.25" customHeight="1">
      <c r="A30" s="1001" t="str">
        <f>'Org structure'!E27</f>
        <v>3.3 - Revenue</v>
      </c>
      <c r="B30" s="882"/>
      <c r="C30" s="1402">
        <v>327180352.08999997</v>
      </c>
      <c r="D30" s="1402">
        <v>350057819.56999999</v>
      </c>
      <c r="E30" s="1957">
        <v>372773118.83999997</v>
      </c>
      <c r="F30" s="1958">
        <v>391845100</v>
      </c>
      <c r="G30" s="1402">
        <v>391845100</v>
      </c>
      <c r="H30" s="1403">
        <v>449344141.45999998</v>
      </c>
      <c r="I30" s="1959">
        <v>423310725</v>
      </c>
      <c r="J30" s="1402">
        <v>455507171.60000002</v>
      </c>
      <c r="K30" s="1957">
        <v>484757553.49360001</v>
      </c>
      <c r="L30" s="65"/>
      <c r="M30" s="66"/>
      <c r="N30" s="66"/>
      <c r="O30" s="66"/>
      <c r="P30" s="66"/>
      <c r="Q30" s="66"/>
      <c r="R30" s="66"/>
      <c r="S30" s="66"/>
      <c r="T30" s="66"/>
      <c r="U30" s="66"/>
      <c r="V30" s="66"/>
      <c r="W30" s="66"/>
    </row>
    <row r="31" spans="1:23" ht="11.25" customHeight="1">
      <c r="A31" s="1001" t="str">
        <f>'Org structure'!E28</f>
        <v>3.4 - Expenditure</v>
      </c>
      <c r="B31" s="882"/>
      <c r="C31" s="1402">
        <v>0</v>
      </c>
      <c r="D31" s="1402"/>
      <c r="E31" s="1957"/>
      <c r="F31" s="1958"/>
      <c r="G31" s="1402">
        <v>0</v>
      </c>
      <c r="H31" s="1403"/>
      <c r="I31" s="1959"/>
      <c r="J31" s="1402"/>
      <c r="K31" s="1957"/>
      <c r="L31" s="65"/>
      <c r="M31" s="66"/>
      <c r="N31" s="66"/>
      <c r="O31" s="66"/>
      <c r="P31" s="66"/>
      <c r="Q31" s="66"/>
      <c r="R31" s="66"/>
      <c r="S31" s="66"/>
      <c r="T31" s="66"/>
      <c r="U31" s="66"/>
      <c r="V31" s="66"/>
      <c r="W31" s="66"/>
    </row>
    <row r="32" spans="1:23" ht="11.25" customHeight="1">
      <c r="A32" s="1001" t="str">
        <f>'Org structure'!E29</f>
        <v>3.5 - Inventory</v>
      </c>
      <c r="B32" s="882"/>
      <c r="C32" s="1402">
        <v>-380509.4</v>
      </c>
      <c r="D32" s="1402">
        <v>67202.75</v>
      </c>
      <c r="E32" s="1957">
        <v>0</v>
      </c>
      <c r="F32" s="1958">
        <v>2500000</v>
      </c>
      <c r="G32" s="1402">
        <v>2500000</v>
      </c>
      <c r="H32" s="1403">
        <v>2500000</v>
      </c>
      <c r="I32" s="1959">
        <v>1500000</v>
      </c>
      <c r="J32" s="1402">
        <v>1569000</v>
      </c>
      <c r="K32" s="1957">
        <v>1641174</v>
      </c>
      <c r="L32" s="65"/>
      <c r="M32" s="66"/>
      <c r="N32" s="66"/>
      <c r="O32" s="66"/>
      <c r="P32" s="66"/>
      <c r="Q32" s="66"/>
      <c r="R32" s="66"/>
      <c r="S32" s="66"/>
      <c r="T32" s="66"/>
      <c r="U32" s="66"/>
      <c r="V32" s="66"/>
      <c r="W32" s="66"/>
    </row>
    <row r="33" spans="1:23" ht="11.25" customHeight="1">
      <c r="A33" s="1001" t="str">
        <f>'Org structure'!E30</f>
        <v>3.6 - Supply Chain Management</v>
      </c>
      <c r="B33" s="882"/>
      <c r="C33" s="1402"/>
      <c r="D33" s="1402"/>
      <c r="E33" s="1957"/>
      <c r="F33" s="1958"/>
      <c r="G33" s="1402"/>
      <c r="H33" s="1403"/>
      <c r="I33" s="1959"/>
      <c r="J33" s="1402"/>
      <c r="K33" s="1957"/>
      <c r="L33" s="65"/>
      <c r="M33" s="66"/>
      <c r="N33" s="66"/>
      <c r="O33" s="66"/>
      <c r="P33" s="66"/>
      <c r="Q33" s="66"/>
      <c r="R33" s="66"/>
      <c r="S33" s="66"/>
      <c r="T33" s="66"/>
      <c r="U33" s="66"/>
      <c r="V33" s="66"/>
      <c r="W33" s="66"/>
    </row>
    <row r="34" spans="1:23" ht="11.25" customHeight="1">
      <c r="A34" s="1001">
        <f>'Org structure'!E31</f>
        <v>0</v>
      </c>
      <c r="B34" s="882"/>
      <c r="C34" s="1402"/>
      <c r="D34" s="1402"/>
      <c r="E34" s="1957"/>
      <c r="F34" s="1958"/>
      <c r="G34" s="1402"/>
      <c r="H34" s="1403"/>
      <c r="I34" s="1959"/>
      <c r="J34" s="1402"/>
      <c r="K34" s="1957"/>
      <c r="L34" s="65"/>
      <c r="M34" s="66"/>
      <c r="N34" s="66"/>
      <c r="O34" s="66"/>
      <c r="P34" s="66"/>
      <c r="Q34" s="66"/>
      <c r="R34" s="66"/>
      <c r="S34" s="66"/>
      <c r="T34" s="66"/>
      <c r="U34" s="66"/>
      <c r="V34" s="66"/>
      <c r="W34" s="66"/>
    </row>
    <row r="35" spans="1:23" ht="11.25" customHeight="1">
      <c r="A35" s="1001">
        <f>'Org structure'!E32</f>
        <v>0</v>
      </c>
      <c r="B35" s="882"/>
      <c r="C35" s="1402"/>
      <c r="D35" s="1402"/>
      <c r="E35" s="1957"/>
      <c r="F35" s="1958"/>
      <c r="G35" s="1402"/>
      <c r="H35" s="1403"/>
      <c r="I35" s="1959"/>
      <c r="J35" s="1402"/>
      <c r="K35" s="1957"/>
      <c r="L35" s="65"/>
      <c r="M35" s="66"/>
      <c r="N35" s="66"/>
      <c r="O35" s="66"/>
      <c r="P35" s="66"/>
      <c r="Q35" s="66"/>
      <c r="R35" s="66"/>
      <c r="S35" s="66"/>
      <c r="T35" s="66"/>
      <c r="U35" s="66"/>
      <c r="V35" s="66"/>
      <c r="W35" s="66"/>
    </row>
    <row r="36" spans="1:23" ht="11.25" customHeight="1">
      <c r="A36" s="1001">
        <f>'Org structure'!E33</f>
        <v>0</v>
      </c>
      <c r="B36" s="882"/>
      <c r="C36" s="1402"/>
      <c r="D36" s="1402"/>
      <c r="E36" s="1957"/>
      <c r="F36" s="1958"/>
      <c r="G36" s="1402"/>
      <c r="H36" s="1403"/>
      <c r="I36" s="1959"/>
      <c r="J36" s="1402"/>
      <c r="K36" s="1957"/>
      <c r="L36" s="65"/>
      <c r="M36" s="66"/>
      <c r="N36" s="66"/>
      <c r="O36" s="66"/>
      <c r="P36" s="66"/>
      <c r="Q36" s="66"/>
      <c r="R36" s="66"/>
      <c r="S36" s="66"/>
      <c r="T36" s="66"/>
      <c r="U36" s="66"/>
      <c r="V36" s="66"/>
      <c r="W36" s="66"/>
    </row>
    <row r="37" spans="1:23" ht="11.25" customHeight="1">
      <c r="A37" s="1001">
        <f>'Org structure'!E34</f>
        <v>0</v>
      </c>
      <c r="B37" s="882"/>
      <c r="C37" s="1402"/>
      <c r="D37" s="1402"/>
      <c r="E37" s="1957"/>
      <c r="F37" s="1958"/>
      <c r="G37" s="1402"/>
      <c r="H37" s="1403"/>
      <c r="I37" s="1959"/>
      <c r="J37" s="1402"/>
      <c r="K37" s="1957"/>
      <c r="L37" s="65"/>
      <c r="M37" s="66"/>
      <c r="N37" s="66"/>
      <c r="O37" s="66"/>
      <c r="P37" s="66"/>
      <c r="Q37" s="66"/>
      <c r="R37" s="66"/>
      <c r="S37" s="66"/>
      <c r="T37" s="66"/>
      <c r="U37" s="66"/>
      <c r="V37" s="66"/>
      <c r="W37" s="66"/>
    </row>
    <row r="38" spans="1:23" ht="15" customHeight="1">
      <c r="A38" s="1000" t="str">
        <f>'Org structure'!A5</f>
        <v>Vote 4 - Corporate Services</v>
      </c>
      <c r="B38" s="894"/>
      <c r="C38" s="832">
        <f t="shared" ref="C38:K38" si="3">SUM(C39:C48)</f>
        <v>968</v>
      </c>
      <c r="D38" s="832">
        <f t="shared" si="3"/>
        <v>0</v>
      </c>
      <c r="E38" s="833">
        <f t="shared" si="3"/>
        <v>747390.57</v>
      </c>
      <c r="F38" s="834">
        <f t="shared" si="3"/>
        <v>128</v>
      </c>
      <c r="G38" s="832">
        <f t="shared" si="3"/>
        <v>1083244.02</v>
      </c>
      <c r="H38" s="835">
        <f t="shared" si="3"/>
        <v>939106</v>
      </c>
      <c r="I38" s="836">
        <f t="shared" si="3"/>
        <v>1200128</v>
      </c>
      <c r="J38" s="832">
        <f t="shared" si="3"/>
        <v>1255333.8879999998</v>
      </c>
      <c r="K38" s="833">
        <f t="shared" si="3"/>
        <v>1313079.246848</v>
      </c>
      <c r="L38" s="65"/>
      <c r="M38" s="66"/>
      <c r="N38" s="66"/>
      <c r="O38" s="66"/>
      <c r="P38" s="66"/>
      <c r="Q38" s="66"/>
      <c r="R38" s="66"/>
      <c r="S38" s="66"/>
      <c r="T38" s="66"/>
      <c r="U38" s="66"/>
      <c r="V38" s="66"/>
      <c r="W38" s="66"/>
    </row>
    <row r="39" spans="1:23" ht="11.25" customHeight="1">
      <c r="A39" s="1001" t="str">
        <f>'Org structure'!E36</f>
        <v>4.1 - Communications</v>
      </c>
      <c r="B39" s="882"/>
      <c r="C39" s="1402"/>
      <c r="D39" s="1402"/>
      <c r="E39" s="1957"/>
      <c r="F39" s="1958"/>
      <c r="G39" s="1402"/>
      <c r="H39" s="1403"/>
      <c r="I39" s="1959"/>
      <c r="J39" s="1402"/>
      <c r="K39" s="1957"/>
      <c r="L39" s="65"/>
      <c r="M39" s="66"/>
      <c r="N39" s="66"/>
      <c r="O39" s="66"/>
      <c r="P39" s="66"/>
      <c r="Q39" s="66"/>
      <c r="R39" s="66"/>
      <c r="S39" s="66"/>
      <c r="T39" s="66"/>
      <c r="U39" s="66"/>
      <c r="V39" s="66"/>
      <c r="W39" s="66"/>
    </row>
    <row r="40" spans="1:23" ht="11.25" customHeight="1">
      <c r="A40" s="1001" t="str">
        <f>'Org structure'!E37</f>
        <v>4.2 - Public Participation &amp; Project Support</v>
      </c>
      <c r="B40" s="882"/>
      <c r="C40" s="1402"/>
      <c r="D40" s="1402"/>
      <c r="E40" s="1957"/>
      <c r="F40" s="1958"/>
      <c r="G40" s="1402"/>
      <c r="H40" s="1403"/>
      <c r="I40" s="1959"/>
      <c r="J40" s="1402"/>
      <c r="K40" s="1957"/>
      <c r="L40" s="65"/>
      <c r="M40" s="66"/>
      <c r="N40" s="66"/>
      <c r="O40" s="66"/>
      <c r="P40" s="66"/>
      <c r="Q40" s="66"/>
      <c r="R40" s="66"/>
      <c r="S40" s="66"/>
      <c r="T40" s="66"/>
      <c r="U40" s="66"/>
      <c r="V40" s="66"/>
      <c r="W40" s="66"/>
    </row>
    <row r="41" spans="1:23" ht="11.25" customHeight="1">
      <c r="A41" s="1001" t="str">
        <f>'Org structure'!E38</f>
        <v>4.3 - Information Technolgy</v>
      </c>
      <c r="B41" s="882"/>
      <c r="C41" s="1402"/>
      <c r="D41" s="1402"/>
      <c r="E41" s="1957">
        <v>110986.5</v>
      </c>
      <c r="F41" s="1958"/>
      <c r="G41" s="1402"/>
      <c r="H41" s="1403"/>
      <c r="I41" s="1959"/>
      <c r="J41" s="1402"/>
      <c r="K41" s="1957"/>
      <c r="L41" s="65"/>
      <c r="M41" s="66"/>
      <c r="N41" s="66"/>
      <c r="O41" s="66"/>
      <c r="P41" s="66"/>
      <c r="Q41" s="66"/>
      <c r="R41" s="66"/>
      <c r="S41" s="66"/>
      <c r="T41" s="66"/>
      <c r="U41" s="66"/>
      <c r="V41" s="66"/>
      <c r="W41" s="66"/>
    </row>
    <row r="42" spans="1:23" ht="11.25" customHeight="1">
      <c r="A42" s="1001" t="str">
        <f>'Org structure'!E39</f>
        <v>4.4 - Administration HR &amp; Corporate</v>
      </c>
      <c r="B42" s="882"/>
      <c r="C42" s="1402">
        <v>968</v>
      </c>
      <c r="D42" s="1402"/>
      <c r="E42" s="1957"/>
      <c r="F42" s="1958">
        <v>25</v>
      </c>
      <c r="G42" s="1402">
        <v>25</v>
      </c>
      <c r="H42" s="1403"/>
      <c r="I42" s="1959">
        <v>25</v>
      </c>
      <c r="J42" s="1402">
        <v>26.15</v>
      </c>
      <c r="K42" s="1957">
        <v>27.352900000000002</v>
      </c>
      <c r="L42" s="65"/>
      <c r="M42" s="66"/>
      <c r="N42" s="66"/>
      <c r="O42" s="66"/>
      <c r="P42" s="66"/>
      <c r="Q42" s="66"/>
      <c r="R42" s="66"/>
      <c r="S42" s="66"/>
      <c r="T42" s="66"/>
      <c r="U42" s="66"/>
      <c r="V42" s="66"/>
      <c r="W42" s="66"/>
    </row>
    <row r="43" spans="1:23" ht="11.25" customHeight="1">
      <c r="A43" s="1001" t="str">
        <f>'Org structure'!E40</f>
        <v>4.6 - Human Resources</v>
      </c>
      <c r="B43" s="882"/>
      <c r="C43" s="1402"/>
      <c r="D43" s="1402"/>
      <c r="E43" s="1957">
        <v>636404.06999999995</v>
      </c>
      <c r="F43" s="1958"/>
      <c r="G43" s="1402">
        <v>1083116.02</v>
      </c>
      <c r="H43" s="1403">
        <v>939106</v>
      </c>
      <c r="I43" s="1959">
        <v>1200000</v>
      </c>
      <c r="J43" s="1402">
        <v>1255200</v>
      </c>
      <c r="K43" s="1957">
        <v>1312939.2</v>
      </c>
      <c r="L43" s="65"/>
      <c r="M43" s="66"/>
      <c r="N43" s="66"/>
      <c r="O43" s="66"/>
      <c r="P43" s="66"/>
      <c r="Q43" s="66"/>
      <c r="R43" s="66"/>
      <c r="S43" s="66"/>
      <c r="T43" s="66"/>
      <c r="U43" s="66"/>
      <c r="V43" s="66"/>
      <c r="W43" s="66"/>
    </row>
    <row r="44" spans="1:23" ht="11.25" customHeight="1">
      <c r="A44" s="1001" t="str">
        <f>'Org structure'!E41</f>
        <v>4.7 - Occupational Health &amp; safety</v>
      </c>
      <c r="B44" s="882"/>
      <c r="C44" s="1402"/>
      <c r="D44" s="1402"/>
      <c r="E44" s="1957"/>
      <c r="F44" s="1958"/>
      <c r="G44" s="1402"/>
      <c r="H44" s="1403"/>
      <c r="I44" s="1959"/>
      <c r="J44" s="1402"/>
      <c r="K44" s="1957"/>
      <c r="L44" s="65"/>
      <c r="M44" s="66"/>
      <c r="N44" s="66"/>
      <c r="O44" s="66"/>
      <c r="P44" s="66"/>
      <c r="Q44" s="66"/>
      <c r="R44" s="66"/>
      <c r="S44" s="66"/>
      <c r="T44" s="66"/>
      <c r="U44" s="66"/>
      <c r="V44" s="66"/>
      <c r="W44" s="66"/>
    </row>
    <row r="45" spans="1:23" ht="11.25" customHeight="1">
      <c r="A45" s="1001" t="str">
        <f>'Org structure'!E42</f>
        <v>4.8 - Corporate Services</v>
      </c>
      <c r="B45" s="882"/>
      <c r="C45" s="1402"/>
      <c r="D45" s="1402"/>
      <c r="E45" s="1957"/>
      <c r="F45" s="1958">
        <v>103</v>
      </c>
      <c r="G45" s="1402">
        <v>103</v>
      </c>
      <c r="H45" s="1403"/>
      <c r="I45" s="1959">
        <v>103</v>
      </c>
      <c r="J45" s="1402">
        <v>107.738</v>
      </c>
      <c r="K45" s="1957">
        <v>112.69394800000001</v>
      </c>
      <c r="L45" s="65"/>
      <c r="M45" s="66"/>
      <c r="N45" s="66"/>
      <c r="O45" s="66"/>
      <c r="P45" s="66"/>
      <c r="Q45" s="66"/>
      <c r="R45" s="66"/>
      <c r="S45" s="66"/>
      <c r="T45" s="66"/>
      <c r="U45" s="66"/>
      <c r="V45" s="66"/>
      <c r="W45" s="66"/>
    </row>
    <row r="46" spans="1:23" ht="11.25" customHeight="1">
      <c r="A46" s="1001">
        <f>'Org structure'!E43</f>
        <v>0</v>
      </c>
      <c r="B46" s="882"/>
      <c r="C46" s="1402"/>
      <c r="D46" s="1402"/>
      <c r="E46" s="1957"/>
      <c r="F46" s="1958"/>
      <c r="G46" s="1402"/>
      <c r="H46" s="1403"/>
      <c r="I46" s="1959"/>
      <c r="J46" s="1402"/>
      <c r="K46" s="1957"/>
      <c r="L46" s="65"/>
      <c r="M46" s="66"/>
      <c r="N46" s="66"/>
      <c r="O46" s="66"/>
      <c r="P46" s="66"/>
      <c r="Q46" s="66"/>
      <c r="R46" s="66"/>
      <c r="S46" s="66"/>
      <c r="T46" s="66"/>
      <c r="U46" s="66"/>
      <c r="V46" s="66"/>
      <c r="W46" s="66"/>
    </row>
    <row r="47" spans="1:23" ht="11.25" customHeight="1">
      <c r="A47" s="1001">
        <f>'Org structure'!E44</f>
        <v>0</v>
      </c>
      <c r="B47" s="882"/>
      <c r="C47" s="1402"/>
      <c r="D47" s="1402"/>
      <c r="E47" s="1957"/>
      <c r="F47" s="1958"/>
      <c r="G47" s="1402"/>
      <c r="H47" s="1403"/>
      <c r="I47" s="1959"/>
      <c r="J47" s="1402"/>
      <c r="K47" s="1957"/>
      <c r="L47" s="65"/>
      <c r="M47" s="66"/>
      <c r="N47" s="66"/>
      <c r="O47" s="66"/>
      <c r="P47" s="66"/>
      <c r="Q47" s="66"/>
      <c r="R47" s="66"/>
      <c r="S47" s="66"/>
      <c r="T47" s="66"/>
      <c r="U47" s="66"/>
      <c r="V47" s="66"/>
      <c r="W47" s="66"/>
    </row>
    <row r="48" spans="1:23" ht="11.25" customHeight="1">
      <c r="A48" s="1001">
        <f>'Org structure'!E45</f>
        <v>0</v>
      </c>
      <c r="B48" s="882"/>
      <c r="C48" s="1402"/>
      <c r="D48" s="1402"/>
      <c r="E48" s="1957"/>
      <c r="F48" s="1958"/>
      <c r="G48" s="1402"/>
      <c r="H48" s="1403"/>
      <c r="I48" s="1959"/>
      <c r="J48" s="1402"/>
      <c r="K48" s="1957"/>
      <c r="L48" s="65"/>
      <c r="M48" s="66"/>
      <c r="N48" s="66"/>
      <c r="O48" s="66"/>
      <c r="P48" s="66"/>
      <c r="Q48" s="66"/>
      <c r="R48" s="66"/>
      <c r="S48" s="66"/>
      <c r="T48" s="66"/>
      <c r="U48" s="66"/>
      <c r="V48" s="66"/>
      <c r="W48" s="66"/>
    </row>
    <row r="49" spans="1:23" ht="15" customHeight="1">
      <c r="A49" s="1000" t="str">
        <f>'Org structure'!A6</f>
        <v>Vote 5 - Community Services</v>
      </c>
      <c r="B49" s="894"/>
      <c r="C49" s="832">
        <f>SUM(C50:C59)</f>
        <v>30314051.91</v>
      </c>
      <c r="D49" s="832">
        <f t="shared" ref="D49:K49" si="4">SUM(D50:D59)</f>
        <v>36695074.379999995</v>
      </c>
      <c r="E49" s="833">
        <f t="shared" si="4"/>
        <v>39120601.050000004</v>
      </c>
      <c r="F49" s="834">
        <f t="shared" si="4"/>
        <v>63100559</v>
      </c>
      <c r="G49" s="832">
        <f t="shared" si="4"/>
        <v>63100559</v>
      </c>
      <c r="H49" s="835">
        <f t="shared" si="4"/>
        <v>63276372.5</v>
      </c>
      <c r="I49" s="836">
        <f t="shared" si="4"/>
        <v>74270409</v>
      </c>
      <c r="J49" s="832">
        <f t="shared" si="4"/>
        <v>71247876.563999996</v>
      </c>
      <c r="K49" s="833">
        <f t="shared" si="4"/>
        <v>74525278.885944009</v>
      </c>
      <c r="L49" s="65"/>
      <c r="M49" s="66"/>
      <c r="N49" s="66"/>
      <c r="O49" s="66"/>
      <c r="P49" s="66"/>
      <c r="Q49" s="66"/>
      <c r="R49" s="66"/>
      <c r="S49" s="66"/>
      <c r="T49" s="66"/>
      <c r="U49" s="66"/>
      <c r="V49" s="66"/>
      <c r="W49" s="66"/>
    </row>
    <row r="50" spans="1:23" ht="11.25" customHeight="1">
      <c r="A50" s="1001" t="str">
        <f>'Org structure'!E47</f>
        <v>5.1 - Parks &amp; Recreation</v>
      </c>
      <c r="B50" s="882"/>
      <c r="C50" s="1402">
        <v>161294</v>
      </c>
      <c r="D50" s="1402">
        <v>149130</v>
      </c>
      <c r="E50" s="1957">
        <v>124948</v>
      </c>
      <c r="F50" s="1958">
        <v>560766</v>
      </c>
      <c r="G50" s="1402">
        <v>560766</v>
      </c>
      <c r="H50" s="1403">
        <v>236602.82</v>
      </c>
      <c r="I50" s="1959">
        <v>660766</v>
      </c>
      <c r="J50" s="1402">
        <v>691161.23600000003</v>
      </c>
      <c r="K50" s="1957">
        <v>722954.652856</v>
      </c>
      <c r="L50" s="65"/>
      <c r="M50" s="66"/>
      <c r="N50" s="66"/>
      <c r="O50" s="66"/>
      <c r="P50" s="66"/>
      <c r="Q50" s="66"/>
      <c r="R50" s="66"/>
      <c r="S50" s="66"/>
      <c r="T50" s="66"/>
      <c r="U50" s="66"/>
      <c r="V50" s="66"/>
      <c r="W50" s="66"/>
    </row>
    <row r="51" spans="1:23" ht="11.25" customHeight="1">
      <c r="A51" s="1001" t="str">
        <f>'Org structure'!E48</f>
        <v>5.2 - Administration Community Services</v>
      </c>
      <c r="B51" s="882"/>
      <c r="C51" s="1402"/>
      <c r="D51" s="1402"/>
      <c r="E51" s="1957"/>
      <c r="F51" s="1958"/>
      <c r="G51" s="1402"/>
      <c r="H51" s="1403"/>
      <c r="I51" s="1959"/>
      <c r="J51" s="1402"/>
      <c r="K51" s="1957"/>
      <c r="L51" s="65"/>
      <c r="M51" s="66"/>
      <c r="N51" s="66"/>
      <c r="O51" s="66"/>
      <c r="P51" s="66"/>
      <c r="Q51" s="66"/>
      <c r="R51" s="66"/>
      <c r="S51" s="66"/>
      <c r="T51" s="66"/>
      <c r="U51" s="66"/>
      <c r="V51" s="66"/>
      <c r="W51" s="66"/>
    </row>
    <row r="52" spans="1:23" ht="11.25" customHeight="1">
      <c r="A52" s="1001" t="str">
        <f>'Org structure'!E49</f>
        <v>5.3 - Community Health Services</v>
      </c>
      <c r="B52" s="882"/>
      <c r="C52" s="1402"/>
      <c r="D52" s="1402"/>
      <c r="E52" s="1957"/>
      <c r="F52" s="1958"/>
      <c r="G52" s="1402"/>
      <c r="H52" s="1403"/>
      <c r="I52" s="1959"/>
      <c r="J52" s="1402"/>
      <c r="K52" s="1957"/>
      <c r="L52" s="65"/>
      <c r="M52" s="66"/>
      <c r="N52" s="66"/>
      <c r="O52" s="66"/>
      <c r="P52" s="66"/>
      <c r="Q52" s="66"/>
      <c r="R52" s="66"/>
      <c r="S52" s="66"/>
      <c r="T52" s="66"/>
      <c r="U52" s="66"/>
      <c r="V52" s="66"/>
      <c r="W52" s="66"/>
    </row>
    <row r="53" spans="1:23" ht="11.25" customHeight="1">
      <c r="A53" s="1001" t="str">
        <f>'Org structure'!E50</f>
        <v>5.4 - Enviromental Health Services</v>
      </c>
      <c r="B53" s="882"/>
      <c r="C53" s="1402">
        <v>46061.2</v>
      </c>
      <c r="D53" s="1402">
        <v>23856.37</v>
      </c>
      <c r="E53" s="1957">
        <v>212999.42</v>
      </c>
      <c r="F53" s="1958">
        <v>13000</v>
      </c>
      <c r="G53" s="1402">
        <v>13000</v>
      </c>
      <c r="H53" s="1403">
        <v>12802.2</v>
      </c>
      <c r="I53" s="1959">
        <v>13000</v>
      </c>
      <c r="J53" s="1402">
        <v>13598</v>
      </c>
      <c r="K53" s="1957">
        <v>14223.508</v>
      </c>
      <c r="L53" s="65"/>
      <c r="M53" s="66"/>
      <c r="N53" s="66"/>
      <c r="O53" s="66"/>
      <c r="P53" s="66"/>
      <c r="Q53" s="66"/>
      <c r="R53" s="66"/>
      <c r="S53" s="66"/>
      <c r="T53" s="66"/>
      <c r="U53" s="66"/>
      <c r="V53" s="66"/>
      <c r="W53" s="66"/>
    </row>
    <row r="54" spans="1:23" ht="11.25" customHeight="1">
      <c r="A54" s="1001" t="str">
        <f>'Org structure'!E51</f>
        <v>5.5 - Library Services</v>
      </c>
      <c r="B54" s="882"/>
      <c r="C54" s="1402">
        <v>78205.5</v>
      </c>
      <c r="D54" s="1402">
        <v>46323.5</v>
      </c>
      <c r="E54" s="1957">
        <v>37722.5</v>
      </c>
      <c r="F54" s="1958">
        <v>56136</v>
      </c>
      <c r="G54" s="1402">
        <v>56136</v>
      </c>
      <c r="H54" s="1403">
        <v>40412</v>
      </c>
      <c r="I54" s="1959">
        <v>56136</v>
      </c>
      <c r="J54" s="1402">
        <v>58718.256000000001</v>
      </c>
      <c r="K54" s="1957">
        <v>61419.295775999999</v>
      </c>
      <c r="L54" s="65"/>
      <c r="M54" s="66"/>
      <c r="N54" s="66"/>
      <c r="O54" s="66"/>
      <c r="P54" s="66"/>
      <c r="Q54" s="66"/>
      <c r="R54" s="66"/>
      <c r="S54" s="66"/>
      <c r="T54" s="66"/>
      <c r="U54" s="66"/>
      <c r="V54" s="66"/>
      <c r="W54" s="66"/>
    </row>
    <row r="55" spans="1:23" ht="11.25" customHeight="1">
      <c r="A55" s="1001" t="str">
        <f>'Org structure'!E52</f>
        <v>5.6 - Solid Waste</v>
      </c>
      <c r="B55" s="882"/>
      <c r="C55" s="1402">
        <v>30028491.210000001</v>
      </c>
      <c r="D55" s="1402">
        <v>36475764.509999998</v>
      </c>
      <c r="E55" s="1957">
        <v>38744931.130000003</v>
      </c>
      <c r="F55" s="1958">
        <v>62470657</v>
      </c>
      <c r="G55" s="1402">
        <v>62470657</v>
      </c>
      <c r="H55" s="1403">
        <v>62986555.479999997</v>
      </c>
      <c r="I55" s="1959">
        <v>73540507</v>
      </c>
      <c r="J55" s="1402">
        <v>70484399.071999997</v>
      </c>
      <c r="K55" s="1957">
        <v>73726681.429312006</v>
      </c>
      <c r="L55" s="65"/>
      <c r="M55" s="66"/>
      <c r="N55" s="66"/>
      <c r="O55" s="66"/>
      <c r="P55" s="66"/>
      <c r="Q55" s="66"/>
      <c r="R55" s="66"/>
      <c r="S55" s="66"/>
      <c r="T55" s="66"/>
      <c r="U55" s="66"/>
      <c r="V55" s="66"/>
      <c r="W55" s="66"/>
    </row>
    <row r="56" spans="1:23" ht="11.25" customHeight="1">
      <c r="A56" s="1001" t="str">
        <f>'Org structure'!E53</f>
        <v>5.7 - Street Cleansing</v>
      </c>
      <c r="B56" s="882"/>
      <c r="C56" s="1402"/>
      <c r="D56" s="1402"/>
      <c r="E56" s="1957"/>
      <c r="F56" s="1958"/>
      <c r="G56" s="1402"/>
      <c r="H56" s="1403"/>
      <c r="I56" s="1959"/>
      <c r="J56" s="1402"/>
      <c r="K56" s="1957"/>
      <c r="L56" s="65"/>
      <c r="M56" s="66"/>
      <c r="N56" s="66"/>
      <c r="O56" s="66"/>
      <c r="P56" s="66"/>
      <c r="Q56" s="66"/>
      <c r="R56" s="66"/>
      <c r="S56" s="66"/>
      <c r="T56" s="66"/>
      <c r="U56" s="66"/>
      <c r="V56" s="66"/>
      <c r="W56" s="66"/>
    </row>
    <row r="57" spans="1:23" ht="11.25" customHeight="1">
      <c r="A57" s="1001" t="str">
        <f>'Org structure'!E54</f>
        <v>5.8 - Public Toilets</v>
      </c>
      <c r="B57" s="882"/>
      <c r="C57" s="1402"/>
      <c r="D57" s="1402"/>
      <c r="E57" s="1957"/>
      <c r="F57" s="1958"/>
      <c r="G57" s="1402"/>
      <c r="H57" s="1403"/>
      <c r="I57" s="1959"/>
      <c r="J57" s="1402"/>
      <c r="K57" s="1957"/>
      <c r="L57" s="65"/>
      <c r="M57" s="66"/>
      <c r="N57" s="66"/>
      <c r="O57" s="66"/>
      <c r="P57" s="66"/>
      <c r="Q57" s="66"/>
      <c r="R57" s="66"/>
      <c r="S57" s="66"/>
      <c r="T57" s="66"/>
      <c r="U57" s="66"/>
      <c r="V57" s="66"/>
      <c r="W57" s="66"/>
    </row>
    <row r="58" spans="1:23" ht="11.25" customHeight="1">
      <c r="A58" s="1001">
        <f>'Org structure'!E55</f>
        <v>0</v>
      </c>
      <c r="B58" s="882"/>
      <c r="C58" s="1402"/>
      <c r="D58" s="1402"/>
      <c r="E58" s="1957"/>
      <c r="F58" s="1958"/>
      <c r="G58" s="1402"/>
      <c r="H58" s="1403"/>
      <c r="I58" s="1959"/>
      <c r="J58" s="1402"/>
      <c r="K58" s="1957"/>
      <c r="L58" s="65"/>
      <c r="M58" s="66"/>
      <c r="N58" s="66"/>
      <c r="O58" s="66"/>
      <c r="P58" s="66"/>
      <c r="Q58" s="66"/>
      <c r="R58" s="66"/>
      <c r="S58" s="66"/>
      <c r="T58" s="66"/>
      <c r="U58" s="66"/>
      <c r="V58" s="66"/>
      <c r="W58" s="66"/>
    </row>
    <row r="59" spans="1:23" ht="11.25" customHeight="1">
      <c r="A59" s="1001">
        <f>'Org structure'!E56</f>
        <v>0</v>
      </c>
      <c r="B59" s="882"/>
      <c r="C59" s="1402"/>
      <c r="D59" s="1402"/>
      <c r="E59" s="1957"/>
      <c r="F59" s="1958"/>
      <c r="G59" s="1402"/>
      <c r="H59" s="1403"/>
      <c r="I59" s="1959"/>
      <c r="J59" s="1402"/>
      <c r="K59" s="1957"/>
      <c r="L59" s="65"/>
      <c r="M59" s="66"/>
      <c r="N59" s="66"/>
      <c r="O59" s="66"/>
      <c r="P59" s="66"/>
      <c r="Q59" s="66"/>
      <c r="R59" s="66"/>
      <c r="S59" s="66"/>
      <c r="T59" s="66"/>
      <c r="U59" s="66"/>
      <c r="V59" s="66"/>
      <c r="W59" s="66"/>
    </row>
    <row r="60" spans="1:23" ht="15" customHeight="1">
      <c r="A60" s="1000" t="str">
        <f>'Org structure'!A7</f>
        <v>Vote 6 - Community Services</v>
      </c>
      <c r="B60" s="894"/>
      <c r="C60" s="832">
        <f>SUM(C61:C70)</f>
        <v>58691312.260000005</v>
      </c>
      <c r="D60" s="832">
        <f t="shared" ref="D60:K60" si="5">SUM(D61:D70)</f>
        <v>52151215.359999999</v>
      </c>
      <c r="E60" s="833">
        <f t="shared" si="5"/>
        <v>46661510.850000001</v>
      </c>
      <c r="F60" s="834">
        <f t="shared" si="5"/>
        <v>91682291</v>
      </c>
      <c r="G60" s="832">
        <f t="shared" si="5"/>
        <v>91682291</v>
      </c>
      <c r="H60" s="835">
        <f t="shared" si="5"/>
        <v>61612289.659999996</v>
      </c>
      <c r="I60" s="836">
        <f t="shared" si="5"/>
        <v>96682291</v>
      </c>
      <c r="J60" s="832">
        <f t="shared" si="5"/>
        <v>101129676.38600001</v>
      </c>
      <c r="K60" s="833">
        <f t="shared" si="5"/>
        <v>105781641.49975599</v>
      </c>
      <c r="L60" s="65"/>
      <c r="M60" s="66"/>
      <c r="N60" s="66"/>
      <c r="O60" s="66"/>
      <c r="P60" s="66"/>
      <c r="Q60" s="66"/>
      <c r="R60" s="66"/>
      <c r="S60" s="66"/>
      <c r="T60" s="66"/>
      <c r="U60" s="66"/>
      <c r="V60" s="66"/>
      <c r="W60" s="66"/>
    </row>
    <row r="61" spans="1:23" ht="11.25" customHeight="1">
      <c r="A61" s="1001" t="str">
        <f>'Org structure'!E58</f>
        <v>6.1 - 6.2 - Administration Transport,safety,Security</v>
      </c>
      <c r="B61" s="882"/>
      <c r="C61" s="1402"/>
      <c r="D61" s="1402"/>
      <c r="E61" s="1957"/>
      <c r="F61" s="1958"/>
      <c r="G61" s="1402"/>
      <c r="H61" s="1403"/>
      <c r="I61" s="1959"/>
      <c r="J61" s="1402"/>
      <c r="K61" s="1957"/>
      <c r="L61" s="65"/>
      <c r="M61" s="66"/>
      <c r="N61" s="66"/>
      <c r="O61" s="66"/>
      <c r="P61" s="66"/>
      <c r="Q61" s="66"/>
      <c r="R61" s="66"/>
      <c r="S61" s="66"/>
      <c r="T61" s="66"/>
      <c r="U61" s="66"/>
      <c r="V61" s="66"/>
      <c r="W61" s="66"/>
    </row>
    <row r="62" spans="1:23" ht="11.25" customHeight="1">
      <c r="A62" s="1001" t="str">
        <f>'Org structure'!E59</f>
        <v>6.2 - 6.3 - Vehicle licencing</v>
      </c>
      <c r="B62" s="882"/>
      <c r="C62" s="1402">
        <v>15518392.090000004</v>
      </c>
      <c r="D62" s="1402">
        <v>14699715.359999999</v>
      </c>
      <c r="E62" s="1957">
        <v>15025880.85</v>
      </c>
      <c r="F62" s="1958">
        <v>53681291</v>
      </c>
      <c r="G62" s="1402">
        <v>53681291</v>
      </c>
      <c r="H62" s="1403">
        <v>60023949.659999996</v>
      </c>
      <c r="I62" s="1959">
        <v>58681291</v>
      </c>
      <c r="J62" s="1402">
        <v>61380630.386</v>
      </c>
      <c r="K62" s="1957">
        <v>64204139.383755997</v>
      </c>
      <c r="L62" s="65"/>
      <c r="M62" s="66"/>
      <c r="N62" s="66"/>
      <c r="O62" s="66"/>
      <c r="P62" s="66"/>
      <c r="Q62" s="66"/>
      <c r="R62" s="66"/>
      <c r="S62" s="66"/>
      <c r="T62" s="66"/>
      <c r="U62" s="66"/>
      <c r="V62" s="66"/>
      <c r="W62" s="66"/>
    </row>
    <row r="63" spans="1:23" ht="11.25" customHeight="1">
      <c r="A63" s="1001" t="str">
        <f>'Org structure'!E60</f>
        <v>6.3 - 6.1 - Traffic services</v>
      </c>
      <c r="B63" s="882"/>
      <c r="C63" s="1402">
        <v>43172920.170000002</v>
      </c>
      <c r="D63" s="1402">
        <v>37451500</v>
      </c>
      <c r="E63" s="1957">
        <v>31635630</v>
      </c>
      <c r="F63" s="1958">
        <v>38001000</v>
      </c>
      <c r="G63" s="1402">
        <v>38001000</v>
      </c>
      <c r="H63" s="1403">
        <v>1588340</v>
      </c>
      <c r="I63" s="1959">
        <v>38001000</v>
      </c>
      <c r="J63" s="1402">
        <v>39749046</v>
      </c>
      <c r="K63" s="1957">
        <v>41577502.115999997</v>
      </c>
      <c r="L63" s="65"/>
      <c r="M63" s="66"/>
      <c r="N63" s="66"/>
      <c r="O63" s="66"/>
      <c r="P63" s="66"/>
      <c r="Q63" s="66"/>
      <c r="R63" s="66"/>
      <c r="S63" s="66"/>
      <c r="T63" s="66"/>
      <c r="U63" s="66"/>
      <c r="V63" s="66"/>
      <c r="W63" s="66"/>
    </row>
    <row r="64" spans="1:23" ht="11.25" customHeight="1">
      <c r="A64" s="1001">
        <f>'Org structure'!E61</f>
        <v>0</v>
      </c>
      <c r="B64" s="882"/>
      <c r="C64" s="1402"/>
      <c r="D64" s="1402"/>
      <c r="E64" s="1957"/>
      <c r="F64" s="1958"/>
      <c r="G64" s="1402"/>
      <c r="H64" s="1403"/>
      <c r="I64" s="1959"/>
      <c r="J64" s="1402"/>
      <c r="K64" s="1957"/>
      <c r="L64" s="65"/>
      <c r="M64" s="66"/>
      <c r="N64" s="66"/>
      <c r="O64" s="66"/>
      <c r="P64" s="66"/>
      <c r="Q64" s="66"/>
      <c r="R64" s="66"/>
      <c r="S64" s="66"/>
      <c r="T64" s="66"/>
      <c r="U64" s="66"/>
      <c r="V64" s="66"/>
      <c r="W64" s="66"/>
    </row>
    <row r="65" spans="1:23" ht="11.25" customHeight="1">
      <c r="A65" s="1001">
        <f>'Org structure'!E62</f>
        <v>0</v>
      </c>
      <c r="B65" s="882"/>
      <c r="C65" s="1402"/>
      <c r="D65" s="1402"/>
      <c r="E65" s="1957"/>
      <c r="F65" s="1958"/>
      <c r="G65" s="1402"/>
      <c r="H65" s="1403"/>
      <c r="I65" s="1959"/>
      <c r="J65" s="1402"/>
      <c r="K65" s="1957"/>
      <c r="L65" s="65"/>
      <c r="M65" s="66"/>
      <c r="N65" s="66"/>
      <c r="O65" s="66"/>
      <c r="P65" s="66"/>
      <c r="Q65" s="66"/>
      <c r="R65" s="66"/>
      <c r="S65" s="66"/>
      <c r="T65" s="66"/>
      <c r="U65" s="66"/>
      <c r="V65" s="66"/>
      <c r="W65" s="66"/>
    </row>
    <row r="66" spans="1:23" ht="11.25" customHeight="1">
      <c r="A66" s="1001">
        <f>'Org structure'!E63</f>
        <v>0</v>
      </c>
      <c r="B66" s="882"/>
      <c r="C66" s="1402"/>
      <c r="D66" s="1402"/>
      <c r="E66" s="1957"/>
      <c r="F66" s="1958"/>
      <c r="G66" s="1402"/>
      <c r="H66" s="1403"/>
      <c r="I66" s="1959"/>
      <c r="J66" s="1402"/>
      <c r="K66" s="1957"/>
      <c r="L66" s="65"/>
      <c r="M66" s="66"/>
      <c r="N66" s="66"/>
      <c r="O66" s="66"/>
      <c r="P66" s="66"/>
      <c r="Q66" s="66"/>
      <c r="R66" s="66"/>
      <c r="S66" s="66"/>
      <c r="T66" s="66"/>
      <c r="U66" s="66"/>
      <c r="V66" s="66"/>
      <c r="W66" s="66"/>
    </row>
    <row r="67" spans="1:23" ht="11.25" customHeight="1">
      <c r="A67" s="1001">
        <f>'Org structure'!E64</f>
        <v>0</v>
      </c>
      <c r="B67" s="882"/>
      <c r="C67" s="1402"/>
      <c r="D67" s="1402"/>
      <c r="E67" s="1957"/>
      <c r="F67" s="1958"/>
      <c r="G67" s="1402"/>
      <c r="H67" s="1403"/>
      <c r="I67" s="1959"/>
      <c r="J67" s="1402"/>
      <c r="K67" s="1957"/>
      <c r="L67" s="65"/>
      <c r="M67" s="66"/>
      <c r="N67" s="66"/>
      <c r="O67" s="66"/>
      <c r="P67" s="66"/>
      <c r="Q67" s="66"/>
      <c r="R67" s="66"/>
      <c r="S67" s="66"/>
      <c r="T67" s="66"/>
      <c r="U67" s="66"/>
      <c r="V67" s="66"/>
      <c r="W67" s="66"/>
    </row>
    <row r="68" spans="1:23" ht="11.25" customHeight="1">
      <c r="A68" s="1001">
        <f>'Org structure'!E65</f>
        <v>0</v>
      </c>
      <c r="B68" s="882"/>
      <c r="C68" s="1402"/>
      <c r="D68" s="1402"/>
      <c r="E68" s="1957"/>
      <c r="F68" s="1958"/>
      <c r="G68" s="1402"/>
      <c r="H68" s="1403"/>
      <c r="I68" s="1959"/>
      <c r="J68" s="1402"/>
      <c r="K68" s="1957"/>
      <c r="L68" s="65"/>
      <c r="M68" s="66"/>
      <c r="N68" s="66"/>
      <c r="O68" s="66"/>
      <c r="P68" s="66"/>
      <c r="Q68" s="66"/>
      <c r="R68" s="66"/>
      <c r="S68" s="66"/>
      <c r="T68" s="66"/>
      <c r="U68" s="66"/>
      <c r="V68" s="66"/>
      <c r="W68" s="66"/>
    </row>
    <row r="69" spans="1:23" ht="11.25" customHeight="1">
      <c r="A69" s="1001">
        <f>'Org structure'!E66</f>
        <v>0</v>
      </c>
      <c r="B69" s="882"/>
      <c r="C69" s="1402"/>
      <c r="D69" s="1402"/>
      <c r="E69" s="1957"/>
      <c r="F69" s="1958"/>
      <c r="G69" s="1402"/>
      <c r="H69" s="1403"/>
      <c r="I69" s="1959"/>
      <c r="J69" s="1402"/>
      <c r="K69" s="1957"/>
      <c r="L69" s="65"/>
      <c r="M69" s="66"/>
      <c r="N69" s="66"/>
      <c r="O69" s="66"/>
      <c r="P69" s="66"/>
      <c r="Q69" s="66"/>
      <c r="R69" s="66"/>
      <c r="S69" s="66"/>
      <c r="T69" s="66"/>
      <c r="U69" s="66"/>
      <c r="V69" s="66"/>
      <c r="W69" s="66"/>
    </row>
    <row r="70" spans="1:23" ht="11.25" customHeight="1">
      <c r="A70" s="1001">
        <f>'Org structure'!E67</f>
        <v>0</v>
      </c>
      <c r="B70" s="882"/>
      <c r="C70" s="1402"/>
      <c r="D70" s="1402"/>
      <c r="E70" s="1957"/>
      <c r="F70" s="1958"/>
      <c r="G70" s="1402"/>
      <c r="H70" s="1403"/>
      <c r="I70" s="1959"/>
      <c r="J70" s="1402"/>
      <c r="K70" s="1957"/>
      <c r="L70" s="65"/>
      <c r="M70" s="66"/>
      <c r="N70" s="66"/>
      <c r="O70" s="66"/>
      <c r="P70" s="66"/>
      <c r="Q70" s="66"/>
      <c r="R70" s="66"/>
      <c r="S70" s="66"/>
      <c r="T70" s="66"/>
      <c r="U70" s="66"/>
      <c r="V70" s="66"/>
      <c r="W70" s="66"/>
    </row>
    <row r="71" spans="1:23" ht="15" customHeight="1">
      <c r="A71" s="1000" t="str">
        <f>'Org structure'!A8</f>
        <v>Vote 7 - Electrical Engineering Services</v>
      </c>
      <c r="B71" s="894"/>
      <c r="C71" s="832">
        <f t="shared" ref="C71:K71" si="6">SUM(C72:C81)</f>
        <v>472400247.71000004</v>
      </c>
      <c r="D71" s="832">
        <f t="shared" si="6"/>
        <v>462749771.27999997</v>
      </c>
      <c r="E71" s="833">
        <f t="shared" si="6"/>
        <v>459468534.35000002</v>
      </c>
      <c r="F71" s="834">
        <f t="shared" si="6"/>
        <v>597331000</v>
      </c>
      <c r="G71" s="832">
        <f t="shared" si="6"/>
        <v>605281613.99999499</v>
      </c>
      <c r="H71" s="835">
        <f t="shared" si="6"/>
        <v>618113608.98000002</v>
      </c>
      <c r="I71" s="836">
        <f t="shared" si="6"/>
        <v>586201000</v>
      </c>
      <c r="J71" s="832">
        <f t="shared" si="6"/>
        <v>612492246</v>
      </c>
      <c r="K71" s="833">
        <f t="shared" si="6"/>
        <v>639993657.31599998</v>
      </c>
      <c r="L71" s="65"/>
      <c r="M71" s="66"/>
      <c r="N71" s="66"/>
      <c r="O71" s="66"/>
      <c r="P71" s="66"/>
      <c r="Q71" s="66"/>
      <c r="R71" s="66"/>
      <c r="S71" s="66"/>
      <c r="T71" s="66"/>
      <c r="U71" s="66"/>
      <c r="V71" s="66"/>
      <c r="W71" s="66"/>
    </row>
    <row r="72" spans="1:23" ht="11.25" customHeight="1">
      <c r="A72" s="1001" t="str">
        <f>'Org structure'!E69</f>
        <v>7.1 - Administration Electrical Engineering</v>
      </c>
      <c r="B72" s="882"/>
      <c r="C72" s="1402"/>
      <c r="D72" s="1402"/>
      <c r="E72" s="1957"/>
      <c r="F72" s="1958"/>
      <c r="G72" s="1402"/>
      <c r="H72" s="1403"/>
      <c r="I72" s="1959"/>
      <c r="J72" s="1402"/>
      <c r="K72" s="1957"/>
      <c r="L72" s="65"/>
      <c r="M72" s="66"/>
      <c r="N72" s="66"/>
      <c r="O72" s="66"/>
      <c r="P72" s="66"/>
      <c r="Q72" s="66"/>
      <c r="R72" s="66"/>
      <c r="S72" s="66"/>
      <c r="T72" s="66"/>
      <c r="U72" s="66"/>
      <c r="V72" s="66"/>
      <c r="W72" s="66"/>
    </row>
    <row r="73" spans="1:23" ht="11.25" customHeight="1">
      <c r="A73" s="1001" t="str">
        <f>'Org structure'!E70</f>
        <v>7.2 - Operations &amp; Maintenance: Rural</v>
      </c>
      <c r="B73" s="882"/>
      <c r="C73" s="1402">
        <v>64718146.740000002</v>
      </c>
      <c r="D73" s="1402">
        <v>38788932.090000004</v>
      </c>
      <c r="E73" s="1957">
        <v>25768554.690000001</v>
      </c>
      <c r="F73" s="1958">
        <v>446080000</v>
      </c>
      <c r="G73" s="1402">
        <v>446363947.33332998</v>
      </c>
      <c r="H73" s="1403">
        <v>87846449.739999995</v>
      </c>
      <c r="I73" s="1959">
        <v>431308333</v>
      </c>
      <c r="J73" s="1402">
        <v>450469182.98400003</v>
      </c>
      <c r="K73" s="1957">
        <v>470511944.06723201</v>
      </c>
      <c r="L73" s="65"/>
      <c r="M73" s="66"/>
      <c r="N73" s="66"/>
      <c r="O73" s="66"/>
      <c r="P73" s="66"/>
      <c r="Q73" s="66"/>
      <c r="R73" s="66"/>
      <c r="S73" s="66"/>
      <c r="T73" s="66"/>
      <c r="U73" s="66"/>
      <c r="V73" s="66"/>
      <c r="W73" s="66"/>
    </row>
    <row r="74" spans="1:23" ht="11.25" customHeight="1">
      <c r="A74" s="1001" t="str">
        <f>'Org structure'!E71</f>
        <v>7.3 - Operations &amp; Maintenance: Town</v>
      </c>
      <c r="B74" s="882"/>
      <c r="C74" s="1402">
        <v>407682100.97000003</v>
      </c>
      <c r="D74" s="1402">
        <v>423960839.19</v>
      </c>
      <c r="E74" s="1957">
        <v>433699979.66000003</v>
      </c>
      <c r="F74" s="1958">
        <v>151251000</v>
      </c>
      <c r="G74" s="1402">
        <v>158917666.66666499</v>
      </c>
      <c r="H74" s="1403">
        <f>520267159.24+10000000</f>
        <v>530267159.24000001</v>
      </c>
      <c r="I74" s="1959">
        <v>154892667</v>
      </c>
      <c r="J74" s="1402">
        <v>162023063.016</v>
      </c>
      <c r="K74" s="1957">
        <v>169481713.248768</v>
      </c>
      <c r="L74" s="65"/>
      <c r="M74" s="66"/>
      <c r="N74" s="66"/>
      <c r="O74" s="66"/>
      <c r="P74" s="66"/>
      <c r="Q74" s="66"/>
      <c r="R74" s="66"/>
      <c r="S74" s="66"/>
      <c r="T74" s="66"/>
      <c r="U74" s="66"/>
      <c r="V74" s="66"/>
      <c r="W74" s="66"/>
    </row>
    <row r="75" spans="1:23" ht="11.25" customHeight="1">
      <c r="A75" s="1001">
        <f>'Org structure'!E72</f>
        <v>0</v>
      </c>
      <c r="B75" s="882"/>
      <c r="C75" s="1402"/>
      <c r="D75" s="1402"/>
      <c r="E75" s="1957"/>
      <c r="F75" s="1958"/>
      <c r="G75" s="1402"/>
      <c r="H75" s="1403"/>
      <c r="I75" s="1959"/>
      <c r="J75" s="1402"/>
      <c r="K75" s="1957"/>
      <c r="L75" s="65"/>
      <c r="M75" s="66"/>
      <c r="N75" s="66"/>
      <c r="O75" s="66"/>
      <c r="P75" s="66"/>
      <c r="Q75" s="66"/>
      <c r="R75" s="66"/>
      <c r="S75" s="66"/>
      <c r="T75" s="66"/>
      <c r="U75" s="66"/>
      <c r="V75" s="66"/>
      <c r="W75" s="66"/>
    </row>
    <row r="76" spans="1:23" ht="11.25" customHeight="1">
      <c r="A76" s="1001">
        <f>'Org structure'!E73</f>
        <v>0</v>
      </c>
      <c r="B76" s="882"/>
      <c r="C76" s="1402"/>
      <c r="D76" s="1402"/>
      <c r="E76" s="1957"/>
      <c r="F76" s="1958"/>
      <c r="G76" s="1402"/>
      <c r="H76" s="1403"/>
      <c r="I76" s="1959"/>
      <c r="J76" s="1402"/>
      <c r="K76" s="1957"/>
      <c r="L76" s="65"/>
      <c r="M76" s="66"/>
      <c r="N76" s="66"/>
      <c r="O76" s="66"/>
      <c r="P76" s="66"/>
      <c r="Q76" s="66"/>
      <c r="R76" s="66"/>
      <c r="S76" s="66"/>
      <c r="T76" s="66"/>
      <c r="U76" s="66"/>
      <c r="V76" s="66"/>
      <c r="W76" s="66"/>
    </row>
    <row r="77" spans="1:23" ht="11.25" customHeight="1">
      <c r="A77" s="1001">
        <f>'Org structure'!E74</f>
        <v>0</v>
      </c>
      <c r="B77" s="882"/>
      <c r="C77" s="1402"/>
      <c r="D77" s="1402"/>
      <c r="E77" s="1957"/>
      <c r="F77" s="1958"/>
      <c r="G77" s="1402"/>
      <c r="H77" s="1403"/>
      <c r="I77" s="1959"/>
      <c r="J77" s="1402"/>
      <c r="K77" s="1957"/>
      <c r="L77" s="65"/>
      <c r="M77" s="66"/>
      <c r="N77" s="66"/>
      <c r="O77" s="66"/>
      <c r="P77" s="66"/>
      <c r="Q77" s="66"/>
      <c r="R77" s="66"/>
      <c r="S77" s="66"/>
      <c r="T77" s="66"/>
      <c r="U77" s="66"/>
      <c r="V77" s="66"/>
      <c r="W77" s="66"/>
    </row>
    <row r="78" spans="1:23" ht="11.25" customHeight="1">
      <c r="A78" s="1001">
        <f>'Org structure'!E75</f>
        <v>0</v>
      </c>
      <c r="B78" s="882"/>
      <c r="C78" s="1402"/>
      <c r="D78" s="1402"/>
      <c r="E78" s="1957"/>
      <c r="F78" s="1958"/>
      <c r="G78" s="1402"/>
      <c r="H78" s="1403"/>
      <c r="I78" s="1959"/>
      <c r="J78" s="1402"/>
      <c r="K78" s="1957"/>
      <c r="L78" s="72"/>
      <c r="M78" s="73"/>
      <c r="N78" s="73"/>
      <c r="O78" s="73"/>
      <c r="P78" s="73"/>
      <c r="Q78" s="73"/>
      <c r="R78" s="73"/>
      <c r="S78" s="73"/>
      <c r="T78" s="73"/>
      <c r="U78" s="73"/>
      <c r="V78" s="73"/>
      <c r="W78" s="73"/>
    </row>
    <row r="79" spans="1:23" ht="11.25" customHeight="1">
      <c r="A79" s="1001">
        <f>'Org structure'!E76</f>
        <v>0</v>
      </c>
      <c r="B79" s="882"/>
      <c r="C79" s="1402"/>
      <c r="D79" s="1402"/>
      <c r="E79" s="1957"/>
      <c r="F79" s="1958"/>
      <c r="G79" s="1402"/>
      <c r="H79" s="1403"/>
      <c r="I79" s="1959"/>
      <c r="J79" s="1402"/>
      <c r="K79" s="1957"/>
      <c r="L79" s="72"/>
      <c r="M79" s="73"/>
      <c r="N79" s="73"/>
      <c r="O79" s="73"/>
      <c r="P79" s="73"/>
      <c r="Q79" s="73"/>
      <c r="R79" s="73"/>
      <c r="S79" s="73"/>
      <c r="T79" s="73"/>
      <c r="U79" s="73"/>
      <c r="V79" s="73"/>
      <c r="W79" s="73"/>
    </row>
    <row r="80" spans="1:23" ht="11.25" customHeight="1">
      <c r="A80" s="1001">
        <f>'Org structure'!E77</f>
        <v>0</v>
      </c>
      <c r="B80" s="882"/>
      <c r="C80" s="1402"/>
      <c r="D80" s="1402"/>
      <c r="E80" s="1957"/>
      <c r="F80" s="1958"/>
      <c r="G80" s="1402"/>
      <c r="H80" s="1403"/>
      <c r="I80" s="1959"/>
      <c r="J80" s="1402"/>
      <c r="K80" s="1957"/>
      <c r="L80" s="72"/>
      <c r="M80" s="73"/>
      <c r="N80" s="73"/>
      <c r="O80" s="73"/>
      <c r="P80" s="73"/>
      <c r="Q80" s="73"/>
      <c r="R80" s="73"/>
      <c r="S80" s="73"/>
      <c r="T80" s="73"/>
      <c r="U80" s="73"/>
      <c r="V80" s="73"/>
      <c r="W80" s="73"/>
    </row>
    <row r="81" spans="1:23" ht="11.25" customHeight="1">
      <c r="A81" s="1001">
        <f>'Org structure'!E78</f>
        <v>0</v>
      </c>
      <c r="B81" s="882"/>
      <c r="C81" s="1402"/>
      <c r="D81" s="1402"/>
      <c r="E81" s="1957"/>
      <c r="F81" s="1958"/>
      <c r="G81" s="1402"/>
      <c r="H81" s="1403"/>
      <c r="I81" s="1959"/>
      <c r="J81" s="1402"/>
      <c r="K81" s="1957"/>
      <c r="L81" s="72"/>
      <c r="M81" s="73"/>
      <c r="N81" s="73"/>
      <c r="O81" s="73"/>
      <c r="P81" s="73"/>
      <c r="Q81" s="73"/>
      <c r="R81" s="73"/>
      <c r="S81" s="73"/>
      <c r="T81" s="73"/>
      <c r="U81" s="73"/>
      <c r="V81" s="73"/>
      <c r="W81" s="73"/>
    </row>
    <row r="82" spans="1:23" ht="15" customHeight="1">
      <c r="A82" s="1000" t="str">
        <f>'Org structure'!A9</f>
        <v>Vote 8 - Engineering Services</v>
      </c>
      <c r="B82" s="882"/>
      <c r="C82" s="832">
        <f>SUM(C83:C92)</f>
        <v>120903672.01000001</v>
      </c>
      <c r="D82" s="832">
        <f t="shared" ref="D82:K82" si="7">SUM(D83:D92)</f>
        <v>101283717</v>
      </c>
      <c r="E82" s="833">
        <f t="shared" si="7"/>
        <v>78874915.329999998</v>
      </c>
      <c r="F82" s="834">
        <f t="shared" si="7"/>
        <v>96724325</v>
      </c>
      <c r="G82" s="832">
        <f t="shared" si="7"/>
        <v>96724325</v>
      </c>
      <c r="H82" s="835">
        <f t="shared" si="7"/>
        <v>96256850.980000004</v>
      </c>
      <c r="I82" s="836">
        <f t="shared" si="7"/>
        <v>95278325</v>
      </c>
      <c r="J82" s="832">
        <f t="shared" si="7"/>
        <v>103661653.95</v>
      </c>
      <c r="K82" s="833">
        <f t="shared" si="7"/>
        <v>109819494.0317</v>
      </c>
      <c r="L82" s="72"/>
      <c r="M82" s="73"/>
      <c r="N82" s="73"/>
      <c r="O82" s="73"/>
      <c r="P82" s="73"/>
      <c r="Q82" s="73"/>
      <c r="R82" s="73"/>
      <c r="S82" s="73"/>
      <c r="T82" s="73"/>
      <c r="U82" s="73"/>
      <c r="V82" s="73"/>
      <c r="W82" s="73"/>
    </row>
    <row r="83" spans="1:23" ht="11.25" customHeight="1">
      <c r="A83" s="1001" t="str">
        <f>'Org structure'!E80</f>
        <v>8.1 - 8.1 - Fleet Management</v>
      </c>
      <c r="B83" s="882"/>
      <c r="C83" s="1402"/>
      <c r="D83" s="1402"/>
      <c r="E83" s="1957"/>
      <c r="F83" s="1958"/>
      <c r="G83" s="1402"/>
      <c r="H83" s="1403"/>
      <c r="I83" s="1959"/>
      <c r="J83" s="1402"/>
      <c r="K83" s="1957"/>
      <c r="L83" s="72"/>
      <c r="M83" s="73"/>
      <c r="N83" s="73"/>
      <c r="O83" s="73"/>
      <c r="P83" s="73"/>
      <c r="Q83" s="73"/>
      <c r="R83" s="73"/>
      <c r="S83" s="73"/>
      <c r="T83" s="73"/>
      <c r="U83" s="73"/>
      <c r="V83" s="73"/>
      <c r="W83" s="73"/>
    </row>
    <row r="84" spans="1:23" ht="11.25" customHeight="1">
      <c r="A84" s="1001" t="str">
        <f>'Org structure'!E81</f>
        <v>8.2 - 8.2 - Administration Civil Engineering</v>
      </c>
      <c r="B84" s="882"/>
      <c r="C84" s="1402"/>
      <c r="D84" s="1402"/>
      <c r="E84" s="1957"/>
      <c r="F84" s="1958">
        <v>100</v>
      </c>
      <c r="G84" s="1402">
        <v>100</v>
      </c>
      <c r="H84" s="1403"/>
      <c r="I84" s="1959">
        <v>100</v>
      </c>
      <c r="J84" s="1402">
        <v>104.6</v>
      </c>
      <c r="K84" s="1957">
        <v>109.41160000000001</v>
      </c>
      <c r="L84" s="72"/>
      <c r="M84" s="73"/>
      <c r="N84" s="73"/>
      <c r="O84" s="73"/>
      <c r="P84" s="73"/>
      <c r="Q84" s="73"/>
      <c r="R84" s="73"/>
      <c r="S84" s="73"/>
      <c r="T84" s="73"/>
      <c r="U84" s="73"/>
      <c r="V84" s="73"/>
      <c r="W84" s="73"/>
    </row>
    <row r="85" spans="1:23" ht="11.25" customHeight="1">
      <c r="A85" s="1001" t="str">
        <f>'Org structure'!E82</f>
        <v>8.3 - 8.3 - Roads &amp; stormwater Management</v>
      </c>
      <c r="B85" s="882"/>
      <c r="C85" s="1402"/>
      <c r="D85" s="1402">
        <v>49271.94</v>
      </c>
      <c r="E85" s="1957"/>
      <c r="F85" s="1958"/>
      <c r="G85" s="1402"/>
      <c r="H85" s="1403"/>
      <c r="I85" s="1959"/>
      <c r="J85" s="1402"/>
      <c r="K85" s="1957"/>
      <c r="L85" s="72"/>
      <c r="M85" s="73"/>
      <c r="N85" s="73"/>
      <c r="O85" s="73"/>
      <c r="P85" s="73"/>
      <c r="Q85" s="73"/>
      <c r="R85" s="73"/>
      <c r="S85" s="73"/>
      <c r="T85" s="73"/>
      <c r="U85" s="73"/>
      <c r="V85" s="73"/>
      <c r="W85" s="73"/>
    </row>
    <row r="86" spans="1:23" ht="11.25" customHeight="1">
      <c r="A86" s="1001" t="str">
        <f>'Org structure'!E83</f>
        <v>8.4 - 8.4 - Water Networks</v>
      </c>
      <c r="B86" s="882"/>
      <c r="C86" s="1402"/>
      <c r="D86" s="1402"/>
      <c r="E86" s="1957"/>
      <c r="F86" s="1958"/>
      <c r="G86" s="1402"/>
      <c r="H86" s="1403"/>
      <c r="I86" s="1959"/>
      <c r="J86" s="1402"/>
      <c r="K86" s="1957"/>
      <c r="L86" s="72"/>
      <c r="M86" s="73"/>
      <c r="N86" s="73"/>
      <c r="O86" s="73"/>
      <c r="P86" s="73"/>
      <c r="Q86" s="73"/>
      <c r="R86" s="73"/>
      <c r="S86" s="73"/>
      <c r="T86" s="73"/>
      <c r="U86" s="73"/>
      <c r="V86" s="73"/>
      <c r="W86" s="73"/>
    </row>
    <row r="87" spans="1:23" ht="11.25" customHeight="1">
      <c r="A87" s="1001" t="str">
        <f>'Org structure'!E84</f>
        <v>8.5 - 8.5 - Water Purification</v>
      </c>
      <c r="B87" s="882"/>
      <c r="C87" s="1402"/>
      <c r="D87" s="1402"/>
      <c r="E87" s="1957"/>
      <c r="F87" s="1958"/>
      <c r="G87" s="1402"/>
      <c r="H87" s="1403"/>
      <c r="I87" s="1959"/>
      <c r="J87" s="1402"/>
      <c r="K87" s="1957"/>
      <c r="L87" s="72"/>
      <c r="M87" s="73"/>
      <c r="N87" s="73"/>
      <c r="O87" s="73"/>
      <c r="P87" s="73"/>
      <c r="Q87" s="73"/>
      <c r="R87" s="73"/>
      <c r="S87" s="73"/>
      <c r="T87" s="73"/>
      <c r="U87" s="73"/>
      <c r="V87" s="73"/>
      <c r="W87" s="73"/>
    </row>
    <row r="88" spans="1:23" ht="11.25" customHeight="1">
      <c r="A88" s="1001" t="str">
        <f>'Org structure'!E85</f>
        <v>8.6 - 8.8 - Sewerage Purification</v>
      </c>
      <c r="B88" s="882"/>
      <c r="C88" s="1402"/>
      <c r="D88" s="1402"/>
      <c r="E88" s="1957"/>
      <c r="F88" s="1958"/>
      <c r="G88" s="1402"/>
      <c r="H88" s="1403"/>
      <c r="I88" s="1959"/>
      <c r="J88" s="1402"/>
      <c r="K88" s="1957"/>
      <c r="L88" s="72"/>
      <c r="M88" s="73"/>
      <c r="N88" s="73"/>
      <c r="O88" s="73"/>
      <c r="P88" s="73"/>
      <c r="Q88" s="73"/>
      <c r="R88" s="73"/>
      <c r="S88" s="73"/>
      <c r="T88" s="73"/>
      <c r="U88" s="73"/>
      <c r="V88" s="73"/>
      <c r="W88" s="73"/>
    </row>
    <row r="89" spans="1:23" ht="11.25" customHeight="1">
      <c r="A89" s="1001" t="str">
        <f>'Org structure'!E86</f>
        <v>8.7 - 8.6 - Building &amp; Housing</v>
      </c>
      <c r="B89" s="882"/>
      <c r="C89" s="1402">
        <v>2153837.31</v>
      </c>
      <c r="D89" s="1402">
        <v>2308823.6</v>
      </c>
      <c r="E89" s="1957">
        <v>2724294.14</v>
      </c>
      <c r="F89" s="1958">
        <v>2461225</v>
      </c>
      <c r="G89" s="1402">
        <v>2461225</v>
      </c>
      <c r="H89" s="1403">
        <v>1993850.98</v>
      </c>
      <c r="I89" s="1959">
        <v>1659225</v>
      </c>
      <c r="J89" s="1402">
        <v>1735549.35</v>
      </c>
      <c r="K89" s="1957">
        <v>1815384.6200999999</v>
      </c>
      <c r="L89" s="72"/>
      <c r="M89" s="73"/>
      <c r="N89" s="73"/>
      <c r="O89" s="73"/>
      <c r="P89" s="73"/>
      <c r="Q89" s="73"/>
      <c r="R89" s="73"/>
      <c r="S89" s="73"/>
      <c r="T89" s="73"/>
      <c r="U89" s="73"/>
      <c r="V89" s="73"/>
      <c r="W89" s="73"/>
    </row>
    <row r="90" spans="1:23" ht="11.25" customHeight="1">
      <c r="A90" s="1001" t="str">
        <f>'Org structure'!E87</f>
        <v>8.8 - 8.7 - Project Management</v>
      </c>
      <c r="B90" s="882"/>
      <c r="C90" s="1402">
        <v>118749834.7</v>
      </c>
      <c r="D90" s="1402">
        <v>98925621.459999993</v>
      </c>
      <c r="E90" s="1957">
        <v>76150621.189999998</v>
      </c>
      <c r="F90" s="1958">
        <v>94263000</v>
      </c>
      <c r="G90" s="1402">
        <v>94263000</v>
      </c>
      <c r="H90" s="1403">
        <v>94263000</v>
      </c>
      <c r="I90" s="1959">
        <v>93619000</v>
      </c>
      <c r="J90" s="1402">
        <v>101926000</v>
      </c>
      <c r="K90" s="1957">
        <v>108004000</v>
      </c>
      <c r="L90" s="72"/>
      <c r="M90" s="73"/>
      <c r="N90" s="73"/>
      <c r="O90" s="73"/>
      <c r="P90" s="73"/>
      <c r="Q90" s="73"/>
      <c r="R90" s="73"/>
      <c r="S90" s="73"/>
      <c r="T90" s="73"/>
      <c r="U90" s="73"/>
      <c r="V90" s="73"/>
      <c r="W90" s="73"/>
    </row>
    <row r="91" spans="1:23" ht="11.25" customHeight="1">
      <c r="A91" s="1001">
        <f>'Org structure'!E88</f>
        <v>0</v>
      </c>
      <c r="B91" s="882"/>
      <c r="C91" s="1402"/>
      <c r="D91" s="1402"/>
      <c r="E91" s="1957"/>
      <c r="F91" s="1958"/>
      <c r="G91" s="1402"/>
      <c r="H91" s="1403"/>
      <c r="I91" s="1959"/>
      <c r="J91" s="1402"/>
      <c r="K91" s="1957"/>
      <c r="L91" s="72"/>
      <c r="M91" s="73"/>
      <c r="N91" s="73"/>
      <c r="O91" s="73"/>
      <c r="P91" s="73"/>
      <c r="Q91" s="73"/>
      <c r="R91" s="73"/>
      <c r="S91" s="73"/>
      <c r="T91" s="73"/>
      <c r="U91" s="73"/>
      <c r="V91" s="73"/>
      <c r="W91" s="73"/>
    </row>
    <row r="92" spans="1:23" ht="11.25" customHeight="1">
      <c r="A92" s="1001">
        <f>'Org structure'!E89</f>
        <v>0</v>
      </c>
      <c r="B92" s="882"/>
      <c r="C92" s="1402"/>
      <c r="D92" s="1402"/>
      <c r="E92" s="1957"/>
      <c r="F92" s="1958"/>
      <c r="G92" s="1402"/>
      <c r="H92" s="1403"/>
      <c r="I92" s="1959"/>
      <c r="J92" s="1402"/>
      <c r="K92" s="1957"/>
      <c r="L92" s="72"/>
      <c r="M92" s="73"/>
      <c r="N92" s="73"/>
      <c r="O92" s="73"/>
      <c r="P92" s="73"/>
      <c r="Q92" s="73"/>
      <c r="R92" s="73"/>
      <c r="S92" s="73"/>
      <c r="T92" s="73"/>
      <c r="U92" s="73"/>
      <c r="V92" s="73"/>
      <c r="W92" s="73"/>
    </row>
    <row r="93" spans="1:23" ht="15" customHeight="1">
      <c r="A93" s="1000" t="str">
        <f>'Org structure'!A10</f>
        <v>Vote 9 - [NAME OF VOTE 9]</v>
      </c>
      <c r="B93" s="882"/>
      <c r="C93" s="832">
        <f>SUM(C94:C103)</f>
        <v>0</v>
      </c>
      <c r="D93" s="832">
        <f t="shared" ref="D93:K93" si="8">SUM(D94:D103)</f>
        <v>0</v>
      </c>
      <c r="E93" s="833">
        <f t="shared" si="8"/>
        <v>0</v>
      </c>
      <c r="F93" s="834">
        <f t="shared" si="8"/>
        <v>0</v>
      </c>
      <c r="G93" s="832">
        <f t="shared" si="8"/>
        <v>0</v>
      </c>
      <c r="H93" s="835">
        <f t="shared" si="8"/>
        <v>0</v>
      </c>
      <c r="I93" s="836">
        <f t="shared" si="8"/>
        <v>0</v>
      </c>
      <c r="J93" s="832">
        <f t="shared" si="8"/>
        <v>0</v>
      </c>
      <c r="K93" s="833">
        <f t="shared" si="8"/>
        <v>0</v>
      </c>
      <c r="L93" s="72"/>
      <c r="M93" s="73"/>
      <c r="N93" s="73"/>
      <c r="O93" s="73"/>
      <c r="P93" s="73"/>
      <c r="Q93" s="73"/>
      <c r="R93" s="73"/>
      <c r="S93" s="73"/>
      <c r="T93" s="73"/>
      <c r="U93" s="73"/>
      <c r="V93" s="73"/>
      <c r="W93" s="73"/>
    </row>
    <row r="94" spans="1:23" ht="11.25" customHeight="1">
      <c r="A94" s="1001" t="str">
        <f>'Org structure'!E91</f>
        <v>9.1 - [Name of sub-vote]</v>
      </c>
      <c r="B94" s="882"/>
      <c r="C94" s="1402"/>
      <c r="D94" s="1402"/>
      <c r="E94" s="1957"/>
      <c r="F94" s="1958"/>
      <c r="G94" s="1402"/>
      <c r="H94" s="1403"/>
      <c r="I94" s="1959"/>
      <c r="J94" s="1402"/>
      <c r="K94" s="1957"/>
      <c r="L94" s="72"/>
      <c r="M94" s="73"/>
      <c r="N94" s="73"/>
      <c r="O94" s="73"/>
      <c r="P94" s="73"/>
      <c r="Q94" s="73"/>
      <c r="R94" s="73"/>
      <c r="S94" s="73"/>
      <c r="T94" s="73"/>
      <c r="U94" s="73"/>
      <c r="V94" s="73"/>
      <c r="W94" s="73"/>
    </row>
    <row r="95" spans="1:23" ht="11.25" customHeight="1">
      <c r="A95" s="1001">
        <f>'Org structure'!E92</f>
        <v>0</v>
      </c>
      <c r="B95" s="882"/>
      <c r="C95" s="1402"/>
      <c r="D95" s="1402"/>
      <c r="E95" s="1957"/>
      <c r="F95" s="1958"/>
      <c r="G95" s="1402"/>
      <c r="H95" s="1403"/>
      <c r="I95" s="1959"/>
      <c r="J95" s="1402"/>
      <c r="K95" s="1957"/>
      <c r="L95" s="72"/>
      <c r="M95" s="73"/>
      <c r="N95" s="73"/>
      <c r="O95" s="73"/>
      <c r="P95" s="73"/>
      <c r="Q95" s="73"/>
      <c r="R95" s="73"/>
      <c r="S95" s="73"/>
      <c r="T95" s="73"/>
      <c r="U95" s="73"/>
      <c r="V95" s="73"/>
      <c r="W95" s="73"/>
    </row>
    <row r="96" spans="1:23" ht="11.25" customHeight="1">
      <c r="A96" s="1001">
        <f>'Org structure'!E93</f>
        <v>0</v>
      </c>
      <c r="B96" s="882"/>
      <c r="C96" s="1402"/>
      <c r="D96" s="1402"/>
      <c r="E96" s="1957"/>
      <c r="F96" s="1958"/>
      <c r="G96" s="1402"/>
      <c r="H96" s="1403"/>
      <c r="I96" s="1959"/>
      <c r="J96" s="1402"/>
      <c r="K96" s="1957"/>
      <c r="L96" s="72"/>
      <c r="M96" s="73"/>
      <c r="N96" s="73"/>
      <c r="O96" s="73"/>
      <c r="P96" s="73"/>
      <c r="Q96" s="73"/>
      <c r="R96" s="73"/>
      <c r="S96" s="73"/>
      <c r="T96" s="73"/>
      <c r="U96" s="73"/>
      <c r="V96" s="73"/>
      <c r="W96" s="73"/>
    </row>
    <row r="97" spans="1:23" ht="11.25" customHeight="1">
      <c r="A97" s="1001">
        <f>'Org structure'!E94</f>
        <v>0</v>
      </c>
      <c r="B97" s="882"/>
      <c r="C97" s="1402"/>
      <c r="D97" s="1402"/>
      <c r="E97" s="1957"/>
      <c r="F97" s="1958"/>
      <c r="G97" s="1402"/>
      <c r="H97" s="1403"/>
      <c r="I97" s="1959"/>
      <c r="J97" s="1402"/>
      <c r="K97" s="1957"/>
      <c r="L97" s="72"/>
      <c r="M97" s="73"/>
      <c r="N97" s="73"/>
      <c r="O97" s="73"/>
      <c r="P97" s="73"/>
      <c r="Q97" s="73"/>
      <c r="R97" s="73"/>
      <c r="S97" s="73"/>
      <c r="T97" s="73"/>
      <c r="U97" s="73"/>
      <c r="V97" s="73"/>
      <c r="W97" s="73"/>
    </row>
    <row r="98" spans="1:23" ht="11.25" customHeight="1">
      <c r="A98" s="1001">
        <f>'Org structure'!E95</f>
        <v>0</v>
      </c>
      <c r="B98" s="882"/>
      <c r="C98" s="1402"/>
      <c r="D98" s="1402"/>
      <c r="E98" s="1957"/>
      <c r="F98" s="1958"/>
      <c r="G98" s="1402"/>
      <c r="H98" s="1403"/>
      <c r="I98" s="1959"/>
      <c r="J98" s="1402"/>
      <c r="K98" s="1957"/>
      <c r="L98" s="72"/>
      <c r="M98" s="73"/>
      <c r="N98" s="73"/>
      <c r="O98" s="73"/>
      <c r="P98" s="73"/>
      <c r="Q98" s="73"/>
      <c r="R98" s="73"/>
      <c r="S98" s="73"/>
      <c r="T98" s="73"/>
      <c r="U98" s="73"/>
      <c r="V98" s="73"/>
      <c r="W98" s="73"/>
    </row>
    <row r="99" spans="1:23" ht="11.25" customHeight="1">
      <c r="A99" s="1001">
        <f>'Org structure'!E96</f>
        <v>0</v>
      </c>
      <c r="B99" s="882"/>
      <c r="C99" s="1402"/>
      <c r="D99" s="1402"/>
      <c r="E99" s="1957"/>
      <c r="F99" s="1958"/>
      <c r="G99" s="1402"/>
      <c r="H99" s="1403"/>
      <c r="I99" s="1959"/>
      <c r="J99" s="1402"/>
      <c r="K99" s="1957"/>
      <c r="L99" s="72"/>
      <c r="M99" s="73"/>
      <c r="N99" s="73"/>
      <c r="O99" s="73"/>
      <c r="P99" s="73"/>
      <c r="Q99" s="73"/>
      <c r="R99" s="73"/>
      <c r="S99" s="73"/>
      <c r="T99" s="73"/>
      <c r="U99" s="73"/>
      <c r="V99" s="73"/>
      <c r="W99" s="73"/>
    </row>
    <row r="100" spans="1:23" ht="11.25" customHeight="1">
      <c r="A100" s="1001">
        <f>'Org structure'!E97</f>
        <v>0</v>
      </c>
      <c r="B100" s="882"/>
      <c r="C100" s="1402"/>
      <c r="D100" s="1402"/>
      <c r="E100" s="1957"/>
      <c r="F100" s="1958"/>
      <c r="G100" s="1402"/>
      <c r="H100" s="1403"/>
      <c r="I100" s="1959"/>
      <c r="J100" s="1402"/>
      <c r="K100" s="1957"/>
      <c r="L100" s="72"/>
      <c r="M100" s="73"/>
      <c r="N100" s="73"/>
      <c r="O100" s="73"/>
      <c r="P100" s="73"/>
      <c r="Q100" s="73"/>
      <c r="R100" s="73"/>
      <c r="S100" s="73"/>
      <c r="T100" s="73"/>
      <c r="U100" s="73"/>
      <c r="V100" s="73"/>
      <c r="W100" s="73"/>
    </row>
    <row r="101" spans="1:23" ht="11.25" customHeight="1">
      <c r="A101" s="1001">
        <f>'Org structure'!E98</f>
        <v>0</v>
      </c>
      <c r="B101" s="882"/>
      <c r="C101" s="1402"/>
      <c r="D101" s="1402"/>
      <c r="E101" s="1957"/>
      <c r="F101" s="1958"/>
      <c r="G101" s="1402"/>
      <c r="H101" s="1403"/>
      <c r="I101" s="1959"/>
      <c r="J101" s="1402"/>
      <c r="K101" s="1957"/>
      <c r="L101" s="72"/>
      <c r="M101" s="73"/>
      <c r="N101" s="73"/>
      <c r="O101" s="73"/>
      <c r="P101" s="73"/>
      <c r="Q101" s="73"/>
      <c r="R101" s="73"/>
      <c r="S101" s="73"/>
      <c r="T101" s="73"/>
      <c r="U101" s="73"/>
      <c r="V101" s="73"/>
      <c r="W101" s="73"/>
    </row>
    <row r="102" spans="1:23" ht="11.25" customHeight="1">
      <c r="A102" s="1001">
        <f>'Org structure'!E99</f>
        <v>0</v>
      </c>
      <c r="B102" s="882"/>
      <c r="C102" s="1402"/>
      <c r="D102" s="1402"/>
      <c r="E102" s="1957"/>
      <c r="F102" s="1958"/>
      <c r="G102" s="1402"/>
      <c r="H102" s="1403"/>
      <c r="I102" s="1959"/>
      <c r="J102" s="1402"/>
      <c r="K102" s="1957"/>
      <c r="L102" s="72"/>
      <c r="M102" s="73"/>
      <c r="N102" s="73"/>
      <c r="O102" s="73"/>
      <c r="P102" s="73"/>
      <c r="Q102" s="73"/>
      <c r="R102" s="73"/>
      <c r="S102" s="73"/>
      <c r="T102" s="73"/>
      <c r="U102" s="73"/>
      <c r="V102" s="73"/>
      <c r="W102" s="73"/>
    </row>
    <row r="103" spans="1:23" ht="11.25" customHeight="1">
      <c r="A103" s="1001">
        <f>'Org structure'!E100</f>
        <v>0</v>
      </c>
      <c r="B103" s="882"/>
      <c r="C103" s="1402"/>
      <c r="D103" s="1402"/>
      <c r="E103" s="1957"/>
      <c r="F103" s="1958"/>
      <c r="G103" s="1402"/>
      <c r="H103" s="1403"/>
      <c r="I103" s="1959"/>
      <c r="J103" s="1402"/>
      <c r="K103" s="1957"/>
      <c r="L103" s="72"/>
      <c r="M103" s="73"/>
      <c r="N103" s="73"/>
      <c r="O103" s="73"/>
      <c r="P103" s="73"/>
      <c r="Q103" s="73"/>
      <c r="R103" s="73"/>
      <c r="S103" s="73"/>
      <c r="T103" s="73"/>
      <c r="U103" s="73"/>
      <c r="V103" s="73"/>
      <c r="W103" s="73"/>
    </row>
    <row r="104" spans="1:23" ht="15" customHeight="1">
      <c r="A104" s="1000" t="str">
        <f>'Org structure'!A11</f>
        <v>Vote 10 - [NAME OF VOTE 10]</v>
      </c>
      <c r="B104" s="882"/>
      <c r="C104" s="832">
        <f>SUM(C105:C114)</f>
        <v>0</v>
      </c>
      <c r="D104" s="832">
        <f t="shared" ref="D104:K104" si="9">SUM(D105:D114)</f>
        <v>0</v>
      </c>
      <c r="E104" s="833">
        <f t="shared" si="9"/>
        <v>0</v>
      </c>
      <c r="F104" s="834">
        <f t="shared" si="9"/>
        <v>0</v>
      </c>
      <c r="G104" s="832">
        <f t="shared" si="9"/>
        <v>0</v>
      </c>
      <c r="H104" s="835">
        <f t="shared" si="9"/>
        <v>0</v>
      </c>
      <c r="I104" s="836">
        <f t="shared" si="9"/>
        <v>0</v>
      </c>
      <c r="J104" s="832">
        <f t="shared" si="9"/>
        <v>0</v>
      </c>
      <c r="K104" s="833">
        <f t="shared" si="9"/>
        <v>0</v>
      </c>
      <c r="L104" s="72"/>
      <c r="M104" s="73"/>
      <c r="N104" s="73"/>
      <c r="O104" s="73"/>
      <c r="P104" s="73"/>
      <c r="Q104" s="73"/>
      <c r="R104" s="73"/>
      <c r="S104" s="73"/>
      <c r="T104" s="73"/>
      <c r="U104" s="73"/>
      <c r="V104" s="73"/>
      <c r="W104" s="73"/>
    </row>
    <row r="105" spans="1:23" ht="11.25" customHeight="1">
      <c r="A105" s="1001" t="str">
        <f>'Org structure'!E102</f>
        <v>10.1 - [Name of sub-vote]</v>
      </c>
      <c r="B105" s="882"/>
      <c r="C105" s="1402"/>
      <c r="D105" s="1402"/>
      <c r="E105" s="1957"/>
      <c r="F105" s="1958"/>
      <c r="G105" s="1402"/>
      <c r="H105" s="1403"/>
      <c r="I105" s="1959"/>
      <c r="J105" s="1402"/>
      <c r="K105" s="1957"/>
      <c r="L105" s="72"/>
      <c r="M105" s="73"/>
      <c r="N105" s="73"/>
      <c r="O105" s="73"/>
      <c r="P105" s="73"/>
      <c r="Q105" s="73"/>
      <c r="R105" s="73"/>
      <c r="S105" s="73"/>
      <c r="T105" s="73"/>
      <c r="U105" s="73"/>
      <c r="V105" s="73"/>
      <c r="W105" s="73"/>
    </row>
    <row r="106" spans="1:23" ht="11.25" customHeight="1">
      <c r="A106" s="1001">
        <f>'Org structure'!E103</f>
        <v>0</v>
      </c>
      <c r="B106" s="882"/>
      <c r="C106" s="1402"/>
      <c r="D106" s="1402"/>
      <c r="E106" s="1957"/>
      <c r="F106" s="1958"/>
      <c r="G106" s="1402"/>
      <c r="H106" s="1403"/>
      <c r="I106" s="1959"/>
      <c r="J106" s="1402"/>
      <c r="K106" s="1957"/>
      <c r="L106" s="72"/>
      <c r="M106" s="73"/>
      <c r="N106" s="73"/>
      <c r="O106" s="73"/>
      <c r="P106" s="73"/>
      <c r="Q106" s="73"/>
      <c r="R106" s="73"/>
      <c r="S106" s="73"/>
      <c r="T106" s="73"/>
      <c r="U106" s="73"/>
      <c r="V106" s="73"/>
      <c r="W106" s="73"/>
    </row>
    <row r="107" spans="1:23" ht="11.25" customHeight="1">
      <c r="A107" s="1001">
        <f>'Org structure'!E104</f>
        <v>0</v>
      </c>
      <c r="B107" s="882"/>
      <c r="C107" s="1402"/>
      <c r="D107" s="1402"/>
      <c r="E107" s="1957"/>
      <c r="F107" s="1958"/>
      <c r="G107" s="1402"/>
      <c r="H107" s="1403"/>
      <c r="I107" s="1959"/>
      <c r="J107" s="1402"/>
      <c r="K107" s="1957"/>
      <c r="L107" s="72"/>
      <c r="M107" s="73"/>
      <c r="N107" s="73"/>
      <c r="O107" s="73"/>
      <c r="P107" s="73"/>
      <c r="Q107" s="73"/>
      <c r="R107" s="73"/>
      <c r="S107" s="73"/>
      <c r="T107" s="73"/>
      <c r="U107" s="73"/>
      <c r="V107" s="73"/>
      <c r="W107" s="73"/>
    </row>
    <row r="108" spans="1:23" ht="11.25" customHeight="1">
      <c r="A108" s="1001">
        <f>'Org structure'!E105</f>
        <v>0</v>
      </c>
      <c r="B108" s="882"/>
      <c r="C108" s="1402"/>
      <c r="D108" s="1402"/>
      <c r="E108" s="1957"/>
      <c r="F108" s="1958"/>
      <c r="G108" s="1402"/>
      <c r="H108" s="1403"/>
      <c r="I108" s="1959"/>
      <c r="J108" s="1402"/>
      <c r="K108" s="1957"/>
      <c r="L108" s="72"/>
      <c r="M108" s="73"/>
      <c r="N108" s="73"/>
      <c r="O108" s="73"/>
      <c r="P108" s="73"/>
      <c r="Q108" s="73"/>
      <c r="R108" s="73"/>
      <c r="S108" s="73"/>
      <c r="T108" s="73"/>
      <c r="U108" s="73"/>
      <c r="V108" s="73"/>
      <c r="W108" s="73"/>
    </row>
    <row r="109" spans="1:23" ht="11.25" customHeight="1">
      <c r="A109" s="1001">
        <f>'Org structure'!E106</f>
        <v>0</v>
      </c>
      <c r="B109" s="882"/>
      <c r="C109" s="1402"/>
      <c r="D109" s="1402"/>
      <c r="E109" s="1957"/>
      <c r="F109" s="1958"/>
      <c r="G109" s="1402"/>
      <c r="H109" s="1403"/>
      <c r="I109" s="1959"/>
      <c r="J109" s="1402"/>
      <c r="K109" s="1957"/>
      <c r="L109" s="72"/>
      <c r="M109" s="73"/>
      <c r="N109" s="73"/>
      <c r="O109" s="73"/>
      <c r="P109" s="73"/>
      <c r="Q109" s="73"/>
      <c r="R109" s="73"/>
      <c r="S109" s="73"/>
      <c r="T109" s="73"/>
      <c r="U109" s="73"/>
      <c r="V109" s="73"/>
      <c r="W109" s="73"/>
    </row>
    <row r="110" spans="1:23" ht="11.25" customHeight="1">
      <c r="A110" s="1001">
        <f>'Org structure'!E107</f>
        <v>0</v>
      </c>
      <c r="B110" s="882"/>
      <c r="C110" s="1402"/>
      <c r="D110" s="1402"/>
      <c r="E110" s="1957"/>
      <c r="F110" s="1958"/>
      <c r="G110" s="1402"/>
      <c r="H110" s="1403"/>
      <c r="I110" s="1959"/>
      <c r="J110" s="1402"/>
      <c r="K110" s="1957"/>
      <c r="L110" s="72"/>
      <c r="M110" s="73"/>
      <c r="N110" s="73"/>
      <c r="O110" s="73"/>
      <c r="P110" s="73"/>
      <c r="Q110" s="73"/>
      <c r="R110" s="73"/>
      <c r="S110" s="73"/>
      <c r="T110" s="73"/>
      <c r="U110" s="73"/>
      <c r="V110" s="73"/>
      <c r="W110" s="73"/>
    </row>
    <row r="111" spans="1:23" ht="11.25" customHeight="1">
      <c r="A111" s="1001">
        <f>'Org structure'!E108</f>
        <v>0</v>
      </c>
      <c r="B111" s="882"/>
      <c r="C111" s="1402"/>
      <c r="D111" s="1402"/>
      <c r="E111" s="1957"/>
      <c r="F111" s="1958"/>
      <c r="G111" s="1402"/>
      <c r="H111" s="1403"/>
      <c r="I111" s="1959"/>
      <c r="J111" s="1402"/>
      <c r="K111" s="1957"/>
      <c r="L111" s="72"/>
      <c r="M111" s="73"/>
      <c r="N111" s="73"/>
      <c r="O111" s="73"/>
      <c r="P111" s="73"/>
      <c r="Q111" s="73"/>
      <c r="R111" s="73"/>
      <c r="S111" s="73"/>
      <c r="T111" s="73"/>
      <c r="U111" s="73"/>
      <c r="V111" s="73"/>
      <c r="W111" s="73"/>
    </row>
    <row r="112" spans="1:23" ht="11.25" customHeight="1">
      <c r="A112" s="1001">
        <f>'Org structure'!E109</f>
        <v>0</v>
      </c>
      <c r="B112" s="882"/>
      <c r="C112" s="1402"/>
      <c r="D112" s="1402"/>
      <c r="E112" s="1957"/>
      <c r="F112" s="1958"/>
      <c r="G112" s="1402"/>
      <c r="H112" s="1403"/>
      <c r="I112" s="1959"/>
      <c r="J112" s="1402"/>
      <c r="K112" s="1957"/>
      <c r="L112" s="72"/>
      <c r="M112" s="73"/>
      <c r="N112" s="73"/>
      <c r="O112" s="73"/>
      <c r="P112" s="73"/>
      <c r="Q112" s="73"/>
      <c r="R112" s="73"/>
      <c r="S112" s="73"/>
      <c r="T112" s="73"/>
      <c r="U112" s="73"/>
      <c r="V112" s="73"/>
      <c r="W112" s="73"/>
    </row>
    <row r="113" spans="1:23" ht="11.25" customHeight="1">
      <c r="A113" s="1001">
        <f>'Org structure'!E110</f>
        <v>0</v>
      </c>
      <c r="B113" s="882"/>
      <c r="C113" s="1402"/>
      <c r="D113" s="1402"/>
      <c r="E113" s="1957"/>
      <c r="F113" s="1958"/>
      <c r="G113" s="1402"/>
      <c r="H113" s="1403"/>
      <c r="I113" s="1959"/>
      <c r="J113" s="1402"/>
      <c r="K113" s="1957"/>
      <c r="L113" s="72"/>
      <c r="M113" s="73"/>
      <c r="N113" s="73"/>
      <c r="O113" s="73"/>
      <c r="P113" s="73"/>
      <c r="Q113" s="73"/>
      <c r="R113" s="73"/>
      <c r="S113" s="73"/>
      <c r="T113" s="73"/>
      <c r="U113" s="73"/>
      <c r="V113" s="73"/>
      <c r="W113" s="73"/>
    </row>
    <row r="114" spans="1:23" ht="11.25" customHeight="1">
      <c r="A114" s="1001">
        <f>'Org structure'!E111</f>
        <v>0</v>
      </c>
      <c r="B114" s="882"/>
      <c r="C114" s="1402"/>
      <c r="D114" s="1402"/>
      <c r="E114" s="1957"/>
      <c r="F114" s="1958"/>
      <c r="G114" s="1402"/>
      <c r="H114" s="1403"/>
      <c r="I114" s="1959"/>
      <c r="J114" s="1402"/>
      <c r="K114" s="1957"/>
      <c r="L114" s="72"/>
      <c r="M114" s="73"/>
      <c r="N114" s="73"/>
      <c r="O114" s="73"/>
      <c r="P114" s="73"/>
      <c r="Q114" s="73"/>
      <c r="R114" s="73"/>
      <c r="S114" s="73"/>
      <c r="T114" s="73"/>
      <c r="U114" s="73"/>
      <c r="V114" s="73"/>
      <c r="W114" s="73"/>
    </row>
    <row r="115" spans="1:23" ht="15" customHeight="1">
      <c r="A115" s="1583" t="str">
        <f>'Org structure'!A12</f>
        <v>Vote 11 - [NAME OF VOTE 11]</v>
      </c>
      <c r="B115" s="882"/>
      <c r="C115" s="832">
        <f>SUM(C116:C125)</f>
        <v>0</v>
      </c>
      <c r="D115" s="832">
        <f t="shared" ref="D115:K115" si="10">SUM(D116:D125)</f>
        <v>0</v>
      </c>
      <c r="E115" s="833">
        <f t="shared" si="10"/>
        <v>0</v>
      </c>
      <c r="F115" s="834">
        <f t="shared" si="10"/>
        <v>0</v>
      </c>
      <c r="G115" s="832">
        <f t="shared" si="10"/>
        <v>0</v>
      </c>
      <c r="H115" s="835">
        <f t="shared" si="10"/>
        <v>0</v>
      </c>
      <c r="I115" s="836">
        <f t="shared" si="10"/>
        <v>0</v>
      </c>
      <c r="J115" s="832">
        <f t="shared" si="10"/>
        <v>0</v>
      </c>
      <c r="K115" s="833">
        <f t="shared" si="10"/>
        <v>0</v>
      </c>
      <c r="L115" s="72"/>
      <c r="M115" s="73"/>
      <c r="N115" s="73"/>
      <c r="O115" s="73"/>
      <c r="P115" s="73"/>
      <c r="Q115" s="73"/>
      <c r="R115" s="73"/>
      <c r="S115" s="73"/>
      <c r="T115" s="73"/>
      <c r="U115" s="73"/>
      <c r="V115" s="73"/>
      <c r="W115" s="73"/>
    </row>
    <row r="116" spans="1:23" ht="11.25" customHeight="1">
      <c r="A116" s="1001" t="str">
        <f>'Org structure'!E113</f>
        <v>11.1 - [Name of sub-vote]</v>
      </c>
      <c r="B116" s="882"/>
      <c r="C116" s="1402"/>
      <c r="D116" s="1402"/>
      <c r="E116" s="1957"/>
      <c r="F116" s="1958"/>
      <c r="G116" s="1402"/>
      <c r="H116" s="1403"/>
      <c r="I116" s="1959"/>
      <c r="J116" s="1402"/>
      <c r="K116" s="1957"/>
      <c r="L116" s="72"/>
      <c r="M116" s="73"/>
      <c r="N116" s="73"/>
      <c r="O116" s="73"/>
      <c r="P116" s="73"/>
      <c r="Q116" s="73"/>
      <c r="R116" s="73"/>
      <c r="S116" s="73"/>
      <c r="T116" s="73"/>
      <c r="U116" s="73"/>
      <c r="V116" s="73"/>
      <c r="W116" s="73"/>
    </row>
    <row r="117" spans="1:23" ht="11.25" customHeight="1">
      <c r="A117" s="1001">
        <f>'Org structure'!E114</f>
        <v>0</v>
      </c>
      <c r="B117" s="882"/>
      <c r="C117" s="1402"/>
      <c r="D117" s="1402"/>
      <c r="E117" s="1957"/>
      <c r="F117" s="1958"/>
      <c r="G117" s="1402"/>
      <c r="H117" s="1403"/>
      <c r="I117" s="1959"/>
      <c r="J117" s="1402"/>
      <c r="K117" s="1957"/>
      <c r="L117" s="72"/>
      <c r="M117" s="73"/>
      <c r="N117" s="73"/>
      <c r="O117" s="73"/>
      <c r="P117" s="73"/>
      <c r="Q117" s="73"/>
      <c r="R117" s="73"/>
      <c r="S117" s="73"/>
      <c r="T117" s="73"/>
      <c r="U117" s="73"/>
      <c r="V117" s="73"/>
      <c r="W117" s="73"/>
    </row>
    <row r="118" spans="1:23" ht="11.25" customHeight="1">
      <c r="A118" s="1001">
        <f>'Org structure'!E115</f>
        <v>0</v>
      </c>
      <c r="B118" s="882"/>
      <c r="C118" s="1402"/>
      <c r="D118" s="1402"/>
      <c r="E118" s="1957"/>
      <c r="F118" s="1958"/>
      <c r="G118" s="1402"/>
      <c r="H118" s="1403"/>
      <c r="I118" s="1959"/>
      <c r="J118" s="1402"/>
      <c r="K118" s="1957"/>
      <c r="L118" s="72"/>
      <c r="M118" s="73"/>
      <c r="N118" s="73"/>
      <c r="O118" s="73"/>
      <c r="P118" s="73"/>
      <c r="Q118" s="73"/>
      <c r="R118" s="73"/>
      <c r="S118" s="73"/>
      <c r="T118" s="73"/>
      <c r="U118" s="73"/>
      <c r="V118" s="73"/>
      <c r="W118" s="73"/>
    </row>
    <row r="119" spans="1:23" ht="11.25" customHeight="1">
      <c r="A119" s="1001">
        <f>'Org structure'!E116</f>
        <v>0</v>
      </c>
      <c r="B119" s="882"/>
      <c r="C119" s="1402"/>
      <c r="D119" s="1402"/>
      <c r="E119" s="1957"/>
      <c r="F119" s="1958"/>
      <c r="G119" s="1402"/>
      <c r="H119" s="1403"/>
      <c r="I119" s="1959"/>
      <c r="J119" s="1402"/>
      <c r="K119" s="1957"/>
      <c r="L119" s="72"/>
      <c r="M119" s="73"/>
      <c r="N119" s="73"/>
      <c r="O119" s="73"/>
      <c r="P119" s="73"/>
      <c r="Q119" s="73"/>
      <c r="R119" s="73"/>
      <c r="S119" s="73"/>
      <c r="T119" s="73"/>
      <c r="U119" s="73"/>
      <c r="V119" s="73"/>
      <c r="W119" s="73"/>
    </row>
    <row r="120" spans="1:23" ht="11.25" customHeight="1">
      <c r="A120" s="1001">
        <f>'Org structure'!E117</f>
        <v>0</v>
      </c>
      <c r="B120" s="882"/>
      <c r="C120" s="1402"/>
      <c r="D120" s="1402"/>
      <c r="E120" s="1957"/>
      <c r="F120" s="1958"/>
      <c r="G120" s="1402"/>
      <c r="H120" s="1403"/>
      <c r="I120" s="1959"/>
      <c r="J120" s="1402"/>
      <c r="K120" s="1957"/>
      <c r="L120" s="72"/>
      <c r="M120" s="73"/>
      <c r="N120" s="73"/>
      <c r="O120" s="73"/>
      <c r="P120" s="73"/>
      <c r="Q120" s="73"/>
      <c r="R120" s="73"/>
      <c r="S120" s="73"/>
      <c r="T120" s="73"/>
      <c r="U120" s="73"/>
      <c r="V120" s="73"/>
      <c r="W120" s="73"/>
    </row>
    <row r="121" spans="1:23" ht="11.25" customHeight="1">
      <c r="A121" s="1001">
        <f>'Org structure'!E118</f>
        <v>0</v>
      </c>
      <c r="B121" s="882"/>
      <c r="C121" s="1402"/>
      <c r="D121" s="1402"/>
      <c r="E121" s="1957"/>
      <c r="F121" s="1958"/>
      <c r="G121" s="1402"/>
      <c r="H121" s="1403"/>
      <c r="I121" s="1959"/>
      <c r="J121" s="1402"/>
      <c r="K121" s="1957"/>
      <c r="L121" s="72"/>
      <c r="M121" s="73"/>
      <c r="N121" s="73"/>
      <c r="O121" s="73"/>
      <c r="P121" s="73"/>
      <c r="Q121" s="73"/>
      <c r="R121" s="73"/>
      <c r="S121" s="73"/>
      <c r="T121" s="73"/>
      <c r="U121" s="73"/>
      <c r="V121" s="73"/>
      <c r="W121" s="73"/>
    </row>
    <row r="122" spans="1:23" ht="11.25" customHeight="1">
      <c r="A122" s="1001">
        <f>'Org structure'!E119</f>
        <v>0</v>
      </c>
      <c r="B122" s="882"/>
      <c r="C122" s="1402"/>
      <c r="D122" s="1402"/>
      <c r="E122" s="1957"/>
      <c r="F122" s="1958"/>
      <c r="G122" s="1402"/>
      <c r="H122" s="1403"/>
      <c r="I122" s="1959"/>
      <c r="J122" s="1402"/>
      <c r="K122" s="1957"/>
      <c r="L122" s="72"/>
      <c r="M122" s="73"/>
      <c r="N122" s="73"/>
      <c r="O122" s="73"/>
      <c r="P122" s="73"/>
      <c r="Q122" s="73"/>
      <c r="R122" s="73"/>
      <c r="S122" s="73"/>
      <c r="T122" s="73"/>
      <c r="U122" s="73"/>
      <c r="V122" s="73"/>
      <c r="W122" s="73"/>
    </row>
    <row r="123" spans="1:23" ht="11.25" customHeight="1">
      <c r="A123" s="1001">
        <f>'Org structure'!E120</f>
        <v>0</v>
      </c>
      <c r="B123" s="882"/>
      <c r="C123" s="1402"/>
      <c r="D123" s="1402"/>
      <c r="E123" s="1957"/>
      <c r="F123" s="1958"/>
      <c r="G123" s="1402"/>
      <c r="H123" s="1403"/>
      <c r="I123" s="1959"/>
      <c r="J123" s="1402"/>
      <c r="K123" s="1957"/>
      <c r="L123" s="72"/>
      <c r="M123" s="73"/>
      <c r="N123" s="73"/>
      <c r="O123" s="73"/>
      <c r="P123" s="73"/>
      <c r="Q123" s="73"/>
      <c r="R123" s="73"/>
      <c r="S123" s="73"/>
      <c r="T123" s="73"/>
      <c r="U123" s="73"/>
      <c r="V123" s="73"/>
      <c r="W123" s="73"/>
    </row>
    <row r="124" spans="1:23" ht="11.25" customHeight="1">
      <c r="A124" s="1001">
        <f>'Org structure'!E121</f>
        <v>0</v>
      </c>
      <c r="B124" s="882"/>
      <c r="C124" s="1402"/>
      <c r="D124" s="1402"/>
      <c r="E124" s="1957"/>
      <c r="F124" s="1958"/>
      <c r="G124" s="1402"/>
      <c r="H124" s="1403"/>
      <c r="I124" s="1959"/>
      <c r="J124" s="1402"/>
      <c r="K124" s="1957"/>
      <c r="L124" s="72"/>
      <c r="M124" s="73"/>
      <c r="N124" s="73"/>
      <c r="O124" s="73"/>
      <c r="P124" s="73"/>
      <c r="Q124" s="73"/>
      <c r="R124" s="73"/>
      <c r="S124" s="73"/>
      <c r="T124" s="73"/>
      <c r="U124" s="73"/>
      <c r="V124" s="73"/>
      <c r="W124" s="73"/>
    </row>
    <row r="125" spans="1:23" ht="11.25" customHeight="1">
      <c r="A125" s="1001">
        <f>'Org structure'!E122</f>
        <v>0</v>
      </c>
      <c r="B125" s="882"/>
      <c r="C125" s="1402"/>
      <c r="D125" s="1402"/>
      <c r="E125" s="1957"/>
      <c r="F125" s="1958"/>
      <c r="G125" s="1402"/>
      <c r="H125" s="1403"/>
      <c r="I125" s="1959"/>
      <c r="J125" s="1402"/>
      <c r="K125" s="1957"/>
      <c r="L125" s="72"/>
      <c r="M125" s="73"/>
      <c r="N125" s="73"/>
      <c r="O125" s="73"/>
      <c r="P125" s="73"/>
      <c r="Q125" s="73"/>
      <c r="R125" s="73"/>
      <c r="S125" s="73"/>
      <c r="T125" s="73"/>
      <c r="U125" s="73"/>
      <c r="V125" s="73"/>
      <c r="W125" s="73"/>
    </row>
    <row r="126" spans="1:23" ht="15" customHeight="1">
      <c r="A126" s="1583" t="str">
        <f>'Org structure'!A13</f>
        <v>Vote 12 - [NAME OF VOTE 12]</v>
      </c>
      <c r="B126" s="882"/>
      <c r="C126" s="832">
        <f>SUM(C127:C136)</f>
        <v>0</v>
      </c>
      <c r="D126" s="832">
        <f t="shared" ref="D126:K126" si="11">SUM(D127:D136)</f>
        <v>0</v>
      </c>
      <c r="E126" s="833">
        <f t="shared" si="11"/>
        <v>0</v>
      </c>
      <c r="F126" s="834">
        <f t="shared" si="11"/>
        <v>0</v>
      </c>
      <c r="G126" s="832">
        <f t="shared" si="11"/>
        <v>0</v>
      </c>
      <c r="H126" s="835">
        <f t="shared" si="11"/>
        <v>0</v>
      </c>
      <c r="I126" s="836">
        <f t="shared" si="11"/>
        <v>0</v>
      </c>
      <c r="J126" s="832">
        <f t="shared" si="11"/>
        <v>0</v>
      </c>
      <c r="K126" s="833">
        <f t="shared" si="11"/>
        <v>0</v>
      </c>
      <c r="L126" s="72"/>
      <c r="M126" s="73"/>
      <c r="N126" s="73"/>
      <c r="O126" s="73"/>
      <c r="P126" s="73"/>
      <c r="Q126" s="73"/>
      <c r="R126" s="73"/>
      <c r="S126" s="73"/>
      <c r="T126" s="73"/>
      <c r="U126" s="73"/>
      <c r="V126" s="73"/>
      <c r="W126" s="73"/>
    </row>
    <row r="127" spans="1:23" ht="11.25" customHeight="1">
      <c r="A127" s="1001" t="str">
        <f>'Org structure'!E124</f>
        <v>12.1 - [Name of sub-vote]</v>
      </c>
      <c r="B127" s="882"/>
      <c r="C127" s="1402"/>
      <c r="D127" s="1402"/>
      <c r="E127" s="1957"/>
      <c r="F127" s="1958"/>
      <c r="G127" s="1402"/>
      <c r="H127" s="1403"/>
      <c r="I127" s="1959"/>
      <c r="J127" s="1402"/>
      <c r="K127" s="1957"/>
      <c r="L127" s="72"/>
      <c r="M127" s="73"/>
      <c r="N127" s="73"/>
      <c r="O127" s="73"/>
      <c r="P127" s="73"/>
      <c r="Q127" s="73"/>
      <c r="R127" s="73"/>
      <c r="S127" s="73"/>
      <c r="T127" s="73"/>
      <c r="U127" s="73"/>
      <c r="V127" s="73"/>
      <c r="W127" s="73"/>
    </row>
    <row r="128" spans="1:23" ht="11.25" customHeight="1">
      <c r="A128" s="1001">
        <f>'Org structure'!E125</f>
        <v>0</v>
      </c>
      <c r="B128" s="882"/>
      <c r="C128" s="1402"/>
      <c r="D128" s="1402"/>
      <c r="E128" s="1957"/>
      <c r="F128" s="1958"/>
      <c r="G128" s="1402"/>
      <c r="H128" s="1403"/>
      <c r="I128" s="1959"/>
      <c r="J128" s="1402"/>
      <c r="K128" s="1957"/>
      <c r="L128" s="72"/>
      <c r="M128" s="73"/>
      <c r="N128" s="73"/>
      <c r="O128" s="73"/>
      <c r="P128" s="73"/>
      <c r="Q128" s="73"/>
      <c r="R128" s="73"/>
      <c r="S128" s="73"/>
      <c r="T128" s="73"/>
      <c r="U128" s="73"/>
      <c r="V128" s="73"/>
      <c r="W128" s="73"/>
    </row>
    <row r="129" spans="1:23" ht="11.25" customHeight="1">
      <c r="A129" s="1001">
        <f>'Org structure'!E126</f>
        <v>0</v>
      </c>
      <c r="B129" s="882"/>
      <c r="C129" s="1402"/>
      <c r="D129" s="1402"/>
      <c r="E129" s="1957"/>
      <c r="F129" s="1958"/>
      <c r="G129" s="1402"/>
      <c r="H129" s="1403"/>
      <c r="I129" s="1959"/>
      <c r="J129" s="1402"/>
      <c r="K129" s="1957"/>
      <c r="L129" s="72"/>
      <c r="M129" s="73"/>
      <c r="N129" s="73"/>
      <c r="O129" s="73"/>
      <c r="P129" s="73"/>
      <c r="Q129" s="73"/>
      <c r="R129" s="73"/>
      <c r="S129" s="73"/>
      <c r="T129" s="73"/>
      <c r="U129" s="73"/>
      <c r="V129" s="73"/>
      <c r="W129" s="73"/>
    </row>
    <row r="130" spans="1:23" ht="11.25" customHeight="1">
      <c r="A130" s="1001">
        <f>'Org structure'!E127</f>
        <v>0</v>
      </c>
      <c r="B130" s="882"/>
      <c r="C130" s="1402"/>
      <c r="D130" s="1402"/>
      <c r="E130" s="1957"/>
      <c r="F130" s="1958"/>
      <c r="G130" s="1402"/>
      <c r="H130" s="1403"/>
      <c r="I130" s="1959"/>
      <c r="J130" s="1402"/>
      <c r="K130" s="1957"/>
      <c r="L130" s="72"/>
      <c r="M130" s="73"/>
      <c r="N130" s="73"/>
      <c r="O130" s="73"/>
      <c r="P130" s="73"/>
      <c r="Q130" s="73"/>
      <c r="R130" s="73"/>
      <c r="S130" s="73"/>
      <c r="T130" s="73"/>
      <c r="U130" s="73"/>
      <c r="V130" s="73"/>
      <c r="W130" s="73"/>
    </row>
    <row r="131" spans="1:23" ht="11.25" customHeight="1">
      <c r="A131" s="1001">
        <f>'Org structure'!E128</f>
        <v>0</v>
      </c>
      <c r="B131" s="882"/>
      <c r="C131" s="1402"/>
      <c r="D131" s="1402"/>
      <c r="E131" s="1957"/>
      <c r="F131" s="1958"/>
      <c r="G131" s="1402"/>
      <c r="H131" s="1403"/>
      <c r="I131" s="1959"/>
      <c r="J131" s="1402"/>
      <c r="K131" s="1957"/>
      <c r="L131" s="72"/>
      <c r="M131" s="73"/>
      <c r="N131" s="73"/>
      <c r="O131" s="73"/>
      <c r="P131" s="73"/>
      <c r="Q131" s="73"/>
      <c r="R131" s="73"/>
      <c r="S131" s="73"/>
      <c r="T131" s="73"/>
      <c r="U131" s="73"/>
      <c r="V131" s="73"/>
      <c r="W131" s="73"/>
    </row>
    <row r="132" spans="1:23" ht="11.25" customHeight="1">
      <c r="A132" s="1001">
        <f>'Org structure'!E129</f>
        <v>0</v>
      </c>
      <c r="B132" s="882"/>
      <c r="C132" s="1402"/>
      <c r="D132" s="1402"/>
      <c r="E132" s="1957"/>
      <c r="F132" s="1958"/>
      <c r="G132" s="1402"/>
      <c r="H132" s="1403"/>
      <c r="I132" s="1959"/>
      <c r="J132" s="1402"/>
      <c r="K132" s="1957"/>
      <c r="L132" s="72"/>
      <c r="M132" s="73"/>
      <c r="N132" s="73"/>
      <c r="O132" s="73"/>
      <c r="P132" s="73"/>
      <c r="Q132" s="73"/>
      <c r="R132" s="73"/>
      <c r="S132" s="73"/>
      <c r="T132" s="73"/>
      <c r="U132" s="73"/>
      <c r="V132" s="73"/>
      <c r="W132" s="73"/>
    </row>
    <row r="133" spans="1:23" ht="11.25" customHeight="1">
      <c r="A133" s="1001">
        <f>'Org structure'!E130</f>
        <v>0</v>
      </c>
      <c r="B133" s="882"/>
      <c r="C133" s="1402"/>
      <c r="D133" s="1402"/>
      <c r="E133" s="1957"/>
      <c r="F133" s="1958"/>
      <c r="G133" s="1402"/>
      <c r="H133" s="1403"/>
      <c r="I133" s="1959"/>
      <c r="J133" s="1402"/>
      <c r="K133" s="1957"/>
      <c r="L133" s="72"/>
      <c r="M133" s="73"/>
      <c r="N133" s="73"/>
      <c r="O133" s="73"/>
      <c r="P133" s="73"/>
      <c r="Q133" s="73"/>
      <c r="R133" s="73"/>
      <c r="S133" s="73"/>
      <c r="T133" s="73"/>
      <c r="U133" s="73"/>
      <c r="V133" s="73"/>
      <c r="W133" s="73"/>
    </row>
    <row r="134" spans="1:23" ht="11.25" customHeight="1">
      <c r="A134" s="1001">
        <f>'Org structure'!E131</f>
        <v>0</v>
      </c>
      <c r="B134" s="882"/>
      <c r="C134" s="1402"/>
      <c r="D134" s="1402"/>
      <c r="E134" s="1957"/>
      <c r="F134" s="1958"/>
      <c r="G134" s="1402"/>
      <c r="H134" s="1403"/>
      <c r="I134" s="1959"/>
      <c r="J134" s="1402"/>
      <c r="K134" s="1957"/>
      <c r="L134" s="72"/>
      <c r="M134" s="73"/>
      <c r="N134" s="73"/>
      <c r="O134" s="73"/>
      <c r="P134" s="73"/>
      <c r="Q134" s="73"/>
      <c r="R134" s="73"/>
      <c r="S134" s="73"/>
      <c r="T134" s="73"/>
      <c r="U134" s="73"/>
      <c r="V134" s="73"/>
      <c r="W134" s="73"/>
    </row>
    <row r="135" spans="1:23" ht="11.25" customHeight="1">
      <c r="A135" s="1001">
        <f>'Org structure'!E132</f>
        <v>0</v>
      </c>
      <c r="B135" s="882"/>
      <c r="C135" s="1402"/>
      <c r="D135" s="1402"/>
      <c r="E135" s="1957"/>
      <c r="F135" s="1958"/>
      <c r="G135" s="1402"/>
      <c r="H135" s="1403"/>
      <c r="I135" s="1959"/>
      <c r="J135" s="1402"/>
      <c r="K135" s="1957"/>
      <c r="L135" s="72"/>
      <c r="M135" s="73"/>
      <c r="N135" s="73"/>
      <c r="O135" s="73"/>
      <c r="P135" s="73"/>
      <c r="Q135" s="73"/>
      <c r="R135" s="73"/>
      <c r="S135" s="73"/>
      <c r="T135" s="73"/>
      <c r="U135" s="73"/>
      <c r="V135" s="73"/>
      <c r="W135" s="73"/>
    </row>
    <row r="136" spans="1:23" ht="11.25" customHeight="1">
      <c r="A136" s="1001">
        <f>'Org structure'!E133</f>
        <v>0</v>
      </c>
      <c r="B136" s="882"/>
      <c r="C136" s="1402"/>
      <c r="D136" s="1402"/>
      <c r="E136" s="1957"/>
      <c r="F136" s="1958"/>
      <c r="G136" s="1402"/>
      <c r="H136" s="1403"/>
      <c r="I136" s="1959"/>
      <c r="J136" s="1402"/>
      <c r="K136" s="1957"/>
      <c r="L136" s="72"/>
      <c r="M136" s="73"/>
      <c r="N136" s="73"/>
      <c r="O136" s="73"/>
      <c r="P136" s="73"/>
      <c r="Q136" s="73"/>
      <c r="R136" s="73"/>
      <c r="S136" s="73"/>
      <c r="T136" s="73"/>
      <c r="U136" s="73"/>
      <c r="V136" s="73"/>
      <c r="W136" s="73"/>
    </row>
    <row r="137" spans="1:23" ht="15" customHeight="1">
      <c r="A137" s="1583" t="str">
        <f>'Org structure'!A14</f>
        <v>Vote 13 - [NAME OF VOTE 13]</v>
      </c>
      <c r="B137" s="882"/>
      <c r="C137" s="832">
        <f>SUM(C138:C147)</f>
        <v>0</v>
      </c>
      <c r="D137" s="832">
        <f t="shared" ref="D137:K137" si="12">SUM(D138:D147)</f>
        <v>0</v>
      </c>
      <c r="E137" s="833">
        <f t="shared" si="12"/>
        <v>0</v>
      </c>
      <c r="F137" s="834">
        <f t="shared" si="12"/>
        <v>0</v>
      </c>
      <c r="G137" s="832">
        <f t="shared" si="12"/>
        <v>0</v>
      </c>
      <c r="H137" s="835">
        <f t="shared" si="12"/>
        <v>0</v>
      </c>
      <c r="I137" s="836">
        <f t="shared" si="12"/>
        <v>0</v>
      </c>
      <c r="J137" s="832">
        <f t="shared" si="12"/>
        <v>0</v>
      </c>
      <c r="K137" s="833">
        <f t="shared" si="12"/>
        <v>0</v>
      </c>
      <c r="L137" s="72"/>
      <c r="M137" s="73"/>
      <c r="N137" s="73"/>
      <c r="O137" s="73"/>
      <c r="P137" s="73"/>
      <c r="Q137" s="73"/>
      <c r="R137" s="73"/>
      <c r="S137" s="73"/>
      <c r="T137" s="73"/>
      <c r="U137" s="73"/>
      <c r="V137" s="73"/>
      <c r="W137" s="73"/>
    </row>
    <row r="138" spans="1:23" ht="11.25" customHeight="1">
      <c r="A138" s="1001" t="str">
        <f>'Org structure'!E135</f>
        <v>13.1 - [Name of sub-vote]</v>
      </c>
      <c r="B138" s="882"/>
      <c r="C138" s="1402"/>
      <c r="D138" s="1402"/>
      <c r="E138" s="1957"/>
      <c r="F138" s="1958"/>
      <c r="G138" s="1402"/>
      <c r="H138" s="1403"/>
      <c r="I138" s="1959"/>
      <c r="J138" s="1402"/>
      <c r="K138" s="1957"/>
      <c r="L138" s="72"/>
      <c r="M138" s="73"/>
      <c r="N138" s="73"/>
      <c r="O138" s="73"/>
      <c r="P138" s="73"/>
      <c r="Q138" s="73"/>
      <c r="R138" s="73"/>
      <c r="S138" s="73"/>
      <c r="T138" s="73"/>
      <c r="U138" s="73"/>
      <c r="V138" s="73"/>
      <c r="W138" s="73"/>
    </row>
    <row r="139" spans="1:23" ht="11.25" customHeight="1">
      <c r="A139" s="1001">
        <f>'Org structure'!E136</f>
        <v>0</v>
      </c>
      <c r="B139" s="882"/>
      <c r="C139" s="1402"/>
      <c r="D139" s="1402"/>
      <c r="E139" s="1957"/>
      <c r="F139" s="1958"/>
      <c r="G139" s="1402"/>
      <c r="H139" s="1403"/>
      <c r="I139" s="1959"/>
      <c r="J139" s="1402"/>
      <c r="K139" s="1957"/>
      <c r="L139" s="72"/>
      <c r="M139" s="73"/>
      <c r="N139" s="73"/>
      <c r="O139" s="73"/>
      <c r="P139" s="73"/>
      <c r="Q139" s="73"/>
      <c r="R139" s="73"/>
      <c r="S139" s="73"/>
      <c r="T139" s="73"/>
      <c r="U139" s="73"/>
      <c r="V139" s="73"/>
      <c r="W139" s="73"/>
    </row>
    <row r="140" spans="1:23" ht="11.25" customHeight="1">
      <c r="A140" s="1001">
        <f>'Org structure'!E137</f>
        <v>0</v>
      </c>
      <c r="B140" s="882"/>
      <c r="C140" s="1402"/>
      <c r="D140" s="1402"/>
      <c r="E140" s="1957"/>
      <c r="F140" s="1958"/>
      <c r="G140" s="1402"/>
      <c r="H140" s="1403"/>
      <c r="I140" s="1959"/>
      <c r="J140" s="1402"/>
      <c r="K140" s="1957"/>
      <c r="L140" s="72"/>
      <c r="M140" s="73"/>
      <c r="N140" s="73"/>
      <c r="O140" s="73"/>
      <c r="P140" s="73"/>
      <c r="Q140" s="73"/>
      <c r="R140" s="73"/>
      <c r="S140" s="73"/>
      <c r="T140" s="73"/>
      <c r="U140" s="73"/>
      <c r="V140" s="73"/>
      <c r="W140" s="73"/>
    </row>
    <row r="141" spans="1:23" ht="11.25" customHeight="1">
      <c r="A141" s="1001">
        <f>'Org structure'!E138</f>
        <v>0</v>
      </c>
      <c r="B141" s="882"/>
      <c r="C141" s="1402"/>
      <c r="D141" s="1402"/>
      <c r="E141" s="1957"/>
      <c r="F141" s="1958"/>
      <c r="G141" s="1402"/>
      <c r="H141" s="1403"/>
      <c r="I141" s="1959"/>
      <c r="J141" s="1402"/>
      <c r="K141" s="1957"/>
      <c r="L141" s="72"/>
      <c r="M141" s="73"/>
      <c r="N141" s="73"/>
      <c r="O141" s="73"/>
      <c r="P141" s="73"/>
      <c r="Q141" s="73"/>
      <c r="R141" s="73"/>
      <c r="S141" s="73"/>
      <c r="T141" s="73"/>
      <c r="U141" s="73"/>
      <c r="V141" s="73"/>
      <c r="W141" s="73"/>
    </row>
    <row r="142" spans="1:23" ht="11.25" customHeight="1">
      <c r="A142" s="1001">
        <f>'Org structure'!E139</f>
        <v>0</v>
      </c>
      <c r="B142" s="882"/>
      <c r="C142" s="1402"/>
      <c r="D142" s="1402"/>
      <c r="E142" s="1957"/>
      <c r="F142" s="1958"/>
      <c r="G142" s="1402"/>
      <c r="H142" s="1403"/>
      <c r="I142" s="1959"/>
      <c r="J142" s="1402"/>
      <c r="K142" s="1957"/>
      <c r="L142" s="72"/>
      <c r="M142" s="73"/>
      <c r="N142" s="73"/>
      <c r="O142" s="73"/>
      <c r="P142" s="73"/>
      <c r="Q142" s="73"/>
      <c r="R142" s="73"/>
      <c r="S142" s="73"/>
      <c r="T142" s="73"/>
      <c r="U142" s="73"/>
      <c r="V142" s="73"/>
      <c r="W142" s="73"/>
    </row>
    <row r="143" spans="1:23" ht="11.25" customHeight="1">
      <c r="A143" s="1001">
        <f>'Org structure'!E140</f>
        <v>0</v>
      </c>
      <c r="B143" s="882"/>
      <c r="C143" s="1402"/>
      <c r="D143" s="1402"/>
      <c r="E143" s="1957"/>
      <c r="F143" s="1958"/>
      <c r="G143" s="1402"/>
      <c r="H143" s="1403"/>
      <c r="I143" s="1959"/>
      <c r="J143" s="1402"/>
      <c r="K143" s="1957"/>
      <c r="L143" s="72"/>
      <c r="M143" s="73"/>
      <c r="N143" s="73"/>
      <c r="O143" s="73"/>
      <c r="P143" s="73"/>
      <c r="Q143" s="73"/>
      <c r="R143" s="73"/>
      <c r="S143" s="73"/>
      <c r="T143" s="73"/>
      <c r="U143" s="73"/>
      <c r="V143" s="73"/>
      <c r="W143" s="73"/>
    </row>
    <row r="144" spans="1:23" ht="11.25" customHeight="1">
      <c r="A144" s="1001">
        <f>'Org structure'!E141</f>
        <v>0</v>
      </c>
      <c r="B144" s="882"/>
      <c r="C144" s="1402"/>
      <c r="D144" s="1402"/>
      <c r="E144" s="1957"/>
      <c r="F144" s="1958"/>
      <c r="G144" s="1402"/>
      <c r="H144" s="1403"/>
      <c r="I144" s="1959"/>
      <c r="J144" s="1402"/>
      <c r="K144" s="1957"/>
      <c r="L144" s="72"/>
      <c r="M144" s="73"/>
      <c r="N144" s="73"/>
      <c r="O144" s="73"/>
      <c r="P144" s="73"/>
      <c r="Q144" s="73"/>
      <c r="R144" s="73"/>
      <c r="S144" s="73"/>
      <c r="T144" s="73"/>
      <c r="U144" s="73"/>
      <c r="V144" s="73"/>
      <c r="W144" s="73"/>
    </row>
    <row r="145" spans="1:23" ht="11.25" customHeight="1">
      <c r="A145" s="1001">
        <f>'Org structure'!E142</f>
        <v>0</v>
      </c>
      <c r="B145" s="882"/>
      <c r="C145" s="1402"/>
      <c r="D145" s="1402"/>
      <c r="E145" s="1957"/>
      <c r="F145" s="1958"/>
      <c r="G145" s="1402"/>
      <c r="H145" s="1403"/>
      <c r="I145" s="1959"/>
      <c r="J145" s="1402"/>
      <c r="K145" s="1957"/>
      <c r="L145" s="72"/>
      <c r="M145" s="73"/>
      <c r="N145" s="73"/>
      <c r="O145" s="73"/>
      <c r="P145" s="73"/>
      <c r="Q145" s="73"/>
      <c r="R145" s="73"/>
      <c r="S145" s="73"/>
      <c r="T145" s="73"/>
      <c r="U145" s="73"/>
      <c r="V145" s="73"/>
      <c r="W145" s="73"/>
    </row>
    <row r="146" spans="1:23" ht="11.25" customHeight="1">
      <c r="A146" s="1001">
        <f>'Org structure'!E143</f>
        <v>0</v>
      </c>
      <c r="B146" s="882"/>
      <c r="C146" s="1402"/>
      <c r="D146" s="1402"/>
      <c r="E146" s="1957"/>
      <c r="F146" s="1958"/>
      <c r="G146" s="1402"/>
      <c r="H146" s="1403"/>
      <c r="I146" s="1959"/>
      <c r="J146" s="1402"/>
      <c r="K146" s="1957"/>
      <c r="L146" s="72"/>
      <c r="M146" s="73"/>
      <c r="N146" s="73"/>
      <c r="O146" s="73"/>
      <c r="P146" s="73"/>
      <c r="Q146" s="73"/>
      <c r="R146" s="73"/>
      <c r="S146" s="73"/>
      <c r="T146" s="73"/>
      <c r="U146" s="73"/>
      <c r="V146" s="73"/>
      <c r="W146" s="73"/>
    </row>
    <row r="147" spans="1:23" ht="11.25" customHeight="1">
      <c r="A147" s="1001">
        <f>'Org structure'!E144</f>
        <v>0</v>
      </c>
      <c r="B147" s="882"/>
      <c r="C147" s="1402"/>
      <c r="D147" s="1402"/>
      <c r="E147" s="1957"/>
      <c r="F147" s="1958"/>
      <c r="G147" s="1402"/>
      <c r="H147" s="1403"/>
      <c r="I147" s="1959"/>
      <c r="J147" s="1402"/>
      <c r="K147" s="1957"/>
      <c r="L147" s="72"/>
      <c r="M147" s="73"/>
      <c r="N147" s="73"/>
      <c r="O147" s="73"/>
      <c r="P147" s="73"/>
      <c r="Q147" s="73"/>
      <c r="R147" s="73"/>
      <c r="S147" s="73"/>
      <c r="T147" s="73"/>
      <c r="U147" s="73"/>
      <c r="V147" s="73"/>
      <c r="W147" s="73"/>
    </row>
    <row r="148" spans="1:23" ht="15" customHeight="1">
      <c r="A148" s="1583" t="str">
        <f>'Org structure'!A15</f>
        <v>Vote 14 - [NAME OF VOTE 14]</v>
      </c>
      <c r="B148" s="882"/>
      <c r="C148" s="832">
        <f>SUM(C149:C158)</f>
        <v>0</v>
      </c>
      <c r="D148" s="832">
        <f t="shared" ref="D148:K148" si="13">SUM(D149:D158)</f>
        <v>0</v>
      </c>
      <c r="E148" s="833">
        <f t="shared" si="13"/>
        <v>0</v>
      </c>
      <c r="F148" s="834">
        <f t="shared" si="13"/>
        <v>0</v>
      </c>
      <c r="G148" s="832">
        <f t="shared" si="13"/>
        <v>0</v>
      </c>
      <c r="H148" s="835">
        <f t="shared" si="13"/>
        <v>0</v>
      </c>
      <c r="I148" s="836">
        <f t="shared" si="13"/>
        <v>0</v>
      </c>
      <c r="J148" s="832">
        <f t="shared" si="13"/>
        <v>0</v>
      </c>
      <c r="K148" s="833">
        <f t="shared" si="13"/>
        <v>0</v>
      </c>
      <c r="L148" s="72"/>
      <c r="M148" s="73"/>
      <c r="N148" s="73"/>
      <c r="O148" s="73"/>
      <c r="P148" s="73"/>
      <c r="Q148" s="73"/>
      <c r="R148" s="73"/>
      <c r="S148" s="73"/>
      <c r="T148" s="73"/>
      <c r="U148" s="73"/>
      <c r="V148" s="73"/>
      <c r="W148" s="73"/>
    </row>
    <row r="149" spans="1:23" ht="11.25" customHeight="1">
      <c r="A149" s="1001" t="str">
        <f>'Org structure'!E146</f>
        <v>14.1 - [Name of sub-vote]</v>
      </c>
      <c r="B149" s="882"/>
      <c r="C149" s="1402"/>
      <c r="D149" s="1402"/>
      <c r="E149" s="1957"/>
      <c r="F149" s="1958"/>
      <c r="G149" s="1402"/>
      <c r="H149" s="1403"/>
      <c r="I149" s="1959"/>
      <c r="J149" s="1402"/>
      <c r="K149" s="1957"/>
      <c r="L149" s="72"/>
      <c r="M149" s="73"/>
      <c r="N149" s="73"/>
      <c r="O149" s="73"/>
      <c r="P149" s="73"/>
      <c r="Q149" s="73"/>
      <c r="R149" s="73"/>
      <c r="S149" s="73"/>
      <c r="T149" s="73"/>
      <c r="U149" s="73"/>
      <c r="V149" s="73"/>
      <c r="W149" s="73"/>
    </row>
    <row r="150" spans="1:23" ht="11.25" customHeight="1">
      <c r="A150" s="1001">
        <f>'Org structure'!E147</f>
        <v>0</v>
      </c>
      <c r="B150" s="882"/>
      <c r="C150" s="1402"/>
      <c r="D150" s="1402"/>
      <c r="E150" s="1957"/>
      <c r="F150" s="1958"/>
      <c r="G150" s="1402"/>
      <c r="H150" s="1403"/>
      <c r="I150" s="1959"/>
      <c r="J150" s="1402"/>
      <c r="K150" s="1957"/>
      <c r="L150" s="72"/>
      <c r="M150" s="73"/>
      <c r="N150" s="73"/>
      <c r="O150" s="73"/>
      <c r="P150" s="73"/>
      <c r="Q150" s="73"/>
      <c r="R150" s="73"/>
      <c r="S150" s="73"/>
      <c r="T150" s="73"/>
      <c r="U150" s="73"/>
      <c r="V150" s="73"/>
      <c r="W150" s="73"/>
    </row>
    <row r="151" spans="1:23" ht="11.25" customHeight="1">
      <c r="A151" s="1001">
        <f>'Org structure'!E148</f>
        <v>0</v>
      </c>
      <c r="B151" s="882"/>
      <c r="C151" s="1402"/>
      <c r="D151" s="1402"/>
      <c r="E151" s="1957"/>
      <c r="F151" s="1958"/>
      <c r="G151" s="1402"/>
      <c r="H151" s="1403"/>
      <c r="I151" s="1959"/>
      <c r="J151" s="1402"/>
      <c r="K151" s="1957"/>
      <c r="L151" s="72"/>
      <c r="M151" s="73"/>
      <c r="N151" s="73"/>
      <c r="O151" s="73"/>
      <c r="P151" s="73"/>
      <c r="Q151" s="73"/>
      <c r="R151" s="73"/>
      <c r="S151" s="73"/>
      <c r="T151" s="73"/>
      <c r="U151" s="73"/>
      <c r="V151" s="73"/>
      <c r="W151" s="73"/>
    </row>
    <row r="152" spans="1:23" ht="11.25" customHeight="1">
      <c r="A152" s="1001">
        <f>'Org structure'!E149</f>
        <v>0</v>
      </c>
      <c r="B152" s="882"/>
      <c r="C152" s="1402"/>
      <c r="D152" s="1402"/>
      <c r="E152" s="1957"/>
      <c r="F152" s="1958"/>
      <c r="G152" s="1402"/>
      <c r="H152" s="1403"/>
      <c r="I152" s="1959"/>
      <c r="J152" s="1402"/>
      <c r="K152" s="1957"/>
      <c r="L152" s="72"/>
      <c r="M152" s="73"/>
      <c r="N152" s="73"/>
      <c r="O152" s="73"/>
      <c r="P152" s="73"/>
      <c r="Q152" s="73"/>
      <c r="R152" s="73"/>
      <c r="S152" s="73"/>
      <c r="T152" s="73"/>
      <c r="U152" s="73"/>
      <c r="V152" s="73"/>
      <c r="W152" s="73"/>
    </row>
    <row r="153" spans="1:23" ht="11.25" customHeight="1">
      <c r="A153" s="1001">
        <f>'Org structure'!E150</f>
        <v>0</v>
      </c>
      <c r="B153" s="882"/>
      <c r="C153" s="1402"/>
      <c r="D153" s="1402"/>
      <c r="E153" s="1957"/>
      <c r="F153" s="1958"/>
      <c r="G153" s="1402"/>
      <c r="H153" s="1403"/>
      <c r="I153" s="1959"/>
      <c r="J153" s="1402"/>
      <c r="K153" s="1957"/>
      <c r="L153" s="72"/>
      <c r="M153" s="73"/>
      <c r="N153" s="73"/>
      <c r="O153" s="73"/>
      <c r="P153" s="73"/>
      <c r="Q153" s="73"/>
      <c r="R153" s="73"/>
      <c r="S153" s="73"/>
      <c r="T153" s="73"/>
      <c r="U153" s="73"/>
      <c r="V153" s="73"/>
      <c r="W153" s="73"/>
    </row>
    <row r="154" spans="1:23" ht="11.25" customHeight="1">
      <c r="A154" s="1001">
        <f>'Org structure'!E151</f>
        <v>0</v>
      </c>
      <c r="B154" s="882"/>
      <c r="C154" s="1402"/>
      <c r="D154" s="1402"/>
      <c r="E154" s="1957"/>
      <c r="F154" s="1958"/>
      <c r="G154" s="1402"/>
      <c r="H154" s="1403"/>
      <c r="I154" s="1959"/>
      <c r="J154" s="1402"/>
      <c r="K154" s="1957"/>
      <c r="L154" s="72"/>
      <c r="M154" s="73"/>
      <c r="N154" s="73"/>
      <c r="O154" s="73"/>
      <c r="P154" s="73"/>
      <c r="Q154" s="73"/>
      <c r="R154" s="73"/>
      <c r="S154" s="73"/>
      <c r="T154" s="73"/>
      <c r="U154" s="73"/>
      <c r="V154" s="73"/>
      <c r="W154" s="73"/>
    </row>
    <row r="155" spans="1:23" ht="11.25" customHeight="1">
      <c r="A155" s="1001">
        <f>'Org structure'!E152</f>
        <v>0</v>
      </c>
      <c r="B155" s="882"/>
      <c r="C155" s="1402"/>
      <c r="D155" s="1402"/>
      <c r="E155" s="1957"/>
      <c r="F155" s="1958"/>
      <c r="G155" s="1402"/>
      <c r="H155" s="1403"/>
      <c r="I155" s="1959"/>
      <c r="J155" s="1402"/>
      <c r="K155" s="1957"/>
      <c r="L155" s="72"/>
      <c r="M155" s="73"/>
      <c r="N155" s="73"/>
      <c r="O155" s="73"/>
      <c r="P155" s="73"/>
      <c r="Q155" s="73"/>
      <c r="R155" s="73"/>
      <c r="S155" s="73"/>
      <c r="T155" s="73"/>
      <c r="U155" s="73"/>
      <c r="V155" s="73"/>
      <c r="W155" s="73"/>
    </row>
    <row r="156" spans="1:23" ht="11.25" customHeight="1">
      <c r="A156" s="1001">
        <f>'Org structure'!E153</f>
        <v>0</v>
      </c>
      <c r="B156" s="882"/>
      <c r="C156" s="1402"/>
      <c r="D156" s="1402"/>
      <c r="E156" s="1957"/>
      <c r="F156" s="1958"/>
      <c r="G156" s="1402"/>
      <c r="H156" s="1403"/>
      <c r="I156" s="1959"/>
      <c r="J156" s="1402"/>
      <c r="K156" s="1957"/>
      <c r="L156" s="72"/>
      <c r="M156" s="73"/>
      <c r="N156" s="73"/>
      <c r="O156" s="73"/>
      <c r="P156" s="73"/>
      <c r="Q156" s="73"/>
      <c r="R156" s="73"/>
      <c r="S156" s="73"/>
      <c r="T156" s="73"/>
      <c r="U156" s="73"/>
      <c r="V156" s="73"/>
      <c r="W156" s="73"/>
    </row>
    <row r="157" spans="1:23" ht="11.25" customHeight="1">
      <c r="A157" s="1001">
        <f>'Org structure'!E154</f>
        <v>0</v>
      </c>
      <c r="B157" s="882"/>
      <c r="C157" s="1402"/>
      <c r="D157" s="1402"/>
      <c r="E157" s="1957"/>
      <c r="F157" s="1958"/>
      <c r="G157" s="1402"/>
      <c r="H157" s="1403"/>
      <c r="I157" s="1959"/>
      <c r="J157" s="1402"/>
      <c r="K157" s="1957"/>
      <c r="L157" s="72"/>
      <c r="M157" s="73"/>
      <c r="N157" s="73"/>
      <c r="O157" s="73"/>
      <c r="P157" s="73"/>
      <c r="Q157" s="73"/>
      <c r="R157" s="73"/>
      <c r="S157" s="73"/>
      <c r="T157" s="73"/>
      <c r="U157" s="73"/>
      <c r="V157" s="73"/>
      <c r="W157" s="73"/>
    </row>
    <row r="158" spans="1:23" ht="11.25" customHeight="1">
      <c r="A158" s="1001">
        <f>'Org structure'!E155</f>
        <v>0</v>
      </c>
      <c r="B158" s="882"/>
      <c r="C158" s="1402"/>
      <c r="D158" s="1402"/>
      <c r="E158" s="1957"/>
      <c r="F158" s="1958"/>
      <c r="G158" s="1402"/>
      <c r="H158" s="1403"/>
      <c r="I158" s="1959"/>
      <c r="J158" s="1402"/>
      <c r="K158" s="1957"/>
      <c r="L158" s="72"/>
      <c r="M158" s="73"/>
      <c r="N158" s="73"/>
      <c r="O158" s="73"/>
      <c r="P158" s="73"/>
      <c r="Q158" s="73"/>
      <c r="R158" s="73"/>
      <c r="S158" s="73"/>
      <c r="T158" s="73"/>
      <c r="U158" s="73"/>
      <c r="V158" s="73"/>
      <c r="W158" s="73"/>
    </row>
    <row r="159" spans="1:23" ht="15" customHeight="1">
      <c r="A159" s="1583" t="str">
        <f>'Org structure'!A16</f>
        <v>Vote 15 - [NAME OF VOTE 15]</v>
      </c>
      <c r="B159" s="882"/>
      <c r="C159" s="832">
        <f>SUM(C160:C169)</f>
        <v>0</v>
      </c>
      <c r="D159" s="832">
        <f t="shared" ref="D159:K159" si="14">SUM(D160:D169)</f>
        <v>0</v>
      </c>
      <c r="E159" s="833">
        <f t="shared" si="14"/>
        <v>0</v>
      </c>
      <c r="F159" s="834">
        <f t="shared" si="14"/>
        <v>0</v>
      </c>
      <c r="G159" s="832">
        <f t="shared" si="14"/>
        <v>0</v>
      </c>
      <c r="H159" s="835">
        <f t="shared" si="14"/>
        <v>0</v>
      </c>
      <c r="I159" s="836">
        <f t="shared" si="14"/>
        <v>0</v>
      </c>
      <c r="J159" s="832">
        <f t="shared" si="14"/>
        <v>0</v>
      </c>
      <c r="K159" s="833">
        <f t="shared" si="14"/>
        <v>0</v>
      </c>
      <c r="L159" s="72"/>
      <c r="M159" s="73"/>
      <c r="N159" s="73"/>
      <c r="O159" s="73"/>
      <c r="P159" s="73"/>
      <c r="Q159" s="73"/>
      <c r="R159" s="73"/>
      <c r="S159" s="73"/>
      <c r="T159" s="73"/>
      <c r="U159" s="73"/>
      <c r="V159" s="73"/>
      <c r="W159" s="73"/>
    </row>
    <row r="160" spans="1:23" ht="11.25" customHeight="1">
      <c r="A160" s="1001" t="str">
        <f>'Org structure'!E157</f>
        <v>15.1 - [Name of sub-vote]</v>
      </c>
      <c r="B160" s="882"/>
      <c r="C160" s="1402"/>
      <c r="D160" s="1402"/>
      <c r="E160" s="1957"/>
      <c r="F160" s="1958"/>
      <c r="G160" s="1402"/>
      <c r="H160" s="1403"/>
      <c r="I160" s="1959"/>
      <c r="J160" s="1402"/>
      <c r="K160" s="1957"/>
      <c r="L160" s="72"/>
      <c r="M160" s="73"/>
      <c r="N160" s="73"/>
      <c r="O160" s="73"/>
      <c r="P160" s="73"/>
      <c r="Q160" s="73"/>
      <c r="R160" s="73"/>
      <c r="S160" s="73"/>
      <c r="T160" s="73"/>
      <c r="U160" s="73"/>
      <c r="V160" s="73"/>
      <c r="W160" s="73"/>
    </row>
    <row r="161" spans="1:23" ht="11.25" customHeight="1">
      <c r="A161" s="1001">
        <f>'Org structure'!E158</f>
        <v>0</v>
      </c>
      <c r="B161" s="882"/>
      <c r="C161" s="1402"/>
      <c r="D161" s="1402"/>
      <c r="E161" s="1957"/>
      <c r="F161" s="1958"/>
      <c r="G161" s="1402"/>
      <c r="H161" s="1403"/>
      <c r="I161" s="1959"/>
      <c r="J161" s="1402"/>
      <c r="K161" s="1957"/>
      <c r="L161" s="72"/>
      <c r="M161" s="73"/>
      <c r="N161" s="73"/>
      <c r="O161" s="73"/>
      <c r="P161" s="73"/>
      <c r="Q161" s="73"/>
      <c r="R161" s="73"/>
      <c r="S161" s="73"/>
      <c r="T161" s="73"/>
      <c r="U161" s="73"/>
      <c r="V161" s="73"/>
      <c r="W161" s="73"/>
    </row>
    <row r="162" spans="1:23" ht="11.25" customHeight="1">
      <c r="A162" s="1001">
        <f>'Org structure'!E159</f>
        <v>0</v>
      </c>
      <c r="B162" s="882"/>
      <c r="C162" s="1402"/>
      <c r="D162" s="1402"/>
      <c r="E162" s="1957"/>
      <c r="F162" s="1958"/>
      <c r="G162" s="1402"/>
      <c r="H162" s="1403"/>
      <c r="I162" s="1959"/>
      <c r="J162" s="1402"/>
      <c r="K162" s="1957"/>
      <c r="L162" s="72"/>
      <c r="M162" s="73"/>
      <c r="N162" s="73"/>
      <c r="O162" s="73"/>
      <c r="P162" s="73"/>
      <c r="Q162" s="73"/>
      <c r="R162" s="73"/>
      <c r="S162" s="73"/>
      <c r="T162" s="73"/>
      <c r="U162" s="73"/>
      <c r="V162" s="73"/>
      <c r="W162" s="73"/>
    </row>
    <row r="163" spans="1:23" ht="11.25" customHeight="1">
      <c r="A163" s="1001">
        <f>'Org structure'!E160</f>
        <v>0</v>
      </c>
      <c r="B163" s="882"/>
      <c r="C163" s="1402"/>
      <c r="D163" s="1402"/>
      <c r="E163" s="1957"/>
      <c r="F163" s="1958"/>
      <c r="G163" s="1402"/>
      <c r="H163" s="1403"/>
      <c r="I163" s="1959"/>
      <c r="J163" s="1402"/>
      <c r="K163" s="1957"/>
      <c r="L163" s="72"/>
      <c r="M163" s="73"/>
      <c r="N163" s="73"/>
      <c r="O163" s="73"/>
      <c r="P163" s="73"/>
      <c r="Q163" s="73"/>
      <c r="R163" s="73"/>
      <c r="S163" s="73"/>
      <c r="T163" s="73"/>
      <c r="U163" s="73"/>
      <c r="V163" s="73"/>
      <c r="W163" s="73"/>
    </row>
    <row r="164" spans="1:23" ht="11.25" customHeight="1">
      <c r="A164" s="1001">
        <f>'Org structure'!E161</f>
        <v>0</v>
      </c>
      <c r="B164" s="882"/>
      <c r="C164" s="1402"/>
      <c r="D164" s="1402"/>
      <c r="E164" s="1957"/>
      <c r="F164" s="1958"/>
      <c r="G164" s="1402"/>
      <c r="H164" s="1403"/>
      <c r="I164" s="1959"/>
      <c r="J164" s="1402"/>
      <c r="K164" s="1957"/>
      <c r="L164" s="72"/>
      <c r="M164" s="73"/>
      <c r="N164" s="73"/>
      <c r="O164" s="73"/>
      <c r="P164" s="73"/>
      <c r="Q164" s="73"/>
      <c r="R164" s="73"/>
      <c r="S164" s="73"/>
      <c r="T164" s="73"/>
      <c r="U164" s="73"/>
      <c r="V164" s="73"/>
      <c r="W164" s="73"/>
    </row>
    <row r="165" spans="1:23" ht="11.25" customHeight="1">
      <c r="A165" s="1001">
        <f>'Org structure'!E162</f>
        <v>0</v>
      </c>
      <c r="B165" s="882"/>
      <c r="C165" s="1402"/>
      <c r="D165" s="1402"/>
      <c r="E165" s="1957"/>
      <c r="F165" s="1958"/>
      <c r="G165" s="1402"/>
      <c r="H165" s="1403"/>
      <c r="I165" s="1959"/>
      <c r="J165" s="1402"/>
      <c r="K165" s="1957"/>
      <c r="L165" s="72"/>
      <c r="M165" s="73"/>
      <c r="N165" s="73"/>
      <c r="O165" s="73"/>
      <c r="P165" s="73"/>
      <c r="Q165" s="73"/>
      <c r="R165" s="73"/>
      <c r="S165" s="73"/>
      <c r="T165" s="73"/>
      <c r="U165" s="73"/>
      <c r="V165" s="73"/>
      <c r="W165" s="73"/>
    </row>
    <row r="166" spans="1:23" ht="11.25" customHeight="1">
      <c r="A166" s="1001">
        <f>'Org structure'!E163</f>
        <v>0</v>
      </c>
      <c r="B166" s="882"/>
      <c r="C166" s="1402"/>
      <c r="D166" s="1402"/>
      <c r="E166" s="1957"/>
      <c r="F166" s="1958"/>
      <c r="G166" s="1402"/>
      <c r="H166" s="1403"/>
      <c r="I166" s="1959"/>
      <c r="J166" s="1402"/>
      <c r="K166" s="1957"/>
      <c r="L166" s="72"/>
      <c r="M166" s="73"/>
      <c r="N166" s="73"/>
      <c r="O166" s="73"/>
      <c r="P166" s="73"/>
      <c r="Q166" s="73"/>
      <c r="R166" s="73"/>
      <c r="S166" s="73"/>
      <c r="T166" s="73"/>
      <c r="U166" s="73"/>
      <c r="V166" s="73"/>
      <c r="W166" s="73"/>
    </row>
    <row r="167" spans="1:23" ht="11.25" customHeight="1">
      <c r="A167" s="1001">
        <f>'Org structure'!E164</f>
        <v>0</v>
      </c>
      <c r="B167" s="882"/>
      <c r="C167" s="1402"/>
      <c r="D167" s="1402"/>
      <c r="E167" s="1957"/>
      <c r="F167" s="1958"/>
      <c r="G167" s="1402"/>
      <c r="H167" s="1403"/>
      <c r="I167" s="1959"/>
      <c r="J167" s="1402"/>
      <c r="K167" s="1957"/>
      <c r="L167" s="72"/>
      <c r="M167" s="73"/>
      <c r="N167" s="73"/>
      <c r="O167" s="73"/>
      <c r="P167" s="73"/>
      <c r="Q167" s="73"/>
      <c r="R167" s="73"/>
      <c r="S167" s="73"/>
      <c r="T167" s="73"/>
      <c r="U167" s="73"/>
      <c r="V167" s="73"/>
      <c r="W167" s="73"/>
    </row>
    <row r="168" spans="1:23" ht="11.25" customHeight="1">
      <c r="A168" s="1001">
        <f>'Org structure'!E165</f>
        <v>0</v>
      </c>
      <c r="B168" s="882"/>
      <c r="C168" s="1402"/>
      <c r="D168" s="1402"/>
      <c r="E168" s="1957"/>
      <c r="F168" s="1958"/>
      <c r="G168" s="1402"/>
      <c r="H168" s="1403"/>
      <c r="I168" s="1959"/>
      <c r="J168" s="1402"/>
      <c r="K168" s="1957"/>
      <c r="L168" s="72"/>
      <c r="M168" s="73"/>
      <c r="N168" s="73"/>
      <c r="O168" s="73"/>
      <c r="P168" s="73"/>
      <c r="Q168" s="73"/>
      <c r="R168" s="73"/>
      <c r="S168" s="73"/>
      <c r="T168" s="73"/>
      <c r="U168" s="73"/>
      <c r="V168" s="73"/>
      <c r="W168" s="73"/>
    </row>
    <row r="169" spans="1:23" ht="11.25" customHeight="1">
      <c r="A169" s="1001">
        <f>'Org structure'!E166</f>
        <v>0</v>
      </c>
      <c r="B169" s="882"/>
      <c r="C169" s="1402"/>
      <c r="D169" s="1402"/>
      <c r="E169" s="1957"/>
      <c r="F169" s="1958"/>
      <c r="G169" s="1402"/>
      <c r="H169" s="1403"/>
      <c r="I169" s="1959"/>
      <c r="J169" s="1402"/>
      <c r="K169" s="1957"/>
      <c r="L169" s="72"/>
      <c r="M169" s="73"/>
      <c r="N169" s="73"/>
      <c r="O169" s="73"/>
      <c r="P169" s="73"/>
      <c r="Q169" s="73"/>
      <c r="R169" s="73"/>
      <c r="S169" s="73"/>
      <c r="T169" s="73"/>
      <c r="U169" s="73"/>
      <c r="V169" s="73"/>
      <c r="W169" s="73"/>
    </row>
    <row r="170" spans="1:23" ht="11.25" customHeight="1">
      <c r="A170" s="1045" t="s">
        <v>156</v>
      </c>
      <c r="B170" s="1018">
        <v>2</v>
      </c>
      <c r="C170" s="1046">
        <f>C5+C16+C27+C38+C49+C60+C71+C82+C93+C104+C115+C126+C137+C148+C159</f>
        <v>1132278707.0600002</v>
      </c>
      <c r="D170" s="1046">
        <f>D5+D16+D27+D38+D49+D60+D71+D82+D93+D104+D115+D126+D137+D148+D159</f>
        <v>1137476809.9299998</v>
      </c>
      <c r="E170" s="1047">
        <f t="shared" ref="E170:K170" si="15">E5+E16+E27+E38+E49+E60+E71+E82+E93+E104+E115+E126+E137+E148+E159</f>
        <v>1140964382.5799999</v>
      </c>
      <c r="F170" s="1048">
        <f t="shared" si="15"/>
        <v>1359176307</v>
      </c>
      <c r="G170" s="1046">
        <f t="shared" si="15"/>
        <v>1368508037.019995</v>
      </c>
      <c r="H170" s="1049">
        <f t="shared" si="15"/>
        <v>1403803359.8200002</v>
      </c>
      <c r="I170" s="1050">
        <f>I5+I16+I27+I38+I49+I60+I71+I82+I93+I104+I115+I126+I137+I148+I159</f>
        <v>1405645232</v>
      </c>
      <c r="J170" s="1046">
        <f t="shared" si="15"/>
        <v>1479924620.6720002</v>
      </c>
      <c r="K170" s="1047">
        <f t="shared" si="15"/>
        <v>1556917777.2229118</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000000000000004" customHeight="1">
      <c r="A171" s="1072"/>
      <c r="B171" s="1073"/>
      <c r="C171" s="1074"/>
      <c r="D171" s="1074"/>
      <c r="E171" s="1075"/>
      <c r="F171" s="1076"/>
      <c r="G171" s="1074"/>
      <c r="H171" s="1077"/>
      <c r="I171" s="1078"/>
      <c r="J171" s="1074"/>
      <c r="K171" s="1075"/>
      <c r="L171" s="72"/>
      <c r="M171" s="73"/>
      <c r="N171" s="73"/>
      <c r="O171" s="73"/>
      <c r="P171" s="73"/>
      <c r="Q171" s="73"/>
      <c r="R171" s="73"/>
      <c r="S171" s="73"/>
      <c r="T171" s="73"/>
      <c r="U171" s="73"/>
      <c r="V171" s="73"/>
      <c r="W171" s="73"/>
    </row>
    <row r="172" spans="1:23" ht="11.25" customHeight="1">
      <c r="A172" s="1079" t="s">
        <v>367</v>
      </c>
      <c r="B172" s="1080">
        <v>1</v>
      </c>
      <c r="C172" s="1081"/>
      <c r="D172" s="1081"/>
      <c r="E172" s="1082"/>
      <c r="F172" s="1083"/>
      <c r="G172" s="1081"/>
      <c r="H172" s="1084"/>
      <c r="I172" s="1085"/>
      <c r="J172" s="1081"/>
      <c r="K172" s="1082"/>
      <c r="L172" s="72"/>
      <c r="M172" s="73"/>
      <c r="N172" s="73"/>
      <c r="O172" s="73"/>
      <c r="P172" s="73"/>
      <c r="Q172" s="73"/>
      <c r="R172" s="73"/>
      <c r="S172" s="73"/>
      <c r="T172" s="73"/>
      <c r="U172" s="73"/>
      <c r="V172" s="73"/>
      <c r="W172" s="73"/>
    </row>
    <row r="173" spans="1:23" ht="15" customHeight="1">
      <c r="A173" s="1000" t="str">
        <f>A5</f>
        <v>Vote 1 - Municipal Manager</v>
      </c>
      <c r="B173" s="1086"/>
      <c r="C173" s="1087">
        <f t="shared" ref="C173:K173" si="17">SUM(C174:C183)</f>
        <v>71553934.510000005</v>
      </c>
      <c r="D173" s="1087">
        <f t="shared" si="17"/>
        <v>67361180.420000002</v>
      </c>
      <c r="E173" s="1088">
        <f t="shared" si="17"/>
        <v>73412075.829999998</v>
      </c>
      <c r="F173" s="1089">
        <f t="shared" si="17"/>
        <v>75195251</v>
      </c>
      <c r="G173" s="1087">
        <f t="shared" si="17"/>
        <v>76981859.629999995</v>
      </c>
      <c r="H173" s="1090">
        <f t="shared" si="17"/>
        <v>76162734.180000007</v>
      </c>
      <c r="I173" s="1091">
        <f t="shared" si="17"/>
        <v>73832159.129999995</v>
      </c>
      <c r="J173" s="1087">
        <f t="shared" si="17"/>
        <v>76159743.147980005</v>
      </c>
      <c r="K173" s="1088">
        <f t="shared" si="17"/>
        <v>79661021.332787067</v>
      </c>
      <c r="L173" s="72"/>
      <c r="M173" s="73"/>
      <c r="N173" s="73"/>
      <c r="O173" s="73"/>
      <c r="P173" s="73"/>
      <c r="Q173" s="73"/>
      <c r="R173" s="73"/>
      <c r="S173" s="73"/>
      <c r="T173" s="73"/>
      <c r="U173" s="73"/>
      <c r="V173" s="73"/>
      <c r="W173" s="73"/>
    </row>
    <row r="174" spans="1:23" ht="11.25" customHeight="1">
      <c r="A174" s="1001" t="str">
        <f t="shared" ref="A174:A183" si="18">A6</f>
        <v>1.1 - Administration Municipal Manager</v>
      </c>
      <c r="B174" s="882"/>
      <c r="C174" s="1951">
        <f>2313891.28+8026.23</f>
        <v>2321917.5099999998</v>
      </c>
      <c r="D174" s="1951">
        <v>1483093.3699999999</v>
      </c>
      <c r="E174" s="1960">
        <v>3084044.56</v>
      </c>
      <c r="F174" s="1961">
        <v>4114817</v>
      </c>
      <c r="G174" s="1951">
        <f>3152147.69+298000</f>
        <v>3450147.69</v>
      </c>
      <c r="H174" s="1962">
        <v>2824856.1999999993</v>
      </c>
      <c r="I174" s="1953">
        <f>3761224-187500+1200000</f>
        <v>4773724</v>
      </c>
      <c r="J174" s="1951">
        <v>3930047.0360000003</v>
      </c>
      <c r="K174" s="1960">
        <v>4109495.1996560008</v>
      </c>
      <c r="L174" s="72"/>
      <c r="M174" s="73"/>
      <c r="N174" s="73"/>
      <c r="O174" s="73"/>
      <c r="P174" s="73"/>
      <c r="Q174" s="73"/>
      <c r="R174" s="73"/>
      <c r="S174" s="73"/>
      <c r="T174" s="73"/>
      <c r="U174" s="73"/>
      <c r="V174" s="73"/>
      <c r="W174" s="73"/>
    </row>
    <row r="175" spans="1:23" ht="11.25" customHeight="1">
      <c r="A175" s="1001" t="str">
        <f t="shared" si="18"/>
        <v>1.2 - Internal Audit</v>
      </c>
      <c r="B175" s="882"/>
      <c r="C175" s="1951">
        <v>3871344.0600000005</v>
      </c>
      <c r="D175" s="1951">
        <v>3902211.8099999996</v>
      </c>
      <c r="E175" s="1960">
        <v>4337729.540000001</v>
      </c>
      <c r="F175" s="1961">
        <v>5764267</v>
      </c>
      <c r="G175" s="1951">
        <v>5515212</v>
      </c>
      <c r="H175" s="1962">
        <v>4982693.4400000004</v>
      </c>
      <c r="I175" s="1953">
        <v>5870455</v>
      </c>
      <c r="J175" s="1951">
        <v>6139655.7400000002</v>
      </c>
      <c r="K175" s="1960">
        <v>6421987.9040400013</v>
      </c>
      <c r="L175" s="72"/>
      <c r="M175" s="73"/>
      <c r="N175" s="73"/>
      <c r="O175" s="73"/>
      <c r="P175" s="73"/>
      <c r="Q175" s="73"/>
      <c r="R175" s="73"/>
      <c r="S175" s="73"/>
      <c r="T175" s="73"/>
      <c r="U175" s="73"/>
      <c r="V175" s="73"/>
      <c r="W175" s="73"/>
    </row>
    <row r="176" spans="1:23" ht="11.25" customHeight="1">
      <c r="A176" s="1001" t="str">
        <f t="shared" si="18"/>
        <v>1.3 - Strategic Support</v>
      </c>
      <c r="B176" s="882"/>
      <c r="C176" s="1951">
        <v>2372891.0299999998</v>
      </c>
      <c r="D176" s="1951">
        <v>2926936.11</v>
      </c>
      <c r="E176" s="1960">
        <v>3318642.77</v>
      </c>
      <c r="F176" s="1961">
        <v>3995551</v>
      </c>
      <c r="G176" s="1951">
        <v>4310353</v>
      </c>
      <c r="H176" s="1962">
        <v>4262968.3400000008</v>
      </c>
      <c r="I176" s="1953">
        <v>4379054</v>
      </c>
      <c r="J176" s="1951">
        <v>4579528.3020000001</v>
      </c>
      <c r="K176" s="1960">
        <v>4790094.6038920004</v>
      </c>
      <c r="L176" s="72"/>
      <c r="M176" s="73"/>
      <c r="N176" s="73"/>
      <c r="O176" s="73"/>
      <c r="P176" s="73"/>
      <c r="Q176" s="73"/>
      <c r="R176" s="73"/>
      <c r="S176" s="73"/>
      <c r="T176" s="73"/>
      <c r="U176" s="73"/>
      <c r="V176" s="73"/>
      <c r="W176" s="73"/>
    </row>
    <row r="177" spans="1:23" ht="11.25" customHeight="1">
      <c r="A177" s="1001" t="str">
        <f t="shared" si="18"/>
        <v>1.4 - Risk Management</v>
      </c>
      <c r="B177" s="882"/>
      <c r="C177" s="1951">
        <v>984412.08</v>
      </c>
      <c r="D177" s="1951">
        <v>1181426.9299999997</v>
      </c>
      <c r="E177" s="1960">
        <v>2020230.06</v>
      </c>
      <c r="F177" s="1961">
        <v>2096278</v>
      </c>
      <c r="G177" s="1951">
        <v>2062000</v>
      </c>
      <c r="H177" s="1962">
        <v>1909740.82</v>
      </c>
      <c r="I177" s="1953">
        <v>2266056</v>
      </c>
      <c r="J177" s="1951">
        <v>2369926.5760000004</v>
      </c>
      <c r="K177" s="1960">
        <v>2478575.1984960004</v>
      </c>
      <c r="L177" s="72"/>
      <c r="M177" s="73"/>
      <c r="N177" s="73"/>
      <c r="O177" s="73"/>
      <c r="P177" s="73"/>
      <c r="Q177" s="73"/>
      <c r="R177" s="73"/>
      <c r="S177" s="73"/>
      <c r="T177" s="73"/>
      <c r="U177" s="73"/>
      <c r="V177" s="73"/>
      <c r="W177" s="73"/>
    </row>
    <row r="178" spans="1:23" ht="11.25" customHeight="1">
      <c r="A178" s="1001" t="str">
        <f t="shared" si="18"/>
        <v>1.5 - Council Expenditure</v>
      </c>
      <c r="B178" s="882"/>
      <c r="C178" s="1951">
        <v>32028804.290000003</v>
      </c>
      <c r="D178" s="1951">
        <v>36455713.120000005</v>
      </c>
      <c r="E178" s="1960">
        <v>36394995.489999995</v>
      </c>
      <c r="F178" s="1961">
        <v>41214570</v>
      </c>
      <c r="G178" s="1951">
        <v>38785779.939999998</v>
      </c>
      <c r="H178" s="1962">
        <v>37536534.119999997</v>
      </c>
      <c r="I178" s="1953">
        <v>39346900.129999995</v>
      </c>
      <c r="J178" s="1951">
        <v>41156521.459980004</v>
      </c>
      <c r="K178" s="1960">
        <v>43049721.447139077</v>
      </c>
      <c r="L178" s="72"/>
      <c r="M178" s="73"/>
      <c r="N178" s="73"/>
      <c r="O178" s="73"/>
      <c r="P178" s="73"/>
      <c r="Q178" s="73"/>
      <c r="R178" s="73"/>
      <c r="S178" s="73"/>
      <c r="T178" s="73"/>
      <c r="U178" s="73"/>
      <c r="V178" s="73"/>
      <c r="W178" s="73"/>
    </row>
    <row r="179" spans="1:23" ht="11.25" customHeight="1">
      <c r="A179" s="1001" t="str">
        <f t="shared" si="18"/>
        <v>1.6 - Legal Services</v>
      </c>
      <c r="B179" s="882"/>
      <c r="C179" s="1951">
        <v>27753356.949999999</v>
      </c>
      <c r="D179" s="1951">
        <v>19268350.489999998</v>
      </c>
      <c r="E179" s="1960">
        <v>22170045.859999999</v>
      </c>
      <c r="F179" s="1961">
        <v>15447452</v>
      </c>
      <c r="G179" s="1951">
        <v>20315876</v>
      </c>
      <c r="H179" s="1962">
        <v>22069788.859999999</v>
      </c>
      <c r="I179" s="1953">
        <v>14604572</v>
      </c>
      <c r="J179" s="1951">
        <v>15276290.311999999</v>
      </c>
      <c r="K179" s="1960">
        <v>15978907.666352</v>
      </c>
      <c r="L179" s="72"/>
      <c r="M179" s="73"/>
      <c r="N179" s="73"/>
      <c r="O179" s="73"/>
      <c r="P179" s="73"/>
      <c r="Q179" s="73"/>
      <c r="R179" s="73"/>
      <c r="S179" s="73"/>
      <c r="T179" s="73"/>
      <c r="U179" s="73"/>
      <c r="V179" s="73"/>
      <c r="W179" s="73"/>
    </row>
    <row r="180" spans="1:23" ht="11.25" customHeight="1">
      <c r="A180" s="1001" t="str">
        <f t="shared" si="18"/>
        <v>1.7 - Disaster Management</v>
      </c>
      <c r="B180" s="882"/>
      <c r="C180" s="1951">
        <v>2221208.5900000003</v>
      </c>
      <c r="D180" s="1951">
        <v>2143448.59</v>
      </c>
      <c r="E180" s="1960">
        <v>2086387.55</v>
      </c>
      <c r="F180" s="1961">
        <v>2562316</v>
      </c>
      <c r="G180" s="1951">
        <v>2542491</v>
      </c>
      <c r="H180" s="1962">
        <v>2576152.4000000004</v>
      </c>
      <c r="I180" s="1953">
        <v>2591398</v>
      </c>
      <c r="J180" s="1951">
        <v>2707773.7220000001</v>
      </c>
      <c r="K180" s="1960">
        <v>2832239.3132119998</v>
      </c>
      <c r="L180" s="72"/>
      <c r="M180" s="73"/>
      <c r="N180" s="73"/>
      <c r="O180" s="73"/>
      <c r="P180" s="73"/>
      <c r="Q180" s="73"/>
      <c r="R180" s="73"/>
      <c r="S180" s="73"/>
      <c r="T180" s="73"/>
      <c r="U180" s="73"/>
      <c r="V180" s="73"/>
      <c r="W180" s="73"/>
    </row>
    <row r="181" spans="1:23" ht="11.25" customHeight="1">
      <c r="A181" s="1001">
        <f t="shared" si="18"/>
        <v>0</v>
      </c>
      <c r="B181" s="882"/>
      <c r="C181" s="1951"/>
      <c r="D181" s="1951"/>
      <c r="E181" s="1960"/>
      <c r="F181" s="1961"/>
      <c r="G181" s="1951"/>
      <c r="H181" s="1962"/>
      <c r="I181" s="1953"/>
      <c r="J181" s="1951"/>
      <c r="K181" s="1960"/>
      <c r="L181" s="72"/>
      <c r="M181" s="73"/>
      <c r="N181" s="73"/>
      <c r="O181" s="73"/>
      <c r="P181" s="73"/>
      <c r="Q181" s="73"/>
      <c r="R181" s="73"/>
      <c r="S181" s="73"/>
      <c r="T181" s="73"/>
      <c r="U181" s="73"/>
      <c r="V181" s="73"/>
      <c r="W181" s="73"/>
    </row>
    <row r="182" spans="1:23" ht="11.25" customHeight="1">
      <c r="A182" s="1001">
        <f t="shared" si="18"/>
        <v>0</v>
      </c>
      <c r="B182" s="882"/>
      <c r="C182" s="1951"/>
      <c r="D182" s="1951"/>
      <c r="E182" s="1960"/>
      <c r="F182" s="1961"/>
      <c r="G182" s="1951"/>
      <c r="H182" s="1962"/>
      <c r="I182" s="1953"/>
      <c r="J182" s="1951"/>
      <c r="K182" s="1960"/>
      <c r="L182" s="72"/>
      <c r="M182" s="73"/>
      <c r="N182" s="73"/>
      <c r="O182" s="73"/>
      <c r="P182" s="73"/>
      <c r="Q182" s="73"/>
      <c r="R182" s="73"/>
      <c r="S182" s="73"/>
      <c r="T182" s="73"/>
      <c r="U182" s="73"/>
      <c r="V182" s="73"/>
      <c r="W182" s="73"/>
    </row>
    <row r="183" spans="1:23" ht="11.25" customHeight="1">
      <c r="A183" s="1001">
        <f t="shared" si="18"/>
        <v>0</v>
      </c>
      <c r="B183" s="882"/>
      <c r="C183" s="1951"/>
      <c r="D183" s="1951"/>
      <c r="E183" s="1960"/>
      <c r="F183" s="1961"/>
      <c r="G183" s="1951"/>
      <c r="H183" s="1962"/>
      <c r="I183" s="1953"/>
      <c r="J183" s="1951"/>
      <c r="K183" s="1960"/>
      <c r="L183" s="72"/>
      <c r="M183" s="73"/>
      <c r="N183" s="73"/>
      <c r="O183" s="73"/>
      <c r="P183" s="73"/>
      <c r="Q183" s="73"/>
      <c r="R183" s="73"/>
      <c r="S183" s="73"/>
      <c r="T183" s="73"/>
      <c r="U183" s="73"/>
      <c r="V183" s="73"/>
      <c r="W183" s="73"/>
    </row>
    <row r="184" spans="1:23" ht="15" customHeight="1">
      <c r="A184" s="1000" t="str">
        <f>A16</f>
        <v>Vote 2 - Planning &amp; Economic Development</v>
      </c>
      <c r="B184" s="894"/>
      <c r="C184" s="832">
        <f>SUM(C185:C194)</f>
        <v>27038713.060000002</v>
      </c>
      <c r="D184" s="832">
        <f>SUM(D185:D194)</f>
        <v>29982808.900000006</v>
      </c>
      <c r="E184" s="833">
        <f t="shared" ref="E184:K184" si="19">SUM(E185:E194)</f>
        <v>34325093.350000001</v>
      </c>
      <c r="F184" s="834">
        <f t="shared" si="19"/>
        <v>31408863</v>
      </c>
      <c r="G184" s="832">
        <f t="shared" si="19"/>
        <v>29106701</v>
      </c>
      <c r="H184" s="835">
        <f t="shared" si="19"/>
        <v>30467352.84</v>
      </c>
      <c r="I184" s="836">
        <f t="shared" si="19"/>
        <v>31030789</v>
      </c>
      <c r="J184" s="832">
        <f t="shared" si="19"/>
        <v>32422417.638000008</v>
      </c>
      <c r="K184" s="833">
        <f t="shared" si="19"/>
        <v>33894516.787347995</v>
      </c>
      <c r="L184" s="85"/>
      <c r="M184" s="86"/>
      <c r="N184" s="86"/>
      <c r="O184" s="86"/>
      <c r="P184" s="86"/>
      <c r="Q184" s="86"/>
      <c r="R184" s="86"/>
      <c r="S184" s="86"/>
      <c r="T184" s="86"/>
      <c r="U184" s="86"/>
      <c r="V184" s="86"/>
      <c r="W184" s="86"/>
    </row>
    <row r="185" spans="1:23" ht="11.25" customHeight="1">
      <c r="A185" s="1001" t="str">
        <f t="shared" ref="A185:A194" si="20">A17</f>
        <v>2.1 - Administration Strategy &amp; Development</v>
      </c>
      <c r="B185" s="882"/>
      <c r="C185" s="1951">
        <v>2119290.08</v>
      </c>
      <c r="D185" s="1951">
        <v>1650218.04</v>
      </c>
      <c r="E185" s="1960">
        <v>2068322.4100000001</v>
      </c>
      <c r="F185" s="1961">
        <v>2556956</v>
      </c>
      <c r="G185" s="1951">
        <v>2329063.5</v>
      </c>
      <c r="H185" s="1962">
        <v>2032878.1800000002</v>
      </c>
      <c r="I185" s="1953">
        <v>2396635</v>
      </c>
      <c r="J185" s="1951">
        <v>2498284.6040000007</v>
      </c>
      <c r="K185" s="1960">
        <v>2613113.6957840002</v>
      </c>
      <c r="L185" s="85"/>
      <c r="M185" s="86"/>
      <c r="N185" s="86"/>
      <c r="O185" s="86"/>
      <c r="P185" s="86"/>
      <c r="Q185" s="86"/>
      <c r="R185" s="86"/>
      <c r="S185" s="86"/>
      <c r="T185" s="86"/>
      <c r="U185" s="86"/>
      <c r="V185" s="86"/>
      <c r="W185" s="86"/>
    </row>
    <row r="186" spans="1:23" ht="11.25" customHeight="1">
      <c r="A186" s="1001" t="str">
        <f t="shared" si="20"/>
        <v>2.2 - Local Economic Development</v>
      </c>
      <c r="B186" s="882"/>
      <c r="C186" s="1951">
        <v>12764026.030000001</v>
      </c>
      <c r="D186" s="1951">
        <v>14210170.48</v>
      </c>
      <c r="E186" s="1960">
        <f>12768923.29+3892720</f>
        <v>16661643.289999999</v>
      </c>
      <c r="F186" s="1961">
        <v>14588695</v>
      </c>
      <c r="G186" s="1951">
        <v>13414020</v>
      </c>
      <c r="H186" s="1962">
        <v>15966235.999999998</v>
      </c>
      <c r="I186" s="1953">
        <v>14662357</v>
      </c>
      <c r="J186" s="1951">
        <v>15336646.942000004</v>
      </c>
      <c r="K186" s="1960">
        <v>16042040.701331999</v>
      </c>
      <c r="L186" s="85"/>
      <c r="M186" s="86"/>
      <c r="N186" s="86"/>
      <c r="O186" s="86"/>
      <c r="P186" s="86"/>
      <c r="Q186" s="86"/>
      <c r="R186" s="86"/>
      <c r="S186" s="86"/>
      <c r="T186" s="86"/>
      <c r="U186" s="86"/>
      <c r="V186" s="86"/>
      <c r="W186" s="86"/>
    </row>
    <row r="187" spans="1:23" ht="11.25" customHeight="1">
      <c r="A187" s="1001" t="str">
        <f t="shared" si="20"/>
        <v>2.3 - Town &amp; Regional Planning</v>
      </c>
      <c r="B187" s="882"/>
      <c r="C187" s="1951">
        <v>5624988.2700000005</v>
      </c>
      <c r="D187" s="1951">
        <v>5299168.5100000016</v>
      </c>
      <c r="E187" s="1960">
        <v>5025018.1800000006</v>
      </c>
      <c r="F187" s="1961">
        <v>6988122</v>
      </c>
      <c r="G187" s="1951">
        <v>6384222.5</v>
      </c>
      <c r="H187" s="1962">
        <v>5354188.8599999985</v>
      </c>
      <c r="I187" s="1953">
        <v>6490479</v>
      </c>
      <c r="J187" s="1951">
        <v>6788565.8540000003</v>
      </c>
      <c r="K187" s="1960">
        <v>7100747.8832839988</v>
      </c>
      <c r="L187" s="85"/>
      <c r="M187" s="86"/>
      <c r="N187" s="86"/>
      <c r="O187" s="86"/>
      <c r="P187" s="86"/>
      <c r="Q187" s="86"/>
      <c r="R187" s="86"/>
      <c r="S187" s="86"/>
      <c r="T187" s="86"/>
      <c r="U187" s="86"/>
      <c r="V187" s="86"/>
      <c r="W187" s="86"/>
    </row>
    <row r="188" spans="1:23" ht="11.25" customHeight="1">
      <c r="A188" s="1001" t="str">
        <f t="shared" si="20"/>
        <v>2.4 - Housing Administration</v>
      </c>
      <c r="B188" s="882"/>
      <c r="C188" s="1951">
        <v>6501691.6799999988</v>
      </c>
      <c r="D188" s="1951">
        <v>8800721.4500000011</v>
      </c>
      <c r="E188" s="1960">
        <v>10550600.58</v>
      </c>
      <c r="F188" s="1961">
        <v>7190800</v>
      </c>
      <c r="G188" s="1951">
        <v>6914282</v>
      </c>
      <c r="H188" s="1962">
        <v>7087038.1600000001</v>
      </c>
      <c r="I188" s="1953">
        <v>7427454</v>
      </c>
      <c r="J188" s="1951">
        <v>7742578.493999999</v>
      </c>
      <c r="K188" s="1960">
        <v>8079681.0427239975</v>
      </c>
      <c r="L188" s="85"/>
      <c r="M188" s="86"/>
      <c r="N188" s="86"/>
      <c r="O188" s="86"/>
      <c r="P188" s="86"/>
      <c r="Q188" s="86"/>
      <c r="R188" s="86"/>
      <c r="S188" s="86"/>
      <c r="T188" s="86"/>
      <c r="U188" s="86"/>
      <c r="V188" s="86"/>
      <c r="W188" s="86"/>
    </row>
    <row r="189" spans="1:23" ht="11.25" customHeight="1">
      <c r="A189" s="1001" t="str">
        <f t="shared" si="20"/>
        <v>2.5 - SATELITE OFFICE: NKOWANKOWA</v>
      </c>
      <c r="B189" s="882"/>
      <c r="C189" s="1951">
        <v>4702.3599999999997</v>
      </c>
      <c r="D189" s="1951">
        <v>5524.18</v>
      </c>
      <c r="E189" s="1960">
        <v>4403.6000000000004</v>
      </c>
      <c r="F189" s="1961">
        <v>31376</v>
      </c>
      <c r="G189" s="1951">
        <v>14994</v>
      </c>
      <c r="H189" s="1962">
        <v>3735.7000000000007</v>
      </c>
      <c r="I189" s="1953">
        <v>14994</v>
      </c>
      <c r="J189" s="1951">
        <v>15683.723999999998</v>
      </c>
      <c r="K189" s="1960">
        <v>16405.175304</v>
      </c>
      <c r="L189" s="85"/>
      <c r="M189" s="86"/>
      <c r="N189" s="86"/>
      <c r="O189" s="86"/>
      <c r="P189" s="86"/>
      <c r="Q189" s="86"/>
      <c r="R189" s="86"/>
      <c r="S189" s="86"/>
      <c r="T189" s="86"/>
      <c r="U189" s="86"/>
      <c r="V189" s="86"/>
      <c r="W189" s="86"/>
    </row>
    <row r="190" spans="1:23" ht="11.25" customHeight="1">
      <c r="A190" s="1001" t="str">
        <f t="shared" si="20"/>
        <v>2.6 - SATELITE OFFICE: LENYENYE</v>
      </c>
      <c r="B190" s="882"/>
      <c r="C190" s="1951">
        <v>22223.71</v>
      </c>
      <c r="D190" s="1951">
        <v>13481.46</v>
      </c>
      <c r="E190" s="1960">
        <v>14907.259999999998</v>
      </c>
      <c r="F190" s="1961">
        <v>35427</v>
      </c>
      <c r="G190" s="1951">
        <v>31767</v>
      </c>
      <c r="H190" s="1962">
        <v>23275.94</v>
      </c>
      <c r="I190" s="1953">
        <v>26143</v>
      </c>
      <c r="J190" s="1951">
        <v>27345.577999999998</v>
      </c>
      <c r="K190" s="1960">
        <v>28603.474587999997</v>
      </c>
      <c r="L190" s="85"/>
      <c r="M190" s="86"/>
      <c r="N190" s="86"/>
      <c r="O190" s="86"/>
      <c r="P190" s="86"/>
      <c r="Q190" s="86"/>
      <c r="R190" s="86"/>
      <c r="S190" s="86"/>
      <c r="T190" s="86"/>
      <c r="U190" s="86"/>
      <c r="V190" s="86"/>
      <c r="W190" s="86"/>
    </row>
    <row r="191" spans="1:23" ht="11.25" customHeight="1">
      <c r="A191" s="1001" t="str">
        <f t="shared" si="20"/>
        <v>2.7 - SATELITE OFFICE: LETSITELE</v>
      </c>
      <c r="B191" s="882"/>
      <c r="C191" s="1951">
        <v>1790.93</v>
      </c>
      <c r="D191" s="1951">
        <v>3524.78</v>
      </c>
      <c r="E191" s="1960">
        <v>198.03</v>
      </c>
      <c r="F191" s="1961">
        <v>17487</v>
      </c>
      <c r="G191" s="1951">
        <v>18352</v>
      </c>
      <c r="H191" s="1962">
        <v>0</v>
      </c>
      <c r="I191" s="1953">
        <v>12727</v>
      </c>
      <c r="J191" s="1951">
        <v>13312.441999999999</v>
      </c>
      <c r="K191" s="1960">
        <v>13924.814332</v>
      </c>
      <c r="L191" s="85"/>
      <c r="M191" s="86"/>
      <c r="N191" s="86"/>
      <c r="O191" s="86"/>
      <c r="P191" s="86"/>
      <c r="Q191" s="86"/>
      <c r="R191" s="86"/>
      <c r="S191" s="86"/>
      <c r="T191" s="86"/>
      <c r="U191" s="86"/>
      <c r="V191" s="86"/>
      <c r="W191" s="86"/>
    </row>
    <row r="192" spans="1:23" ht="11.25" customHeight="1">
      <c r="A192" s="1001">
        <f t="shared" si="20"/>
        <v>0</v>
      </c>
      <c r="B192" s="882"/>
      <c r="C192" s="1951"/>
      <c r="D192" s="1951"/>
      <c r="E192" s="1960"/>
      <c r="F192" s="1961"/>
      <c r="G192" s="1951"/>
      <c r="H192" s="1962"/>
      <c r="I192" s="1953"/>
      <c r="J192" s="1951"/>
      <c r="K192" s="1960"/>
      <c r="L192" s="85"/>
      <c r="M192" s="86"/>
      <c r="N192" s="86"/>
      <c r="O192" s="86"/>
      <c r="P192" s="86"/>
      <c r="Q192" s="86"/>
      <c r="R192" s="86"/>
      <c r="S192" s="86"/>
      <c r="T192" s="86"/>
      <c r="U192" s="86"/>
      <c r="V192" s="86"/>
      <c r="W192" s="86"/>
    </row>
    <row r="193" spans="1:23" ht="11.25" customHeight="1">
      <c r="A193" s="1001">
        <f t="shared" si="20"/>
        <v>0</v>
      </c>
      <c r="B193" s="882"/>
      <c r="C193" s="1951"/>
      <c r="D193" s="1951"/>
      <c r="E193" s="1960"/>
      <c r="F193" s="1961"/>
      <c r="G193" s="1951"/>
      <c r="H193" s="1962"/>
      <c r="I193" s="1953"/>
      <c r="J193" s="1951"/>
      <c r="K193" s="1960"/>
      <c r="L193" s="85"/>
      <c r="M193" s="86"/>
      <c r="N193" s="86"/>
      <c r="O193" s="86"/>
      <c r="P193" s="86"/>
      <c r="Q193" s="86"/>
      <c r="R193" s="86"/>
      <c r="S193" s="86"/>
      <c r="T193" s="86"/>
      <c r="U193" s="86"/>
      <c r="V193" s="86"/>
      <c r="W193" s="86"/>
    </row>
    <row r="194" spans="1:23" ht="11.25" customHeight="1">
      <c r="A194" s="1001">
        <f t="shared" si="20"/>
        <v>0</v>
      </c>
      <c r="B194" s="882"/>
      <c r="C194" s="1951"/>
      <c r="D194" s="1951"/>
      <c r="E194" s="1960"/>
      <c r="F194" s="1961"/>
      <c r="G194" s="1951"/>
      <c r="H194" s="1962"/>
      <c r="I194" s="1953"/>
      <c r="J194" s="1951"/>
      <c r="K194" s="1960"/>
      <c r="L194" s="85"/>
      <c r="M194" s="86"/>
      <c r="N194" s="86"/>
      <c r="O194" s="86"/>
      <c r="P194" s="86"/>
      <c r="Q194" s="86"/>
      <c r="R194" s="86"/>
      <c r="S194" s="86"/>
      <c r="T194" s="86"/>
      <c r="U194" s="86"/>
      <c r="V194" s="86"/>
      <c r="W194" s="86"/>
    </row>
    <row r="195" spans="1:23" ht="15" customHeight="1">
      <c r="A195" s="1000" t="str">
        <f t="shared" ref="A195:A206" si="21">A27</f>
        <v>Vote 3 - Financial Services</v>
      </c>
      <c r="B195" s="894"/>
      <c r="C195" s="832">
        <f t="shared" ref="C195:K195" si="22">SUM(C196:C205)</f>
        <v>94911670.409999982</v>
      </c>
      <c r="D195" s="832">
        <f t="shared" si="22"/>
        <v>196336788.37</v>
      </c>
      <c r="E195" s="833">
        <f t="shared" si="22"/>
        <v>173282322.03999996</v>
      </c>
      <c r="F195" s="834">
        <f t="shared" si="22"/>
        <v>126690531</v>
      </c>
      <c r="G195" s="832">
        <f t="shared" si="22"/>
        <v>102502249</v>
      </c>
      <c r="H195" s="835">
        <f t="shared" si="22"/>
        <v>111335030.3</v>
      </c>
      <c r="I195" s="836">
        <f t="shared" si="22"/>
        <v>113189995</v>
      </c>
      <c r="J195" s="832">
        <f t="shared" si="22"/>
        <v>117325417.15399998</v>
      </c>
      <c r="K195" s="833">
        <f t="shared" si="22"/>
        <v>122625326.34308401</v>
      </c>
      <c r="L195" s="85"/>
      <c r="M195" s="86"/>
      <c r="N195" s="86"/>
      <c r="O195" s="86"/>
      <c r="P195" s="86"/>
      <c r="Q195" s="86"/>
      <c r="R195" s="86"/>
      <c r="S195" s="86"/>
      <c r="T195" s="86"/>
      <c r="U195" s="86"/>
      <c r="V195" s="86"/>
      <c r="W195" s="86"/>
    </row>
    <row r="196" spans="1:23" ht="11.25" customHeight="1">
      <c r="A196" s="1001" t="str">
        <f t="shared" si="21"/>
        <v>3.1 - Administration Finance</v>
      </c>
      <c r="B196" s="882"/>
      <c r="C196" s="1951">
        <v>37066872.859999999</v>
      </c>
      <c r="D196" s="1951">
        <v>38903378.710000001</v>
      </c>
      <c r="E196" s="1960">
        <v>76515308.529999986</v>
      </c>
      <c r="F196" s="1961">
        <v>40495037</v>
      </c>
      <c r="G196" s="1951">
        <v>34471913</v>
      </c>
      <c r="H196" s="1962">
        <v>30142436.760000002</v>
      </c>
      <c r="I196" s="1953">
        <v>40981063</v>
      </c>
      <c r="J196" s="1951">
        <v>42863717.834000006</v>
      </c>
      <c r="K196" s="1960">
        <v>44835356.854364008</v>
      </c>
      <c r="L196" s="85"/>
      <c r="M196" s="86"/>
      <c r="N196" s="86"/>
      <c r="O196" s="86"/>
      <c r="P196" s="86"/>
      <c r="Q196" s="86"/>
      <c r="R196" s="86"/>
      <c r="S196" s="86"/>
      <c r="T196" s="86"/>
      <c r="U196" s="86"/>
      <c r="V196" s="86"/>
      <c r="W196" s="86"/>
    </row>
    <row r="197" spans="1:23" ht="11.25" customHeight="1">
      <c r="A197" s="1001" t="str">
        <f t="shared" si="21"/>
        <v>3.2 - Budget office</v>
      </c>
      <c r="B197" s="882"/>
      <c r="C197" s="1951">
        <v>12199746.159999998</v>
      </c>
      <c r="D197" s="1951">
        <v>14319737.050000001</v>
      </c>
      <c r="E197" s="1960">
        <v>11317009.719999997</v>
      </c>
      <c r="F197" s="1961">
        <v>15544016</v>
      </c>
      <c r="G197" s="1951">
        <v>14972048</v>
      </c>
      <c r="H197" s="1962">
        <v>19626878.68</v>
      </c>
      <c r="I197" s="1953">
        <v>13469360</v>
      </c>
      <c r="J197" s="1951">
        <v>14073933.77</v>
      </c>
      <c r="K197" s="1960">
        <v>14624642.723420002</v>
      </c>
      <c r="L197" s="85"/>
      <c r="M197" s="86"/>
      <c r="N197" s="86"/>
      <c r="O197" s="86"/>
      <c r="P197" s="86"/>
      <c r="Q197" s="86"/>
      <c r="R197" s="86"/>
      <c r="S197" s="86"/>
      <c r="T197" s="86"/>
      <c r="U197" s="86"/>
      <c r="V197" s="86"/>
      <c r="W197" s="86"/>
    </row>
    <row r="198" spans="1:23" ht="11.25" customHeight="1">
      <c r="A198" s="1001" t="str">
        <f t="shared" si="21"/>
        <v>3.3 - Revenue</v>
      </c>
      <c r="B198" s="882"/>
      <c r="C198" s="1951">
        <v>30835945.129999995</v>
      </c>
      <c r="D198" s="1951">
        <v>99136579.760000005</v>
      </c>
      <c r="E198" s="1960">
        <v>60167818.529999986</v>
      </c>
      <c r="F198" s="1961">
        <v>36102734</v>
      </c>
      <c r="G198" s="1951">
        <v>34068829</v>
      </c>
      <c r="H198" s="1962">
        <v>37591655.379999995</v>
      </c>
      <c r="I198" s="1953">
        <f>36566407+1000000</f>
        <v>37566407</v>
      </c>
      <c r="J198" s="1951">
        <v>38243916.415999986</v>
      </c>
      <c r="K198" s="1960">
        <v>40003044.571136005</v>
      </c>
      <c r="L198" s="85"/>
      <c r="M198" s="86"/>
      <c r="N198" s="86"/>
      <c r="O198" s="86"/>
      <c r="P198" s="86"/>
      <c r="Q198" s="86"/>
      <c r="R198" s="86"/>
      <c r="S198" s="86"/>
      <c r="T198" s="86"/>
      <c r="U198" s="86"/>
      <c r="V198" s="86"/>
      <c r="W198" s="86"/>
    </row>
    <row r="199" spans="1:23" ht="11.25" customHeight="1">
      <c r="A199" s="1001" t="str">
        <f t="shared" si="21"/>
        <v>3.4 - Expenditure</v>
      </c>
      <c r="B199" s="882"/>
      <c r="C199" s="1951">
        <v>8178393.0500000007</v>
      </c>
      <c r="D199" s="1951">
        <v>11388538.73</v>
      </c>
      <c r="E199" s="1960">
        <v>13258426.749999998</v>
      </c>
      <c r="F199" s="1961">
        <f>9245597+15000000</f>
        <v>24245597</v>
      </c>
      <c r="G199" s="1951">
        <v>9192769</v>
      </c>
      <c r="H199" s="1962">
        <v>13946370.499999998</v>
      </c>
      <c r="I199" s="1953">
        <v>10110759</v>
      </c>
      <c r="J199" s="1951">
        <v>10573965.476</v>
      </c>
      <c r="K199" s="1960">
        <v>11060275.887895999</v>
      </c>
      <c r="L199" s="85"/>
      <c r="M199" s="86"/>
      <c r="N199" s="86"/>
      <c r="O199" s="86"/>
      <c r="P199" s="86"/>
      <c r="Q199" s="86"/>
      <c r="R199" s="86"/>
      <c r="S199" s="86"/>
      <c r="T199" s="86"/>
      <c r="U199" s="86"/>
      <c r="V199" s="86"/>
      <c r="W199" s="86"/>
    </row>
    <row r="200" spans="1:23" ht="11.25" customHeight="1">
      <c r="A200" s="1001" t="str">
        <f t="shared" si="21"/>
        <v>3.5 - Inventory</v>
      </c>
      <c r="B200" s="882"/>
      <c r="C200" s="1951">
        <v>2782735.6900000004</v>
      </c>
      <c r="D200" s="1951">
        <v>29350058.759999998</v>
      </c>
      <c r="E200" s="1960">
        <v>7832670</v>
      </c>
      <c r="F200" s="1961">
        <v>6137991</v>
      </c>
      <c r="G200" s="1951">
        <v>5650938</v>
      </c>
      <c r="H200" s="1962">
        <v>5328485.419999999</v>
      </c>
      <c r="I200" s="1953">
        <v>6105960</v>
      </c>
      <c r="J200" s="1951">
        <v>6386525.4079999998</v>
      </c>
      <c r="K200" s="1960">
        <v>6680305.5767679997</v>
      </c>
      <c r="L200" s="85"/>
      <c r="M200" s="86"/>
      <c r="N200" s="86"/>
      <c r="O200" s="86"/>
      <c r="P200" s="86"/>
      <c r="Q200" s="86"/>
      <c r="R200" s="86"/>
      <c r="S200" s="86"/>
      <c r="T200" s="86"/>
      <c r="U200" s="86"/>
      <c r="V200" s="86"/>
      <c r="W200" s="86"/>
    </row>
    <row r="201" spans="1:23" ht="11.25" customHeight="1">
      <c r="A201" s="1001" t="str">
        <f t="shared" si="21"/>
        <v>3.6 - Supply Chain Management</v>
      </c>
      <c r="B201" s="882"/>
      <c r="C201" s="889">
        <v>3847977.5200000005</v>
      </c>
      <c r="D201" s="889">
        <v>3238495.3599999994</v>
      </c>
      <c r="E201" s="890">
        <v>4191088.5099999988</v>
      </c>
      <c r="F201" s="891">
        <v>4165156</v>
      </c>
      <c r="G201" s="889">
        <v>4145752</v>
      </c>
      <c r="H201" s="892">
        <v>4699203.5599999996</v>
      </c>
      <c r="I201" s="893">
        <v>4956446</v>
      </c>
      <c r="J201" s="889">
        <v>5183358.2500000009</v>
      </c>
      <c r="K201" s="890">
        <v>5421700.7294999994</v>
      </c>
      <c r="L201" s="85"/>
      <c r="M201" s="86"/>
      <c r="N201" s="86"/>
      <c r="O201" s="86"/>
      <c r="P201" s="86"/>
      <c r="Q201" s="86"/>
      <c r="R201" s="86"/>
      <c r="S201" s="86"/>
      <c r="T201" s="86"/>
      <c r="U201" s="86"/>
      <c r="V201" s="86"/>
      <c r="W201" s="86"/>
    </row>
    <row r="202" spans="1:23" ht="11.25" customHeight="1">
      <c r="A202" s="1001">
        <f t="shared" si="21"/>
        <v>0</v>
      </c>
      <c r="B202" s="882"/>
      <c r="C202" s="889"/>
      <c r="D202" s="889"/>
      <c r="E202" s="890"/>
      <c r="F202" s="891"/>
      <c r="G202" s="889"/>
      <c r="H202" s="892"/>
      <c r="I202" s="893"/>
      <c r="J202" s="889"/>
      <c r="K202" s="890"/>
      <c r="L202" s="85"/>
      <c r="M202" s="86"/>
      <c r="N202" s="86"/>
      <c r="O202" s="86"/>
      <c r="P202" s="86"/>
      <c r="Q202" s="86"/>
      <c r="R202" s="86"/>
      <c r="S202" s="86"/>
      <c r="T202" s="86"/>
      <c r="U202" s="86"/>
      <c r="V202" s="86"/>
      <c r="W202" s="86"/>
    </row>
    <row r="203" spans="1:23" ht="11.25" customHeight="1">
      <c r="A203" s="1001">
        <f t="shared" si="21"/>
        <v>0</v>
      </c>
      <c r="B203" s="882"/>
      <c r="C203" s="889"/>
      <c r="D203" s="889"/>
      <c r="E203" s="890"/>
      <c r="F203" s="891"/>
      <c r="G203" s="889"/>
      <c r="H203" s="892"/>
      <c r="I203" s="893"/>
      <c r="J203" s="889"/>
      <c r="K203" s="890"/>
      <c r="L203" s="85"/>
      <c r="M203" s="86"/>
      <c r="N203" s="86"/>
      <c r="O203" s="86"/>
      <c r="P203" s="86"/>
      <c r="Q203" s="86"/>
      <c r="R203" s="86"/>
      <c r="S203" s="86"/>
      <c r="T203" s="86"/>
      <c r="U203" s="86"/>
      <c r="V203" s="86"/>
      <c r="W203" s="86"/>
    </row>
    <row r="204" spans="1:23" ht="11.25" customHeight="1">
      <c r="A204" s="1001">
        <f t="shared" si="21"/>
        <v>0</v>
      </c>
      <c r="B204" s="882"/>
      <c r="C204" s="889"/>
      <c r="D204" s="889"/>
      <c r="E204" s="890"/>
      <c r="F204" s="891"/>
      <c r="G204" s="889"/>
      <c r="H204" s="892"/>
      <c r="I204" s="893"/>
      <c r="J204" s="889"/>
      <c r="K204" s="890"/>
      <c r="L204" s="85"/>
      <c r="M204" s="86"/>
      <c r="N204" s="86"/>
      <c r="O204" s="86"/>
      <c r="P204" s="86"/>
      <c r="Q204" s="86"/>
      <c r="R204" s="86"/>
      <c r="S204" s="86"/>
      <c r="T204" s="86"/>
      <c r="U204" s="86"/>
      <c r="V204" s="86"/>
      <c r="W204" s="86"/>
    </row>
    <row r="205" spans="1:23" ht="11.25" customHeight="1">
      <c r="A205" s="1001">
        <f t="shared" si="21"/>
        <v>0</v>
      </c>
      <c r="B205" s="882"/>
      <c r="C205" s="889"/>
      <c r="D205" s="889"/>
      <c r="E205" s="890"/>
      <c r="F205" s="891"/>
      <c r="G205" s="889"/>
      <c r="H205" s="892"/>
      <c r="I205" s="893"/>
      <c r="J205" s="889"/>
      <c r="K205" s="890"/>
      <c r="L205" s="85"/>
      <c r="M205" s="86"/>
      <c r="N205" s="86"/>
      <c r="O205" s="86"/>
      <c r="P205" s="86"/>
      <c r="Q205" s="86"/>
      <c r="R205" s="86"/>
      <c r="S205" s="86"/>
      <c r="T205" s="86"/>
      <c r="U205" s="86"/>
      <c r="V205" s="86"/>
      <c r="W205" s="86"/>
    </row>
    <row r="206" spans="1:23" ht="15" customHeight="1">
      <c r="A206" s="1000" t="str">
        <f t="shared" si="21"/>
        <v>Vote 4 - Corporate Services</v>
      </c>
      <c r="B206" s="894"/>
      <c r="C206" s="832">
        <f t="shared" ref="C206:K206" si="23">SUM(C207:C216)</f>
        <v>45132949.670000002</v>
      </c>
      <c r="D206" s="832">
        <f t="shared" si="23"/>
        <v>49028857.819999993</v>
      </c>
      <c r="E206" s="833">
        <f t="shared" si="23"/>
        <v>49685045.039999992</v>
      </c>
      <c r="F206" s="834">
        <f t="shared" si="23"/>
        <v>63300012.329999998</v>
      </c>
      <c r="G206" s="832">
        <f t="shared" si="23"/>
        <v>63027706.649999999</v>
      </c>
      <c r="H206" s="835">
        <f t="shared" si="23"/>
        <v>55638281.260000005</v>
      </c>
      <c r="I206" s="836">
        <f t="shared" si="23"/>
        <v>63973170</v>
      </c>
      <c r="J206" s="832">
        <f t="shared" si="23"/>
        <v>66831373.910000004</v>
      </c>
      <c r="K206" s="833">
        <f t="shared" si="23"/>
        <v>69900537.43186</v>
      </c>
      <c r="L206" s="85"/>
      <c r="M206" s="86"/>
      <c r="N206" s="86"/>
      <c r="O206" s="86"/>
      <c r="P206" s="86"/>
      <c r="Q206" s="86"/>
      <c r="R206" s="86"/>
      <c r="S206" s="86"/>
      <c r="T206" s="86"/>
      <c r="U206" s="86"/>
      <c r="V206" s="86"/>
      <c r="W206" s="86"/>
    </row>
    <row r="207" spans="1:23" ht="11.25" customHeight="1">
      <c r="A207" s="1001" t="str">
        <f t="shared" ref="A207:A216" si="24">A39</f>
        <v>4.1 - Communications</v>
      </c>
      <c r="B207" s="882"/>
      <c r="C207" s="889">
        <v>3727337.01</v>
      </c>
      <c r="D207" s="889">
        <v>3453961.8299999996</v>
      </c>
      <c r="E207" s="890">
        <v>3887705.8499999992</v>
      </c>
      <c r="F207" s="891">
        <v>3817572</v>
      </c>
      <c r="G207" s="889">
        <v>3557663.5</v>
      </c>
      <c r="H207" s="892">
        <v>3477077.38</v>
      </c>
      <c r="I207" s="893">
        <v>3883421</v>
      </c>
      <c r="J207" s="889">
        <v>4061942.4920000006</v>
      </c>
      <c r="K207" s="890">
        <v>4248699.846632001</v>
      </c>
      <c r="L207" s="85"/>
      <c r="M207" s="86"/>
      <c r="N207" s="86"/>
      <c r="O207" s="86"/>
      <c r="P207" s="86"/>
      <c r="Q207" s="86"/>
      <c r="R207" s="86"/>
      <c r="S207" s="86"/>
      <c r="T207" s="86"/>
      <c r="U207" s="86"/>
      <c r="V207" s="86"/>
      <c r="W207" s="86"/>
    </row>
    <row r="208" spans="1:23" ht="11.25" customHeight="1">
      <c r="A208" s="1001" t="str">
        <f t="shared" si="24"/>
        <v>4.2 - Public Participation &amp; Project Support</v>
      </c>
      <c r="B208" s="882"/>
      <c r="C208" s="889">
        <v>10818955.509999998</v>
      </c>
      <c r="D208" s="889">
        <v>12629092.9</v>
      </c>
      <c r="E208" s="890">
        <v>12209472.139999999</v>
      </c>
      <c r="F208" s="891">
        <v>15236355.329999998</v>
      </c>
      <c r="G208" s="889">
        <v>17100932.729999997</v>
      </c>
      <c r="H208" s="892">
        <v>15108570.079999998</v>
      </c>
      <c r="I208" s="893">
        <v>16933248</v>
      </c>
      <c r="J208" s="889">
        <v>17711014.16</v>
      </c>
      <c r="K208" s="890">
        <v>18525628.811360002</v>
      </c>
      <c r="L208" s="85"/>
      <c r="M208" s="86"/>
      <c r="N208" s="86"/>
      <c r="O208" s="86"/>
      <c r="P208" s="86"/>
      <c r="Q208" s="86"/>
      <c r="R208" s="86"/>
      <c r="S208" s="86"/>
      <c r="T208" s="86"/>
      <c r="U208" s="86"/>
      <c r="V208" s="86"/>
      <c r="W208" s="86"/>
    </row>
    <row r="209" spans="1:23" ht="11.25" customHeight="1">
      <c r="A209" s="1001" t="str">
        <f t="shared" si="24"/>
        <v>4.3 - Information Technolgy</v>
      </c>
      <c r="B209" s="882"/>
      <c r="C209" s="889">
        <v>11861584.91</v>
      </c>
      <c r="D209" s="889">
        <v>11085078.959999999</v>
      </c>
      <c r="E209" s="890">
        <v>10598289.419999998</v>
      </c>
      <c r="F209" s="891">
        <v>17560754</v>
      </c>
      <c r="G209" s="889">
        <v>16213149</v>
      </c>
      <c r="H209" s="892">
        <v>12199193.140000002</v>
      </c>
      <c r="I209" s="893">
        <v>15465345</v>
      </c>
      <c r="J209" s="889">
        <v>16138270.425999993</v>
      </c>
      <c r="K209" s="890">
        <v>16876011.187596001</v>
      </c>
      <c r="L209" s="85"/>
      <c r="M209" s="86"/>
      <c r="N209" s="86"/>
      <c r="O209" s="86"/>
      <c r="P209" s="86"/>
      <c r="Q209" s="86"/>
      <c r="R209" s="86"/>
      <c r="S209" s="86"/>
      <c r="T209" s="86"/>
      <c r="U209" s="86"/>
      <c r="V209" s="86"/>
      <c r="W209" s="86"/>
    </row>
    <row r="210" spans="1:23" ht="11.25" customHeight="1">
      <c r="A210" s="1001" t="str">
        <f t="shared" si="24"/>
        <v>4.4 - Administration HR &amp; Corporate</v>
      </c>
      <c r="B210" s="882"/>
      <c r="C210" s="889">
        <v>916901.32</v>
      </c>
      <c r="D210" s="889">
        <v>2075024.4799999997</v>
      </c>
      <c r="E210" s="890">
        <v>1983478.3400000003</v>
      </c>
      <c r="F210" s="891">
        <v>2838444</v>
      </c>
      <c r="G210" s="889">
        <v>2680136</v>
      </c>
      <c r="H210" s="892">
        <v>2044089.0400000003</v>
      </c>
      <c r="I210" s="893">
        <v>2503467</v>
      </c>
      <c r="J210" s="889">
        <v>2612780.526000001</v>
      </c>
      <c r="K210" s="890">
        <v>2732876.4301959993</v>
      </c>
      <c r="L210" s="85"/>
      <c r="M210" s="86"/>
      <c r="N210" s="86"/>
      <c r="O210" s="86"/>
      <c r="P210" s="86"/>
      <c r="Q210" s="86"/>
      <c r="R210" s="86"/>
      <c r="S210" s="86"/>
      <c r="T210" s="86"/>
      <c r="U210" s="86"/>
      <c r="V210" s="86"/>
      <c r="W210" s="86"/>
    </row>
    <row r="211" spans="1:23" ht="11.25" customHeight="1">
      <c r="A211" s="1001" t="str">
        <f t="shared" si="24"/>
        <v>4.6 - Human Resources</v>
      </c>
      <c r="B211" s="882"/>
      <c r="C211" s="889">
        <v>8784488.7199999988</v>
      </c>
      <c r="D211" s="889">
        <v>10104426.249999998</v>
      </c>
      <c r="E211" s="890">
        <v>9556065.870000001</v>
      </c>
      <c r="F211" s="891">
        <v>13353482</v>
      </c>
      <c r="G211" s="889">
        <v>13214172.92</v>
      </c>
      <c r="H211" s="892">
        <v>14021894.34</v>
      </c>
      <c r="I211" s="893">
        <v>15378501</v>
      </c>
      <c r="J211" s="889">
        <v>16085681.217999998</v>
      </c>
      <c r="K211" s="890">
        <v>16825530.554028001</v>
      </c>
      <c r="L211" s="85"/>
      <c r="M211" s="86"/>
      <c r="N211" s="86"/>
      <c r="O211" s="86"/>
      <c r="P211" s="86"/>
      <c r="Q211" s="86"/>
      <c r="R211" s="86"/>
      <c r="S211" s="86"/>
      <c r="T211" s="86"/>
      <c r="U211" s="86"/>
      <c r="V211" s="86"/>
      <c r="W211" s="86"/>
    </row>
    <row r="212" spans="1:23" ht="11.25" customHeight="1">
      <c r="A212" s="1001" t="str">
        <f t="shared" si="24"/>
        <v>4.7 - Occupational Health &amp; safety</v>
      </c>
      <c r="B212" s="882"/>
      <c r="C212" s="889">
        <v>120966.14000000001</v>
      </c>
      <c r="D212" s="889">
        <v>108832.31</v>
      </c>
      <c r="E212" s="890">
        <v>117658.29</v>
      </c>
      <c r="F212" s="891">
        <v>335075</v>
      </c>
      <c r="G212" s="889">
        <v>285075</v>
      </c>
      <c r="H212" s="892">
        <v>73131.92</v>
      </c>
      <c r="I212" s="893">
        <v>276075</v>
      </c>
      <c r="J212" s="889">
        <v>288774.44999999995</v>
      </c>
      <c r="K212" s="890">
        <v>302058.0747</v>
      </c>
      <c r="L212" s="85"/>
      <c r="M212" s="86"/>
      <c r="N212" s="86"/>
      <c r="O212" s="86"/>
      <c r="P212" s="86"/>
      <c r="Q212" s="86"/>
      <c r="R212" s="86"/>
      <c r="S212" s="86"/>
      <c r="T212" s="86"/>
      <c r="U212" s="86"/>
      <c r="V212" s="86"/>
      <c r="W212" s="86"/>
    </row>
    <row r="213" spans="1:23" ht="11.25" customHeight="1">
      <c r="A213" s="1001" t="str">
        <f t="shared" si="24"/>
        <v>4.8 - Corporate Services</v>
      </c>
      <c r="B213" s="882"/>
      <c r="C213" s="889">
        <v>8902716.0599999987</v>
      </c>
      <c r="D213" s="889">
        <v>9572441.0899999999</v>
      </c>
      <c r="E213" s="890">
        <v>11332375.129999999</v>
      </c>
      <c r="F213" s="891">
        <v>10158330</v>
      </c>
      <c r="G213" s="889">
        <v>9976577.5</v>
      </c>
      <c r="H213" s="892">
        <v>8714325.3599999994</v>
      </c>
      <c r="I213" s="893">
        <v>9533113</v>
      </c>
      <c r="J213" s="889">
        <v>9932910.6380000021</v>
      </c>
      <c r="K213" s="890">
        <v>10389732.527347999</v>
      </c>
      <c r="L213" s="85"/>
      <c r="M213" s="86"/>
      <c r="N213" s="86"/>
      <c r="O213" s="86"/>
      <c r="P213" s="86"/>
      <c r="Q213" s="86"/>
      <c r="R213" s="86"/>
      <c r="S213" s="86"/>
      <c r="T213" s="86"/>
      <c r="U213" s="86"/>
      <c r="V213" s="86"/>
      <c r="W213" s="86"/>
    </row>
    <row r="214" spans="1:23" ht="11.25" customHeight="1">
      <c r="A214" s="1001">
        <f t="shared" si="24"/>
        <v>0</v>
      </c>
      <c r="B214" s="882"/>
      <c r="C214" s="889"/>
      <c r="D214" s="889"/>
      <c r="E214" s="890"/>
      <c r="F214" s="891"/>
      <c r="G214" s="889"/>
      <c r="H214" s="892"/>
      <c r="I214" s="893"/>
      <c r="J214" s="889"/>
      <c r="K214" s="890"/>
      <c r="L214" s="85"/>
      <c r="M214" s="86"/>
      <c r="N214" s="86"/>
      <c r="O214" s="86"/>
      <c r="P214" s="86"/>
      <c r="Q214" s="86"/>
      <c r="R214" s="86"/>
      <c r="S214" s="86"/>
      <c r="T214" s="86"/>
      <c r="U214" s="86"/>
      <c r="V214" s="86"/>
      <c r="W214" s="86"/>
    </row>
    <row r="215" spans="1:23" ht="11.25" customHeight="1">
      <c r="A215" s="1001">
        <f t="shared" si="24"/>
        <v>0</v>
      </c>
      <c r="B215" s="882"/>
      <c r="C215" s="889"/>
      <c r="D215" s="889"/>
      <c r="E215" s="890"/>
      <c r="F215" s="891"/>
      <c r="G215" s="889"/>
      <c r="H215" s="892"/>
      <c r="I215" s="893"/>
      <c r="J215" s="889"/>
      <c r="K215" s="890"/>
      <c r="L215" s="85"/>
      <c r="M215" s="86"/>
      <c r="N215" s="86"/>
      <c r="O215" s="86"/>
      <c r="P215" s="86"/>
      <c r="Q215" s="86"/>
      <c r="R215" s="86"/>
      <c r="S215" s="86"/>
      <c r="T215" s="86"/>
      <c r="U215" s="86"/>
      <c r="V215" s="86"/>
      <c r="W215" s="86"/>
    </row>
    <row r="216" spans="1:23" ht="11.25" customHeight="1">
      <c r="A216" s="1001">
        <f t="shared" si="24"/>
        <v>0</v>
      </c>
      <c r="B216" s="882"/>
      <c r="C216" s="889"/>
      <c r="D216" s="889"/>
      <c r="E216" s="890"/>
      <c r="F216" s="891"/>
      <c r="G216" s="889"/>
      <c r="H216" s="892"/>
      <c r="I216" s="893"/>
      <c r="J216" s="889"/>
      <c r="K216" s="890"/>
      <c r="L216" s="85"/>
      <c r="M216" s="86"/>
      <c r="N216" s="86"/>
      <c r="O216" s="86"/>
      <c r="P216" s="86"/>
      <c r="Q216" s="86"/>
      <c r="R216" s="86"/>
      <c r="S216" s="86"/>
      <c r="T216" s="86"/>
      <c r="U216" s="86"/>
      <c r="V216" s="86"/>
      <c r="W216" s="86"/>
    </row>
    <row r="217" spans="1:23" ht="15" customHeight="1">
      <c r="A217" s="1000" t="str">
        <f>A49</f>
        <v>Vote 5 - Community Services</v>
      </c>
      <c r="B217" s="894"/>
      <c r="C217" s="832">
        <f t="shared" ref="C217:K217" si="25">SUM(C218:C227)</f>
        <v>116552128.10999998</v>
      </c>
      <c r="D217" s="832">
        <f t="shared" si="25"/>
        <v>126202694.40000002</v>
      </c>
      <c r="E217" s="833">
        <f t="shared" si="25"/>
        <v>138014682.60000002</v>
      </c>
      <c r="F217" s="834">
        <f t="shared" si="25"/>
        <v>139371924.92000002</v>
      </c>
      <c r="G217" s="832">
        <f t="shared" si="25"/>
        <v>122958342.87</v>
      </c>
      <c r="H217" s="835">
        <f t="shared" si="25"/>
        <v>117677401.32000001</v>
      </c>
      <c r="I217" s="836">
        <f t="shared" si="25"/>
        <v>138932698</v>
      </c>
      <c r="J217" s="832">
        <f t="shared" si="25"/>
        <v>137686562.15799999</v>
      </c>
      <c r="K217" s="833">
        <f t="shared" si="25"/>
        <v>144019885.84926799</v>
      </c>
      <c r="L217" s="85"/>
      <c r="M217" s="86"/>
      <c r="N217" s="86"/>
      <c r="O217" s="86"/>
      <c r="P217" s="86"/>
      <c r="Q217" s="86"/>
      <c r="R217" s="86"/>
      <c r="S217" s="86"/>
      <c r="T217" s="86"/>
      <c r="U217" s="86"/>
      <c r="V217" s="86"/>
      <c r="W217" s="86"/>
    </row>
    <row r="218" spans="1:23" ht="11.25" customHeight="1">
      <c r="A218" s="1001" t="str">
        <f t="shared" ref="A218:A227" si="26">A50</f>
        <v>5.1 - Parks &amp; Recreation</v>
      </c>
      <c r="B218" s="882"/>
      <c r="C218" s="889">
        <v>23221189.069999997</v>
      </c>
      <c r="D218" s="889">
        <v>23678467.610000003</v>
      </c>
      <c r="E218" s="890">
        <v>23016098.579999998</v>
      </c>
      <c r="F218" s="891">
        <v>27120105</v>
      </c>
      <c r="G218" s="889">
        <v>25367366</v>
      </c>
      <c r="H218" s="892">
        <v>23042290.680000003</v>
      </c>
      <c r="I218" s="893">
        <v>25601180</v>
      </c>
      <c r="J218" s="889">
        <v>26708568.221999995</v>
      </c>
      <c r="K218" s="890">
        <v>27937162.360211998</v>
      </c>
      <c r="L218" s="85"/>
      <c r="M218" s="86"/>
      <c r="N218" s="86"/>
      <c r="O218" s="86"/>
      <c r="P218" s="86"/>
      <c r="Q218" s="86"/>
      <c r="R218" s="86"/>
      <c r="S218" s="86"/>
      <c r="T218" s="86"/>
      <c r="U218" s="86"/>
      <c r="V218" s="86"/>
      <c r="W218" s="86"/>
    </row>
    <row r="219" spans="1:23" ht="11.25" customHeight="1">
      <c r="A219" s="1001" t="str">
        <f t="shared" si="26"/>
        <v>5.2 - Administration Community Services</v>
      </c>
      <c r="B219" s="882"/>
      <c r="C219" s="889">
        <v>6704055.0499999998</v>
      </c>
      <c r="D219" s="889">
        <v>7598360.1900000004</v>
      </c>
      <c r="E219" s="890">
        <v>10107495.620000001</v>
      </c>
      <c r="F219" s="891">
        <v>895280</v>
      </c>
      <c r="G219" s="889">
        <v>816803.5</v>
      </c>
      <c r="H219" s="892">
        <v>39162.479999999996</v>
      </c>
      <c r="I219" s="893">
        <v>784598</v>
      </c>
      <c r="J219" s="889">
        <v>786984.80199999991</v>
      </c>
      <c r="K219" s="890">
        <v>823094.10289200011</v>
      </c>
      <c r="L219" s="85"/>
      <c r="M219" s="86"/>
      <c r="N219" s="86"/>
      <c r="O219" s="86"/>
      <c r="P219" s="86"/>
      <c r="Q219" s="86"/>
      <c r="R219" s="86"/>
      <c r="S219" s="86"/>
      <c r="T219" s="86"/>
      <c r="U219" s="86"/>
      <c r="V219" s="86"/>
      <c r="W219" s="86"/>
    </row>
    <row r="220" spans="1:23" ht="11.25" customHeight="1">
      <c r="A220" s="1001" t="str">
        <f t="shared" si="26"/>
        <v>5.3 - Community Health Services</v>
      </c>
      <c r="B220" s="882"/>
      <c r="C220" s="889">
        <v>128512.98</v>
      </c>
      <c r="D220" s="889">
        <v>38253.97</v>
      </c>
      <c r="E220" s="890">
        <v>54267.740000000005</v>
      </c>
      <c r="F220" s="891">
        <v>227762</v>
      </c>
      <c r="G220" s="889">
        <v>196949</v>
      </c>
      <c r="H220" s="892">
        <v>4293221.96</v>
      </c>
      <c r="I220" s="893">
        <v>198633</v>
      </c>
      <c r="J220" s="889">
        <v>205213.342</v>
      </c>
      <c r="K220" s="890">
        <v>214670.98773200001</v>
      </c>
      <c r="L220" s="85"/>
      <c r="M220" s="86"/>
      <c r="N220" s="86"/>
      <c r="O220" s="86"/>
      <c r="P220" s="86"/>
      <c r="Q220" s="86"/>
      <c r="R220" s="86"/>
      <c r="S220" s="86"/>
      <c r="T220" s="86"/>
      <c r="U220" s="86"/>
      <c r="V220" s="86"/>
      <c r="W220" s="86"/>
    </row>
    <row r="221" spans="1:23" ht="11.25" customHeight="1">
      <c r="A221" s="1001" t="str">
        <f t="shared" si="26"/>
        <v>5.4 - Enviromental Health Services</v>
      </c>
      <c r="B221" s="882"/>
      <c r="C221" s="889">
        <v>8042569.2800000003</v>
      </c>
      <c r="D221" s="889">
        <v>8658011.1800000034</v>
      </c>
      <c r="E221" s="890">
        <v>9049393.5200000033</v>
      </c>
      <c r="F221" s="891">
        <v>10317183</v>
      </c>
      <c r="G221" s="889">
        <v>9973643.5</v>
      </c>
      <c r="H221" s="892">
        <v>10372378.520000001</v>
      </c>
      <c r="I221" s="893">
        <v>11523871</v>
      </c>
      <c r="J221" s="889">
        <v>12034000.006000005</v>
      </c>
      <c r="K221" s="890">
        <v>12587564.006276008</v>
      </c>
      <c r="L221" s="85"/>
      <c r="M221" s="86"/>
      <c r="N221" s="86"/>
      <c r="O221" s="86"/>
      <c r="P221" s="86"/>
      <c r="Q221" s="86"/>
      <c r="R221" s="86"/>
      <c r="S221" s="86"/>
      <c r="T221" s="86"/>
      <c r="U221" s="86"/>
      <c r="V221" s="86"/>
      <c r="W221" s="86"/>
    </row>
    <row r="222" spans="1:23" ht="11.25" customHeight="1">
      <c r="A222" s="1001" t="str">
        <f t="shared" si="26"/>
        <v>5.5 - Library Services</v>
      </c>
      <c r="B222" s="882"/>
      <c r="C222" s="889">
        <v>7646026.6699999999</v>
      </c>
      <c r="D222" s="889">
        <v>8866582.1699999999</v>
      </c>
      <c r="E222" s="890">
        <v>8981276.3300000019</v>
      </c>
      <c r="F222" s="891">
        <v>10052528</v>
      </c>
      <c r="G222" s="889">
        <v>9776214.5</v>
      </c>
      <c r="H222" s="892">
        <v>9465857.8400000036</v>
      </c>
      <c r="I222" s="893">
        <v>10579180</v>
      </c>
      <c r="J222" s="889">
        <v>11059452.660000004</v>
      </c>
      <c r="K222" s="890">
        <v>11568095.482359996</v>
      </c>
      <c r="L222" s="85"/>
      <c r="M222" s="86"/>
      <c r="N222" s="86"/>
      <c r="O222" s="86"/>
      <c r="P222" s="86"/>
      <c r="Q222" s="86"/>
      <c r="R222" s="86"/>
      <c r="S222" s="86"/>
      <c r="T222" s="86"/>
      <c r="U222" s="86"/>
      <c r="V222" s="86"/>
      <c r="W222" s="86"/>
    </row>
    <row r="223" spans="1:23" ht="11.25" customHeight="1">
      <c r="A223" s="1001" t="str">
        <f t="shared" si="26"/>
        <v>5.6 - Solid Waste</v>
      </c>
      <c r="B223" s="882"/>
      <c r="C223" s="889">
        <v>43373338.360000007</v>
      </c>
      <c r="D223" s="889">
        <v>49477134.520000003</v>
      </c>
      <c r="E223" s="890">
        <v>57787113.840000026</v>
      </c>
      <c r="F223" s="891">
        <v>56176750.920000002</v>
      </c>
      <c r="G223" s="889">
        <v>46308795.370000005</v>
      </c>
      <c r="H223" s="892">
        <v>40215567.939999998</v>
      </c>
      <c r="I223" s="893">
        <v>56722341</v>
      </c>
      <c r="J223" s="889">
        <v>51829556.910000004</v>
      </c>
      <c r="K223" s="890">
        <v>54213624.527860001</v>
      </c>
      <c r="L223" s="85"/>
      <c r="M223" s="86"/>
      <c r="N223" s="86"/>
      <c r="O223" s="86"/>
      <c r="P223" s="86"/>
      <c r="Q223" s="86"/>
      <c r="R223" s="86"/>
      <c r="S223" s="86"/>
      <c r="T223" s="86"/>
      <c r="U223" s="86"/>
      <c r="V223" s="86"/>
      <c r="W223" s="86"/>
    </row>
    <row r="224" spans="1:23" ht="11.25" customHeight="1">
      <c r="A224" s="1001" t="str">
        <f t="shared" si="26"/>
        <v>5.7 - Street Cleansing</v>
      </c>
      <c r="B224" s="882"/>
      <c r="C224" s="889">
        <v>20615480.629999999</v>
      </c>
      <c r="D224" s="889">
        <v>21912974.260000002</v>
      </c>
      <c r="E224" s="890">
        <v>24502764.320000004</v>
      </c>
      <c r="F224" s="891">
        <v>28817126</v>
      </c>
      <c r="G224" s="889">
        <v>25501066</v>
      </c>
      <c r="H224" s="892">
        <v>25822738.880000003</v>
      </c>
      <c r="I224" s="893">
        <v>28397081</v>
      </c>
      <c r="J224" s="889">
        <v>29703346.726</v>
      </c>
      <c r="K224" s="890">
        <v>31069700.675395995</v>
      </c>
      <c r="L224" s="85"/>
      <c r="M224" s="86"/>
      <c r="N224" s="86"/>
      <c r="O224" s="86"/>
      <c r="P224" s="86"/>
      <c r="Q224" s="86"/>
      <c r="R224" s="86"/>
      <c r="S224" s="86"/>
      <c r="T224" s="86"/>
      <c r="U224" s="86"/>
      <c r="V224" s="86"/>
      <c r="W224" s="86"/>
    </row>
    <row r="225" spans="1:23" ht="11.25" customHeight="1">
      <c r="A225" s="1001" t="str">
        <f t="shared" si="26"/>
        <v>5.8 - Public Toilets</v>
      </c>
      <c r="B225" s="882"/>
      <c r="C225" s="889">
        <v>6820956.0700000003</v>
      </c>
      <c r="D225" s="889">
        <v>5972910.5</v>
      </c>
      <c r="E225" s="890">
        <v>4516272.6500000004</v>
      </c>
      <c r="F225" s="891">
        <v>5765190</v>
      </c>
      <c r="G225" s="889">
        <v>5017505</v>
      </c>
      <c r="H225" s="892">
        <v>4426183.0199999996</v>
      </c>
      <c r="I225" s="893">
        <v>5125814</v>
      </c>
      <c r="J225" s="889">
        <v>5359439.49</v>
      </c>
      <c r="K225" s="890">
        <v>5605973.7065399997</v>
      </c>
      <c r="L225" s="85"/>
      <c r="M225" s="86"/>
      <c r="N225" s="86"/>
      <c r="O225" s="86"/>
      <c r="P225" s="86"/>
      <c r="Q225" s="86"/>
      <c r="R225" s="86"/>
      <c r="S225" s="86"/>
      <c r="T225" s="86"/>
      <c r="U225" s="86"/>
      <c r="V225" s="86"/>
      <c r="W225" s="86"/>
    </row>
    <row r="226" spans="1:23" ht="11.25" customHeight="1">
      <c r="A226" s="1001">
        <f t="shared" si="26"/>
        <v>0</v>
      </c>
      <c r="B226" s="882"/>
      <c r="C226" s="889"/>
      <c r="D226" s="889"/>
      <c r="E226" s="890"/>
      <c r="F226" s="891"/>
      <c r="G226" s="889"/>
      <c r="H226" s="892"/>
      <c r="I226" s="893"/>
      <c r="J226" s="889"/>
      <c r="K226" s="890"/>
      <c r="L226" s="85"/>
      <c r="M226" s="86"/>
      <c r="N226" s="86"/>
      <c r="O226" s="86"/>
      <c r="P226" s="86"/>
      <c r="Q226" s="86"/>
      <c r="R226" s="86"/>
      <c r="S226" s="86"/>
      <c r="T226" s="86"/>
      <c r="U226" s="86"/>
      <c r="V226" s="86"/>
      <c r="W226" s="86"/>
    </row>
    <row r="227" spans="1:23" ht="11.25" customHeight="1">
      <c r="A227" s="1001">
        <f t="shared" si="26"/>
        <v>0</v>
      </c>
      <c r="B227" s="882"/>
      <c r="C227" s="889"/>
      <c r="D227" s="889"/>
      <c r="E227" s="890"/>
      <c r="F227" s="891"/>
      <c r="G227" s="889"/>
      <c r="H227" s="892"/>
      <c r="I227" s="893"/>
      <c r="J227" s="889"/>
      <c r="K227" s="890"/>
      <c r="L227" s="85"/>
      <c r="M227" s="86"/>
      <c r="N227" s="86"/>
      <c r="O227" s="86"/>
      <c r="P227" s="86"/>
      <c r="Q227" s="86"/>
      <c r="R227" s="86"/>
      <c r="S227" s="86"/>
      <c r="T227" s="86"/>
      <c r="U227" s="86"/>
      <c r="V227" s="86"/>
      <c r="W227" s="86"/>
    </row>
    <row r="228" spans="1:23" ht="15" customHeight="1">
      <c r="A228" s="1000" t="str">
        <f>A60</f>
        <v>Vote 6 - Community Services</v>
      </c>
      <c r="B228" s="894"/>
      <c r="C228" s="832">
        <f t="shared" ref="C228:K228" si="27">SUM(C229:C238)</f>
        <v>46241943.659999996</v>
      </c>
      <c r="D228" s="832">
        <f t="shared" si="27"/>
        <v>49460587.949999996</v>
      </c>
      <c r="E228" s="833">
        <f t="shared" si="27"/>
        <v>53110645.079999998</v>
      </c>
      <c r="F228" s="834">
        <f t="shared" si="27"/>
        <v>120718445</v>
      </c>
      <c r="G228" s="832">
        <f t="shared" si="27"/>
        <v>114928589.86</v>
      </c>
      <c r="H228" s="835">
        <f t="shared" si="27"/>
        <v>168827767.53999999</v>
      </c>
      <c r="I228" s="836">
        <f t="shared" si="27"/>
        <v>130635365</v>
      </c>
      <c r="J228" s="832">
        <f t="shared" si="27"/>
        <v>136566477.25799999</v>
      </c>
      <c r="K228" s="833">
        <f t="shared" si="27"/>
        <v>142848496.15186802</v>
      </c>
      <c r="L228" s="85"/>
      <c r="M228" s="86"/>
      <c r="N228" s="86"/>
      <c r="O228" s="86"/>
      <c r="P228" s="86"/>
      <c r="Q228" s="86"/>
      <c r="R228" s="86"/>
      <c r="S228" s="86"/>
      <c r="T228" s="86"/>
      <c r="U228" s="86"/>
      <c r="V228" s="86"/>
      <c r="W228" s="86"/>
    </row>
    <row r="229" spans="1:23" ht="11.25" customHeight="1">
      <c r="A229" s="1001" t="str">
        <f t="shared" ref="A229:A238" si="28">A61</f>
        <v>6.1 - 6.2 - Administration Transport,safety,Security</v>
      </c>
      <c r="B229" s="882"/>
      <c r="C229" s="889">
        <v>3547722.3199999994</v>
      </c>
      <c r="D229" s="889">
        <v>9592091.7100000009</v>
      </c>
      <c r="E229" s="890">
        <v>18063953.050000001</v>
      </c>
      <c r="F229" s="891">
        <f>21421667+289000</f>
        <v>21710667</v>
      </c>
      <c r="G229" s="889">
        <v>26241616</v>
      </c>
      <c r="H229" s="892">
        <v>27573881.619999994</v>
      </c>
      <c r="I229" s="893">
        <v>21364512</v>
      </c>
      <c r="J229" s="889">
        <v>22347233.552000005</v>
      </c>
      <c r="K229" s="890">
        <v>23375160.295391999</v>
      </c>
      <c r="L229" s="85"/>
      <c r="M229" s="86"/>
      <c r="N229" s="86"/>
      <c r="O229" s="86"/>
      <c r="P229" s="86"/>
      <c r="Q229" s="86"/>
      <c r="R229" s="86"/>
      <c r="S229" s="86"/>
      <c r="T229" s="86"/>
      <c r="U229" s="86"/>
      <c r="V229" s="86"/>
      <c r="W229" s="86"/>
    </row>
    <row r="230" spans="1:23" ht="11.25" customHeight="1">
      <c r="A230" s="1001" t="str">
        <f t="shared" si="28"/>
        <v>6.2 - 6.3 - Vehicle licencing</v>
      </c>
      <c r="B230" s="882"/>
      <c r="C230" s="889">
        <v>16710201.600000001</v>
      </c>
      <c r="D230" s="889">
        <v>17591636.18</v>
      </c>
      <c r="E230" s="890">
        <v>18863645.389999997</v>
      </c>
      <c r="F230" s="891">
        <v>42981770</v>
      </c>
      <c r="G230" s="889">
        <v>41527308.859999999</v>
      </c>
      <c r="H230" s="892">
        <v>64577326.399999999</v>
      </c>
      <c r="I230" s="893">
        <v>58238129</v>
      </c>
      <c r="J230" s="889">
        <v>60915865.313999996</v>
      </c>
      <c r="K230" s="890">
        <v>63718048.058444008</v>
      </c>
      <c r="L230" s="85"/>
      <c r="M230" s="86"/>
      <c r="N230" s="86"/>
      <c r="O230" s="86"/>
      <c r="P230" s="86"/>
      <c r="Q230" s="86"/>
      <c r="R230" s="86"/>
      <c r="S230" s="86"/>
      <c r="T230" s="86"/>
      <c r="U230" s="86"/>
      <c r="V230" s="86"/>
      <c r="W230" s="86"/>
    </row>
    <row r="231" spans="1:23" ht="11.25" customHeight="1">
      <c r="A231" s="1001" t="str">
        <f t="shared" si="28"/>
        <v>6.3 - 6.1 - Traffic services</v>
      </c>
      <c r="B231" s="882"/>
      <c r="C231" s="889">
        <v>25984019.739999998</v>
      </c>
      <c r="D231" s="889">
        <v>22276860.059999995</v>
      </c>
      <c r="E231" s="890">
        <v>16183046.640000001</v>
      </c>
      <c r="F231" s="891">
        <v>56026008</v>
      </c>
      <c r="G231" s="889">
        <v>47159665</v>
      </c>
      <c r="H231" s="892">
        <v>76676559.519999996</v>
      </c>
      <c r="I231" s="893">
        <v>51032724</v>
      </c>
      <c r="J231" s="889">
        <v>53303378.39199999</v>
      </c>
      <c r="K231" s="890">
        <v>55755287.798032016</v>
      </c>
      <c r="L231" s="85"/>
      <c r="M231" s="86"/>
      <c r="N231" s="86"/>
      <c r="O231" s="86"/>
      <c r="P231" s="86"/>
      <c r="Q231" s="86"/>
      <c r="R231" s="86"/>
      <c r="S231" s="86"/>
      <c r="T231" s="86"/>
      <c r="U231" s="86"/>
      <c r="V231" s="86"/>
      <c r="W231" s="86"/>
    </row>
    <row r="232" spans="1:23" ht="11.25" customHeight="1">
      <c r="A232" s="1001">
        <f t="shared" si="28"/>
        <v>0</v>
      </c>
      <c r="B232" s="882"/>
      <c r="C232" s="889"/>
      <c r="D232" s="889"/>
      <c r="E232" s="890"/>
      <c r="F232" s="891"/>
      <c r="G232" s="889"/>
      <c r="H232" s="892"/>
      <c r="I232" s="893"/>
      <c r="J232" s="889"/>
      <c r="K232" s="890"/>
      <c r="L232" s="85"/>
      <c r="M232" s="86"/>
      <c r="N232" s="86"/>
      <c r="O232" s="86"/>
      <c r="P232" s="86"/>
      <c r="Q232" s="86"/>
      <c r="R232" s="86"/>
      <c r="S232" s="86"/>
      <c r="T232" s="86"/>
      <c r="U232" s="86"/>
      <c r="V232" s="86"/>
      <c r="W232" s="86"/>
    </row>
    <row r="233" spans="1:23" ht="11.25" customHeight="1">
      <c r="A233" s="1001">
        <f t="shared" si="28"/>
        <v>0</v>
      </c>
      <c r="B233" s="882"/>
      <c r="C233" s="889"/>
      <c r="D233" s="889"/>
      <c r="E233" s="890"/>
      <c r="F233" s="891"/>
      <c r="G233" s="889"/>
      <c r="H233" s="892"/>
      <c r="I233" s="893"/>
      <c r="J233" s="889"/>
      <c r="K233" s="890"/>
      <c r="L233" s="85"/>
      <c r="M233" s="86"/>
      <c r="N233" s="86"/>
      <c r="O233" s="86"/>
      <c r="P233" s="86"/>
      <c r="Q233" s="86"/>
      <c r="R233" s="86"/>
      <c r="S233" s="86"/>
      <c r="T233" s="86"/>
      <c r="U233" s="86"/>
      <c r="V233" s="86"/>
      <c r="W233" s="86"/>
    </row>
    <row r="234" spans="1:23" ht="11.25" customHeight="1">
      <c r="A234" s="1001">
        <f t="shared" si="28"/>
        <v>0</v>
      </c>
      <c r="B234" s="882"/>
      <c r="C234" s="889"/>
      <c r="D234" s="889"/>
      <c r="E234" s="890"/>
      <c r="F234" s="891"/>
      <c r="G234" s="889"/>
      <c r="H234" s="892"/>
      <c r="I234" s="893"/>
      <c r="J234" s="889"/>
      <c r="K234" s="890"/>
      <c r="L234" s="85"/>
      <c r="M234" s="86"/>
      <c r="N234" s="86"/>
      <c r="O234" s="86"/>
      <c r="P234" s="86"/>
      <c r="Q234" s="86"/>
      <c r="R234" s="86"/>
      <c r="S234" s="86"/>
      <c r="T234" s="86"/>
      <c r="U234" s="86"/>
      <c r="V234" s="86"/>
      <c r="W234" s="86"/>
    </row>
    <row r="235" spans="1:23" ht="11.25" customHeight="1">
      <c r="A235" s="1001">
        <f t="shared" si="28"/>
        <v>0</v>
      </c>
      <c r="B235" s="882"/>
      <c r="C235" s="889"/>
      <c r="D235" s="889"/>
      <c r="E235" s="890"/>
      <c r="F235" s="891"/>
      <c r="G235" s="889"/>
      <c r="H235" s="892"/>
      <c r="I235" s="893"/>
      <c r="J235" s="889"/>
      <c r="K235" s="890"/>
      <c r="L235" s="85"/>
      <c r="M235" s="86"/>
      <c r="N235" s="86"/>
      <c r="O235" s="86"/>
      <c r="P235" s="86"/>
      <c r="Q235" s="86"/>
      <c r="R235" s="86"/>
      <c r="S235" s="86"/>
      <c r="T235" s="86"/>
      <c r="U235" s="86"/>
      <c r="V235" s="86"/>
      <c r="W235" s="86"/>
    </row>
    <row r="236" spans="1:23" ht="11.25" customHeight="1">
      <c r="A236" s="1001">
        <f t="shared" si="28"/>
        <v>0</v>
      </c>
      <c r="B236" s="882"/>
      <c r="C236" s="889"/>
      <c r="D236" s="889"/>
      <c r="E236" s="890"/>
      <c r="F236" s="891"/>
      <c r="G236" s="889"/>
      <c r="H236" s="892"/>
      <c r="I236" s="893"/>
      <c r="J236" s="889"/>
      <c r="K236" s="890"/>
      <c r="L236" s="85"/>
      <c r="M236" s="86"/>
      <c r="N236" s="86"/>
      <c r="O236" s="86"/>
      <c r="P236" s="86"/>
      <c r="Q236" s="86"/>
      <c r="R236" s="86"/>
      <c r="S236" s="86"/>
      <c r="T236" s="86"/>
      <c r="U236" s="86"/>
      <c r="V236" s="86"/>
      <c r="W236" s="86"/>
    </row>
    <row r="237" spans="1:23" ht="11.25" customHeight="1">
      <c r="A237" s="1001">
        <f t="shared" si="28"/>
        <v>0</v>
      </c>
      <c r="B237" s="882"/>
      <c r="C237" s="889"/>
      <c r="D237" s="889"/>
      <c r="E237" s="890"/>
      <c r="F237" s="891"/>
      <c r="G237" s="889"/>
      <c r="H237" s="892"/>
      <c r="I237" s="893"/>
      <c r="J237" s="889"/>
      <c r="K237" s="890"/>
      <c r="L237" s="85"/>
      <c r="M237" s="86"/>
      <c r="N237" s="86"/>
      <c r="O237" s="86"/>
      <c r="P237" s="86"/>
      <c r="Q237" s="86"/>
      <c r="R237" s="86"/>
      <c r="S237" s="86"/>
      <c r="T237" s="86"/>
      <c r="U237" s="86"/>
      <c r="V237" s="86"/>
      <c r="W237" s="86"/>
    </row>
    <row r="238" spans="1:23" ht="11.25" customHeight="1">
      <c r="A238" s="1001">
        <f t="shared" si="28"/>
        <v>0</v>
      </c>
      <c r="B238" s="882"/>
      <c r="C238" s="889"/>
      <c r="D238" s="889"/>
      <c r="E238" s="890"/>
      <c r="F238" s="891"/>
      <c r="G238" s="889"/>
      <c r="H238" s="892"/>
      <c r="I238" s="893"/>
      <c r="J238" s="889"/>
      <c r="K238" s="890"/>
      <c r="L238" s="85"/>
      <c r="M238" s="86"/>
      <c r="N238" s="86"/>
      <c r="O238" s="86"/>
      <c r="P238" s="86"/>
      <c r="Q238" s="86"/>
      <c r="R238" s="86"/>
      <c r="S238" s="86"/>
      <c r="T238" s="86"/>
      <c r="U238" s="86"/>
      <c r="V238" s="86"/>
      <c r="W238" s="86"/>
    </row>
    <row r="239" spans="1:23" ht="15" customHeight="1">
      <c r="A239" s="1000" t="str">
        <f>A71</f>
        <v>Vote 7 - Electrical Engineering Services</v>
      </c>
      <c r="B239" s="894"/>
      <c r="C239" s="832">
        <f t="shared" ref="C239:K239" si="29">SUM(C240:C249)</f>
        <v>482189062.61000001</v>
      </c>
      <c r="D239" s="832">
        <f t="shared" si="29"/>
        <v>465539284.45999992</v>
      </c>
      <c r="E239" s="833">
        <f t="shared" si="29"/>
        <v>514259456.29000002</v>
      </c>
      <c r="F239" s="834">
        <f t="shared" si="29"/>
        <v>591014579</v>
      </c>
      <c r="G239" s="832">
        <f t="shared" si="29"/>
        <v>577451637.00999999</v>
      </c>
      <c r="H239" s="835">
        <f t="shared" si="29"/>
        <v>507752476.98000008</v>
      </c>
      <c r="I239" s="836">
        <f t="shared" si="29"/>
        <v>572684922</v>
      </c>
      <c r="J239" s="832">
        <f t="shared" si="29"/>
        <v>604549039.17400002</v>
      </c>
      <c r="K239" s="833">
        <f t="shared" si="29"/>
        <v>630259437.96200395</v>
      </c>
      <c r="L239" s="85"/>
      <c r="M239" s="86"/>
      <c r="N239" s="86"/>
      <c r="O239" s="86"/>
      <c r="P239" s="86"/>
      <c r="Q239" s="86"/>
      <c r="R239" s="86"/>
      <c r="S239" s="86"/>
      <c r="T239" s="86"/>
      <c r="U239" s="86"/>
      <c r="V239" s="86"/>
      <c r="W239" s="86"/>
    </row>
    <row r="240" spans="1:23" ht="11.25" customHeight="1">
      <c r="A240" s="1001" t="str">
        <f t="shared" ref="A240:A249" si="30">A72</f>
        <v>7.1 - Administration Electrical Engineering</v>
      </c>
      <c r="B240" s="882"/>
      <c r="C240" s="889">
        <v>45199480.110000007</v>
      </c>
      <c r="D240" s="889">
        <v>50879944.809999995</v>
      </c>
      <c r="E240" s="890">
        <v>48929579.409999989</v>
      </c>
      <c r="F240" s="891">
        <v>46822968</v>
      </c>
      <c r="G240" s="889">
        <v>45497083.5</v>
      </c>
      <c r="H240" s="892">
        <v>8986624.379999999</v>
      </c>
      <c r="I240" s="893">
        <v>52852971</v>
      </c>
      <c r="J240" s="889">
        <v>58295076.172000006</v>
      </c>
      <c r="K240" s="890">
        <v>61072965.653912</v>
      </c>
      <c r="L240" s="85"/>
      <c r="M240" s="86"/>
      <c r="N240" s="86"/>
      <c r="O240" s="86"/>
      <c r="P240" s="86"/>
      <c r="Q240" s="86"/>
      <c r="R240" s="86"/>
      <c r="S240" s="86"/>
      <c r="T240" s="86"/>
      <c r="U240" s="86"/>
      <c r="V240" s="86"/>
      <c r="W240" s="86"/>
    </row>
    <row r="241" spans="1:23" ht="11.25" customHeight="1">
      <c r="A241" s="1001" t="str">
        <f t="shared" si="30"/>
        <v>7.2 - Operations &amp; Maintenance: Rural</v>
      </c>
      <c r="B241" s="882"/>
      <c r="C241" s="889">
        <v>330266032.36000001</v>
      </c>
      <c r="D241" s="889">
        <v>309410037.94999993</v>
      </c>
      <c r="E241" s="890">
        <v>354881015.70000005</v>
      </c>
      <c r="F241" s="891">
        <v>407096713</v>
      </c>
      <c r="G241" s="889">
        <v>399851859.81999999</v>
      </c>
      <c r="H241" s="892">
        <v>366878176.5800001</v>
      </c>
      <c r="I241" s="893">
        <f>391068561-2859375</f>
        <v>388209186</v>
      </c>
      <c r="J241" s="889">
        <v>408052629.116</v>
      </c>
      <c r="K241" s="890">
        <v>425004683.94533598</v>
      </c>
      <c r="L241" s="85"/>
      <c r="M241" s="86"/>
      <c r="N241" s="86"/>
      <c r="O241" s="86"/>
      <c r="P241" s="86"/>
      <c r="Q241" s="86"/>
      <c r="R241" s="86"/>
      <c r="S241" s="86"/>
      <c r="T241" s="86"/>
      <c r="U241" s="86"/>
      <c r="V241" s="86"/>
      <c r="W241" s="86"/>
    </row>
    <row r="242" spans="1:23" ht="11.25" customHeight="1">
      <c r="A242" s="1001" t="str">
        <f t="shared" si="30"/>
        <v>7.3 - Operations &amp; Maintenance: Town</v>
      </c>
      <c r="B242" s="882"/>
      <c r="C242" s="889">
        <v>106723550.14</v>
      </c>
      <c r="D242" s="889">
        <v>105249301.7</v>
      </c>
      <c r="E242" s="890">
        <v>110448861.18000001</v>
      </c>
      <c r="F242" s="891">
        <v>137094898</v>
      </c>
      <c r="G242" s="889">
        <v>132102693.69</v>
      </c>
      <c r="H242" s="892">
        <v>131887676.02</v>
      </c>
      <c r="I242" s="893">
        <f>132575890-953125</f>
        <v>131622765</v>
      </c>
      <c r="J242" s="889">
        <v>138201333.88600001</v>
      </c>
      <c r="K242" s="890">
        <v>144181788.36275595</v>
      </c>
      <c r="L242" s="85"/>
      <c r="M242" s="86"/>
      <c r="N242" s="86"/>
      <c r="O242" s="86"/>
      <c r="P242" s="86"/>
      <c r="Q242" s="86"/>
      <c r="R242" s="86"/>
      <c r="S242" s="86"/>
      <c r="T242" s="86"/>
      <c r="U242" s="86"/>
      <c r="V242" s="86"/>
      <c r="W242" s="86"/>
    </row>
    <row r="243" spans="1:23" ht="11.25" customHeight="1">
      <c r="A243" s="1001">
        <f t="shared" si="30"/>
        <v>0</v>
      </c>
      <c r="B243" s="882"/>
      <c r="C243" s="889"/>
      <c r="D243" s="889"/>
      <c r="E243" s="890"/>
      <c r="F243" s="891"/>
      <c r="G243" s="889"/>
      <c r="H243" s="892"/>
      <c r="I243" s="893"/>
      <c r="J243" s="889"/>
      <c r="K243" s="890"/>
      <c r="L243" s="85"/>
      <c r="M243" s="86"/>
      <c r="N243" s="86"/>
      <c r="O243" s="86"/>
      <c r="P243" s="86"/>
      <c r="Q243" s="86"/>
      <c r="R243" s="86"/>
      <c r="S243" s="86"/>
      <c r="T243" s="86"/>
      <c r="U243" s="86"/>
      <c r="V243" s="86"/>
      <c r="W243" s="86"/>
    </row>
    <row r="244" spans="1:23" ht="11.25" customHeight="1">
      <c r="A244" s="1001">
        <f t="shared" si="30"/>
        <v>0</v>
      </c>
      <c r="B244" s="882"/>
      <c r="C244" s="889"/>
      <c r="D244" s="889"/>
      <c r="E244" s="890"/>
      <c r="F244" s="891"/>
      <c r="G244" s="889"/>
      <c r="H244" s="892"/>
      <c r="I244" s="893"/>
      <c r="J244" s="889"/>
      <c r="K244" s="890"/>
      <c r="L244" s="85"/>
      <c r="M244" s="86"/>
      <c r="N244" s="86"/>
      <c r="O244" s="86"/>
      <c r="P244" s="86"/>
      <c r="Q244" s="86"/>
      <c r="R244" s="86"/>
      <c r="S244" s="86"/>
      <c r="T244" s="86"/>
      <c r="U244" s="86"/>
      <c r="V244" s="86"/>
      <c r="W244" s="86"/>
    </row>
    <row r="245" spans="1:23" ht="11.25" customHeight="1">
      <c r="A245" s="1001">
        <f t="shared" si="30"/>
        <v>0</v>
      </c>
      <c r="B245" s="882"/>
      <c r="C245" s="889"/>
      <c r="D245" s="889"/>
      <c r="E245" s="890"/>
      <c r="F245" s="891"/>
      <c r="G245" s="889"/>
      <c r="H245" s="892"/>
      <c r="I245" s="893"/>
      <c r="J245" s="889"/>
      <c r="K245" s="890"/>
      <c r="L245" s="85"/>
      <c r="M245" s="86"/>
      <c r="N245" s="86"/>
      <c r="O245" s="86"/>
      <c r="P245" s="86"/>
      <c r="Q245" s="86"/>
      <c r="R245" s="86"/>
      <c r="S245" s="86"/>
      <c r="T245" s="86"/>
      <c r="U245" s="86"/>
      <c r="V245" s="86"/>
      <c r="W245" s="86"/>
    </row>
    <row r="246" spans="1:23" ht="11.25" customHeight="1">
      <c r="A246" s="1001">
        <f t="shared" si="30"/>
        <v>0</v>
      </c>
      <c r="B246" s="882"/>
      <c r="C246" s="889"/>
      <c r="D246" s="889"/>
      <c r="E246" s="890"/>
      <c r="F246" s="891"/>
      <c r="G246" s="889"/>
      <c r="H246" s="892"/>
      <c r="I246" s="893"/>
      <c r="J246" s="889"/>
      <c r="K246" s="890"/>
      <c r="L246" s="85"/>
      <c r="M246" s="86"/>
      <c r="N246" s="86"/>
      <c r="O246" s="86"/>
      <c r="P246" s="86"/>
      <c r="Q246" s="86"/>
      <c r="R246" s="86"/>
      <c r="S246" s="86"/>
      <c r="T246" s="86"/>
      <c r="U246" s="86"/>
      <c r="V246" s="86"/>
      <c r="W246" s="86"/>
    </row>
    <row r="247" spans="1:23" ht="11.25" customHeight="1">
      <c r="A247" s="1001">
        <f t="shared" si="30"/>
        <v>0</v>
      </c>
      <c r="B247" s="882"/>
      <c r="C247" s="889"/>
      <c r="D247" s="889"/>
      <c r="E247" s="890"/>
      <c r="F247" s="891"/>
      <c r="G247" s="889"/>
      <c r="H247" s="892"/>
      <c r="I247" s="893"/>
      <c r="J247" s="889"/>
      <c r="K247" s="890"/>
      <c r="L247" s="85"/>
      <c r="M247" s="86"/>
      <c r="N247" s="86"/>
      <c r="O247" s="86"/>
      <c r="P247" s="86"/>
      <c r="Q247" s="86"/>
      <c r="R247" s="86"/>
      <c r="S247" s="86"/>
      <c r="T247" s="86"/>
      <c r="U247" s="86"/>
      <c r="V247" s="86"/>
      <c r="W247" s="86"/>
    </row>
    <row r="248" spans="1:23" ht="11.25" customHeight="1">
      <c r="A248" s="1001">
        <f t="shared" si="30"/>
        <v>0</v>
      </c>
      <c r="B248" s="882"/>
      <c r="C248" s="889"/>
      <c r="D248" s="889"/>
      <c r="E248" s="890"/>
      <c r="F248" s="891"/>
      <c r="G248" s="889"/>
      <c r="H248" s="892"/>
      <c r="I248" s="893"/>
      <c r="J248" s="889"/>
      <c r="K248" s="890"/>
      <c r="L248" s="85"/>
      <c r="M248" s="86"/>
      <c r="N248" s="86"/>
      <c r="O248" s="86"/>
      <c r="P248" s="86"/>
      <c r="Q248" s="86"/>
      <c r="R248" s="86"/>
      <c r="S248" s="86"/>
      <c r="T248" s="86"/>
      <c r="U248" s="86"/>
      <c r="V248" s="86"/>
      <c r="W248" s="86"/>
    </row>
    <row r="249" spans="1:23" ht="11.25" customHeight="1">
      <c r="A249" s="1001">
        <f t="shared" si="30"/>
        <v>0</v>
      </c>
      <c r="B249" s="882"/>
      <c r="C249" s="889"/>
      <c r="D249" s="889"/>
      <c r="E249" s="890"/>
      <c r="F249" s="891"/>
      <c r="G249" s="889"/>
      <c r="H249" s="892"/>
      <c r="I249" s="893"/>
      <c r="J249" s="889"/>
      <c r="K249" s="890"/>
      <c r="L249" s="85"/>
      <c r="M249" s="86"/>
      <c r="N249" s="86"/>
      <c r="O249" s="86"/>
      <c r="P249" s="86"/>
      <c r="Q249" s="86"/>
      <c r="R249" s="86"/>
      <c r="S249" s="86"/>
      <c r="T249" s="86"/>
      <c r="U249" s="86"/>
      <c r="V249" s="86"/>
      <c r="W249" s="86"/>
    </row>
    <row r="250" spans="1:23" ht="15" customHeight="1">
      <c r="A250" s="1000" t="str">
        <f>A82</f>
        <v>Vote 8 - Engineering Services</v>
      </c>
      <c r="B250" s="882"/>
      <c r="C250" s="832">
        <f t="shared" ref="C250:K250" si="31">SUM(C251:C260)</f>
        <v>234756150.76999998</v>
      </c>
      <c r="D250" s="832">
        <f t="shared" si="31"/>
        <v>238742716.06</v>
      </c>
      <c r="E250" s="833">
        <f t="shared" si="31"/>
        <v>172739309.49000001</v>
      </c>
      <c r="F250" s="834">
        <f t="shared" si="31"/>
        <v>181486372.71000001</v>
      </c>
      <c r="G250" s="832">
        <f t="shared" si="31"/>
        <v>161707931.15000001</v>
      </c>
      <c r="H250" s="835">
        <f t="shared" si="31"/>
        <v>207303927.89999998</v>
      </c>
      <c r="I250" s="836">
        <f t="shared" si="31"/>
        <v>163075941.88</v>
      </c>
      <c r="J250" s="832">
        <f t="shared" si="31"/>
        <v>158681336.11447999</v>
      </c>
      <c r="K250" s="833">
        <f t="shared" si="31"/>
        <v>165858109.83974609</v>
      </c>
      <c r="L250" s="85"/>
      <c r="M250" s="86"/>
      <c r="N250" s="86"/>
      <c r="O250" s="86"/>
      <c r="P250" s="86"/>
      <c r="Q250" s="86"/>
      <c r="R250" s="86"/>
      <c r="S250" s="86"/>
      <c r="T250" s="86"/>
      <c r="U250" s="86"/>
      <c r="V250" s="86"/>
      <c r="W250" s="86"/>
    </row>
    <row r="251" spans="1:23" ht="11.25" customHeight="1">
      <c r="A251" s="1001" t="str">
        <f t="shared" ref="A251:A271" si="32">A83</f>
        <v>8.1 - 8.1 - Fleet Management</v>
      </c>
      <c r="B251" s="882"/>
      <c r="C251" s="889">
        <v>3432948.4200000004</v>
      </c>
      <c r="D251" s="889">
        <v>4861637.120000001</v>
      </c>
      <c r="E251" s="890">
        <v>4432754.4700000016</v>
      </c>
      <c r="F251" s="891">
        <v>37705901.710000001</v>
      </c>
      <c r="G251" s="889">
        <v>33391492.710000001</v>
      </c>
      <c r="H251" s="892">
        <v>18278786.879999999</v>
      </c>
      <c r="I251" s="893">
        <v>37088598.880000003</v>
      </c>
      <c r="J251" s="889">
        <v>37387264.802479997</v>
      </c>
      <c r="K251" s="890">
        <v>39106986.983394086</v>
      </c>
      <c r="L251" s="85"/>
      <c r="M251" s="86"/>
      <c r="N251" s="86"/>
      <c r="O251" s="86"/>
      <c r="P251" s="86"/>
      <c r="Q251" s="86"/>
      <c r="R251" s="86"/>
      <c r="S251" s="86"/>
      <c r="T251" s="86"/>
      <c r="U251" s="86"/>
      <c r="V251" s="86"/>
      <c r="W251" s="86"/>
    </row>
    <row r="252" spans="1:23" ht="11.25" customHeight="1">
      <c r="A252" s="1001" t="str">
        <f t="shared" si="32"/>
        <v>8.2 - 8.2 - Administration Civil Engineering</v>
      </c>
      <c r="B252" s="882"/>
      <c r="C252" s="889">
        <v>83243254.209999993</v>
      </c>
      <c r="D252" s="889">
        <v>77760835.389999971</v>
      </c>
      <c r="E252" s="890">
        <v>78977433.169999987</v>
      </c>
      <c r="F252" s="891">
        <v>6051438</v>
      </c>
      <c r="G252" s="889">
        <v>5750817</v>
      </c>
      <c r="H252" s="892">
        <v>2887837.0200000005</v>
      </c>
      <c r="I252" s="893">
        <v>6146280</v>
      </c>
      <c r="J252" s="889">
        <v>6308644.4520000005</v>
      </c>
      <c r="K252" s="890">
        <v>6598750.0967919976</v>
      </c>
      <c r="L252" s="85"/>
      <c r="M252" s="86"/>
      <c r="N252" s="86"/>
      <c r="O252" s="86"/>
      <c r="P252" s="86"/>
      <c r="Q252" s="86"/>
      <c r="R252" s="86"/>
      <c r="S252" s="86"/>
      <c r="T252" s="86"/>
      <c r="U252" s="86"/>
      <c r="V252" s="86"/>
      <c r="W252" s="86"/>
    </row>
    <row r="253" spans="1:23" ht="11.25" customHeight="1">
      <c r="A253" s="1001" t="str">
        <f t="shared" si="32"/>
        <v>8.3 - 8.3 - Roads &amp; stormwater Management</v>
      </c>
      <c r="B253" s="882"/>
      <c r="C253" s="889">
        <v>134614493.29999998</v>
      </c>
      <c r="D253" s="889">
        <v>139551188.74000001</v>
      </c>
      <c r="E253" s="890">
        <v>71810876.850000009</v>
      </c>
      <c r="F253" s="891">
        <v>114602133</v>
      </c>
      <c r="G253" s="889">
        <v>100607049.72</v>
      </c>
      <c r="H253" s="892">
        <v>161365303.35999995</v>
      </c>
      <c r="I253" s="893">
        <v>95831417</v>
      </c>
      <c r="J253" s="889">
        <v>89993769.870000005</v>
      </c>
      <c r="K253" s="890">
        <v>94011191.548020005</v>
      </c>
      <c r="L253" s="85"/>
      <c r="M253" s="86"/>
      <c r="N253" s="86"/>
      <c r="O253" s="86"/>
      <c r="P253" s="86"/>
      <c r="Q253" s="86"/>
      <c r="R253" s="86"/>
      <c r="S253" s="86"/>
      <c r="T253" s="86"/>
      <c r="U253" s="86"/>
      <c r="V253" s="86"/>
      <c r="W253" s="86"/>
    </row>
    <row r="254" spans="1:23" ht="11.25" customHeight="1">
      <c r="A254" s="1001" t="str">
        <f t="shared" si="32"/>
        <v>8.4 - 8.4 - Water Networks</v>
      </c>
      <c r="B254" s="882"/>
      <c r="C254" s="889"/>
      <c r="D254" s="889"/>
      <c r="E254" s="890"/>
      <c r="F254" s="891"/>
      <c r="G254" s="889"/>
      <c r="H254" s="892"/>
      <c r="I254" s="893"/>
      <c r="J254" s="889"/>
      <c r="K254" s="890"/>
      <c r="L254" s="85"/>
      <c r="M254" s="86"/>
      <c r="N254" s="86"/>
      <c r="O254" s="86"/>
      <c r="P254" s="86"/>
      <c r="Q254" s="86"/>
      <c r="R254" s="86"/>
      <c r="S254" s="86"/>
      <c r="T254" s="86"/>
      <c r="U254" s="86"/>
      <c r="V254" s="86"/>
      <c r="W254" s="86"/>
    </row>
    <row r="255" spans="1:23" ht="11.25" customHeight="1">
      <c r="A255" s="1001" t="str">
        <f t="shared" si="32"/>
        <v>8.5 - 8.5 - Water Purification</v>
      </c>
      <c r="B255" s="882"/>
      <c r="C255" s="889"/>
      <c r="D255" s="889"/>
      <c r="E255" s="890"/>
      <c r="F255" s="891"/>
      <c r="G255" s="889"/>
      <c r="H255" s="892"/>
      <c r="I255" s="893"/>
      <c r="J255" s="889"/>
      <c r="K255" s="890"/>
      <c r="L255" s="85"/>
      <c r="M255" s="86"/>
      <c r="N255" s="86"/>
      <c r="O255" s="86"/>
      <c r="P255" s="86"/>
      <c r="Q255" s="86"/>
      <c r="R255" s="86"/>
      <c r="S255" s="86"/>
      <c r="T255" s="86"/>
      <c r="U255" s="86"/>
      <c r="V255" s="86"/>
      <c r="W255" s="86"/>
    </row>
    <row r="256" spans="1:23" ht="11.25" customHeight="1">
      <c r="A256" s="1001" t="str">
        <f t="shared" si="32"/>
        <v>8.6 - 8.8 - Sewerage Purification</v>
      </c>
      <c r="B256" s="882"/>
      <c r="C256" s="889"/>
      <c r="D256" s="889"/>
      <c r="E256" s="890"/>
      <c r="F256" s="891"/>
      <c r="G256" s="889"/>
      <c r="H256" s="892"/>
      <c r="I256" s="893"/>
      <c r="J256" s="889"/>
      <c r="K256" s="890"/>
      <c r="L256" s="85"/>
      <c r="M256" s="86"/>
      <c r="N256" s="86"/>
      <c r="O256" s="86"/>
      <c r="P256" s="86"/>
      <c r="Q256" s="86"/>
      <c r="R256" s="86"/>
      <c r="S256" s="86"/>
      <c r="T256" s="86"/>
      <c r="U256" s="86"/>
      <c r="V256" s="86"/>
      <c r="W256" s="86"/>
    </row>
    <row r="257" spans="1:23" ht="11.25" customHeight="1">
      <c r="A257" s="1001" t="str">
        <f t="shared" si="32"/>
        <v>8.7 - 8.6 - Building &amp; Housing</v>
      </c>
      <c r="B257" s="882"/>
      <c r="C257" s="889">
        <v>10939616.819999998</v>
      </c>
      <c r="D257" s="889">
        <v>12233675.189999999</v>
      </c>
      <c r="E257" s="890">
        <v>13788554.930000002</v>
      </c>
      <c r="F257" s="891">
        <v>18041702</v>
      </c>
      <c r="G257" s="889">
        <v>16939922.719999999</v>
      </c>
      <c r="H257" s="892">
        <v>14524021.960000001</v>
      </c>
      <c r="I257" s="893">
        <v>18596061</v>
      </c>
      <c r="J257" s="889">
        <v>19329047.079999998</v>
      </c>
      <c r="K257" s="890">
        <v>20218091.245679993</v>
      </c>
      <c r="L257" s="85"/>
      <c r="M257" s="86"/>
      <c r="N257" s="86"/>
      <c r="O257" s="86"/>
      <c r="P257" s="86"/>
      <c r="Q257" s="86"/>
      <c r="R257" s="86"/>
      <c r="S257" s="86"/>
      <c r="T257" s="86"/>
      <c r="U257" s="86"/>
      <c r="V257" s="86"/>
      <c r="W257" s="86"/>
    </row>
    <row r="258" spans="1:23" ht="11.25" customHeight="1">
      <c r="A258" s="1001" t="str">
        <f t="shared" si="32"/>
        <v>8.8 - 8.7 - Project Management</v>
      </c>
      <c r="B258" s="882"/>
      <c r="C258" s="889">
        <v>2525838.02</v>
      </c>
      <c r="D258" s="889">
        <v>4335379.62</v>
      </c>
      <c r="E258" s="890">
        <v>3729690.0699999994</v>
      </c>
      <c r="F258" s="891">
        <v>5085198</v>
      </c>
      <c r="G258" s="889">
        <v>5018649</v>
      </c>
      <c r="H258" s="892">
        <v>10247978.679999996</v>
      </c>
      <c r="I258" s="893">
        <v>5413585</v>
      </c>
      <c r="J258" s="889">
        <v>5662609.9099999983</v>
      </c>
      <c r="K258" s="890">
        <v>5923089.9658600008</v>
      </c>
      <c r="L258" s="85"/>
      <c r="M258" s="86"/>
      <c r="N258" s="86"/>
      <c r="O258" s="86"/>
      <c r="P258" s="86"/>
      <c r="Q258" s="86"/>
      <c r="R258" s="86"/>
      <c r="S258" s="86"/>
      <c r="T258" s="86"/>
      <c r="U258" s="86"/>
      <c r="V258" s="86"/>
      <c r="W258" s="86"/>
    </row>
    <row r="259" spans="1:23" ht="11.25" customHeight="1">
      <c r="A259" s="1001">
        <f t="shared" si="32"/>
        <v>0</v>
      </c>
      <c r="B259" s="882"/>
      <c r="C259" s="889"/>
      <c r="D259" s="889"/>
      <c r="E259" s="890"/>
      <c r="F259" s="891"/>
      <c r="G259" s="889"/>
      <c r="H259" s="892"/>
      <c r="I259" s="893"/>
      <c r="J259" s="889"/>
      <c r="K259" s="890"/>
      <c r="L259" s="85"/>
      <c r="M259" s="86"/>
      <c r="N259" s="86"/>
      <c r="O259" s="86"/>
      <c r="P259" s="86"/>
      <c r="Q259" s="86"/>
      <c r="R259" s="86"/>
      <c r="S259" s="86"/>
      <c r="T259" s="86"/>
      <c r="U259" s="86"/>
      <c r="V259" s="86"/>
      <c r="W259" s="86"/>
    </row>
    <row r="260" spans="1:23" ht="11.25" customHeight="1">
      <c r="A260" s="1001">
        <f t="shared" si="32"/>
        <v>0</v>
      </c>
      <c r="B260" s="882"/>
      <c r="C260" s="889"/>
      <c r="D260" s="889"/>
      <c r="E260" s="890"/>
      <c r="F260" s="891"/>
      <c r="G260" s="889"/>
      <c r="H260" s="892"/>
      <c r="I260" s="893"/>
      <c r="J260" s="889"/>
      <c r="K260" s="890"/>
      <c r="L260" s="85"/>
      <c r="M260" s="86"/>
      <c r="N260" s="86"/>
      <c r="O260" s="86"/>
      <c r="P260" s="86"/>
      <c r="Q260" s="86"/>
      <c r="R260" s="86"/>
      <c r="S260" s="86"/>
      <c r="T260" s="86"/>
      <c r="U260" s="86"/>
      <c r="V260" s="86"/>
      <c r="W260" s="86"/>
    </row>
    <row r="261" spans="1:23" ht="15" customHeight="1">
      <c r="A261" s="1000" t="str">
        <f t="shared" si="32"/>
        <v>Vote 9 - [NAME OF VOTE 9]</v>
      </c>
      <c r="B261" s="882"/>
      <c r="C261" s="832">
        <f t="shared" ref="C261:K261" si="33">SUM(C262:C271)</f>
        <v>0</v>
      </c>
      <c r="D261" s="832">
        <f t="shared" si="33"/>
        <v>0</v>
      </c>
      <c r="E261" s="833">
        <f t="shared" si="33"/>
        <v>0</v>
      </c>
      <c r="F261" s="834">
        <f t="shared" si="33"/>
        <v>0</v>
      </c>
      <c r="G261" s="832">
        <f t="shared" si="33"/>
        <v>0</v>
      </c>
      <c r="H261" s="835">
        <f t="shared" si="33"/>
        <v>0</v>
      </c>
      <c r="I261" s="836">
        <f t="shared" si="33"/>
        <v>0</v>
      </c>
      <c r="J261" s="832">
        <f t="shared" si="33"/>
        <v>0</v>
      </c>
      <c r="K261" s="833">
        <f t="shared" si="33"/>
        <v>0</v>
      </c>
      <c r="L261" s="85"/>
      <c r="M261" s="86"/>
      <c r="N261" s="86"/>
      <c r="O261" s="86"/>
      <c r="P261" s="86"/>
      <c r="Q261" s="86"/>
      <c r="R261" s="86"/>
      <c r="S261" s="86"/>
      <c r="T261" s="86"/>
      <c r="U261" s="86"/>
      <c r="V261" s="86"/>
      <c r="W261" s="86"/>
    </row>
    <row r="262" spans="1:23" ht="11.25" customHeight="1">
      <c r="A262" s="1001" t="str">
        <f t="shared" si="32"/>
        <v>9.1 - [Name of sub-vote]</v>
      </c>
      <c r="B262" s="882"/>
      <c r="C262" s="889"/>
      <c r="D262" s="889"/>
      <c r="E262" s="890"/>
      <c r="F262" s="891"/>
      <c r="G262" s="889"/>
      <c r="H262" s="892"/>
      <c r="I262" s="893"/>
      <c r="J262" s="889"/>
      <c r="K262" s="890"/>
      <c r="L262" s="85"/>
      <c r="M262" s="86"/>
      <c r="N262" s="86"/>
      <c r="O262" s="86"/>
      <c r="P262" s="86"/>
      <c r="Q262" s="86"/>
      <c r="R262" s="86"/>
      <c r="S262" s="86"/>
      <c r="T262" s="86"/>
      <c r="U262" s="86"/>
      <c r="V262" s="86"/>
      <c r="W262" s="86"/>
    </row>
    <row r="263" spans="1:23" ht="11.25" customHeight="1">
      <c r="A263" s="1001">
        <f t="shared" si="32"/>
        <v>0</v>
      </c>
      <c r="B263" s="882"/>
      <c r="C263" s="889"/>
      <c r="D263" s="889"/>
      <c r="E263" s="890"/>
      <c r="F263" s="891"/>
      <c r="G263" s="889"/>
      <c r="H263" s="892"/>
      <c r="I263" s="893"/>
      <c r="J263" s="889"/>
      <c r="K263" s="890"/>
      <c r="L263" s="85"/>
      <c r="M263" s="86"/>
      <c r="N263" s="86"/>
      <c r="O263" s="86"/>
      <c r="P263" s="86"/>
      <c r="Q263" s="86"/>
      <c r="R263" s="86"/>
      <c r="S263" s="86"/>
      <c r="T263" s="86"/>
      <c r="U263" s="86"/>
      <c r="V263" s="86"/>
      <c r="W263" s="86"/>
    </row>
    <row r="264" spans="1:23" ht="11.25" customHeight="1">
      <c r="A264" s="1001">
        <f t="shared" si="32"/>
        <v>0</v>
      </c>
      <c r="B264" s="882"/>
      <c r="C264" s="889"/>
      <c r="D264" s="889"/>
      <c r="E264" s="890"/>
      <c r="F264" s="891"/>
      <c r="G264" s="889"/>
      <c r="H264" s="892"/>
      <c r="I264" s="893"/>
      <c r="J264" s="889"/>
      <c r="K264" s="890"/>
      <c r="L264" s="85"/>
      <c r="M264" s="86"/>
      <c r="N264" s="86"/>
      <c r="O264" s="86"/>
      <c r="P264" s="86"/>
      <c r="Q264" s="86"/>
      <c r="R264" s="86"/>
      <c r="S264" s="86"/>
      <c r="T264" s="86"/>
      <c r="U264" s="86"/>
      <c r="V264" s="86"/>
      <c r="W264" s="86"/>
    </row>
    <row r="265" spans="1:23" ht="11.25" customHeight="1">
      <c r="A265" s="1001">
        <f t="shared" si="32"/>
        <v>0</v>
      </c>
      <c r="B265" s="882"/>
      <c r="C265" s="889"/>
      <c r="D265" s="889"/>
      <c r="E265" s="890"/>
      <c r="F265" s="891"/>
      <c r="G265" s="889"/>
      <c r="H265" s="892"/>
      <c r="I265" s="893"/>
      <c r="J265" s="889"/>
      <c r="K265" s="890"/>
      <c r="L265" s="85"/>
      <c r="M265" s="86"/>
      <c r="N265" s="86"/>
      <c r="O265" s="86"/>
      <c r="P265" s="86"/>
      <c r="Q265" s="86"/>
      <c r="R265" s="86"/>
      <c r="S265" s="86"/>
      <c r="T265" s="86"/>
      <c r="U265" s="86"/>
      <c r="V265" s="86"/>
      <c r="W265" s="86"/>
    </row>
    <row r="266" spans="1:23" ht="11.25" customHeight="1">
      <c r="A266" s="1001">
        <f t="shared" si="32"/>
        <v>0</v>
      </c>
      <c r="B266" s="882"/>
      <c r="C266" s="889"/>
      <c r="D266" s="889"/>
      <c r="E266" s="890"/>
      <c r="F266" s="891"/>
      <c r="G266" s="889"/>
      <c r="H266" s="892"/>
      <c r="I266" s="893"/>
      <c r="J266" s="889"/>
      <c r="K266" s="890"/>
      <c r="L266" s="85"/>
      <c r="M266" s="86"/>
      <c r="N266" s="86"/>
      <c r="O266" s="86"/>
      <c r="P266" s="86"/>
      <c r="Q266" s="86"/>
      <c r="R266" s="86"/>
      <c r="S266" s="86"/>
      <c r="T266" s="86"/>
      <c r="U266" s="86"/>
      <c r="V266" s="86"/>
      <c r="W266" s="86"/>
    </row>
    <row r="267" spans="1:23" ht="11.25" customHeight="1">
      <c r="A267" s="1001">
        <f t="shared" si="32"/>
        <v>0</v>
      </c>
      <c r="B267" s="882"/>
      <c r="C267" s="889"/>
      <c r="D267" s="889"/>
      <c r="E267" s="890"/>
      <c r="F267" s="891"/>
      <c r="G267" s="889"/>
      <c r="H267" s="892"/>
      <c r="I267" s="893"/>
      <c r="J267" s="889"/>
      <c r="K267" s="890"/>
      <c r="L267" s="85"/>
      <c r="M267" s="86"/>
      <c r="N267" s="86"/>
      <c r="O267" s="86"/>
      <c r="P267" s="86"/>
      <c r="Q267" s="86"/>
      <c r="R267" s="86"/>
      <c r="S267" s="86"/>
      <c r="T267" s="86"/>
      <c r="U267" s="86"/>
      <c r="V267" s="86"/>
      <c r="W267" s="86"/>
    </row>
    <row r="268" spans="1:23" ht="11.25" customHeight="1">
      <c r="A268" s="1001">
        <f t="shared" si="32"/>
        <v>0</v>
      </c>
      <c r="B268" s="882"/>
      <c r="C268" s="889"/>
      <c r="D268" s="889"/>
      <c r="E268" s="890"/>
      <c r="F268" s="891"/>
      <c r="G268" s="889"/>
      <c r="H268" s="892"/>
      <c r="I268" s="893"/>
      <c r="J268" s="889"/>
      <c r="K268" s="890"/>
      <c r="L268" s="85"/>
      <c r="M268" s="86"/>
      <c r="N268" s="86"/>
      <c r="O268" s="86"/>
      <c r="P268" s="86"/>
      <c r="Q268" s="86"/>
      <c r="R268" s="86"/>
      <c r="S268" s="86"/>
      <c r="T268" s="86"/>
      <c r="U268" s="86"/>
      <c r="V268" s="86"/>
      <c r="W268" s="86"/>
    </row>
    <row r="269" spans="1:23" ht="11.25" customHeight="1">
      <c r="A269" s="1001">
        <f t="shared" si="32"/>
        <v>0</v>
      </c>
      <c r="B269" s="882"/>
      <c r="C269" s="889"/>
      <c r="D269" s="889"/>
      <c r="E269" s="890"/>
      <c r="F269" s="891"/>
      <c r="G269" s="889"/>
      <c r="H269" s="892"/>
      <c r="I269" s="893"/>
      <c r="J269" s="889"/>
      <c r="K269" s="890"/>
      <c r="L269" s="85"/>
      <c r="M269" s="86"/>
      <c r="N269" s="86"/>
      <c r="O269" s="86"/>
      <c r="P269" s="86"/>
      <c r="Q269" s="86"/>
      <c r="R269" s="86"/>
      <c r="S269" s="86"/>
      <c r="T269" s="86"/>
      <c r="U269" s="86"/>
      <c r="V269" s="86"/>
      <c r="W269" s="86"/>
    </row>
    <row r="270" spans="1:23" ht="11.25" customHeight="1">
      <c r="A270" s="1001">
        <f t="shared" si="32"/>
        <v>0</v>
      </c>
      <c r="B270" s="882"/>
      <c r="C270" s="889"/>
      <c r="D270" s="889"/>
      <c r="E270" s="890"/>
      <c r="F270" s="891"/>
      <c r="G270" s="889"/>
      <c r="H270" s="892"/>
      <c r="I270" s="893"/>
      <c r="J270" s="889"/>
      <c r="K270" s="890"/>
      <c r="L270" s="85"/>
      <c r="M270" s="86"/>
      <c r="N270" s="86"/>
      <c r="O270" s="86"/>
      <c r="P270" s="86"/>
      <c r="Q270" s="86"/>
      <c r="R270" s="86"/>
      <c r="S270" s="86"/>
      <c r="T270" s="86"/>
      <c r="U270" s="86"/>
      <c r="V270" s="86"/>
      <c r="W270" s="86"/>
    </row>
    <row r="271" spans="1:23" ht="11.25" customHeight="1">
      <c r="A271" s="1001">
        <f t="shared" si="32"/>
        <v>0</v>
      </c>
      <c r="B271" s="882"/>
      <c r="C271" s="889"/>
      <c r="D271" s="889"/>
      <c r="E271" s="890"/>
      <c r="F271" s="891"/>
      <c r="G271" s="889"/>
      <c r="H271" s="892"/>
      <c r="I271" s="893"/>
      <c r="J271" s="889"/>
      <c r="K271" s="890"/>
      <c r="L271" s="85"/>
      <c r="M271" s="86"/>
      <c r="N271" s="86"/>
      <c r="O271" s="86"/>
      <c r="P271" s="86"/>
      <c r="Q271" s="86"/>
      <c r="R271" s="86"/>
      <c r="S271" s="86"/>
      <c r="T271" s="86"/>
      <c r="U271" s="86"/>
      <c r="V271" s="86"/>
      <c r="W271" s="86"/>
    </row>
    <row r="272" spans="1:23" ht="15" customHeight="1">
      <c r="A272" s="1000" t="str">
        <f>A104</f>
        <v>Vote 10 - [NAME OF VOTE 10]</v>
      </c>
      <c r="B272" s="882"/>
      <c r="C272" s="832">
        <f t="shared" ref="C272:K272" si="34">SUM(C273:C282)</f>
        <v>0</v>
      </c>
      <c r="D272" s="832">
        <f t="shared" si="34"/>
        <v>0</v>
      </c>
      <c r="E272" s="833">
        <f t="shared" si="34"/>
        <v>0</v>
      </c>
      <c r="F272" s="834">
        <f t="shared" si="34"/>
        <v>0</v>
      </c>
      <c r="G272" s="832">
        <f t="shared" si="34"/>
        <v>0</v>
      </c>
      <c r="H272" s="835">
        <f t="shared" si="34"/>
        <v>0</v>
      </c>
      <c r="I272" s="836">
        <f t="shared" si="34"/>
        <v>0</v>
      </c>
      <c r="J272" s="832">
        <f t="shared" si="34"/>
        <v>0</v>
      </c>
      <c r="K272" s="833">
        <f t="shared" si="34"/>
        <v>0</v>
      </c>
      <c r="L272" s="85"/>
      <c r="M272" s="86"/>
      <c r="N272" s="86"/>
      <c r="O272" s="86"/>
      <c r="P272" s="86"/>
      <c r="Q272" s="86"/>
      <c r="R272" s="86"/>
      <c r="S272" s="86"/>
      <c r="T272" s="86"/>
      <c r="U272" s="86"/>
      <c r="V272" s="86"/>
      <c r="W272" s="86"/>
    </row>
    <row r="273" spans="1:23" ht="11.25" customHeight="1">
      <c r="A273" s="1001" t="str">
        <f>A105</f>
        <v>10.1 - [Name of sub-vote]</v>
      </c>
      <c r="B273" s="882"/>
      <c r="C273" s="889"/>
      <c r="D273" s="889"/>
      <c r="E273" s="890"/>
      <c r="F273" s="891"/>
      <c r="G273" s="889"/>
      <c r="H273" s="892"/>
      <c r="I273" s="893"/>
      <c r="J273" s="889"/>
      <c r="K273" s="890"/>
      <c r="L273" s="85"/>
      <c r="M273" s="86"/>
      <c r="N273" s="86"/>
      <c r="O273" s="86"/>
      <c r="P273" s="86"/>
      <c r="Q273" s="86"/>
      <c r="R273" s="86"/>
      <c r="S273" s="86"/>
      <c r="T273" s="86"/>
      <c r="U273" s="86"/>
      <c r="V273" s="86"/>
      <c r="W273" s="86"/>
    </row>
    <row r="274" spans="1:23" ht="11.25" customHeight="1">
      <c r="A274" s="1001">
        <f t="shared" ref="A274:A281" si="35">A106</f>
        <v>0</v>
      </c>
      <c r="B274" s="882"/>
      <c r="C274" s="889"/>
      <c r="D274" s="889"/>
      <c r="E274" s="890"/>
      <c r="F274" s="891"/>
      <c r="G274" s="889"/>
      <c r="H274" s="892"/>
      <c r="I274" s="893"/>
      <c r="J274" s="889"/>
      <c r="K274" s="890"/>
      <c r="L274" s="85"/>
      <c r="M274" s="86"/>
      <c r="N274" s="86"/>
      <c r="O274" s="86"/>
      <c r="P274" s="86"/>
      <c r="Q274" s="86"/>
      <c r="R274" s="86"/>
      <c r="S274" s="86"/>
      <c r="T274" s="86"/>
      <c r="U274" s="86"/>
      <c r="V274" s="86"/>
      <c r="W274" s="86"/>
    </row>
    <row r="275" spans="1:23" ht="11.25" customHeight="1">
      <c r="A275" s="1001">
        <f t="shared" si="35"/>
        <v>0</v>
      </c>
      <c r="B275" s="882"/>
      <c r="C275" s="889"/>
      <c r="D275" s="889"/>
      <c r="E275" s="890"/>
      <c r="F275" s="891"/>
      <c r="G275" s="889"/>
      <c r="H275" s="892"/>
      <c r="I275" s="893"/>
      <c r="J275" s="889"/>
      <c r="K275" s="890"/>
      <c r="L275" s="85"/>
      <c r="M275" s="86"/>
      <c r="N275" s="86"/>
      <c r="O275" s="86"/>
      <c r="P275" s="86"/>
      <c r="Q275" s="86"/>
      <c r="R275" s="86"/>
      <c r="S275" s="86"/>
      <c r="T275" s="86"/>
      <c r="U275" s="86"/>
      <c r="V275" s="86"/>
      <c r="W275" s="86"/>
    </row>
    <row r="276" spans="1:23" ht="11.25" customHeight="1">
      <c r="A276" s="1001">
        <f t="shared" si="35"/>
        <v>0</v>
      </c>
      <c r="B276" s="882"/>
      <c r="C276" s="889"/>
      <c r="D276" s="889"/>
      <c r="E276" s="890"/>
      <c r="F276" s="891"/>
      <c r="G276" s="889"/>
      <c r="H276" s="892"/>
      <c r="I276" s="893"/>
      <c r="J276" s="889"/>
      <c r="K276" s="890"/>
      <c r="L276" s="85"/>
      <c r="M276" s="86"/>
      <c r="N276" s="86"/>
      <c r="O276" s="86"/>
      <c r="P276" s="86"/>
      <c r="Q276" s="86"/>
      <c r="R276" s="86"/>
      <c r="S276" s="86"/>
      <c r="T276" s="86"/>
      <c r="U276" s="86"/>
      <c r="V276" s="86"/>
      <c r="W276" s="86"/>
    </row>
    <row r="277" spans="1:23" ht="11.25" customHeight="1">
      <c r="A277" s="1001">
        <f t="shared" si="35"/>
        <v>0</v>
      </c>
      <c r="B277" s="882"/>
      <c r="C277" s="889"/>
      <c r="D277" s="889"/>
      <c r="E277" s="890"/>
      <c r="F277" s="891"/>
      <c r="G277" s="889"/>
      <c r="H277" s="892"/>
      <c r="I277" s="893"/>
      <c r="J277" s="889"/>
      <c r="K277" s="890"/>
      <c r="L277" s="85"/>
      <c r="M277" s="86"/>
      <c r="N277" s="86"/>
      <c r="O277" s="86"/>
      <c r="P277" s="86"/>
      <c r="Q277" s="86"/>
      <c r="R277" s="86"/>
      <c r="S277" s="86"/>
      <c r="T277" s="86"/>
      <c r="U277" s="86"/>
      <c r="V277" s="86"/>
      <c r="W277" s="86"/>
    </row>
    <row r="278" spans="1:23" ht="11.25" customHeight="1">
      <c r="A278" s="1001">
        <f t="shared" si="35"/>
        <v>0</v>
      </c>
      <c r="B278" s="882"/>
      <c r="C278" s="889"/>
      <c r="D278" s="889"/>
      <c r="E278" s="890"/>
      <c r="F278" s="891"/>
      <c r="G278" s="889"/>
      <c r="H278" s="892"/>
      <c r="I278" s="893"/>
      <c r="J278" s="889"/>
      <c r="K278" s="890"/>
      <c r="L278" s="85"/>
      <c r="M278" s="86"/>
      <c r="N278" s="86"/>
      <c r="O278" s="86"/>
      <c r="P278" s="86"/>
      <c r="Q278" s="86"/>
      <c r="R278" s="86"/>
      <c r="S278" s="86"/>
      <c r="T278" s="86"/>
      <c r="U278" s="86"/>
      <c r="V278" s="86"/>
      <c r="W278" s="86"/>
    </row>
    <row r="279" spans="1:23" ht="11.25" customHeight="1">
      <c r="A279" s="1001">
        <f t="shared" si="35"/>
        <v>0</v>
      </c>
      <c r="B279" s="882"/>
      <c r="C279" s="889"/>
      <c r="D279" s="889"/>
      <c r="E279" s="890"/>
      <c r="F279" s="891"/>
      <c r="G279" s="889"/>
      <c r="H279" s="892"/>
      <c r="I279" s="893"/>
      <c r="J279" s="889"/>
      <c r="K279" s="890"/>
      <c r="L279" s="85"/>
      <c r="M279" s="86"/>
      <c r="N279" s="86"/>
      <c r="O279" s="86"/>
      <c r="P279" s="86"/>
      <c r="Q279" s="86"/>
      <c r="R279" s="86"/>
      <c r="S279" s="86"/>
      <c r="T279" s="86"/>
      <c r="U279" s="86"/>
      <c r="V279" s="86"/>
      <c r="W279" s="86"/>
    </row>
    <row r="280" spans="1:23" ht="11.25" customHeight="1">
      <c r="A280" s="1001">
        <f t="shared" si="35"/>
        <v>0</v>
      </c>
      <c r="B280" s="882"/>
      <c r="C280" s="889"/>
      <c r="D280" s="889"/>
      <c r="E280" s="890"/>
      <c r="F280" s="891"/>
      <c r="G280" s="889"/>
      <c r="H280" s="892"/>
      <c r="I280" s="893"/>
      <c r="J280" s="889"/>
      <c r="K280" s="890"/>
      <c r="L280" s="85"/>
      <c r="M280" s="86"/>
      <c r="N280" s="86"/>
      <c r="O280" s="86"/>
      <c r="P280" s="86"/>
      <c r="Q280" s="86"/>
      <c r="R280" s="86"/>
      <c r="S280" s="86"/>
      <c r="T280" s="86"/>
      <c r="U280" s="86"/>
      <c r="V280" s="86"/>
      <c r="W280" s="86"/>
    </row>
    <row r="281" spans="1:23" ht="11.25" customHeight="1">
      <c r="A281" s="1001">
        <f t="shared" si="35"/>
        <v>0</v>
      </c>
      <c r="B281" s="882"/>
      <c r="C281" s="889"/>
      <c r="D281" s="889"/>
      <c r="E281" s="890"/>
      <c r="F281" s="891"/>
      <c r="G281" s="889"/>
      <c r="H281" s="892"/>
      <c r="I281" s="893"/>
      <c r="J281" s="889"/>
      <c r="K281" s="890"/>
      <c r="L281" s="85"/>
      <c r="M281" s="86"/>
      <c r="N281" s="86"/>
      <c r="O281" s="86"/>
      <c r="P281" s="86"/>
      <c r="Q281" s="86"/>
      <c r="R281" s="86"/>
      <c r="S281" s="86"/>
      <c r="T281" s="86"/>
      <c r="U281" s="86"/>
      <c r="V281" s="86"/>
      <c r="W281" s="86"/>
    </row>
    <row r="282" spans="1:23" ht="11.25" customHeight="1">
      <c r="A282" s="1001">
        <f>A114</f>
        <v>0</v>
      </c>
      <c r="B282" s="882"/>
      <c r="C282" s="889"/>
      <c r="D282" s="889"/>
      <c r="E282" s="890"/>
      <c r="F282" s="891"/>
      <c r="G282" s="889"/>
      <c r="H282" s="892"/>
      <c r="I282" s="893"/>
      <c r="J282" s="889"/>
      <c r="K282" s="890"/>
      <c r="L282" s="85"/>
      <c r="M282" s="86"/>
      <c r="N282" s="86"/>
      <c r="O282" s="86"/>
      <c r="P282" s="86"/>
      <c r="Q282" s="86"/>
      <c r="R282" s="86"/>
      <c r="S282" s="86"/>
      <c r="T282" s="86"/>
      <c r="U282" s="86"/>
      <c r="V282" s="86"/>
      <c r="W282" s="86"/>
    </row>
    <row r="283" spans="1:23" ht="15" customHeight="1">
      <c r="A283" s="1000" t="str">
        <f>A115</f>
        <v>Vote 11 - [NAME OF VOTE 11]</v>
      </c>
      <c r="B283" s="882"/>
      <c r="C283" s="832">
        <f t="shared" ref="C283:K283" si="36">SUM(C284:C293)</f>
        <v>0</v>
      </c>
      <c r="D283" s="832">
        <f t="shared" si="36"/>
        <v>0</v>
      </c>
      <c r="E283" s="833">
        <f t="shared" si="36"/>
        <v>0</v>
      </c>
      <c r="F283" s="834">
        <f t="shared" si="36"/>
        <v>0</v>
      </c>
      <c r="G283" s="832">
        <f t="shared" si="36"/>
        <v>0</v>
      </c>
      <c r="H283" s="835">
        <f t="shared" si="36"/>
        <v>0</v>
      </c>
      <c r="I283" s="836">
        <f t="shared" si="36"/>
        <v>0</v>
      </c>
      <c r="J283" s="832">
        <f t="shared" si="36"/>
        <v>0</v>
      </c>
      <c r="K283" s="833">
        <f t="shared" si="36"/>
        <v>0</v>
      </c>
      <c r="L283" s="85"/>
      <c r="M283" s="86"/>
      <c r="N283" s="86"/>
      <c r="O283" s="86"/>
      <c r="P283" s="86"/>
      <c r="Q283" s="86"/>
      <c r="R283" s="86"/>
      <c r="S283" s="86"/>
      <c r="T283" s="86"/>
      <c r="U283" s="86"/>
      <c r="V283" s="86"/>
      <c r="W283" s="86"/>
    </row>
    <row r="284" spans="1:23" ht="11.25" customHeight="1">
      <c r="A284" s="1001" t="str">
        <f>A116</f>
        <v>11.1 - [Name of sub-vote]</v>
      </c>
      <c r="B284" s="882"/>
      <c r="C284" s="889"/>
      <c r="D284" s="889"/>
      <c r="E284" s="890"/>
      <c r="F284" s="891"/>
      <c r="G284" s="889"/>
      <c r="H284" s="892"/>
      <c r="I284" s="893"/>
      <c r="J284" s="889"/>
      <c r="K284" s="890"/>
      <c r="L284" s="85"/>
      <c r="M284" s="86"/>
      <c r="N284" s="86"/>
      <c r="O284" s="86"/>
      <c r="P284" s="86"/>
      <c r="Q284" s="86"/>
      <c r="R284" s="86"/>
      <c r="S284" s="86"/>
      <c r="T284" s="86"/>
      <c r="U284" s="86"/>
      <c r="V284" s="86"/>
      <c r="W284" s="86"/>
    </row>
    <row r="285" spans="1:23" ht="11.25" customHeight="1">
      <c r="A285" s="1001">
        <f t="shared" ref="A285:A337" si="37">A117</f>
        <v>0</v>
      </c>
      <c r="B285" s="882"/>
      <c r="C285" s="889"/>
      <c r="D285" s="889"/>
      <c r="E285" s="890"/>
      <c r="F285" s="891"/>
      <c r="G285" s="889"/>
      <c r="H285" s="892"/>
      <c r="I285" s="893"/>
      <c r="J285" s="889"/>
      <c r="K285" s="890"/>
      <c r="L285" s="85"/>
      <c r="M285" s="86"/>
      <c r="N285" s="86"/>
      <c r="O285" s="86"/>
      <c r="P285" s="86"/>
      <c r="Q285" s="86"/>
      <c r="R285" s="86"/>
      <c r="S285" s="86"/>
      <c r="T285" s="86"/>
      <c r="U285" s="86"/>
      <c r="V285" s="86"/>
      <c r="W285" s="86"/>
    </row>
    <row r="286" spans="1:23" ht="11.25" customHeight="1">
      <c r="A286" s="1001">
        <f t="shared" si="37"/>
        <v>0</v>
      </c>
      <c r="B286" s="882"/>
      <c r="C286" s="889"/>
      <c r="D286" s="889"/>
      <c r="E286" s="890"/>
      <c r="F286" s="891"/>
      <c r="G286" s="889"/>
      <c r="H286" s="892"/>
      <c r="I286" s="893"/>
      <c r="J286" s="889"/>
      <c r="K286" s="890"/>
      <c r="L286" s="85"/>
      <c r="M286" s="86"/>
      <c r="N286" s="86"/>
      <c r="O286" s="86"/>
      <c r="P286" s="86"/>
      <c r="Q286" s="86"/>
      <c r="R286" s="86"/>
      <c r="S286" s="86"/>
      <c r="T286" s="86"/>
      <c r="U286" s="86"/>
      <c r="V286" s="86"/>
      <c r="W286" s="86"/>
    </row>
    <row r="287" spans="1:23" ht="11.25" customHeight="1">
      <c r="A287" s="1001">
        <f t="shared" si="37"/>
        <v>0</v>
      </c>
      <c r="B287" s="882"/>
      <c r="C287" s="889"/>
      <c r="D287" s="889"/>
      <c r="E287" s="890"/>
      <c r="F287" s="891"/>
      <c r="G287" s="889"/>
      <c r="H287" s="892"/>
      <c r="I287" s="893"/>
      <c r="J287" s="889"/>
      <c r="K287" s="890"/>
      <c r="L287" s="85"/>
      <c r="M287" s="86"/>
      <c r="N287" s="86"/>
      <c r="O287" s="86"/>
      <c r="P287" s="86"/>
      <c r="Q287" s="86"/>
      <c r="R287" s="86"/>
      <c r="S287" s="86"/>
      <c r="T287" s="86"/>
      <c r="U287" s="86"/>
      <c r="V287" s="86"/>
      <c r="W287" s="86"/>
    </row>
    <row r="288" spans="1:23" ht="11.25" customHeight="1">
      <c r="A288" s="1001">
        <f t="shared" si="37"/>
        <v>0</v>
      </c>
      <c r="B288" s="882"/>
      <c r="C288" s="889"/>
      <c r="D288" s="889"/>
      <c r="E288" s="890"/>
      <c r="F288" s="891"/>
      <c r="G288" s="889"/>
      <c r="H288" s="892"/>
      <c r="I288" s="893"/>
      <c r="J288" s="889"/>
      <c r="K288" s="890"/>
      <c r="L288" s="85"/>
      <c r="M288" s="86"/>
      <c r="N288" s="86"/>
      <c r="O288" s="86"/>
      <c r="P288" s="86"/>
      <c r="Q288" s="86"/>
      <c r="R288" s="86"/>
      <c r="S288" s="86"/>
      <c r="T288" s="86"/>
      <c r="U288" s="86"/>
      <c r="V288" s="86"/>
      <c r="W288" s="86"/>
    </row>
    <row r="289" spans="1:23" ht="11.25" customHeight="1">
      <c r="A289" s="1001">
        <f t="shared" si="37"/>
        <v>0</v>
      </c>
      <c r="B289" s="882"/>
      <c r="C289" s="889"/>
      <c r="D289" s="889"/>
      <c r="E289" s="890"/>
      <c r="F289" s="891"/>
      <c r="G289" s="889"/>
      <c r="H289" s="892"/>
      <c r="I289" s="893"/>
      <c r="J289" s="889"/>
      <c r="K289" s="890"/>
      <c r="L289" s="85"/>
      <c r="M289" s="86"/>
      <c r="N289" s="86"/>
      <c r="O289" s="86"/>
      <c r="P289" s="86"/>
      <c r="Q289" s="86"/>
      <c r="R289" s="86"/>
      <c r="S289" s="86"/>
      <c r="T289" s="86"/>
      <c r="U289" s="86"/>
      <c r="V289" s="86"/>
      <c r="W289" s="86"/>
    </row>
    <row r="290" spans="1:23" ht="11.25" customHeight="1">
      <c r="A290" s="1001">
        <f t="shared" si="37"/>
        <v>0</v>
      </c>
      <c r="B290" s="882"/>
      <c r="C290" s="889"/>
      <c r="D290" s="889"/>
      <c r="E290" s="890"/>
      <c r="F290" s="891"/>
      <c r="G290" s="889"/>
      <c r="H290" s="892"/>
      <c r="I290" s="893"/>
      <c r="J290" s="889"/>
      <c r="K290" s="890"/>
      <c r="L290" s="85"/>
      <c r="M290" s="86"/>
      <c r="N290" s="86"/>
      <c r="O290" s="86"/>
      <c r="P290" s="86"/>
      <c r="Q290" s="86"/>
      <c r="R290" s="86"/>
      <c r="S290" s="86"/>
      <c r="T290" s="86"/>
      <c r="U290" s="86"/>
      <c r="V290" s="86"/>
      <c r="W290" s="86"/>
    </row>
    <row r="291" spans="1:23" ht="11.25" customHeight="1">
      <c r="A291" s="1001">
        <f t="shared" si="37"/>
        <v>0</v>
      </c>
      <c r="B291" s="882"/>
      <c r="C291" s="889"/>
      <c r="D291" s="889"/>
      <c r="E291" s="890"/>
      <c r="F291" s="891"/>
      <c r="G291" s="889"/>
      <c r="H291" s="892"/>
      <c r="I291" s="893"/>
      <c r="J291" s="889"/>
      <c r="K291" s="890"/>
      <c r="L291" s="85"/>
      <c r="M291" s="86"/>
      <c r="N291" s="86"/>
      <c r="O291" s="86"/>
      <c r="P291" s="86"/>
      <c r="Q291" s="86"/>
      <c r="R291" s="86"/>
      <c r="S291" s="86"/>
      <c r="T291" s="86"/>
      <c r="U291" s="86"/>
      <c r="V291" s="86"/>
      <c r="W291" s="86"/>
    </row>
    <row r="292" spans="1:23" ht="11.25" customHeight="1">
      <c r="A292" s="1001">
        <f t="shared" si="37"/>
        <v>0</v>
      </c>
      <c r="B292" s="882"/>
      <c r="C292" s="889"/>
      <c r="D292" s="889"/>
      <c r="E292" s="890"/>
      <c r="F292" s="891"/>
      <c r="G292" s="889"/>
      <c r="H292" s="892"/>
      <c r="I292" s="893"/>
      <c r="J292" s="889"/>
      <c r="K292" s="890"/>
      <c r="L292" s="85"/>
      <c r="M292" s="86"/>
      <c r="N292" s="86"/>
      <c r="O292" s="86"/>
      <c r="P292" s="86"/>
      <c r="Q292" s="86"/>
      <c r="R292" s="86"/>
      <c r="S292" s="86"/>
      <c r="T292" s="86"/>
      <c r="U292" s="86"/>
      <c r="V292" s="86"/>
      <c r="W292" s="86"/>
    </row>
    <row r="293" spans="1:23" ht="11.25" customHeight="1">
      <c r="A293" s="1001">
        <f t="shared" si="37"/>
        <v>0</v>
      </c>
      <c r="B293" s="882"/>
      <c r="C293" s="889"/>
      <c r="D293" s="889"/>
      <c r="E293" s="890"/>
      <c r="F293" s="891"/>
      <c r="G293" s="889"/>
      <c r="H293" s="892"/>
      <c r="I293" s="893"/>
      <c r="J293" s="889"/>
      <c r="K293" s="890"/>
      <c r="L293" s="85"/>
      <c r="M293" s="86"/>
      <c r="N293" s="86"/>
      <c r="O293" s="86"/>
      <c r="P293" s="86"/>
      <c r="Q293" s="86"/>
      <c r="R293" s="86"/>
      <c r="S293" s="86"/>
      <c r="T293" s="86"/>
      <c r="U293" s="86"/>
      <c r="V293" s="86"/>
      <c r="W293" s="86"/>
    </row>
    <row r="294" spans="1:23" ht="15" customHeight="1">
      <c r="A294" s="1000" t="str">
        <f t="shared" si="37"/>
        <v>Vote 12 - [NAME OF VOTE 12]</v>
      </c>
      <c r="B294" s="882"/>
      <c r="C294" s="832">
        <f t="shared" ref="C294:K294" si="38">SUM(C295:C304)</f>
        <v>0</v>
      </c>
      <c r="D294" s="832">
        <f t="shared" si="38"/>
        <v>0</v>
      </c>
      <c r="E294" s="833">
        <f t="shared" si="38"/>
        <v>0</v>
      </c>
      <c r="F294" s="834">
        <f t="shared" si="38"/>
        <v>0</v>
      </c>
      <c r="G294" s="832">
        <f t="shared" si="38"/>
        <v>0</v>
      </c>
      <c r="H294" s="835">
        <f t="shared" si="38"/>
        <v>0</v>
      </c>
      <c r="I294" s="836">
        <f t="shared" si="38"/>
        <v>0</v>
      </c>
      <c r="J294" s="832">
        <f t="shared" si="38"/>
        <v>0</v>
      </c>
      <c r="K294" s="833">
        <f t="shared" si="38"/>
        <v>0</v>
      </c>
      <c r="L294" s="85"/>
      <c r="M294" s="86"/>
      <c r="N294" s="86"/>
      <c r="O294" s="86"/>
      <c r="P294" s="86"/>
      <c r="Q294" s="86"/>
      <c r="R294" s="86"/>
      <c r="S294" s="86"/>
      <c r="T294" s="86"/>
      <c r="U294" s="86"/>
      <c r="V294" s="86"/>
      <c r="W294" s="86"/>
    </row>
    <row r="295" spans="1:23" ht="11.25" customHeight="1">
      <c r="A295" s="1001" t="str">
        <f t="shared" si="37"/>
        <v>12.1 - [Name of sub-vote]</v>
      </c>
      <c r="B295" s="882"/>
      <c r="C295" s="889"/>
      <c r="D295" s="889"/>
      <c r="E295" s="890"/>
      <c r="F295" s="891"/>
      <c r="G295" s="889"/>
      <c r="H295" s="892"/>
      <c r="I295" s="893"/>
      <c r="J295" s="889"/>
      <c r="K295" s="890"/>
      <c r="L295" s="85"/>
      <c r="M295" s="86"/>
      <c r="N295" s="86"/>
      <c r="O295" s="86"/>
      <c r="P295" s="86"/>
      <c r="Q295" s="86"/>
      <c r="R295" s="86"/>
      <c r="S295" s="86"/>
      <c r="T295" s="86"/>
      <c r="U295" s="86"/>
      <c r="V295" s="86"/>
      <c r="W295" s="86"/>
    </row>
    <row r="296" spans="1:23" ht="11.25" customHeight="1">
      <c r="A296" s="1001">
        <f t="shared" si="37"/>
        <v>0</v>
      </c>
      <c r="B296" s="882"/>
      <c r="C296" s="889"/>
      <c r="D296" s="889"/>
      <c r="E296" s="890"/>
      <c r="F296" s="891"/>
      <c r="G296" s="889"/>
      <c r="H296" s="892"/>
      <c r="I296" s="893"/>
      <c r="J296" s="889"/>
      <c r="K296" s="890"/>
      <c r="L296" s="85"/>
      <c r="M296" s="86"/>
      <c r="N296" s="86"/>
      <c r="O296" s="86"/>
      <c r="P296" s="86"/>
      <c r="Q296" s="86"/>
      <c r="R296" s="86"/>
      <c r="S296" s="86"/>
      <c r="T296" s="86"/>
      <c r="U296" s="86"/>
      <c r="V296" s="86"/>
      <c r="W296" s="86"/>
    </row>
    <row r="297" spans="1:23" ht="11.25" customHeight="1">
      <c r="A297" s="1001">
        <f t="shared" si="37"/>
        <v>0</v>
      </c>
      <c r="B297" s="882"/>
      <c r="C297" s="889"/>
      <c r="D297" s="889"/>
      <c r="E297" s="890"/>
      <c r="F297" s="891"/>
      <c r="G297" s="889"/>
      <c r="H297" s="892"/>
      <c r="I297" s="893"/>
      <c r="J297" s="889"/>
      <c r="K297" s="890"/>
      <c r="L297" s="85"/>
      <c r="M297" s="86"/>
      <c r="N297" s="86"/>
      <c r="O297" s="86"/>
      <c r="P297" s="86"/>
      <c r="Q297" s="86"/>
      <c r="R297" s="86"/>
      <c r="S297" s="86"/>
      <c r="T297" s="86"/>
      <c r="U297" s="86"/>
      <c r="V297" s="86"/>
      <c r="W297" s="86"/>
    </row>
    <row r="298" spans="1:23" ht="11.25" customHeight="1">
      <c r="A298" s="1001">
        <f t="shared" si="37"/>
        <v>0</v>
      </c>
      <c r="B298" s="882"/>
      <c r="C298" s="889"/>
      <c r="D298" s="889"/>
      <c r="E298" s="890"/>
      <c r="F298" s="891"/>
      <c r="G298" s="889"/>
      <c r="H298" s="892"/>
      <c r="I298" s="893"/>
      <c r="J298" s="889"/>
      <c r="K298" s="890"/>
      <c r="L298" s="85"/>
      <c r="M298" s="86"/>
      <c r="N298" s="86"/>
      <c r="O298" s="86"/>
      <c r="P298" s="86"/>
      <c r="Q298" s="86"/>
      <c r="R298" s="86"/>
      <c r="S298" s="86"/>
      <c r="T298" s="86"/>
      <c r="U298" s="86"/>
      <c r="V298" s="86"/>
      <c r="W298" s="86"/>
    </row>
    <row r="299" spans="1:23" ht="11.25" customHeight="1">
      <c r="A299" s="1001">
        <f t="shared" si="37"/>
        <v>0</v>
      </c>
      <c r="B299" s="882"/>
      <c r="C299" s="889"/>
      <c r="D299" s="889"/>
      <c r="E299" s="890"/>
      <c r="F299" s="891"/>
      <c r="G299" s="889"/>
      <c r="H299" s="892"/>
      <c r="I299" s="893"/>
      <c r="J299" s="889"/>
      <c r="K299" s="890"/>
      <c r="L299" s="85"/>
      <c r="M299" s="86"/>
      <c r="N299" s="86"/>
      <c r="O299" s="86"/>
      <c r="P299" s="86"/>
      <c r="Q299" s="86"/>
      <c r="R299" s="86"/>
      <c r="S299" s="86"/>
      <c r="T299" s="86"/>
      <c r="U299" s="86"/>
      <c r="V299" s="86"/>
      <c r="W299" s="86"/>
    </row>
    <row r="300" spans="1:23" ht="11.25" customHeight="1">
      <c r="A300" s="1001">
        <f t="shared" si="37"/>
        <v>0</v>
      </c>
      <c r="B300" s="882"/>
      <c r="C300" s="889"/>
      <c r="D300" s="889"/>
      <c r="E300" s="890"/>
      <c r="F300" s="891"/>
      <c r="G300" s="889"/>
      <c r="H300" s="892"/>
      <c r="I300" s="893"/>
      <c r="J300" s="889"/>
      <c r="K300" s="890"/>
      <c r="L300" s="85"/>
      <c r="M300" s="86"/>
      <c r="N300" s="86"/>
      <c r="O300" s="86"/>
      <c r="P300" s="86"/>
      <c r="Q300" s="86"/>
      <c r="R300" s="86"/>
      <c r="S300" s="86"/>
      <c r="T300" s="86"/>
      <c r="U300" s="86"/>
      <c r="V300" s="86"/>
      <c r="W300" s="86"/>
    </row>
    <row r="301" spans="1:23" ht="11.25" customHeight="1">
      <c r="A301" s="1001">
        <f t="shared" si="37"/>
        <v>0</v>
      </c>
      <c r="B301" s="882"/>
      <c r="C301" s="889"/>
      <c r="D301" s="889"/>
      <c r="E301" s="890"/>
      <c r="F301" s="891"/>
      <c r="G301" s="889"/>
      <c r="H301" s="892"/>
      <c r="I301" s="893"/>
      <c r="J301" s="889"/>
      <c r="K301" s="890"/>
      <c r="L301" s="85"/>
      <c r="M301" s="86"/>
      <c r="N301" s="86"/>
      <c r="O301" s="86"/>
      <c r="P301" s="86"/>
      <c r="Q301" s="86"/>
      <c r="R301" s="86"/>
      <c r="S301" s="86"/>
      <c r="T301" s="86"/>
      <c r="U301" s="86"/>
      <c r="V301" s="86"/>
      <c r="W301" s="86"/>
    </row>
    <row r="302" spans="1:23" ht="11.25" customHeight="1">
      <c r="A302" s="1001">
        <f t="shared" si="37"/>
        <v>0</v>
      </c>
      <c r="B302" s="882"/>
      <c r="C302" s="889"/>
      <c r="D302" s="889"/>
      <c r="E302" s="890"/>
      <c r="F302" s="891"/>
      <c r="G302" s="889"/>
      <c r="H302" s="892"/>
      <c r="I302" s="893"/>
      <c r="J302" s="889"/>
      <c r="K302" s="890"/>
      <c r="L302" s="85"/>
      <c r="M302" s="86"/>
      <c r="N302" s="86"/>
      <c r="O302" s="86"/>
      <c r="P302" s="86"/>
      <c r="Q302" s="86"/>
      <c r="R302" s="86"/>
      <c r="S302" s="86"/>
      <c r="T302" s="86"/>
      <c r="U302" s="86"/>
      <c r="V302" s="86"/>
      <c r="W302" s="86"/>
    </row>
    <row r="303" spans="1:23" ht="11.25" customHeight="1">
      <c r="A303" s="1001">
        <f t="shared" si="37"/>
        <v>0</v>
      </c>
      <c r="B303" s="882"/>
      <c r="C303" s="889"/>
      <c r="D303" s="889"/>
      <c r="E303" s="890"/>
      <c r="F303" s="891"/>
      <c r="G303" s="889"/>
      <c r="H303" s="892"/>
      <c r="I303" s="893"/>
      <c r="J303" s="889"/>
      <c r="K303" s="890"/>
      <c r="L303" s="85"/>
      <c r="M303" s="86"/>
      <c r="N303" s="86"/>
      <c r="O303" s="86"/>
      <c r="P303" s="86"/>
      <c r="Q303" s="86"/>
      <c r="R303" s="86"/>
      <c r="S303" s="86"/>
      <c r="T303" s="86"/>
      <c r="U303" s="86"/>
      <c r="V303" s="86"/>
      <c r="W303" s="86"/>
    </row>
    <row r="304" spans="1:23" ht="11.25" customHeight="1">
      <c r="A304" s="1001">
        <f t="shared" si="37"/>
        <v>0</v>
      </c>
      <c r="B304" s="882"/>
      <c r="C304" s="889"/>
      <c r="D304" s="889"/>
      <c r="E304" s="890"/>
      <c r="F304" s="891"/>
      <c r="G304" s="889"/>
      <c r="H304" s="892"/>
      <c r="I304" s="893"/>
      <c r="J304" s="889"/>
      <c r="K304" s="890"/>
      <c r="L304" s="85"/>
      <c r="M304" s="86"/>
      <c r="N304" s="86"/>
      <c r="O304" s="86"/>
      <c r="P304" s="86"/>
      <c r="Q304" s="86"/>
      <c r="R304" s="86"/>
      <c r="S304" s="86"/>
      <c r="T304" s="86"/>
      <c r="U304" s="86"/>
      <c r="V304" s="86"/>
      <c r="W304" s="86"/>
    </row>
    <row r="305" spans="1:23" ht="15" customHeight="1">
      <c r="A305" s="1000" t="str">
        <f t="shared" si="37"/>
        <v>Vote 13 - [NAME OF VOTE 13]</v>
      </c>
      <c r="B305" s="882"/>
      <c r="C305" s="832">
        <f t="shared" ref="C305:K305" si="39">SUM(C306:C315)</f>
        <v>0</v>
      </c>
      <c r="D305" s="832">
        <f t="shared" si="39"/>
        <v>0</v>
      </c>
      <c r="E305" s="833">
        <f t="shared" si="39"/>
        <v>0</v>
      </c>
      <c r="F305" s="834">
        <f t="shared" si="39"/>
        <v>0</v>
      </c>
      <c r="G305" s="832">
        <f t="shared" si="39"/>
        <v>0</v>
      </c>
      <c r="H305" s="835">
        <f t="shared" si="39"/>
        <v>0</v>
      </c>
      <c r="I305" s="836">
        <f t="shared" si="39"/>
        <v>0</v>
      </c>
      <c r="J305" s="832">
        <f t="shared" si="39"/>
        <v>0</v>
      </c>
      <c r="K305" s="833">
        <f t="shared" si="39"/>
        <v>0</v>
      </c>
      <c r="L305" s="85"/>
      <c r="M305" s="86"/>
      <c r="N305" s="86"/>
      <c r="O305" s="86"/>
      <c r="P305" s="86"/>
      <c r="Q305" s="86"/>
      <c r="R305" s="86"/>
      <c r="S305" s="86"/>
      <c r="T305" s="86"/>
      <c r="U305" s="86"/>
      <c r="V305" s="86"/>
      <c r="W305" s="86"/>
    </row>
    <row r="306" spans="1:23" ht="11.25" customHeight="1">
      <c r="A306" s="1001" t="str">
        <f t="shared" si="37"/>
        <v>13.1 - [Name of sub-vote]</v>
      </c>
      <c r="B306" s="882"/>
      <c r="C306" s="889"/>
      <c r="D306" s="889"/>
      <c r="E306" s="890"/>
      <c r="F306" s="891"/>
      <c r="G306" s="889"/>
      <c r="H306" s="892"/>
      <c r="I306" s="893"/>
      <c r="J306" s="889"/>
      <c r="K306" s="890"/>
      <c r="L306" s="85"/>
      <c r="M306" s="86"/>
      <c r="N306" s="86"/>
      <c r="O306" s="86"/>
      <c r="P306" s="86"/>
      <c r="Q306" s="86"/>
      <c r="R306" s="86"/>
      <c r="S306" s="86"/>
      <c r="T306" s="86"/>
      <c r="U306" s="86"/>
      <c r="V306" s="86"/>
      <c r="W306" s="86"/>
    </row>
    <row r="307" spans="1:23" ht="11.25" customHeight="1">
      <c r="A307" s="1001">
        <f t="shared" si="37"/>
        <v>0</v>
      </c>
      <c r="B307" s="882"/>
      <c r="C307" s="889"/>
      <c r="D307" s="889"/>
      <c r="E307" s="890"/>
      <c r="F307" s="891"/>
      <c r="G307" s="889"/>
      <c r="H307" s="892"/>
      <c r="I307" s="893"/>
      <c r="J307" s="889"/>
      <c r="K307" s="890"/>
      <c r="L307" s="85"/>
      <c r="M307" s="86"/>
      <c r="N307" s="86"/>
      <c r="O307" s="86"/>
      <c r="P307" s="86"/>
      <c r="Q307" s="86"/>
      <c r="R307" s="86"/>
      <c r="S307" s="86"/>
      <c r="T307" s="86"/>
      <c r="U307" s="86"/>
      <c r="V307" s="86"/>
      <c r="W307" s="86"/>
    </row>
    <row r="308" spans="1:23" ht="11.25" customHeight="1">
      <c r="A308" s="1001">
        <f t="shared" si="37"/>
        <v>0</v>
      </c>
      <c r="B308" s="882"/>
      <c r="C308" s="889"/>
      <c r="D308" s="889"/>
      <c r="E308" s="890"/>
      <c r="F308" s="891"/>
      <c r="G308" s="889"/>
      <c r="H308" s="892"/>
      <c r="I308" s="893"/>
      <c r="J308" s="889"/>
      <c r="K308" s="890"/>
      <c r="L308" s="85"/>
      <c r="M308" s="86"/>
      <c r="N308" s="86"/>
      <c r="O308" s="86"/>
      <c r="P308" s="86"/>
      <c r="Q308" s="86"/>
      <c r="R308" s="86"/>
      <c r="S308" s="86"/>
      <c r="T308" s="86"/>
      <c r="U308" s="86"/>
      <c r="V308" s="86"/>
      <c r="W308" s="86"/>
    </row>
    <row r="309" spans="1:23" ht="11.25" customHeight="1">
      <c r="A309" s="1001">
        <f t="shared" si="37"/>
        <v>0</v>
      </c>
      <c r="B309" s="882"/>
      <c r="C309" s="889"/>
      <c r="D309" s="889"/>
      <c r="E309" s="890"/>
      <c r="F309" s="891"/>
      <c r="G309" s="889"/>
      <c r="H309" s="892"/>
      <c r="I309" s="893"/>
      <c r="J309" s="889"/>
      <c r="K309" s="890"/>
      <c r="L309" s="85"/>
      <c r="M309" s="86"/>
      <c r="N309" s="86"/>
      <c r="O309" s="86"/>
      <c r="P309" s="86"/>
      <c r="Q309" s="86"/>
      <c r="R309" s="86"/>
      <c r="S309" s="86"/>
      <c r="T309" s="86"/>
      <c r="U309" s="86"/>
      <c r="V309" s="86"/>
      <c r="W309" s="86"/>
    </row>
    <row r="310" spans="1:23" ht="11.25" customHeight="1">
      <c r="A310" s="1001">
        <f t="shared" si="37"/>
        <v>0</v>
      </c>
      <c r="B310" s="882"/>
      <c r="C310" s="889"/>
      <c r="D310" s="889"/>
      <c r="E310" s="890"/>
      <c r="F310" s="891"/>
      <c r="G310" s="889"/>
      <c r="H310" s="892"/>
      <c r="I310" s="893"/>
      <c r="J310" s="889"/>
      <c r="K310" s="890"/>
      <c r="L310" s="85"/>
      <c r="M310" s="86"/>
      <c r="N310" s="86"/>
      <c r="O310" s="86"/>
      <c r="P310" s="86"/>
      <c r="Q310" s="86"/>
      <c r="R310" s="86"/>
      <c r="S310" s="86"/>
      <c r="T310" s="86"/>
      <c r="U310" s="86"/>
      <c r="V310" s="86"/>
      <c r="W310" s="86"/>
    </row>
    <row r="311" spans="1:23" ht="11.25" customHeight="1">
      <c r="A311" s="1001">
        <f t="shared" si="37"/>
        <v>0</v>
      </c>
      <c r="B311" s="882"/>
      <c r="C311" s="889"/>
      <c r="D311" s="889"/>
      <c r="E311" s="890"/>
      <c r="F311" s="891"/>
      <c r="G311" s="889"/>
      <c r="H311" s="892"/>
      <c r="I311" s="893"/>
      <c r="J311" s="889"/>
      <c r="K311" s="890"/>
      <c r="L311" s="85"/>
      <c r="M311" s="86"/>
      <c r="N311" s="86"/>
      <c r="O311" s="86"/>
      <c r="P311" s="86"/>
      <c r="Q311" s="86"/>
      <c r="R311" s="86"/>
      <c r="S311" s="86"/>
      <c r="T311" s="86"/>
      <c r="U311" s="86"/>
      <c r="V311" s="86"/>
      <c r="W311" s="86"/>
    </row>
    <row r="312" spans="1:23" ht="11.25" customHeight="1">
      <c r="A312" s="1001">
        <f t="shared" si="37"/>
        <v>0</v>
      </c>
      <c r="B312" s="882"/>
      <c r="C312" s="889"/>
      <c r="D312" s="889"/>
      <c r="E312" s="890"/>
      <c r="F312" s="891"/>
      <c r="G312" s="889"/>
      <c r="H312" s="892"/>
      <c r="I312" s="893"/>
      <c r="J312" s="889"/>
      <c r="K312" s="890"/>
      <c r="L312" s="85"/>
      <c r="M312" s="86"/>
      <c r="N312" s="86"/>
      <c r="O312" s="86"/>
      <c r="P312" s="86"/>
      <c r="Q312" s="86"/>
      <c r="R312" s="86"/>
      <c r="S312" s="86"/>
      <c r="T312" s="86"/>
      <c r="U312" s="86"/>
      <c r="V312" s="86"/>
      <c r="W312" s="86"/>
    </row>
    <row r="313" spans="1:23" ht="11.25" customHeight="1">
      <c r="A313" s="1001">
        <f t="shared" si="37"/>
        <v>0</v>
      </c>
      <c r="B313" s="882"/>
      <c r="C313" s="889"/>
      <c r="D313" s="889"/>
      <c r="E313" s="890"/>
      <c r="F313" s="891"/>
      <c r="G313" s="889"/>
      <c r="H313" s="892"/>
      <c r="I313" s="893"/>
      <c r="J313" s="889"/>
      <c r="K313" s="890"/>
      <c r="L313" s="85"/>
      <c r="M313" s="86"/>
      <c r="N313" s="86"/>
      <c r="O313" s="86"/>
      <c r="P313" s="86"/>
      <c r="Q313" s="86"/>
      <c r="R313" s="86"/>
      <c r="S313" s="86"/>
      <c r="T313" s="86"/>
      <c r="U313" s="86"/>
      <c r="V313" s="86"/>
      <c r="W313" s="86"/>
    </row>
    <row r="314" spans="1:23" ht="11.25" customHeight="1">
      <c r="A314" s="1001">
        <f t="shared" si="37"/>
        <v>0</v>
      </c>
      <c r="B314" s="882"/>
      <c r="C314" s="889"/>
      <c r="D314" s="889"/>
      <c r="E314" s="890"/>
      <c r="F314" s="891"/>
      <c r="G314" s="889"/>
      <c r="H314" s="892"/>
      <c r="I314" s="893"/>
      <c r="J314" s="889"/>
      <c r="K314" s="890"/>
      <c r="L314" s="85"/>
      <c r="M314" s="86"/>
      <c r="N314" s="86"/>
      <c r="O314" s="86"/>
      <c r="P314" s="86"/>
      <c r="Q314" s="86"/>
      <c r="R314" s="86"/>
      <c r="S314" s="86"/>
      <c r="T314" s="86"/>
      <c r="U314" s="86"/>
      <c r="V314" s="86"/>
      <c r="W314" s="86"/>
    </row>
    <row r="315" spans="1:23" ht="11.25" customHeight="1">
      <c r="A315" s="1001">
        <f t="shared" si="37"/>
        <v>0</v>
      </c>
      <c r="B315" s="882"/>
      <c r="C315" s="889"/>
      <c r="D315" s="889"/>
      <c r="E315" s="890"/>
      <c r="F315" s="891"/>
      <c r="G315" s="889"/>
      <c r="H315" s="892"/>
      <c r="I315" s="893"/>
      <c r="J315" s="889"/>
      <c r="K315" s="890"/>
      <c r="L315" s="85"/>
      <c r="M315" s="86"/>
      <c r="N315" s="86"/>
      <c r="O315" s="86"/>
      <c r="P315" s="86"/>
      <c r="Q315" s="86"/>
      <c r="R315" s="86"/>
      <c r="S315" s="86"/>
      <c r="T315" s="86"/>
      <c r="U315" s="86"/>
      <c r="V315" s="86"/>
      <c r="W315" s="86"/>
    </row>
    <row r="316" spans="1:23" ht="15" customHeight="1">
      <c r="A316" s="1000" t="str">
        <f t="shared" si="37"/>
        <v>Vote 14 - [NAME OF VOTE 14]</v>
      </c>
      <c r="B316" s="882"/>
      <c r="C316" s="832">
        <f t="shared" ref="C316:K316" si="40">SUM(C317:C326)</f>
        <v>0</v>
      </c>
      <c r="D316" s="832">
        <f t="shared" si="40"/>
        <v>0</v>
      </c>
      <c r="E316" s="833">
        <f t="shared" si="40"/>
        <v>0</v>
      </c>
      <c r="F316" s="834">
        <f t="shared" si="40"/>
        <v>0</v>
      </c>
      <c r="G316" s="832">
        <f t="shared" si="40"/>
        <v>0</v>
      </c>
      <c r="H316" s="835">
        <f t="shared" si="40"/>
        <v>0</v>
      </c>
      <c r="I316" s="836">
        <f t="shared" si="40"/>
        <v>0</v>
      </c>
      <c r="J316" s="832">
        <f t="shared" si="40"/>
        <v>0</v>
      </c>
      <c r="K316" s="833">
        <f t="shared" si="40"/>
        <v>0</v>
      </c>
      <c r="L316" s="85"/>
      <c r="M316" s="86"/>
      <c r="N316" s="86"/>
      <c r="O316" s="86"/>
      <c r="P316" s="86"/>
      <c r="Q316" s="86"/>
      <c r="R316" s="86"/>
      <c r="S316" s="86"/>
      <c r="T316" s="86"/>
      <c r="U316" s="86"/>
      <c r="V316" s="86"/>
      <c r="W316" s="86"/>
    </row>
    <row r="317" spans="1:23" ht="11.25" customHeight="1">
      <c r="A317" s="1001" t="str">
        <f t="shared" si="37"/>
        <v>14.1 - [Name of sub-vote]</v>
      </c>
      <c r="B317" s="882"/>
      <c r="C317" s="889"/>
      <c r="D317" s="889"/>
      <c r="E317" s="890"/>
      <c r="F317" s="891"/>
      <c r="G317" s="889"/>
      <c r="H317" s="892"/>
      <c r="I317" s="893"/>
      <c r="J317" s="889"/>
      <c r="K317" s="890"/>
      <c r="L317" s="85"/>
      <c r="M317" s="86"/>
      <c r="N317" s="86"/>
      <c r="O317" s="86"/>
      <c r="P317" s="86"/>
      <c r="Q317" s="86"/>
      <c r="R317" s="86"/>
      <c r="S317" s="86"/>
      <c r="T317" s="86"/>
      <c r="U317" s="86"/>
      <c r="V317" s="86"/>
      <c r="W317" s="86"/>
    </row>
    <row r="318" spans="1:23" ht="11.25" customHeight="1">
      <c r="A318" s="1001">
        <f t="shared" si="37"/>
        <v>0</v>
      </c>
      <c r="B318" s="882"/>
      <c r="C318" s="889"/>
      <c r="D318" s="889"/>
      <c r="E318" s="890"/>
      <c r="F318" s="891"/>
      <c r="G318" s="889"/>
      <c r="H318" s="892"/>
      <c r="I318" s="893"/>
      <c r="J318" s="889"/>
      <c r="K318" s="890"/>
      <c r="L318" s="85"/>
      <c r="M318" s="86"/>
      <c r="N318" s="86"/>
      <c r="O318" s="86"/>
      <c r="P318" s="86"/>
      <c r="Q318" s="86"/>
      <c r="R318" s="86"/>
      <c r="S318" s="86"/>
      <c r="T318" s="86"/>
      <c r="U318" s="86"/>
      <c r="V318" s="86"/>
      <c r="W318" s="86"/>
    </row>
    <row r="319" spans="1:23" ht="11.25" customHeight="1">
      <c r="A319" s="1001">
        <f t="shared" si="37"/>
        <v>0</v>
      </c>
      <c r="B319" s="882"/>
      <c r="C319" s="889"/>
      <c r="D319" s="889"/>
      <c r="E319" s="890"/>
      <c r="F319" s="891"/>
      <c r="G319" s="889"/>
      <c r="H319" s="892"/>
      <c r="I319" s="893"/>
      <c r="J319" s="889"/>
      <c r="K319" s="890"/>
      <c r="L319" s="85"/>
      <c r="M319" s="86"/>
      <c r="N319" s="86"/>
      <c r="O319" s="86"/>
      <c r="P319" s="86"/>
      <c r="Q319" s="86"/>
      <c r="R319" s="86"/>
      <c r="S319" s="86"/>
      <c r="T319" s="86"/>
      <c r="U319" s="86"/>
      <c r="V319" s="86"/>
      <c r="W319" s="86"/>
    </row>
    <row r="320" spans="1:23" ht="11.25" customHeight="1">
      <c r="A320" s="1001">
        <f t="shared" si="37"/>
        <v>0</v>
      </c>
      <c r="B320" s="882"/>
      <c r="C320" s="889"/>
      <c r="D320" s="889"/>
      <c r="E320" s="890"/>
      <c r="F320" s="891"/>
      <c r="G320" s="889"/>
      <c r="H320" s="892"/>
      <c r="I320" s="893"/>
      <c r="J320" s="889"/>
      <c r="K320" s="890"/>
      <c r="L320" s="85"/>
      <c r="M320" s="86"/>
      <c r="N320" s="86"/>
      <c r="O320" s="86"/>
      <c r="P320" s="86"/>
      <c r="Q320" s="86"/>
      <c r="R320" s="86"/>
      <c r="S320" s="86"/>
      <c r="T320" s="86"/>
      <c r="U320" s="86"/>
      <c r="V320" s="86"/>
      <c r="W320" s="86"/>
    </row>
    <row r="321" spans="1:23" ht="11.25" customHeight="1">
      <c r="A321" s="1001">
        <f t="shared" si="37"/>
        <v>0</v>
      </c>
      <c r="B321" s="882"/>
      <c r="C321" s="889"/>
      <c r="D321" s="889"/>
      <c r="E321" s="890"/>
      <c r="F321" s="891"/>
      <c r="G321" s="889"/>
      <c r="H321" s="892"/>
      <c r="I321" s="893"/>
      <c r="J321" s="889"/>
      <c r="K321" s="890"/>
      <c r="L321" s="85"/>
      <c r="M321" s="86"/>
      <c r="N321" s="86"/>
      <c r="O321" s="86"/>
      <c r="P321" s="86"/>
      <c r="Q321" s="86"/>
      <c r="R321" s="86"/>
      <c r="S321" s="86"/>
      <c r="T321" s="86"/>
      <c r="U321" s="86"/>
      <c r="V321" s="86"/>
      <c r="W321" s="86"/>
    </row>
    <row r="322" spans="1:23" ht="11.25" customHeight="1">
      <c r="A322" s="1001">
        <f t="shared" si="37"/>
        <v>0</v>
      </c>
      <c r="B322" s="882"/>
      <c r="C322" s="889"/>
      <c r="D322" s="889"/>
      <c r="E322" s="890"/>
      <c r="F322" s="891"/>
      <c r="G322" s="889"/>
      <c r="H322" s="892"/>
      <c r="I322" s="893"/>
      <c r="J322" s="889"/>
      <c r="K322" s="890"/>
      <c r="L322" s="85"/>
      <c r="M322" s="86"/>
      <c r="N322" s="86"/>
      <c r="O322" s="86"/>
      <c r="P322" s="86"/>
      <c r="Q322" s="86"/>
      <c r="R322" s="86"/>
      <c r="S322" s="86"/>
      <c r="T322" s="86"/>
      <c r="U322" s="86"/>
      <c r="V322" s="86"/>
      <c r="W322" s="86"/>
    </row>
    <row r="323" spans="1:23" ht="11.25" customHeight="1">
      <c r="A323" s="1001">
        <f t="shared" si="37"/>
        <v>0</v>
      </c>
      <c r="B323" s="882"/>
      <c r="C323" s="889"/>
      <c r="D323" s="889"/>
      <c r="E323" s="890"/>
      <c r="F323" s="891"/>
      <c r="G323" s="889"/>
      <c r="H323" s="892"/>
      <c r="I323" s="893"/>
      <c r="J323" s="889"/>
      <c r="K323" s="890"/>
      <c r="L323" s="85"/>
      <c r="M323" s="86"/>
      <c r="N323" s="86"/>
      <c r="O323" s="86"/>
      <c r="P323" s="86"/>
      <c r="Q323" s="86"/>
      <c r="R323" s="86"/>
      <c r="S323" s="86"/>
      <c r="T323" s="86"/>
      <c r="U323" s="86"/>
      <c r="V323" s="86"/>
      <c r="W323" s="86"/>
    </row>
    <row r="324" spans="1:23" ht="11.25" customHeight="1">
      <c r="A324" s="1001">
        <f t="shared" si="37"/>
        <v>0</v>
      </c>
      <c r="B324" s="882"/>
      <c r="C324" s="889"/>
      <c r="D324" s="889"/>
      <c r="E324" s="890"/>
      <c r="F324" s="891"/>
      <c r="G324" s="889"/>
      <c r="H324" s="892"/>
      <c r="I324" s="893"/>
      <c r="J324" s="889"/>
      <c r="K324" s="890"/>
      <c r="L324" s="85"/>
      <c r="M324" s="86"/>
      <c r="N324" s="86"/>
      <c r="O324" s="86"/>
      <c r="P324" s="86"/>
      <c r="Q324" s="86"/>
      <c r="R324" s="86"/>
      <c r="S324" s="86"/>
      <c r="T324" s="86"/>
      <c r="U324" s="86"/>
      <c r="V324" s="86"/>
      <c r="W324" s="86"/>
    </row>
    <row r="325" spans="1:23" ht="11.25" customHeight="1">
      <c r="A325" s="1001">
        <f t="shared" si="37"/>
        <v>0</v>
      </c>
      <c r="B325" s="882"/>
      <c r="C325" s="889"/>
      <c r="D325" s="889"/>
      <c r="E325" s="890"/>
      <c r="F325" s="891"/>
      <c r="G325" s="889"/>
      <c r="H325" s="892"/>
      <c r="I325" s="893"/>
      <c r="J325" s="889"/>
      <c r="K325" s="890"/>
      <c r="L325" s="85"/>
      <c r="M325" s="86"/>
      <c r="N325" s="86"/>
      <c r="O325" s="86"/>
      <c r="P325" s="86"/>
      <c r="Q325" s="86"/>
      <c r="R325" s="86"/>
      <c r="S325" s="86"/>
      <c r="T325" s="86"/>
      <c r="U325" s="86"/>
      <c r="V325" s="86"/>
      <c r="W325" s="86"/>
    </row>
    <row r="326" spans="1:23" ht="11.25" customHeight="1">
      <c r="A326" s="1001">
        <f t="shared" si="37"/>
        <v>0</v>
      </c>
      <c r="B326" s="882"/>
      <c r="C326" s="889"/>
      <c r="D326" s="889"/>
      <c r="E326" s="890"/>
      <c r="F326" s="891"/>
      <c r="G326" s="889"/>
      <c r="H326" s="892"/>
      <c r="I326" s="893"/>
      <c r="J326" s="889"/>
      <c r="K326" s="890"/>
      <c r="L326" s="85"/>
      <c r="M326" s="86"/>
      <c r="N326" s="86"/>
      <c r="O326" s="86"/>
      <c r="P326" s="86"/>
      <c r="Q326" s="86"/>
      <c r="R326" s="86"/>
      <c r="S326" s="86"/>
      <c r="T326" s="86"/>
      <c r="U326" s="86"/>
      <c r="V326" s="86"/>
      <c r="W326" s="86"/>
    </row>
    <row r="327" spans="1:23" ht="15" customHeight="1">
      <c r="A327" s="1000" t="str">
        <f t="shared" si="37"/>
        <v>Vote 15 - [NAME OF VOTE 15]</v>
      </c>
      <c r="B327" s="882"/>
      <c r="C327" s="832">
        <f t="shared" ref="C327:K327" si="41">SUM(C328:C337)</f>
        <v>0</v>
      </c>
      <c r="D327" s="832">
        <f t="shared" si="41"/>
        <v>0</v>
      </c>
      <c r="E327" s="833">
        <f t="shared" si="41"/>
        <v>0</v>
      </c>
      <c r="F327" s="834">
        <f t="shared" si="41"/>
        <v>0</v>
      </c>
      <c r="G327" s="832">
        <f t="shared" si="41"/>
        <v>0</v>
      </c>
      <c r="H327" s="835">
        <f t="shared" si="41"/>
        <v>0</v>
      </c>
      <c r="I327" s="836">
        <f t="shared" si="41"/>
        <v>0</v>
      </c>
      <c r="J327" s="832">
        <f t="shared" si="41"/>
        <v>0</v>
      </c>
      <c r="K327" s="833">
        <f t="shared" si="41"/>
        <v>0</v>
      </c>
      <c r="L327" s="85"/>
      <c r="M327" s="86"/>
      <c r="N327" s="86"/>
      <c r="O327" s="86"/>
      <c r="P327" s="86"/>
      <c r="Q327" s="86"/>
      <c r="R327" s="86"/>
      <c r="S327" s="86"/>
      <c r="T327" s="86"/>
      <c r="U327" s="86"/>
      <c r="V327" s="86"/>
      <c r="W327" s="86"/>
    </row>
    <row r="328" spans="1:23" ht="11.25" customHeight="1">
      <c r="A328" s="1001" t="str">
        <f t="shared" si="37"/>
        <v>15.1 - [Name of sub-vote]</v>
      </c>
      <c r="B328" s="882"/>
      <c r="C328" s="889"/>
      <c r="D328" s="889"/>
      <c r="E328" s="890"/>
      <c r="F328" s="891"/>
      <c r="G328" s="889"/>
      <c r="H328" s="892"/>
      <c r="I328" s="893"/>
      <c r="J328" s="889"/>
      <c r="K328" s="890"/>
      <c r="L328" s="85"/>
      <c r="M328" s="86"/>
      <c r="N328" s="86"/>
      <c r="O328" s="86"/>
      <c r="P328" s="86"/>
      <c r="Q328" s="86"/>
      <c r="R328" s="86"/>
      <c r="S328" s="86"/>
      <c r="T328" s="86"/>
      <c r="U328" s="86"/>
      <c r="V328" s="86"/>
      <c r="W328" s="86"/>
    </row>
    <row r="329" spans="1:23" ht="11.25" customHeight="1">
      <c r="A329" s="1001">
        <f t="shared" si="37"/>
        <v>0</v>
      </c>
      <c r="B329" s="882"/>
      <c r="C329" s="889"/>
      <c r="D329" s="889"/>
      <c r="E329" s="890"/>
      <c r="F329" s="891"/>
      <c r="G329" s="889"/>
      <c r="H329" s="892"/>
      <c r="I329" s="893"/>
      <c r="J329" s="889"/>
      <c r="K329" s="890"/>
      <c r="L329" s="85"/>
      <c r="M329" s="86"/>
      <c r="N329" s="86"/>
      <c r="O329" s="86"/>
      <c r="P329" s="86"/>
      <c r="Q329" s="86"/>
      <c r="R329" s="86"/>
      <c r="S329" s="86"/>
      <c r="T329" s="86"/>
      <c r="U329" s="86"/>
      <c r="V329" s="86"/>
      <c r="W329" s="86"/>
    </row>
    <row r="330" spans="1:23" ht="11.25" customHeight="1">
      <c r="A330" s="1001">
        <f t="shared" si="37"/>
        <v>0</v>
      </c>
      <c r="B330" s="882"/>
      <c r="C330" s="889"/>
      <c r="D330" s="889"/>
      <c r="E330" s="890"/>
      <c r="F330" s="891"/>
      <c r="G330" s="889"/>
      <c r="H330" s="892"/>
      <c r="I330" s="893"/>
      <c r="J330" s="889"/>
      <c r="K330" s="890"/>
      <c r="L330" s="85"/>
      <c r="M330" s="86"/>
      <c r="N330" s="86"/>
      <c r="O330" s="86"/>
      <c r="P330" s="86"/>
      <c r="Q330" s="86"/>
      <c r="R330" s="86"/>
      <c r="S330" s="86"/>
      <c r="T330" s="86"/>
      <c r="U330" s="86"/>
      <c r="V330" s="86"/>
      <c r="W330" s="86"/>
    </row>
    <row r="331" spans="1:23" ht="11.25" customHeight="1">
      <c r="A331" s="1001">
        <f t="shared" si="37"/>
        <v>0</v>
      </c>
      <c r="B331" s="882"/>
      <c r="C331" s="889"/>
      <c r="D331" s="889"/>
      <c r="E331" s="890"/>
      <c r="F331" s="891"/>
      <c r="G331" s="889"/>
      <c r="H331" s="892"/>
      <c r="I331" s="893"/>
      <c r="J331" s="889"/>
      <c r="K331" s="890"/>
      <c r="L331" s="85"/>
      <c r="M331" s="86"/>
      <c r="N331" s="86"/>
      <c r="O331" s="86"/>
      <c r="P331" s="86"/>
      <c r="Q331" s="86"/>
      <c r="R331" s="86"/>
      <c r="S331" s="86"/>
      <c r="T331" s="86"/>
      <c r="U331" s="86"/>
      <c r="V331" s="86"/>
      <c r="W331" s="86"/>
    </row>
    <row r="332" spans="1:23" ht="11.25" customHeight="1">
      <c r="A332" s="1001">
        <f t="shared" si="37"/>
        <v>0</v>
      </c>
      <c r="B332" s="882"/>
      <c r="C332" s="889"/>
      <c r="D332" s="889"/>
      <c r="E332" s="890"/>
      <c r="F332" s="891"/>
      <c r="G332" s="889"/>
      <c r="H332" s="892"/>
      <c r="I332" s="893"/>
      <c r="J332" s="889"/>
      <c r="K332" s="890"/>
      <c r="L332" s="85"/>
      <c r="M332" s="86"/>
      <c r="N332" s="86"/>
      <c r="O332" s="86"/>
      <c r="P332" s="86"/>
      <c r="Q332" s="86"/>
      <c r="R332" s="86"/>
      <c r="S332" s="86"/>
      <c r="T332" s="86"/>
      <c r="U332" s="86"/>
      <c r="V332" s="86"/>
      <c r="W332" s="86"/>
    </row>
    <row r="333" spans="1:23" ht="11.25" customHeight="1">
      <c r="A333" s="1001">
        <f t="shared" si="37"/>
        <v>0</v>
      </c>
      <c r="B333" s="882"/>
      <c r="C333" s="889"/>
      <c r="D333" s="889"/>
      <c r="E333" s="890"/>
      <c r="F333" s="891"/>
      <c r="G333" s="889"/>
      <c r="H333" s="892"/>
      <c r="I333" s="893"/>
      <c r="J333" s="889"/>
      <c r="K333" s="890"/>
      <c r="L333" s="85"/>
      <c r="M333" s="86"/>
      <c r="N333" s="86"/>
      <c r="O333" s="86"/>
      <c r="P333" s="86"/>
      <c r="Q333" s="86"/>
      <c r="R333" s="86"/>
      <c r="S333" s="86"/>
      <c r="T333" s="86"/>
      <c r="U333" s="86"/>
      <c r="V333" s="86"/>
      <c r="W333" s="86"/>
    </row>
    <row r="334" spans="1:23" ht="11.25" customHeight="1">
      <c r="A334" s="1001">
        <f t="shared" si="37"/>
        <v>0</v>
      </c>
      <c r="B334" s="882"/>
      <c r="C334" s="889"/>
      <c r="D334" s="889"/>
      <c r="E334" s="890"/>
      <c r="F334" s="891"/>
      <c r="G334" s="889"/>
      <c r="H334" s="892"/>
      <c r="I334" s="893"/>
      <c r="J334" s="889"/>
      <c r="K334" s="890"/>
      <c r="L334" s="85"/>
      <c r="M334" s="86"/>
      <c r="N334" s="86"/>
      <c r="O334" s="86"/>
      <c r="P334" s="86"/>
      <c r="Q334" s="86"/>
      <c r="R334" s="86"/>
      <c r="S334" s="86"/>
      <c r="T334" s="86"/>
      <c r="U334" s="86"/>
      <c r="V334" s="86"/>
      <c r="W334" s="86"/>
    </row>
    <row r="335" spans="1:23" ht="11.25" customHeight="1">
      <c r="A335" s="1001">
        <f t="shared" si="37"/>
        <v>0</v>
      </c>
      <c r="B335" s="882"/>
      <c r="C335" s="889"/>
      <c r="D335" s="889"/>
      <c r="E335" s="890"/>
      <c r="F335" s="891"/>
      <c r="G335" s="889"/>
      <c r="H335" s="892"/>
      <c r="I335" s="893"/>
      <c r="J335" s="889"/>
      <c r="K335" s="890"/>
      <c r="L335" s="85"/>
      <c r="M335" s="86"/>
      <c r="N335" s="86"/>
      <c r="O335" s="86"/>
      <c r="P335" s="86"/>
      <c r="Q335" s="86"/>
      <c r="R335" s="86"/>
      <c r="S335" s="86"/>
      <c r="T335" s="86"/>
      <c r="U335" s="86"/>
      <c r="V335" s="86"/>
      <c r="W335" s="86"/>
    </row>
    <row r="336" spans="1:23" ht="11.25" customHeight="1">
      <c r="A336" s="1001">
        <f t="shared" si="37"/>
        <v>0</v>
      </c>
      <c r="B336" s="882"/>
      <c r="C336" s="889"/>
      <c r="D336" s="889"/>
      <c r="E336" s="890"/>
      <c r="F336" s="891"/>
      <c r="G336" s="889"/>
      <c r="H336" s="892"/>
      <c r="I336" s="893"/>
      <c r="J336" s="889"/>
      <c r="K336" s="890"/>
      <c r="L336" s="85"/>
      <c r="M336" s="86"/>
      <c r="N336" s="86"/>
      <c r="O336" s="86"/>
      <c r="P336" s="86"/>
      <c r="Q336" s="86"/>
      <c r="R336" s="86"/>
      <c r="S336" s="86"/>
      <c r="T336" s="86"/>
      <c r="U336" s="86"/>
      <c r="V336" s="86"/>
      <c r="W336" s="86"/>
    </row>
    <row r="337" spans="1:23" ht="11.25" customHeight="1">
      <c r="A337" s="1001">
        <f t="shared" si="37"/>
        <v>0</v>
      </c>
      <c r="B337" s="882"/>
      <c r="C337" s="889"/>
      <c r="D337" s="889"/>
      <c r="E337" s="890"/>
      <c r="F337" s="891"/>
      <c r="G337" s="889"/>
      <c r="H337" s="892"/>
      <c r="I337" s="893"/>
      <c r="J337" s="889"/>
      <c r="K337" s="890"/>
      <c r="L337" s="85"/>
      <c r="M337" s="86"/>
      <c r="N337" s="86"/>
      <c r="O337" s="86"/>
      <c r="P337" s="86"/>
      <c r="Q337" s="86"/>
      <c r="R337" s="86"/>
      <c r="S337" s="86"/>
      <c r="T337" s="86"/>
      <c r="U337" s="86"/>
      <c r="V337" s="86"/>
      <c r="W337" s="86"/>
    </row>
    <row r="338" spans="1:23" ht="11.25" customHeight="1">
      <c r="A338" s="74" t="s">
        <v>155</v>
      </c>
      <c r="B338" s="882">
        <v>2</v>
      </c>
      <c r="C338" s="90">
        <f>C173+C184+C195+C206+C217+C228+C239+C250+C261+C283+C294+C305+C316+C327+C272</f>
        <v>1118376552.8</v>
      </c>
      <c r="D338" s="90">
        <f>D173+D184+D195+D206+D217+D228+D239+D250+D261+D283+D294+D305+D316+D327+D272</f>
        <v>1222654918.3799999</v>
      </c>
      <c r="E338" s="91">
        <f t="shared" ref="E338:K338" si="42">E173+E184+E195+E206+E217+E228+E239+E250+E261+E283+E294+E305+E316+E327+E272</f>
        <v>1208828629.72</v>
      </c>
      <c r="F338" s="92">
        <f t="shared" si="42"/>
        <v>1329185978.96</v>
      </c>
      <c r="G338" s="90">
        <f t="shared" si="42"/>
        <v>1248665017.1700001</v>
      </c>
      <c r="H338" s="89">
        <f t="shared" si="42"/>
        <v>1275164972.3200002</v>
      </c>
      <c r="I338" s="93">
        <f t="shared" si="42"/>
        <v>1287355040.0100002</v>
      </c>
      <c r="J338" s="90">
        <f t="shared" si="42"/>
        <v>1330222366.55446</v>
      </c>
      <c r="K338" s="91">
        <f t="shared" si="42"/>
        <v>1389067331.6979651</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000000000000004" customHeight="1">
      <c r="A339" s="78"/>
      <c r="B339" s="882"/>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3.5" thickBot="1">
      <c r="A340" s="101" t="str">
        <f>result</f>
        <v>Surplus/(Deficit) for the year</v>
      </c>
      <c r="B340" s="883">
        <v>2</v>
      </c>
      <c r="C340" s="104">
        <f t="shared" ref="C340:W340" si="44">C170-C338</f>
        <v>13902154.260000229</v>
      </c>
      <c r="D340" s="104">
        <f t="shared" si="44"/>
        <v>-85178108.450000048</v>
      </c>
      <c r="E340" s="105">
        <f t="shared" si="44"/>
        <v>-67864247.140000105</v>
      </c>
      <c r="F340" s="106">
        <f t="shared" si="44"/>
        <v>29990328.039999962</v>
      </c>
      <c r="G340" s="107">
        <f t="shared" si="44"/>
        <v>119843019.8499949</v>
      </c>
      <c r="H340" s="108">
        <f t="shared" si="44"/>
        <v>128638387.5</v>
      </c>
      <c r="I340" s="109">
        <f t="shared" si="44"/>
        <v>118290191.98999977</v>
      </c>
      <c r="J340" s="107">
        <f t="shared" si="44"/>
        <v>149702254.11754012</v>
      </c>
      <c r="K340" s="105">
        <f t="shared" si="44"/>
        <v>167850445.52494669</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6" customFormat="1" ht="11.25" customHeight="1" thickTop="1">
      <c r="A341" s="1063" t="str">
        <f>head27a</f>
        <v>References</v>
      </c>
      <c r="B341" s="874"/>
      <c r="C341" s="875"/>
      <c r="D341" s="876"/>
      <c r="E341" s="876"/>
      <c r="F341" s="876"/>
      <c r="G341" s="876"/>
      <c r="H341" s="876"/>
      <c r="I341" s="876"/>
      <c r="J341" s="876"/>
      <c r="K341" s="876"/>
    </row>
    <row r="342" spans="1:23" s="576" customFormat="1" ht="11.25" customHeight="1">
      <c r="A342" s="1028" t="s">
        <v>2470</v>
      </c>
      <c r="B342" s="874"/>
      <c r="C342" s="877"/>
      <c r="D342" s="877"/>
      <c r="E342" s="878"/>
      <c r="F342" s="878"/>
      <c r="G342" s="878"/>
      <c r="H342" s="878"/>
      <c r="I342" s="878"/>
      <c r="J342" s="878"/>
      <c r="K342" s="878"/>
    </row>
    <row r="343" spans="1:23" s="576" customFormat="1" ht="11.25" customHeight="1">
      <c r="A343" s="1069" t="s">
        <v>2469</v>
      </c>
      <c r="B343" s="874"/>
      <c r="C343" s="877"/>
      <c r="D343" s="877"/>
      <c r="E343" s="878"/>
      <c r="F343" s="878"/>
      <c r="G343" s="878"/>
      <c r="H343" s="878"/>
      <c r="I343" s="878"/>
      <c r="J343" s="878"/>
      <c r="K343" s="878"/>
    </row>
    <row r="344" spans="1:23" s="576" customFormat="1" ht="11.25" customHeight="1">
      <c r="A344" s="1069" t="s">
        <v>375</v>
      </c>
      <c r="B344" s="879"/>
      <c r="C344" s="880"/>
      <c r="D344" s="880"/>
      <c r="E344" s="881"/>
      <c r="F344" s="881"/>
      <c r="G344" s="881"/>
      <c r="H344" s="881"/>
      <c r="I344" s="881"/>
      <c r="J344" s="881"/>
      <c r="K344" s="881"/>
    </row>
    <row r="345" spans="1:23" ht="11.25" customHeight="1">
      <c r="A345" s="123"/>
    </row>
    <row r="346" spans="1:23" ht="11.25" customHeight="1">
      <c r="A346" s="1070" t="s">
        <v>11</v>
      </c>
      <c r="B346" s="571"/>
      <c r="C346" s="1071">
        <f>C170-'A4-FinPerf RE'!C59</f>
        <v>1.1000003814697266</v>
      </c>
      <c r="D346" s="1071">
        <f>D170-'A4-FinPerf RE'!D59</f>
        <v>0.3599998950958252</v>
      </c>
      <c r="E346" s="1071">
        <f>E170-'A4-FinPerf RE'!E59</f>
        <v>6.0000181198120117E-2</v>
      </c>
      <c r="F346" s="1071">
        <f>F170-'A4-FinPerf RE'!F59</f>
        <v>0</v>
      </c>
      <c r="G346" s="1071">
        <f>G170-'A4-FinPerf RE'!G59</f>
        <v>-5.0067901611328125E-6</v>
      </c>
      <c r="H346" s="1071">
        <f>H170-'A4-FinPerf RE'!H59</f>
        <v>-1.9999980926513672E-2</v>
      </c>
      <c r="I346" s="1071">
        <f>I170-'A4-FinPerf RE'!J59</f>
        <v>0</v>
      </c>
      <c r="J346" s="1071">
        <f>J170-'A4-FinPerf RE'!K59</f>
        <v>0</v>
      </c>
      <c r="K346" s="1071">
        <f>K170-'A4-FinPerf RE'!L59</f>
        <v>0</v>
      </c>
    </row>
    <row r="347" spans="1:23" ht="11.25" customHeight="1">
      <c r="A347" s="1070" t="s">
        <v>12</v>
      </c>
      <c r="B347" s="571"/>
      <c r="C347" s="1071">
        <f>C338-'A4-FinPerf RE'!C35</f>
        <v>1.2799999713897705</v>
      </c>
      <c r="D347" s="1071">
        <f>D338-'A4-FinPerf RE'!D35</f>
        <v>0.15999984741210938</v>
      </c>
      <c r="E347" s="1071">
        <f>E338-'A4-FinPerf RE'!E35</f>
        <v>-0.34000015258789063</v>
      </c>
      <c r="F347" s="1071">
        <f>F338-'A4-FinPerf RE'!F35</f>
        <v>-0.29999995231628418</v>
      </c>
      <c r="G347" s="1071">
        <f>G338-'A4-FinPerf RE'!G35</f>
        <v>-0.25</v>
      </c>
      <c r="H347" s="1071">
        <f>H338-'A4-FinPerf RE'!H35</f>
        <v>1.0000228881835937E-2</v>
      </c>
      <c r="I347" s="1071">
        <f>I338-'A4-FinPerf RE'!J35</f>
        <v>-5.9999704360961914E-2</v>
      </c>
      <c r="J347" s="1071">
        <f>J338-'A4-FinPerf RE'!K35</f>
        <v>0.27399992942810059</v>
      </c>
      <c r="K347" s="1071">
        <f>K338-'A4-FinPerf RE'!L35</f>
        <v>-0.2474362850189209</v>
      </c>
    </row>
    <row r="348" spans="1:23" ht="11.25" customHeight="1">
      <c r="A348" s="123"/>
    </row>
    <row r="349" spans="1:23" ht="11.25" customHeight="1">
      <c r="A349" s="123"/>
    </row>
    <row r="350" spans="1:23" ht="11.25" customHeight="1">
      <c r="A350" s="123"/>
    </row>
    <row r="351" spans="1:23" ht="11.25" customHeight="1"/>
    <row r="352" spans="1:23"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sheetData>
  <mergeCells count="3">
    <mergeCell ref="L2:W2"/>
    <mergeCell ref="F2:H2"/>
    <mergeCell ref="I2:K2"/>
  </mergeCells>
  <phoneticPr fontId="5"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45" activePane="bottomRight" state="frozen"/>
      <selection pane="topRight"/>
      <selection pane="bottomLeft"/>
      <selection pane="bottomRight" activeCell="D5" sqref="D5:D47"/>
    </sheetView>
  </sheetViews>
  <sheetFormatPr defaultColWidth="9.140625"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hidden="1" customWidth="1"/>
    <col min="14" max="14" width="9.42578125" style="26" hidden="1" customWidth="1"/>
    <col min="15" max="15" width="9.7109375" style="26" hidden="1" customWidth="1"/>
    <col min="16" max="18" width="9.42578125" style="26" hidden="1" customWidth="1"/>
    <col min="19" max="19" width="9.7109375" style="26" hidden="1" customWidth="1"/>
    <col min="20" max="22" width="9.42578125" style="26" hidden="1" customWidth="1"/>
    <col min="23" max="24" width="9.7109375" style="26" hidden="1" customWidth="1"/>
    <col min="25" max="16384" width="9.140625" style="26"/>
  </cols>
  <sheetData>
    <row r="1" spans="1:25" s="56" customFormat="1">
      <c r="A1" s="24" t="str">
        <f>muni&amp;" - "&amp;Approve4</f>
        <v>LIM333 Greater Tzaneen - Table A4 Consolidated Budgeted Financial Performance (revenue and expenditure)</v>
      </c>
      <c r="B1" s="24"/>
      <c r="C1" s="24"/>
      <c r="D1" s="24"/>
      <c r="E1" s="24"/>
      <c r="F1" s="24"/>
      <c r="G1" s="24"/>
      <c r="H1" s="24"/>
      <c r="I1" s="24"/>
      <c r="J1" s="24"/>
      <c r="K1" s="24"/>
      <c r="L1" s="24"/>
    </row>
    <row r="2" spans="1:25" ht="28.5" customHeight="1">
      <c r="A2" s="831" t="str">
        <f>desc</f>
        <v>Description</v>
      </c>
      <c r="B2" s="288" t="str">
        <f>head27</f>
        <v>Ref</v>
      </c>
      <c r="C2" s="27" t="str">
        <f>head1b</f>
        <v>2016/17</v>
      </c>
      <c r="D2" s="27" t="str">
        <f>head1A</f>
        <v>2017/18</v>
      </c>
      <c r="E2" s="23" t="str">
        <f>Head1</f>
        <v>2018/19</v>
      </c>
      <c r="F2" s="2842" t="str">
        <f>Head2</f>
        <v>Current Year 2019/20</v>
      </c>
      <c r="G2" s="2843"/>
      <c r="H2" s="2843"/>
      <c r="I2" s="2843"/>
      <c r="J2" s="2839" t="str">
        <f>Head3</f>
        <v>2020/21 Medium Term Revenue &amp; Expenditure Framework</v>
      </c>
      <c r="K2" s="2840"/>
      <c r="L2" s="2841"/>
      <c r="M2" s="2859" t="str">
        <f>Head4</f>
        <v>LTFS</v>
      </c>
      <c r="N2" s="2859"/>
      <c r="O2" s="2859"/>
      <c r="P2" s="2859"/>
      <c r="Q2" s="2859"/>
      <c r="R2" s="2859"/>
      <c r="S2" s="2859"/>
      <c r="T2" s="2859"/>
      <c r="U2" s="2859"/>
      <c r="V2" s="2859"/>
      <c r="W2" s="2859"/>
      <c r="X2" s="2860"/>
    </row>
    <row r="3" spans="1:25" ht="25.5">
      <c r="A3" s="57" t="s">
        <v>569</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c r="M3" s="1352" t="str">
        <f>Head12</f>
        <v>Forecast 2023/24</v>
      </c>
      <c r="N3" s="1353" t="str">
        <f>Head13</f>
        <v>Forecast 2024/25</v>
      </c>
      <c r="O3" s="1353" t="str">
        <f>Head14</f>
        <v>Forecast 2025/26</v>
      </c>
      <c r="P3" s="1353" t="str">
        <f>Head15</f>
        <v>Forecast 2026/27</v>
      </c>
      <c r="Q3" s="1353" t="str">
        <f>Head16</f>
        <v>Forecast 2027/28</v>
      </c>
      <c r="R3" s="1353" t="str">
        <f>Head17</f>
        <v>Forecast 2028/29</v>
      </c>
      <c r="S3" s="1353" t="str">
        <f>Head18</f>
        <v>Forecast 2029/30</v>
      </c>
      <c r="T3" s="1353" t="str">
        <f>Head19</f>
        <v>Forecast 2030/31</v>
      </c>
      <c r="U3" s="1353" t="str">
        <f>Head20</f>
        <v>Forecast 2031/32</v>
      </c>
      <c r="V3" s="1353" t="str">
        <f>Head21</f>
        <v>Forecast 2032/33</v>
      </c>
      <c r="W3" s="1353" t="str">
        <f>Head22</f>
        <v>Forecast 2033/34</v>
      </c>
      <c r="X3" s="1353" t="str">
        <f>Head23</f>
        <v>Forecast 2034/35</v>
      </c>
    </row>
    <row r="4" spans="1:25" ht="12.75" customHeight="1">
      <c r="A4" s="126" t="s">
        <v>571</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c r="A5" s="127" t="s">
        <v>468</v>
      </c>
      <c r="B5" s="168">
        <v>2</v>
      </c>
      <c r="C5" s="900">
        <f>'SA1'!C9</f>
        <v>88945731.060000002</v>
      </c>
      <c r="D5" s="900">
        <f>'SA1'!D9</f>
        <v>107493138.13</v>
      </c>
      <c r="E5" s="1244">
        <f>'SA1'!E9</f>
        <v>119183220.86999999</v>
      </c>
      <c r="F5" s="904">
        <f>'SA1'!F9</f>
        <v>112400000</v>
      </c>
      <c r="G5" s="900">
        <f>'SA1'!G9</f>
        <v>112400000</v>
      </c>
      <c r="H5" s="982">
        <f>'SA1'!H9</f>
        <v>112933467.73999999</v>
      </c>
      <c r="I5" s="903">
        <f>'SA1'!I9</f>
        <v>112933467.73999999</v>
      </c>
      <c r="J5" s="904">
        <f>'SA1'!J9</f>
        <v>132500000</v>
      </c>
      <c r="K5" s="900">
        <f>'SA1'!K9</f>
        <v>138595000</v>
      </c>
      <c r="L5" s="982">
        <f>'SA1'!L9</f>
        <v>144970370</v>
      </c>
      <c r="M5" s="72"/>
      <c r="N5" s="73"/>
      <c r="O5" s="73"/>
      <c r="P5" s="73"/>
      <c r="Q5" s="73"/>
      <c r="R5" s="73"/>
      <c r="S5" s="73"/>
      <c r="T5" s="73"/>
      <c r="U5" s="73"/>
      <c r="V5" s="73"/>
      <c r="W5" s="73"/>
      <c r="X5" s="73"/>
      <c r="Y5" s="240"/>
    </row>
    <row r="6" spans="1:25" ht="12.75" customHeight="1">
      <c r="A6" s="131" t="s">
        <v>1563</v>
      </c>
      <c r="B6" s="168">
        <v>2</v>
      </c>
      <c r="C6" s="900">
        <f>'SA1'!C15</f>
        <v>417828866.57999998</v>
      </c>
      <c r="D6" s="900">
        <f>'SA1'!D15</f>
        <v>452023273.68000001</v>
      </c>
      <c r="E6" s="1244">
        <f>'SA1'!E15</f>
        <v>449863850.95999998</v>
      </c>
      <c r="F6" s="904">
        <f>'SA1'!F15</f>
        <v>577331000</v>
      </c>
      <c r="G6" s="900">
        <f>'SA1'!G15</f>
        <v>570331000</v>
      </c>
      <c r="H6" s="982">
        <f>'SA1'!H15</f>
        <v>584318984.98000002</v>
      </c>
      <c r="I6" s="903">
        <f>'SA1'!I15</f>
        <v>584318984.98000002</v>
      </c>
      <c r="J6" s="904">
        <f>'SA1'!J15</f>
        <v>571201000</v>
      </c>
      <c r="K6" s="900">
        <f>'SA1'!K15</f>
        <v>597492246</v>
      </c>
      <c r="L6" s="982">
        <f>'SA1'!L15</f>
        <v>624993657.31599998</v>
      </c>
      <c r="M6" s="72"/>
      <c r="N6" s="73"/>
      <c r="O6" s="73"/>
      <c r="P6" s="73"/>
      <c r="Q6" s="73"/>
      <c r="R6" s="73"/>
      <c r="S6" s="73"/>
      <c r="T6" s="73"/>
      <c r="U6" s="73"/>
      <c r="V6" s="73"/>
      <c r="W6" s="73"/>
      <c r="X6" s="73"/>
      <c r="Y6" s="240"/>
    </row>
    <row r="7" spans="1:25" ht="12.75" customHeight="1">
      <c r="A7" s="131" t="s">
        <v>1564</v>
      </c>
      <c r="B7" s="168">
        <v>2</v>
      </c>
      <c r="C7" s="900">
        <f>'SA1'!C21</f>
        <v>0</v>
      </c>
      <c r="D7" s="900">
        <f>'SA1'!D21</f>
        <v>0</v>
      </c>
      <c r="E7" s="1244">
        <f>'SA1'!E21</f>
        <v>0</v>
      </c>
      <c r="F7" s="904">
        <f>'SA1'!F21</f>
        <v>0</v>
      </c>
      <c r="G7" s="900">
        <f>'SA1'!G21</f>
        <v>0</v>
      </c>
      <c r="H7" s="982">
        <f>'SA1'!H21</f>
        <v>0</v>
      </c>
      <c r="I7" s="903">
        <f>'SA1'!I21</f>
        <v>0</v>
      </c>
      <c r="J7" s="904">
        <f>'SA1'!J21</f>
        <v>0</v>
      </c>
      <c r="K7" s="900">
        <f>'SA1'!K21</f>
        <v>0</v>
      </c>
      <c r="L7" s="982">
        <f>'SA1'!L21</f>
        <v>0</v>
      </c>
      <c r="M7" s="72"/>
      <c r="N7" s="73"/>
      <c r="O7" s="73"/>
      <c r="P7" s="73"/>
      <c r="Q7" s="73"/>
      <c r="R7" s="73"/>
      <c r="S7" s="73"/>
      <c r="T7" s="73"/>
      <c r="U7" s="73"/>
      <c r="V7" s="73"/>
      <c r="W7" s="73"/>
      <c r="X7" s="73"/>
      <c r="Y7" s="240"/>
    </row>
    <row r="8" spans="1:25" ht="12.75" customHeight="1">
      <c r="A8" s="131" t="s">
        <v>805</v>
      </c>
      <c r="B8" s="168">
        <v>2</v>
      </c>
      <c r="C8" s="900">
        <f>'SA1'!C27</f>
        <v>0</v>
      </c>
      <c r="D8" s="900">
        <f>'SA1'!D27</f>
        <v>0</v>
      </c>
      <c r="E8" s="1244">
        <f>'SA1'!E27</f>
        <v>0</v>
      </c>
      <c r="F8" s="904">
        <f>'SA1'!F27</f>
        <v>0</v>
      </c>
      <c r="G8" s="900">
        <f>'SA1'!G27</f>
        <v>0</v>
      </c>
      <c r="H8" s="982">
        <f>'SA1'!H27</f>
        <v>0</v>
      </c>
      <c r="I8" s="903">
        <f>'SA1'!I27</f>
        <v>0</v>
      </c>
      <c r="J8" s="904">
        <f>'SA1'!J27</f>
        <v>0</v>
      </c>
      <c r="K8" s="900">
        <f>'SA1'!K27</f>
        <v>0</v>
      </c>
      <c r="L8" s="982">
        <f>'SA1'!L27</f>
        <v>0</v>
      </c>
      <c r="M8" s="72"/>
      <c r="N8" s="73"/>
      <c r="O8" s="73"/>
      <c r="P8" s="73"/>
      <c r="Q8" s="73"/>
      <c r="R8" s="73"/>
      <c r="S8" s="73"/>
      <c r="T8" s="73"/>
      <c r="U8" s="73"/>
      <c r="V8" s="73"/>
      <c r="W8" s="73"/>
      <c r="X8" s="73"/>
      <c r="Y8" s="240"/>
    </row>
    <row r="9" spans="1:25" ht="12.75" customHeight="1">
      <c r="A9" s="131" t="s">
        <v>909</v>
      </c>
      <c r="B9" s="168">
        <v>2</v>
      </c>
      <c r="C9" s="84">
        <f>'SA1'!C34</f>
        <v>27526219.02</v>
      </c>
      <c r="D9" s="84">
        <f>'SA1'!D34</f>
        <v>30990314.419999998</v>
      </c>
      <c r="E9" s="81">
        <f>'SA1'!E34</f>
        <v>33052322.419999994</v>
      </c>
      <c r="F9" s="82">
        <f>'SA1'!F34</f>
        <v>33721657</v>
      </c>
      <c r="G9" s="80">
        <f>'SA1'!G34</f>
        <v>33721657</v>
      </c>
      <c r="H9" s="670">
        <f>'SA1'!H34</f>
        <v>32841903.339999996</v>
      </c>
      <c r="I9" s="79">
        <f>'SA1'!I34</f>
        <v>32841903.339999996</v>
      </c>
      <c r="J9" s="83">
        <f>'SA1'!J34</f>
        <v>35416132</v>
      </c>
      <c r="K9" s="80">
        <f>'SA1'!K34</f>
        <v>37045274.071999997</v>
      </c>
      <c r="L9" s="81">
        <f>'SA1'!L34</f>
        <v>38749356.679311998</v>
      </c>
      <c r="M9" s="72"/>
      <c r="N9" s="73"/>
      <c r="O9" s="73"/>
      <c r="P9" s="73"/>
      <c r="Q9" s="73"/>
      <c r="R9" s="73"/>
      <c r="S9" s="73"/>
      <c r="T9" s="73"/>
      <c r="U9" s="73"/>
      <c r="V9" s="73"/>
      <c r="W9" s="73"/>
      <c r="X9" s="73"/>
      <c r="Y9" s="240"/>
    </row>
    <row r="10" spans="1:25" ht="1.9" customHeight="1">
      <c r="A10" s="131"/>
      <c r="B10" s="167"/>
      <c r="C10" s="900"/>
      <c r="D10" s="900"/>
      <c r="E10" s="901"/>
      <c r="F10" s="902"/>
      <c r="G10" s="900"/>
      <c r="H10" s="901"/>
      <c r="I10" s="903"/>
      <c r="J10" s="904"/>
      <c r="K10" s="900"/>
      <c r="L10" s="901"/>
      <c r="M10" s="72"/>
      <c r="N10" s="73"/>
      <c r="O10" s="73"/>
      <c r="P10" s="73"/>
      <c r="Q10" s="73"/>
      <c r="R10" s="73"/>
      <c r="S10" s="73"/>
      <c r="T10" s="73"/>
      <c r="U10" s="73"/>
      <c r="V10" s="73"/>
      <c r="W10" s="73"/>
      <c r="X10" s="73"/>
      <c r="Y10" s="240"/>
    </row>
    <row r="11" spans="1:25" ht="12.75" customHeight="1">
      <c r="A11" s="131" t="s">
        <v>1411</v>
      </c>
      <c r="B11" s="167"/>
      <c r="C11" s="1951">
        <v>1644365</v>
      </c>
      <c r="D11" s="1951">
        <v>1781895.76</v>
      </c>
      <c r="E11" s="1954">
        <v>2132852.52</v>
      </c>
      <c r="F11" s="1955">
        <v>1972100</v>
      </c>
      <c r="G11" s="1951">
        <v>1972100</v>
      </c>
      <c r="H11" s="1952">
        <v>977592.94</v>
      </c>
      <c r="I11" s="1952">
        <v>977592.94</v>
      </c>
      <c r="J11" s="1951">
        <v>1170100</v>
      </c>
      <c r="K11" s="1951">
        <v>1223924.6000000001</v>
      </c>
      <c r="L11" s="1951">
        <v>1280225.1316</v>
      </c>
      <c r="M11" s="72"/>
      <c r="N11" s="73"/>
      <c r="O11" s="73"/>
      <c r="P11" s="73"/>
      <c r="Q11" s="73"/>
      <c r="R11" s="73"/>
      <c r="S11" s="73"/>
      <c r="T11" s="73"/>
      <c r="U11" s="73"/>
      <c r="V11" s="73"/>
      <c r="W11" s="73"/>
      <c r="X11" s="73"/>
    </row>
    <row r="12" spans="1:25" ht="12.75" customHeight="1">
      <c r="A12" s="127" t="s">
        <v>403</v>
      </c>
      <c r="B12" s="167"/>
      <c r="C12" s="1951">
        <v>8253077</v>
      </c>
      <c r="D12" s="1951">
        <v>4427275</v>
      </c>
      <c r="E12" s="1960">
        <f>9615814.02+23230</f>
        <v>9639044.0199999996</v>
      </c>
      <c r="F12" s="1961">
        <v>4301000</v>
      </c>
      <c r="G12" s="1951">
        <v>4301000</v>
      </c>
      <c r="H12" s="1960">
        <v>4228127.78</v>
      </c>
      <c r="I12" s="1960">
        <v>4228127.78</v>
      </c>
      <c r="J12" s="1955">
        <v>4301000</v>
      </c>
      <c r="K12" s="1951">
        <v>4498846</v>
      </c>
      <c r="L12" s="1960">
        <v>4705792.9160000002</v>
      </c>
      <c r="M12" s="72"/>
      <c r="N12" s="73"/>
      <c r="O12" s="73"/>
      <c r="P12" s="73"/>
      <c r="Q12" s="73"/>
      <c r="R12" s="73"/>
      <c r="S12" s="73"/>
      <c r="T12" s="73"/>
      <c r="U12" s="73"/>
      <c r="V12" s="73"/>
      <c r="W12" s="73"/>
      <c r="X12" s="73"/>
    </row>
    <row r="13" spans="1:25" ht="12.75" customHeight="1">
      <c r="A13" s="127" t="s">
        <v>404</v>
      </c>
      <c r="B13" s="167"/>
      <c r="C13" s="1951">
        <v>15364908</v>
      </c>
      <c r="D13" s="1951">
        <v>18445969</v>
      </c>
      <c r="E13" s="1960">
        <v>17826053.129999999</v>
      </c>
      <c r="F13" s="1962">
        <v>17000000</v>
      </c>
      <c r="G13" s="1951">
        <v>17000000</v>
      </c>
      <c r="H13" s="1960">
        <v>24457325.120000001</v>
      </c>
      <c r="I13" s="1960">
        <v>24457325.120000001</v>
      </c>
      <c r="J13" s="1955">
        <v>23600000</v>
      </c>
      <c r="K13" s="1951">
        <v>24685600</v>
      </c>
      <c r="L13" s="1960">
        <v>25821137.600000001</v>
      </c>
      <c r="M13" s="72"/>
      <c r="N13" s="73"/>
      <c r="O13" s="73"/>
      <c r="P13" s="73"/>
      <c r="Q13" s="73"/>
      <c r="R13" s="73"/>
      <c r="S13" s="73"/>
      <c r="T13" s="73"/>
      <c r="U13" s="73"/>
      <c r="V13" s="73"/>
      <c r="W13" s="73"/>
      <c r="X13" s="73"/>
    </row>
    <row r="14" spans="1:25" ht="12.75" customHeight="1">
      <c r="A14" s="127" t="s">
        <v>1343</v>
      </c>
      <c r="B14" s="167"/>
      <c r="C14" s="1964"/>
      <c r="D14" s="1964"/>
      <c r="E14" s="1965"/>
      <c r="F14" s="1966"/>
      <c r="G14" s="1964">
        <v>0</v>
      </c>
      <c r="H14" s="1965"/>
      <c r="I14" s="1967"/>
      <c r="J14" s="1966"/>
      <c r="K14" s="1964"/>
      <c r="L14" s="1965"/>
      <c r="M14" s="72"/>
      <c r="N14" s="73"/>
      <c r="O14" s="73"/>
      <c r="P14" s="73"/>
      <c r="Q14" s="73"/>
      <c r="R14" s="73"/>
      <c r="S14" s="73"/>
      <c r="T14" s="73"/>
      <c r="U14" s="73"/>
      <c r="V14" s="73"/>
      <c r="W14" s="73"/>
      <c r="X14" s="73"/>
    </row>
    <row r="15" spans="1:25" ht="12.75" customHeight="1">
      <c r="A15" s="127" t="s">
        <v>2358</v>
      </c>
      <c r="B15" s="167"/>
      <c r="C15" s="1964">
        <v>43643261.170000002</v>
      </c>
      <c r="D15" s="1964">
        <v>37986645.890000001</v>
      </c>
      <c r="E15" s="1965">
        <v>32189439.129999999</v>
      </c>
      <c r="F15" s="1966">
        <v>38501136</v>
      </c>
      <c r="G15" s="1964">
        <v>38501136</v>
      </c>
      <c r="H15" s="1965">
        <v>38501136.340000004</v>
      </c>
      <c r="I15" s="1965">
        <v>38501136.340000004</v>
      </c>
      <c r="J15" s="1966">
        <v>38501136</v>
      </c>
      <c r="K15" s="1964">
        <v>40272188.255999997</v>
      </c>
      <c r="L15" s="1965">
        <v>42124708.915775999</v>
      </c>
      <c r="M15" s="72"/>
      <c r="N15" s="73"/>
      <c r="O15" s="73"/>
      <c r="P15" s="73"/>
      <c r="Q15" s="73"/>
      <c r="R15" s="73"/>
      <c r="S15" s="73"/>
      <c r="T15" s="73"/>
      <c r="U15" s="73"/>
      <c r="V15" s="73"/>
      <c r="W15" s="73"/>
      <c r="X15" s="73"/>
    </row>
    <row r="16" spans="1:25" ht="12.75" customHeight="1">
      <c r="A16" s="127" t="s">
        <v>406</v>
      </c>
      <c r="B16" s="167"/>
      <c r="C16" s="1964">
        <v>824244</v>
      </c>
      <c r="D16" s="1964">
        <v>1005866.86</v>
      </c>
      <c r="E16" s="1965">
        <v>1020674.22</v>
      </c>
      <c r="F16" s="1966">
        <v>817000</v>
      </c>
      <c r="G16" s="1964">
        <v>817000</v>
      </c>
      <c r="H16" s="1965">
        <v>1460321.94</v>
      </c>
      <c r="I16" s="1965">
        <v>1460321.94</v>
      </c>
      <c r="J16" s="1966">
        <v>917000</v>
      </c>
      <c r="K16" s="1964">
        <v>959182</v>
      </c>
      <c r="L16" s="1965">
        <v>1003304.372</v>
      </c>
      <c r="M16" s="72"/>
      <c r="N16" s="73"/>
      <c r="O16" s="73"/>
      <c r="P16" s="73"/>
      <c r="Q16" s="73"/>
      <c r="R16" s="73"/>
      <c r="S16" s="73"/>
      <c r="T16" s="73"/>
      <c r="U16" s="73"/>
      <c r="V16" s="73"/>
      <c r="W16" s="73"/>
      <c r="X16" s="73"/>
    </row>
    <row r="17" spans="1:24" ht="12.75" customHeight="1">
      <c r="A17" s="131" t="s">
        <v>1324</v>
      </c>
      <c r="B17" s="168"/>
      <c r="C17" s="1964">
        <v>6304686</v>
      </c>
      <c r="D17" s="1964">
        <v>7988115.7000000002</v>
      </c>
      <c r="E17" s="1965">
        <v>9254073.7599999998</v>
      </c>
      <c r="F17" s="1966">
        <v>53664291</v>
      </c>
      <c r="G17" s="1964">
        <v>53664291</v>
      </c>
      <c r="H17" s="1965">
        <v>59999999.659999996</v>
      </c>
      <c r="I17" s="1965">
        <v>59999999.659999996</v>
      </c>
      <c r="J17" s="1966">
        <v>58664291</v>
      </c>
      <c r="K17" s="1964">
        <v>61362848.386</v>
      </c>
      <c r="L17" s="1965">
        <v>64185539.411756001</v>
      </c>
      <c r="M17" s="72"/>
      <c r="N17" s="73"/>
      <c r="O17" s="73"/>
      <c r="P17" s="73"/>
      <c r="Q17" s="73"/>
      <c r="R17" s="73"/>
      <c r="S17" s="73"/>
      <c r="T17" s="73"/>
      <c r="U17" s="73"/>
      <c r="V17" s="73"/>
      <c r="W17" s="73"/>
      <c r="X17" s="73"/>
    </row>
    <row r="18" spans="1:24" ht="12.75" customHeight="1">
      <c r="A18" s="127" t="s">
        <v>2357</v>
      </c>
      <c r="B18" s="167"/>
      <c r="C18" s="1964">
        <v>438486091</v>
      </c>
      <c r="D18" s="1964">
        <v>398713924</v>
      </c>
      <c r="E18" s="1965">
        <f>432694920.65-E38+2898502</f>
        <v>387199833.64999998</v>
      </c>
      <c r="F18" s="1966">
        <v>416300150</v>
      </c>
      <c r="G18" s="1964">
        <f>422333880.02+298000</f>
        <v>422631880.01999998</v>
      </c>
      <c r="H18" s="1965">
        <v>422333880.01999998</v>
      </c>
      <c r="I18" s="1965">
        <v>422333880.01999998</v>
      </c>
      <c r="J18" s="1966">
        <f>532902000-J38</f>
        <v>443963950</v>
      </c>
      <c r="K18" s="1964">
        <f>567019200-K38</f>
        <v>470189500</v>
      </c>
      <c r="L18" s="1965">
        <f>602001939.2-L38</f>
        <v>499398139.20000005</v>
      </c>
      <c r="M18" s="85"/>
      <c r="N18" s="73"/>
      <c r="O18" s="73"/>
      <c r="P18" s="73"/>
      <c r="Q18" s="73"/>
      <c r="R18" s="73"/>
      <c r="S18" s="73"/>
      <c r="T18" s="73"/>
      <c r="U18" s="73"/>
      <c r="V18" s="73"/>
      <c r="W18" s="73"/>
      <c r="X18" s="73"/>
    </row>
    <row r="19" spans="1:24" ht="12.75" customHeight="1">
      <c r="A19" s="127" t="s">
        <v>1368</v>
      </c>
      <c r="B19" s="167">
        <v>2</v>
      </c>
      <c r="C19" s="84">
        <f>'SA1'!C59</f>
        <v>48388090.850000001</v>
      </c>
      <c r="D19" s="84">
        <f>'SA1'!D59</f>
        <v>46592924.130000003</v>
      </c>
      <c r="E19" s="81">
        <f>'SA1'!E59</f>
        <v>31209428.84</v>
      </c>
      <c r="F19" s="82">
        <f>'SA1'!F59</f>
        <v>13618123</v>
      </c>
      <c r="G19" s="80">
        <f>'SA1'!G59</f>
        <v>13618123</v>
      </c>
      <c r="H19" s="81">
        <f>'SA1'!H59</f>
        <v>22200769.98</v>
      </c>
      <c r="I19" s="81">
        <f>'SA1'!I59</f>
        <v>22200769.98</v>
      </c>
      <c r="J19" s="1823">
        <f>'SA1'!J59</f>
        <v>6472573</v>
      </c>
      <c r="K19" s="80">
        <f>'SA1'!K59</f>
        <v>6770311.358</v>
      </c>
      <c r="L19" s="81">
        <f>'SA1'!L59</f>
        <v>7081745.6804680005</v>
      </c>
      <c r="M19" s="85"/>
      <c r="N19" s="73"/>
      <c r="O19" s="73"/>
      <c r="P19" s="73"/>
      <c r="Q19" s="73"/>
      <c r="R19" s="73"/>
      <c r="S19" s="73"/>
      <c r="T19" s="73"/>
      <c r="U19" s="73"/>
      <c r="V19" s="73"/>
      <c r="W19" s="73"/>
      <c r="X19" s="73"/>
    </row>
    <row r="20" spans="1:24" ht="12.75" customHeight="1">
      <c r="A20" s="2595" t="s">
        <v>2541</v>
      </c>
      <c r="B20" s="167"/>
      <c r="C20" s="1964"/>
      <c r="D20" s="1951"/>
      <c r="E20" s="1960"/>
      <c r="F20" s="1961"/>
      <c r="G20" s="1951"/>
      <c r="H20" s="1960"/>
      <c r="I20" s="1960"/>
      <c r="J20" s="1953"/>
      <c r="K20" s="1951"/>
      <c r="L20" s="1960"/>
      <c r="M20" s="85"/>
      <c r="N20" s="73"/>
      <c r="O20" s="73"/>
      <c r="P20" s="73"/>
      <c r="Q20" s="73"/>
      <c r="R20" s="73"/>
      <c r="S20" s="73"/>
      <c r="T20" s="73"/>
      <c r="U20" s="73"/>
      <c r="V20" s="73"/>
      <c r="W20" s="73"/>
      <c r="X20" s="73"/>
    </row>
    <row r="21" spans="1:24" ht="24" customHeight="1">
      <c r="A21" s="1198" t="s">
        <v>910</v>
      </c>
      <c r="B21" s="1199"/>
      <c r="C21" s="1200">
        <f>SUM(C5:C9)+SUM(C11:C20)</f>
        <v>1097209539.6799998</v>
      </c>
      <c r="D21" s="1200">
        <f t="shared" ref="D21:L21" si="0">SUM(D5:D9)+SUM(D11:D20)</f>
        <v>1107449342.5699999</v>
      </c>
      <c r="E21" s="1201">
        <f t="shared" si="0"/>
        <v>1092570793.5199997</v>
      </c>
      <c r="F21" s="1202">
        <f t="shared" si="0"/>
        <v>1269626457</v>
      </c>
      <c r="G21" s="1200">
        <f t="shared" si="0"/>
        <v>1268958187.02</v>
      </c>
      <c r="H21" s="1201">
        <f t="shared" si="0"/>
        <v>1304253509.8400002</v>
      </c>
      <c r="I21" s="1202">
        <f t="shared" si="0"/>
        <v>1304253509.8400002</v>
      </c>
      <c r="J21" s="1203">
        <f t="shared" si="0"/>
        <v>1316707182</v>
      </c>
      <c r="K21" s="1200">
        <f t="shared" si="0"/>
        <v>1383094920.6719999</v>
      </c>
      <c r="L21" s="1201">
        <f t="shared" si="0"/>
        <v>1454313977.2229118</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000000000000004" customHeight="1">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c r="A23" s="126" t="s">
        <v>1446</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c r="A24" s="131" t="s">
        <v>408</v>
      </c>
      <c r="B24" s="168">
        <v>2</v>
      </c>
      <c r="C24" s="80">
        <f>'SA1'!C77</f>
        <v>270103603.63</v>
      </c>
      <c r="D24" s="84">
        <f>'SA1'!D77</f>
        <v>285057089</v>
      </c>
      <c r="E24" s="81">
        <f>'SA1'!E77</f>
        <v>299024089.00000006</v>
      </c>
      <c r="F24" s="82">
        <f>'SA1'!F77</f>
        <v>357557390.95999998</v>
      </c>
      <c r="G24" s="80">
        <f>'SA1'!G77</f>
        <v>331772419.35000002</v>
      </c>
      <c r="H24" s="81">
        <f>'SA1'!H77</f>
        <v>320443359.73999995</v>
      </c>
      <c r="I24" s="79">
        <f>'SA1'!I77</f>
        <v>320443359.73999995</v>
      </c>
      <c r="J24" s="83">
        <f>'SA1'!J77</f>
        <v>345564118.13</v>
      </c>
      <c r="K24" s="80">
        <f>'SA1'!K77</f>
        <v>361695582.96597999</v>
      </c>
      <c r="L24" s="81">
        <f>'SA1'!L77</f>
        <v>378592648.01775521</v>
      </c>
      <c r="M24" s="72"/>
      <c r="N24" s="73"/>
      <c r="O24" s="73"/>
      <c r="P24" s="73"/>
      <c r="Q24" s="73"/>
      <c r="R24" s="73"/>
      <c r="S24" s="73"/>
      <c r="T24" s="73"/>
      <c r="U24" s="73"/>
      <c r="V24" s="73"/>
      <c r="W24" s="73"/>
      <c r="X24" s="73"/>
    </row>
    <row r="25" spans="1:24" ht="11.25" customHeight="1">
      <c r="A25" s="131" t="s">
        <v>459</v>
      </c>
      <c r="B25" s="168"/>
      <c r="C25" s="1951">
        <v>23265242</v>
      </c>
      <c r="D25" s="1951">
        <v>25387968</v>
      </c>
      <c r="E25" s="1960">
        <f>26136302+914224</f>
        <v>27050526</v>
      </c>
      <c r="F25" s="1961">
        <v>28967131</v>
      </c>
      <c r="G25" s="1951">
        <v>28967131</v>
      </c>
      <c r="H25" s="1960">
        <f>28125131.32+701000</f>
        <v>28826131.32</v>
      </c>
      <c r="I25" s="1960">
        <f>28125131.32+701000</f>
        <v>28826131.32</v>
      </c>
      <c r="J25" s="1953">
        <f>28360883+674100</f>
        <v>29034983</v>
      </c>
      <c r="K25" s="1951">
        <f>29665483.618+741510</f>
        <v>30406993.618000001</v>
      </c>
      <c r="L25" s="1960">
        <f>31030095.864428+815661</f>
        <v>31845756.864427999</v>
      </c>
      <c r="M25" s="72"/>
      <c r="N25" s="73"/>
      <c r="O25" s="73"/>
      <c r="P25" s="73"/>
      <c r="Q25" s="73"/>
      <c r="R25" s="73"/>
      <c r="S25" s="73"/>
      <c r="T25" s="73"/>
      <c r="U25" s="73"/>
      <c r="V25" s="73"/>
      <c r="W25" s="73"/>
      <c r="X25" s="73"/>
    </row>
    <row r="26" spans="1:24" ht="11.25" customHeight="1">
      <c r="A26" s="131" t="s">
        <v>1289</v>
      </c>
      <c r="B26" s="168">
        <v>3</v>
      </c>
      <c r="C26" s="1951">
        <v>58399128</v>
      </c>
      <c r="D26" s="1951">
        <v>116939752</v>
      </c>
      <c r="E26" s="1960">
        <v>123718681.86000001</v>
      </c>
      <c r="F26" s="1961">
        <v>72600000</v>
      </c>
      <c r="G26" s="1951">
        <v>53057400</v>
      </c>
      <c r="H26" s="1960">
        <v>60000000</v>
      </c>
      <c r="I26" s="1960">
        <v>60000000</v>
      </c>
      <c r="J26" s="1953">
        <v>70035699</v>
      </c>
      <c r="K26" s="1951">
        <v>73257341.153999999</v>
      </c>
      <c r="L26" s="1960">
        <v>76627178.847084001</v>
      </c>
      <c r="M26" s="72"/>
      <c r="N26" s="73"/>
      <c r="O26" s="73"/>
      <c r="P26" s="73"/>
      <c r="Q26" s="73"/>
      <c r="R26" s="73"/>
      <c r="S26" s="73"/>
      <c r="T26" s="73"/>
      <c r="U26" s="73"/>
      <c r="V26" s="73"/>
      <c r="W26" s="73"/>
      <c r="X26" s="73"/>
    </row>
    <row r="27" spans="1:24" ht="11.25" customHeight="1">
      <c r="A27" s="131" t="s">
        <v>1313</v>
      </c>
      <c r="B27" s="168">
        <v>2</v>
      </c>
      <c r="C27" s="80">
        <f>'SA1'!C93</f>
        <v>130212939.95999999</v>
      </c>
      <c r="D27" s="84">
        <f>'SA1'!D93</f>
        <v>129496184</v>
      </c>
      <c r="E27" s="81">
        <f>'SA1'!E93</f>
        <v>127793108.62</v>
      </c>
      <c r="F27" s="82">
        <f>'SA1'!F93</f>
        <v>134196513</v>
      </c>
      <c r="G27" s="80">
        <f>'SA1'!G93</f>
        <v>130083000</v>
      </c>
      <c r="H27" s="81">
        <f>'SA1'!H93</f>
        <v>130000000</v>
      </c>
      <c r="I27" s="79">
        <f>'SA1'!I93</f>
        <v>130000000</v>
      </c>
      <c r="J27" s="83">
        <f>'SA1'!J93</f>
        <v>132970807</v>
      </c>
      <c r="K27" s="80">
        <f>'SA1'!K93</f>
        <v>130548742</v>
      </c>
      <c r="L27" s="81">
        <f>'SA1'!L93</f>
        <v>136675522.81999999</v>
      </c>
      <c r="M27" s="85"/>
      <c r="N27" s="86"/>
      <c r="O27" s="86"/>
      <c r="P27" s="86"/>
      <c r="Q27" s="86"/>
      <c r="R27" s="86"/>
      <c r="S27" s="86"/>
      <c r="T27" s="86"/>
      <c r="U27" s="86"/>
      <c r="V27" s="86"/>
      <c r="W27" s="86"/>
      <c r="X27" s="86"/>
    </row>
    <row r="28" spans="1:24" ht="11.25" customHeight="1">
      <c r="A28" s="131" t="s">
        <v>1367</v>
      </c>
      <c r="B28" s="168"/>
      <c r="C28" s="1951">
        <v>12933180</v>
      </c>
      <c r="D28" s="1951">
        <v>11013611</v>
      </c>
      <c r="E28" s="1960">
        <v>11973760</v>
      </c>
      <c r="F28" s="1961">
        <f>14658314+15000000</f>
        <v>29658314</v>
      </c>
      <c r="G28" s="1951">
        <v>14658314</v>
      </c>
      <c r="H28" s="1960">
        <v>14784369.560000001</v>
      </c>
      <c r="I28" s="1960">
        <v>14784369.560000001</v>
      </c>
      <c r="J28" s="1953">
        <f>15724284+4524</f>
        <v>15728808</v>
      </c>
      <c r="K28" s="1951">
        <f>14905971+4976</f>
        <v>14910947</v>
      </c>
      <c r="L28" s="1960">
        <f>13921267+5474</f>
        <v>13926741</v>
      </c>
      <c r="M28" s="72"/>
      <c r="N28" s="73"/>
      <c r="O28" s="73"/>
      <c r="P28" s="73"/>
      <c r="Q28" s="73"/>
      <c r="R28" s="73"/>
      <c r="S28" s="73"/>
      <c r="T28" s="73"/>
      <c r="U28" s="73"/>
      <c r="V28" s="73"/>
      <c r="W28" s="73"/>
      <c r="X28" s="73"/>
    </row>
    <row r="29" spans="1:24" ht="11.25" customHeight="1">
      <c r="A29" s="131" t="s">
        <v>410</v>
      </c>
      <c r="B29" s="168">
        <v>2</v>
      </c>
      <c r="C29" s="80">
        <f>'SA1'!C98</f>
        <v>321519584</v>
      </c>
      <c r="D29" s="84">
        <f>'SA1'!D98</f>
        <v>325455992</v>
      </c>
      <c r="E29" s="81">
        <f>'SA1'!E98</f>
        <v>348443869.84000003</v>
      </c>
      <c r="F29" s="82">
        <f>'SA1'!F98</f>
        <v>403000000</v>
      </c>
      <c r="G29" s="80">
        <f>'SA1'!G98</f>
        <v>403000000</v>
      </c>
      <c r="H29" s="81">
        <f>'SA1'!H98</f>
        <v>412754258.24000001</v>
      </c>
      <c r="I29" s="79">
        <f>'SA1'!I98</f>
        <v>412754258.24000001</v>
      </c>
      <c r="J29" s="83">
        <f>'SA1'!J98</f>
        <v>406187500</v>
      </c>
      <c r="K29" s="80">
        <f>'SA1'!K98</f>
        <v>428860000</v>
      </c>
      <c r="L29" s="81">
        <f>'SA1'!L98</f>
        <v>448587560</v>
      </c>
      <c r="M29" s="72"/>
      <c r="N29" s="73"/>
      <c r="O29" s="73"/>
      <c r="P29" s="73"/>
      <c r="Q29" s="73"/>
      <c r="R29" s="73"/>
      <c r="S29" s="73"/>
      <c r="T29" s="73"/>
      <c r="U29" s="73"/>
      <c r="V29" s="73"/>
      <c r="W29" s="73"/>
      <c r="X29" s="73"/>
    </row>
    <row r="30" spans="1:24" ht="11.25" customHeight="1">
      <c r="A30" s="131" t="s">
        <v>1342</v>
      </c>
      <c r="B30" s="168">
        <v>8</v>
      </c>
      <c r="C30" s="1964">
        <v>35242644</v>
      </c>
      <c r="D30" s="1964">
        <v>45099394</v>
      </c>
      <c r="E30" s="1967">
        <v>42157927.829999998</v>
      </c>
      <c r="F30" s="1968">
        <f>71608248.81+1744000</f>
        <v>73352248.810000002</v>
      </c>
      <c r="G30" s="1964">
        <f>57043321.81+889000</f>
        <v>57932321.810000002</v>
      </c>
      <c r="H30" s="1967">
        <v>50143262.779999986</v>
      </c>
      <c r="I30" s="1967">
        <v>50143262.779999986</v>
      </c>
      <c r="J30" s="1970">
        <f>56235584.88+5500+1080000</f>
        <v>57321084.880000003</v>
      </c>
      <c r="K30" s="1964">
        <f>58822421.78448+6050</f>
        <v>58828471.784479998</v>
      </c>
      <c r="L30" s="1967">
        <f>61528253.1865661+6655</f>
        <v>61534908.1865661</v>
      </c>
      <c r="M30" s="72"/>
      <c r="N30" s="73"/>
      <c r="O30" s="73"/>
      <c r="P30" s="73"/>
      <c r="Q30" s="73"/>
      <c r="R30" s="73"/>
      <c r="S30" s="73"/>
      <c r="T30" s="73"/>
      <c r="U30" s="73"/>
      <c r="V30" s="73"/>
      <c r="W30" s="73"/>
      <c r="X30" s="73"/>
    </row>
    <row r="31" spans="1:24" ht="11.25" customHeight="1">
      <c r="A31" s="131" t="s">
        <v>411</v>
      </c>
      <c r="B31" s="168"/>
      <c r="C31" s="80">
        <f>'SA1'!C149</f>
        <v>46904300.74000001</v>
      </c>
      <c r="D31" s="84">
        <f>'SA1'!D149</f>
        <v>48050546.690000005</v>
      </c>
      <c r="E31" s="81">
        <f>'SA1'!E149</f>
        <v>51435441.810000002</v>
      </c>
      <c r="F31" s="82">
        <f>'SA1'!F149</f>
        <v>74239882</v>
      </c>
      <c r="G31" s="80">
        <f>'SA1'!G149</f>
        <v>70233519</v>
      </c>
      <c r="H31" s="81">
        <f>'SA1'!H149</f>
        <v>76592178.760000005</v>
      </c>
      <c r="I31" s="79">
        <f>'SA1'!I149</f>
        <v>76592178.760000005</v>
      </c>
      <c r="J31" s="83">
        <f>'SA1'!J149</f>
        <v>71525209</v>
      </c>
      <c r="K31" s="80">
        <f>'SA1'!K149</f>
        <v>73817688.445999995</v>
      </c>
      <c r="L31" s="81">
        <f>'SA1'!L149</f>
        <v>77266452.820516005</v>
      </c>
      <c r="M31" s="72"/>
      <c r="N31" s="73"/>
      <c r="O31" s="73"/>
      <c r="P31" s="73"/>
      <c r="Q31" s="73"/>
      <c r="R31" s="73"/>
      <c r="S31" s="73"/>
      <c r="T31" s="73"/>
      <c r="U31" s="73"/>
      <c r="V31" s="73"/>
      <c r="W31" s="73"/>
      <c r="X31" s="73"/>
    </row>
    <row r="32" spans="1:24" ht="11.25" customHeight="1">
      <c r="A32" s="127" t="s">
        <v>2357</v>
      </c>
      <c r="B32" s="168"/>
      <c r="C32" s="900">
        <f>'SA1'!C103</f>
        <v>123608708.13</v>
      </c>
      <c r="D32" s="900">
        <f>'SA1'!D103</f>
        <v>113263619.28</v>
      </c>
      <c r="E32" s="901">
        <f>'SA1'!E103</f>
        <v>50297362.430000007</v>
      </c>
      <c r="F32" s="902">
        <f>'SA1'!F103</f>
        <v>36021812</v>
      </c>
      <c r="G32" s="900">
        <f>'SA1'!G103</f>
        <v>39961030.020000003</v>
      </c>
      <c r="H32" s="901">
        <f>'SA1'!H103</f>
        <v>33763216.920000002</v>
      </c>
      <c r="I32" s="903">
        <f>'SA1'!I103</f>
        <v>33763216.920000002</v>
      </c>
      <c r="J32" s="904">
        <f>'SA1'!J103</f>
        <v>30919000</v>
      </c>
      <c r="K32" s="900">
        <f>'SA1'!K103</f>
        <v>24197110</v>
      </c>
      <c r="L32" s="901">
        <f>'SA1'!L103</f>
        <v>24523577.060000002</v>
      </c>
      <c r="M32" s="72"/>
      <c r="N32" s="73"/>
      <c r="O32" s="73"/>
      <c r="P32" s="73"/>
      <c r="Q32" s="73"/>
      <c r="R32" s="73"/>
      <c r="S32" s="73"/>
      <c r="T32" s="73"/>
      <c r="U32" s="73"/>
      <c r="V32" s="73"/>
      <c r="W32" s="73"/>
      <c r="X32" s="73"/>
    </row>
    <row r="33" spans="1:24" ht="11.25" customHeight="1">
      <c r="A33" s="131" t="s">
        <v>829</v>
      </c>
      <c r="B33" s="168" t="s">
        <v>555</v>
      </c>
      <c r="C33" s="80">
        <f>'SA1'!C212</f>
        <v>95806712.060000002</v>
      </c>
      <c r="D33" s="84">
        <f>'SA1'!D212</f>
        <v>96966203.570000008</v>
      </c>
      <c r="E33" s="81">
        <f>'SA1'!E212</f>
        <v>124732255.66999999</v>
      </c>
      <c r="F33" s="82">
        <f>'SA1'!F212</f>
        <v>119592687.48999999</v>
      </c>
      <c r="G33" s="80">
        <f>'SA1'!G212</f>
        <v>118999882.23999999</v>
      </c>
      <c r="H33" s="81">
        <f>'SA1'!H212</f>
        <v>147858194.99000004</v>
      </c>
      <c r="I33" s="79">
        <f>'SA1'!I212</f>
        <v>147858194.99000004</v>
      </c>
      <c r="J33" s="83">
        <f>'SA1'!J212</f>
        <v>128067831.06</v>
      </c>
      <c r="K33" s="80">
        <f>'SA1'!K212</f>
        <v>133699489.31199998</v>
      </c>
      <c r="L33" s="81">
        <f>'SA1'!L212</f>
        <v>139486986.329052</v>
      </c>
      <c r="M33" s="72"/>
      <c r="N33" s="73"/>
      <c r="O33" s="73"/>
      <c r="P33" s="73"/>
      <c r="Q33" s="73"/>
      <c r="R33" s="73"/>
      <c r="S33" s="73"/>
      <c r="T33" s="73"/>
      <c r="U33" s="73"/>
      <c r="V33" s="73"/>
      <c r="W33" s="73"/>
      <c r="X33" s="73"/>
    </row>
    <row r="34" spans="1:24" ht="11.25" customHeight="1">
      <c r="A34" s="2595" t="s">
        <v>2542</v>
      </c>
      <c r="B34" s="167"/>
      <c r="C34" s="1964">
        <v>380509</v>
      </c>
      <c r="D34" s="1964">
        <f>25924360.68+198</f>
        <v>25924558.68</v>
      </c>
      <c r="E34" s="1960">
        <v>2201607</v>
      </c>
      <c r="F34" s="1968"/>
      <c r="G34" s="1964"/>
      <c r="H34" s="1960"/>
      <c r="I34" s="1962"/>
      <c r="J34" s="1970"/>
      <c r="K34" s="1964"/>
      <c r="L34" s="1967"/>
      <c r="M34" s="72"/>
      <c r="N34" s="73"/>
      <c r="O34" s="73"/>
      <c r="P34" s="73"/>
      <c r="Q34" s="73"/>
      <c r="R34" s="73"/>
      <c r="S34" s="73"/>
      <c r="T34" s="73"/>
      <c r="U34" s="73"/>
      <c r="V34" s="73"/>
      <c r="W34" s="73"/>
      <c r="X34" s="73"/>
    </row>
    <row r="35" spans="1:24" ht="11.25" customHeight="1">
      <c r="A35" s="1204" t="s">
        <v>1447</v>
      </c>
      <c r="B35" s="1199"/>
      <c r="C35" s="1200">
        <f t="shared" ref="C35:L35" si="2">SUM(C24:C34)</f>
        <v>1118376551.52</v>
      </c>
      <c r="D35" s="1200">
        <f>SUM(D24:D34)</f>
        <v>1222654918.22</v>
      </c>
      <c r="E35" s="1201">
        <f t="shared" si="2"/>
        <v>1208828630.0600002</v>
      </c>
      <c r="F35" s="1202">
        <f t="shared" si="2"/>
        <v>1329185979.26</v>
      </c>
      <c r="G35" s="1200">
        <f t="shared" si="2"/>
        <v>1248665017.4200001</v>
      </c>
      <c r="H35" s="1201">
        <f t="shared" si="2"/>
        <v>1275164972.3099999</v>
      </c>
      <c r="I35" s="1202">
        <f t="shared" si="2"/>
        <v>1275164972.3099999</v>
      </c>
      <c r="J35" s="1203">
        <f t="shared" si="2"/>
        <v>1287355040.0699999</v>
      </c>
      <c r="K35" s="1200">
        <f t="shared" si="2"/>
        <v>1330222366.2804601</v>
      </c>
      <c r="L35" s="1201">
        <f t="shared" si="2"/>
        <v>1389067331.9454014</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9000000000000004" customHeight="1">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c r="A37" s="140" t="s">
        <v>1494</v>
      </c>
      <c r="B37" s="167"/>
      <c r="C37" s="95">
        <f t="shared" ref="C37:L37" si="4">C21-C35</f>
        <v>-21167011.840000153</v>
      </c>
      <c r="D37" s="95">
        <f t="shared" si="4"/>
        <v>-115205575.6500001</v>
      </c>
      <c r="E37" s="96">
        <f t="shared" si="4"/>
        <v>-116257836.54000044</v>
      </c>
      <c r="F37" s="97">
        <f t="shared" si="4"/>
        <v>-59559522.25999999</v>
      </c>
      <c r="G37" s="95">
        <f t="shared" si="4"/>
        <v>20293169.599999905</v>
      </c>
      <c r="H37" s="96">
        <f t="shared" si="4"/>
        <v>29088537.53000021</v>
      </c>
      <c r="I37" s="97">
        <f t="shared" si="4"/>
        <v>29088537.53000021</v>
      </c>
      <c r="J37" s="98">
        <f t="shared" si="4"/>
        <v>29352141.930000067</v>
      </c>
      <c r="K37" s="95">
        <f t="shared" si="4"/>
        <v>52872554.391539812</v>
      </c>
      <c r="L37" s="96">
        <f t="shared" si="4"/>
        <v>65246645.277510405</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9" customHeight="1">
      <c r="A38" s="177" t="s">
        <v>2361</v>
      </c>
      <c r="B38" s="167"/>
      <c r="C38" s="1951">
        <v>35069166.280000001</v>
      </c>
      <c r="D38" s="1951">
        <v>29978195</v>
      </c>
      <c r="E38" s="1960">
        <v>48393589</v>
      </c>
      <c r="F38" s="1961">
        <v>89549850</v>
      </c>
      <c r="G38" s="1951">
        <v>89549850</v>
      </c>
      <c r="H38" s="1960">
        <v>89549850</v>
      </c>
      <c r="I38" s="1960">
        <v>89549850</v>
      </c>
      <c r="J38" s="1953">
        <v>88938050</v>
      </c>
      <c r="K38" s="1951">
        <v>96829700</v>
      </c>
      <c r="L38" s="1960">
        <v>102603800</v>
      </c>
      <c r="M38" s="72"/>
      <c r="N38" s="73"/>
      <c r="O38" s="73"/>
      <c r="P38" s="73"/>
      <c r="Q38" s="73"/>
      <c r="R38" s="73"/>
      <c r="S38" s="73"/>
      <c r="T38" s="73"/>
      <c r="U38" s="73"/>
      <c r="V38" s="73"/>
      <c r="W38" s="73"/>
      <c r="X38" s="73"/>
    </row>
    <row r="39" spans="1:24" ht="76.5" customHeight="1">
      <c r="A39" s="177" t="s">
        <v>2360</v>
      </c>
      <c r="B39" s="167">
        <v>6</v>
      </c>
      <c r="C39" s="80">
        <f>'SA1'!C86</f>
        <v>0</v>
      </c>
      <c r="D39" s="84">
        <f>'SA1'!D86</f>
        <v>49272</v>
      </c>
      <c r="E39" s="81">
        <f>'SA1'!E86</f>
        <v>0</v>
      </c>
      <c r="F39" s="82">
        <f>'SA1'!F86</f>
        <v>0</v>
      </c>
      <c r="G39" s="80">
        <f>'SA1'!G86</f>
        <v>10000000</v>
      </c>
      <c r="H39" s="81">
        <f>'SA1'!H86</f>
        <v>10000000</v>
      </c>
      <c r="I39" s="79">
        <f>'SA1'!I86</f>
        <v>10000000</v>
      </c>
      <c r="J39" s="83">
        <f>'SA1'!J86</f>
        <v>0</v>
      </c>
      <c r="K39" s="80">
        <f>'SA1'!K86</f>
        <v>0</v>
      </c>
      <c r="L39" s="81">
        <f>'SA1'!L86</f>
        <v>0</v>
      </c>
      <c r="M39" s="72"/>
      <c r="N39" s="73"/>
      <c r="O39" s="73"/>
      <c r="P39" s="73"/>
      <c r="Q39" s="73"/>
      <c r="R39" s="73"/>
      <c r="S39" s="73"/>
      <c r="T39" s="73"/>
      <c r="U39" s="73"/>
      <c r="V39" s="73"/>
      <c r="W39" s="73"/>
      <c r="X39" s="73"/>
    </row>
    <row r="40" spans="1:24" ht="22.5" customHeight="1">
      <c r="A40" s="127" t="s">
        <v>2359</v>
      </c>
      <c r="B40" s="167"/>
      <c r="C40" s="1964"/>
      <c r="D40" s="1951"/>
      <c r="E40" s="1960"/>
      <c r="F40" s="1971"/>
      <c r="G40" s="1972"/>
      <c r="H40" s="1973"/>
      <c r="I40" s="1962"/>
      <c r="J40" s="1974"/>
      <c r="K40" s="1972"/>
      <c r="L40" s="1973"/>
      <c r="M40" s="72"/>
      <c r="N40" s="73"/>
      <c r="O40" s="73"/>
      <c r="P40" s="73"/>
      <c r="Q40" s="73"/>
      <c r="R40" s="73"/>
      <c r="S40" s="73"/>
      <c r="T40" s="73"/>
      <c r="U40" s="73"/>
      <c r="V40" s="73"/>
      <c r="W40" s="73"/>
      <c r="X40" s="73"/>
    </row>
    <row r="41" spans="1:24" ht="25.5">
      <c r="A41" s="170" t="s">
        <v>374</v>
      </c>
      <c r="B41" s="167"/>
      <c r="C41" s="171">
        <f t="shared" ref="C41:L41" si="6">SUM(C37:C40)</f>
        <v>13902154.439999849</v>
      </c>
      <c r="D41" s="171">
        <f t="shared" si="6"/>
        <v>-85178108.650000095</v>
      </c>
      <c r="E41" s="173">
        <f t="shared" si="6"/>
        <v>-67864247.540000439</v>
      </c>
      <c r="F41" s="174">
        <f t="shared" si="6"/>
        <v>29990327.74000001</v>
      </c>
      <c r="G41" s="171">
        <f t="shared" si="6"/>
        <v>119843019.5999999</v>
      </c>
      <c r="H41" s="173">
        <f t="shared" si="6"/>
        <v>128638387.53000021</v>
      </c>
      <c r="I41" s="174">
        <f t="shared" si="6"/>
        <v>128638387.53000021</v>
      </c>
      <c r="J41" s="175">
        <f t="shared" si="6"/>
        <v>118290191.93000007</v>
      </c>
      <c r="K41" s="171">
        <f t="shared" si="6"/>
        <v>149702254.39153981</v>
      </c>
      <c r="L41" s="173">
        <f t="shared" si="6"/>
        <v>167850445.2775104</v>
      </c>
      <c r="M41" s="72"/>
      <c r="N41" s="73"/>
      <c r="O41" s="73"/>
      <c r="P41" s="73"/>
      <c r="Q41" s="73"/>
      <c r="R41" s="73"/>
      <c r="S41" s="73"/>
      <c r="T41" s="73"/>
      <c r="U41" s="73"/>
      <c r="V41" s="73"/>
      <c r="W41" s="73"/>
      <c r="X41" s="73"/>
    </row>
    <row r="42" spans="1:24" ht="11.25" customHeight="1">
      <c r="A42" s="127" t="s">
        <v>914</v>
      </c>
      <c r="B42" s="167"/>
      <c r="C42" s="1964"/>
      <c r="D42" s="1964"/>
      <c r="E42" s="1967"/>
      <c r="F42" s="1968"/>
      <c r="G42" s="1964"/>
      <c r="H42" s="1967"/>
      <c r="I42" s="1968"/>
      <c r="J42" s="1970"/>
      <c r="K42" s="1964"/>
      <c r="L42" s="1967"/>
      <c r="M42" s="72"/>
      <c r="N42" s="73"/>
      <c r="O42" s="73"/>
      <c r="P42" s="73"/>
      <c r="Q42" s="73"/>
      <c r="R42" s="73"/>
      <c r="S42" s="73"/>
      <c r="T42" s="73"/>
      <c r="U42" s="73"/>
      <c r="V42" s="73"/>
      <c r="W42" s="73"/>
      <c r="X42" s="73"/>
    </row>
    <row r="43" spans="1:24" ht="11.25" customHeight="1">
      <c r="A43" s="176" t="s">
        <v>915</v>
      </c>
      <c r="B43" s="167"/>
      <c r="C43" s="90">
        <f t="shared" ref="C43:L43" si="7">C41-C42</f>
        <v>13902154.439999849</v>
      </c>
      <c r="D43" s="90">
        <f t="shared" si="7"/>
        <v>-85178108.650000095</v>
      </c>
      <c r="E43" s="91">
        <f t="shared" si="7"/>
        <v>-67864247.540000439</v>
      </c>
      <c r="F43" s="92">
        <f t="shared" si="7"/>
        <v>29990327.74000001</v>
      </c>
      <c r="G43" s="90">
        <f t="shared" si="7"/>
        <v>119843019.5999999</v>
      </c>
      <c r="H43" s="91">
        <f t="shared" si="7"/>
        <v>128638387.53000021</v>
      </c>
      <c r="I43" s="92">
        <f t="shared" si="7"/>
        <v>128638387.53000021</v>
      </c>
      <c r="J43" s="93">
        <f t="shared" si="7"/>
        <v>118290191.93000007</v>
      </c>
      <c r="K43" s="90">
        <f t="shared" si="7"/>
        <v>149702254.39153981</v>
      </c>
      <c r="L43" s="91">
        <f t="shared" si="7"/>
        <v>167850445.2775104</v>
      </c>
      <c r="M43" s="72"/>
      <c r="N43" s="73"/>
      <c r="O43" s="73"/>
      <c r="P43" s="73"/>
      <c r="Q43" s="73"/>
      <c r="R43" s="73"/>
      <c r="S43" s="73"/>
      <c r="T43" s="73"/>
      <c r="U43" s="73"/>
      <c r="V43" s="73"/>
      <c r="W43" s="73"/>
      <c r="X43" s="73"/>
    </row>
    <row r="44" spans="1:24" ht="11.25" customHeight="1">
      <c r="A44" s="127" t="s">
        <v>977</v>
      </c>
      <c r="B44" s="167"/>
      <c r="C44" s="1964"/>
      <c r="D44" s="1964"/>
      <c r="E44" s="1967"/>
      <c r="F44" s="1968"/>
      <c r="G44" s="1964"/>
      <c r="H44" s="1967"/>
      <c r="I44" s="1968"/>
      <c r="J44" s="1970"/>
      <c r="K44" s="1964"/>
      <c r="L44" s="1967"/>
      <c r="M44" s="72"/>
      <c r="N44" s="73"/>
      <c r="O44" s="73"/>
      <c r="P44" s="73"/>
      <c r="Q44" s="73"/>
      <c r="R44" s="73"/>
      <c r="S44" s="73"/>
      <c r="T44" s="73"/>
      <c r="U44" s="73"/>
      <c r="V44" s="73"/>
      <c r="W44" s="73"/>
      <c r="X44" s="73"/>
    </row>
    <row r="45" spans="1:24">
      <c r="A45" s="176" t="s">
        <v>163</v>
      </c>
      <c r="B45" s="167"/>
      <c r="C45" s="171">
        <f t="shared" ref="C45:L45" si="8">SUM(C43:C44)</f>
        <v>13902154.439999849</v>
      </c>
      <c r="D45" s="171">
        <f t="shared" si="8"/>
        <v>-85178108.650000095</v>
      </c>
      <c r="E45" s="173">
        <f t="shared" si="8"/>
        <v>-67864247.540000439</v>
      </c>
      <c r="F45" s="174">
        <f t="shared" si="8"/>
        <v>29990327.74000001</v>
      </c>
      <c r="G45" s="171">
        <f t="shared" si="8"/>
        <v>119843019.5999999</v>
      </c>
      <c r="H45" s="173">
        <f t="shared" si="8"/>
        <v>128638387.53000021</v>
      </c>
      <c r="I45" s="174">
        <f t="shared" si="8"/>
        <v>128638387.53000021</v>
      </c>
      <c r="J45" s="175">
        <f t="shared" si="8"/>
        <v>118290191.93000007</v>
      </c>
      <c r="K45" s="171">
        <f t="shared" si="8"/>
        <v>149702254.39153981</v>
      </c>
      <c r="L45" s="173">
        <f t="shared" si="8"/>
        <v>167850445.2775104</v>
      </c>
      <c r="M45" s="72"/>
      <c r="N45" s="73"/>
      <c r="O45" s="73"/>
      <c r="P45" s="73"/>
      <c r="Q45" s="73"/>
      <c r="R45" s="73"/>
      <c r="S45" s="73"/>
      <c r="T45" s="73"/>
      <c r="U45" s="73"/>
      <c r="V45" s="73"/>
      <c r="W45" s="73"/>
      <c r="X45" s="73"/>
    </row>
    <row r="46" spans="1:24">
      <c r="A46" s="177" t="s">
        <v>391</v>
      </c>
      <c r="B46" s="167">
        <v>7</v>
      </c>
      <c r="C46" s="1964"/>
      <c r="D46" s="1964"/>
      <c r="E46" s="1967"/>
      <c r="F46" s="1961"/>
      <c r="G46" s="1951"/>
      <c r="H46" s="1960"/>
      <c r="I46" s="1961"/>
      <c r="J46" s="1953"/>
      <c r="K46" s="1951"/>
      <c r="L46" s="1960"/>
      <c r="M46" s="72"/>
      <c r="N46" s="73"/>
      <c r="O46" s="73"/>
      <c r="P46" s="73"/>
      <c r="Q46" s="73"/>
      <c r="R46" s="73"/>
      <c r="S46" s="73"/>
      <c r="T46" s="73"/>
      <c r="U46" s="73"/>
      <c r="V46" s="73"/>
      <c r="W46" s="73"/>
      <c r="X46" s="73"/>
    </row>
    <row r="47" spans="1:24" ht="13.5" thickBot="1">
      <c r="A47" s="178" t="str">
        <f>result</f>
        <v>Surplus/(Deficit) for the year</v>
      </c>
      <c r="B47" s="179"/>
      <c r="C47" s="104">
        <f t="shared" ref="C47:L47" si="9">SUM(C45:C46)</f>
        <v>13902154.439999849</v>
      </c>
      <c r="D47" s="107">
        <f t="shared" si="9"/>
        <v>-85178108.650000095</v>
      </c>
      <c r="E47" s="225">
        <f t="shared" si="9"/>
        <v>-67864247.540000439</v>
      </c>
      <c r="F47" s="226">
        <f t="shared" si="9"/>
        <v>29990327.74000001</v>
      </c>
      <c r="G47" s="107">
        <f t="shared" si="9"/>
        <v>119843019.5999999</v>
      </c>
      <c r="H47" s="105">
        <f t="shared" si="9"/>
        <v>128638387.53000021</v>
      </c>
      <c r="I47" s="106">
        <f t="shared" si="9"/>
        <v>128638387.53000021</v>
      </c>
      <c r="J47" s="109">
        <f t="shared" si="9"/>
        <v>118290191.93000007</v>
      </c>
      <c r="K47" s="107">
        <f t="shared" si="9"/>
        <v>149702254.39153981</v>
      </c>
      <c r="L47" s="105">
        <f t="shared" si="9"/>
        <v>167850445.2775104</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3.5" thickTop="1">
      <c r="A48" s="1092" t="str">
        <f>head27a</f>
        <v>References</v>
      </c>
      <c r="B48" s="1064"/>
      <c r="C48" s="1068"/>
      <c r="D48" s="1068"/>
      <c r="E48" s="1068"/>
      <c r="F48" s="1068"/>
      <c r="G48" s="1068"/>
      <c r="H48" s="1068"/>
      <c r="I48" s="1068"/>
      <c r="J48" s="1068"/>
      <c r="K48" s="1068"/>
      <c r="L48" s="1068"/>
      <c r="M48" s="118"/>
      <c r="N48" s="118"/>
      <c r="O48" s="118"/>
      <c r="P48" s="118"/>
      <c r="Q48" s="118"/>
      <c r="R48" s="118"/>
      <c r="S48" s="118"/>
      <c r="T48" s="118"/>
      <c r="U48" s="118"/>
      <c r="V48" s="118"/>
      <c r="W48" s="118"/>
      <c r="X48" s="118"/>
    </row>
    <row r="49" spans="1:13" ht="11.25" customHeight="1">
      <c r="A49" s="161" t="s">
        <v>164</v>
      </c>
      <c r="B49" s="1064"/>
      <c r="C49" s="1067"/>
      <c r="D49" s="1067"/>
      <c r="E49" s="1068"/>
      <c r="F49" s="1068"/>
      <c r="G49" s="1068"/>
      <c r="H49" s="1068"/>
      <c r="I49" s="1068"/>
      <c r="J49" s="1068"/>
      <c r="K49" s="1068"/>
      <c r="L49" s="1068"/>
    </row>
    <row r="50" spans="1:13" ht="11.25" customHeight="1">
      <c r="A50" s="1093" t="s">
        <v>677</v>
      </c>
      <c r="B50" s="1064"/>
      <c r="C50" s="1068"/>
      <c r="D50" s="1067"/>
      <c r="E50" s="1068"/>
      <c r="F50" s="1068"/>
      <c r="G50" s="1068"/>
      <c r="H50" s="1068"/>
      <c r="I50" s="1068"/>
      <c r="J50" s="1068"/>
      <c r="K50" s="1068"/>
      <c r="L50" s="1068"/>
    </row>
    <row r="51" spans="1:13" ht="11.25" customHeight="1">
      <c r="A51" s="1093" t="s">
        <v>503</v>
      </c>
      <c r="B51" s="1064"/>
      <c r="C51" s="1068"/>
      <c r="D51" s="1067"/>
      <c r="E51" s="1068"/>
      <c r="F51" s="1068"/>
      <c r="G51" s="1068"/>
      <c r="H51" s="1068"/>
      <c r="I51" s="1068"/>
      <c r="J51" s="1068"/>
      <c r="K51" s="1068"/>
      <c r="L51" s="1068"/>
    </row>
    <row r="52" spans="1:13" ht="11.25" customHeight="1">
      <c r="A52" s="1093" t="s">
        <v>504</v>
      </c>
      <c r="B52" s="1064"/>
      <c r="C52" s="1068"/>
      <c r="D52" s="1067"/>
      <c r="E52" s="1068"/>
      <c r="F52" s="1068"/>
      <c r="G52" s="1068"/>
      <c r="H52" s="1068"/>
      <c r="I52" s="1068"/>
      <c r="J52" s="1068"/>
      <c r="K52" s="1068"/>
      <c r="L52" s="1068"/>
    </row>
    <row r="53" spans="1:13" ht="11.25" customHeight="1">
      <c r="A53" s="1093" t="s">
        <v>1099</v>
      </c>
      <c r="B53" s="1064"/>
      <c r="C53" s="1068"/>
      <c r="D53" s="1067"/>
      <c r="E53" s="1068"/>
      <c r="F53" s="1068"/>
      <c r="G53" s="1068"/>
      <c r="H53" s="1068"/>
      <c r="I53" s="1068"/>
      <c r="J53" s="1068"/>
      <c r="K53" s="1068"/>
      <c r="L53" s="1068"/>
    </row>
    <row r="54" spans="1:13" ht="11.25" customHeight="1">
      <c r="A54" s="1093" t="s">
        <v>165</v>
      </c>
      <c r="B54" s="1064"/>
      <c r="C54" s="1068"/>
      <c r="D54" s="1067"/>
      <c r="E54" s="1068"/>
      <c r="F54" s="1068"/>
      <c r="G54" s="1068"/>
      <c r="H54" s="1068"/>
      <c r="I54" s="1068"/>
      <c r="J54" s="1068"/>
      <c r="K54" s="1068"/>
      <c r="L54" s="1068"/>
    </row>
    <row r="55" spans="1:13" ht="11.25" customHeight="1">
      <c r="A55" s="1093" t="s">
        <v>2362</v>
      </c>
      <c r="B55" s="1064"/>
      <c r="C55" s="1068"/>
      <c r="D55" s="1067"/>
      <c r="E55" s="1068"/>
      <c r="F55" s="1068"/>
      <c r="G55" s="1068"/>
      <c r="H55" s="1068"/>
      <c r="I55" s="1068"/>
      <c r="J55" s="1068"/>
      <c r="K55" s="1068"/>
      <c r="L55" s="1068"/>
    </row>
    <row r="56" spans="1:13" ht="11.25" customHeight="1">
      <c r="A56" s="1093" t="s">
        <v>779</v>
      </c>
      <c r="B56" s="1064"/>
      <c r="C56" s="1068"/>
      <c r="D56" s="1067"/>
      <c r="E56" s="1068"/>
      <c r="F56" s="1068"/>
      <c r="G56" s="1068"/>
      <c r="H56" s="1068"/>
      <c r="I56" s="1068"/>
      <c r="J56" s="1068"/>
      <c r="K56" s="1068"/>
      <c r="L56" s="1068"/>
    </row>
    <row r="57" spans="1:13" ht="11.25" customHeight="1">
      <c r="A57" s="1094" t="s">
        <v>248</v>
      </c>
      <c r="B57" s="1024"/>
      <c r="C57" s="1071">
        <f>C45-'A3-FinPerf V'!C39</f>
        <v>0.17999961972236633</v>
      </c>
      <c r="D57" s="1071">
        <f>D45-'A3-FinPerf V'!D39</f>
        <v>-0.20000004768371582</v>
      </c>
      <c r="E57" s="1071">
        <f>E45-'A3-FinPerf V'!E39</f>
        <v>-0.40000033378601074</v>
      </c>
      <c r="F57" s="1071">
        <f>F45-'A3-FinPerf V'!F39</f>
        <v>-0.29999995231628418</v>
      </c>
      <c r="G57" s="1071">
        <f>G45-'A3-FinPerf V'!G39</f>
        <v>-0.24999499320983887</v>
      </c>
      <c r="H57" s="1071">
        <f>H45-'A3-FinPerf V'!H39</f>
        <v>3.0000209808349609E-2</v>
      </c>
      <c r="I57" s="1071"/>
      <c r="J57" s="1071">
        <f>J45-'A3-FinPerf V'!I39</f>
        <v>-5.9999704360961914E-2</v>
      </c>
      <c r="K57" s="1071">
        <f>K45-'A3-FinPerf V'!J39</f>
        <v>0.27399969100952148</v>
      </c>
      <c r="L57" s="1071">
        <f>L45-'A3-FinPerf V'!K39</f>
        <v>-0.2474362850189209</v>
      </c>
    </row>
    <row r="58" spans="1:13" ht="11.25" customHeight="1">
      <c r="A58" s="1070"/>
      <c r="B58" s="1024"/>
      <c r="C58" s="1071"/>
      <c r="D58" s="1071"/>
      <c r="E58" s="1071"/>
      <c r="F58" s="1071"/>
      <c r="G58" s="1071"/>
      <c r="H58" s="1071"/>
      <c r="I58" s="1071"/>
      <c r="J58" s="1071"/>
      <c r="K58" s="1071"/>
      <c r="L58" s="1071"/>
    </row>
    <row r="59" spans="1:13" ht="11.25" customHeight="1">
      <c r="A59" s="1070" t="s">
        <v>8</v>
      </c>
      <c r="B59" s="1095"/>
      <c r="C59" s="1096">
        <f t="shared" ref="C59:L59" si="11">C21+SUM(C38:C40)</f>
        <v>1132278705.9599998</v>
      </c>
      <c r="D59" s="1096">
        <f t="shared" si="11"/>
        <v>1137476809.5699999</v>
      </c>
      <c r="E59" s="1096">
        <f t="shared" si="11"/>
        <v>1140964382.5199997</v>
      </c>
      <c r="F59" s="1096">
        <f t="shared" si="11"/>
        <v>1359176307</v>
      </c>
      <c r="G59" s="1096">
        <f t="shared" si="11"/>
        <v>1368508037.02</v>
      </c>
      <c r="H59" s="1096">
        <f t="shared" si="11"/>
        <v>1403803359.8400002</v>
      </c>
      <c r="I59" s="1096">
        <f t="shared" si="11"/>
        <v>1403803359.8400002</v>
      </c>
      <c r="J59" s="1096">
        <f t="shared" si="11"/>
        <v>1405645232</v>
      </c>
      <c r="K59" s="1096">
        <f t="shared" si="11"/>
        <v>1479924620.6719999</v>
      </c>
      <c r="L59" s="1096">
        <f t="shared" si="11"/>
        <v>1556917777.2229118</v>
      </c>
      <c r="M59" s="183"/>
    </row>
    <row r="60" spans="1:13" ht="11.25" customHeight="1">
      <c r="A60" s="123"/>
      <c r="B60" s="123"/>
      <c r="C60" s="118"/>
      <c r="D60" s="118"/>
      <c r="E60" s="123"/>
      <c r="F60" s="123"/>
      <c r="G60" s="118"/>
      <c r="M60" s="183"/>
    </row>
    <row r="61" spans="1:13" ht="11.25" customHeight="1">
      <c r="A61" s="123"/>
      <c r="B61" s="123"/>
      <c r="C61" s="118"/>
      <c r="D61" s="118"/>
      <c r="E61" s="123"/>
      <c r="F61" s="123"/>
      <c r="G61" s="118"/>
    </row>
    <row r="62" spans="1:13" ht="11.25" customHeight="1">
      <c r="A62" s="123"/>
      <c r="B62" s="123"/>
      <c r="C62" s="118"/>
      <c r="D62" s="118"/>
      <c r="E62" s="123"/>
      <c r="F62" s="123"/>
      <c r="G62" s="118"/>
    </row>
    <row r="63" spans="1:13" ht="11.25" customHeight="1">
      <c r="A63" s="123"/>
      <c r="B63" s="123"/>
      <c r="C63" s="123"/>
      <c r="D63" s="182"/>
      <c r="E63" s="123"/>
      <c r="F63" s="123"/>
      <c r="G63" s="123"/>
    </row>
    <row r="64" spans="1:13" ht="11.25" customHeight="1">
      <c r="B64" s="26"/>
    </row>
    <row r="65" spans="2:2" ht="11.25" customHeight="1">
      <c r="B65" s="26"/>
    </row>
    <row r="66" spans="2:2" ht="11.25" customHeight="1">
      <c r="B66" s="26"/>
    </row>
    <row r="67" spans="2:2" ht="11.25" customHeight="1">
      <c r="B67" s="26"/>
    </row>
    <row r="68" spans="2:2" ht="11.25" customHeight="1">
      <c r="B68" s="26"/>
    </row>
    <row r="69" spans="2:2" ht="11.25" customHeight="1">
      <c r="B69" s="26"/>
    </row>
    <row r="70" spans="2:2" ht="11.25" customHeight="1">
      <c r="B70" s="26"/>
    </row>
    <row r="71" spans="2:2" ht="11.25" customHeight="1">
      <c r="B71" s="26"/>
    </row>
    <row r="72" spans="2:2" ht="11.25" customHeight="1">
      <c r="B72" s="26"/>
    </row>
    <row r="73" spans="2:2" ht="11.25" customHeight="1">
      <c r="B73" s="26"/>
    </row>
    <row r="74" spans="2:2" ht="11.25" customHeight="1">
      <c r="B74" s="26"/>
    </row>
    <row r="75" spans="2:2" ht="11.25" customHeight="1">
      <c r="B75" s="26"/>
    </row>
    <row r="76" spans="2:2" ht="11.25" customHeight="1">
      <c r="B76" s="26"/>
    </row>
    <row r="77" spans="2:2" ht="11.25" customHeight="1">
      <c r="B77" s="26"/>
    </row>
    <row r="78" spans="2:2" ht="11.25" customHeight="1">
      <c r="B78" s="26"/>
    </row>
    <row r="79" spans="2:2" ht="11.25" customHeight="1">
      <c r="B79" s="26"/>
    </row>
    <row r="80" spans="2:2" ht="11.25" customHeight="1">
      <c r="B80" s="26"/>
    </row>
    <row r="81" spans="2:2" ht="11.25" customHeight="1">
      <c r="B81" s="26"/>
    </row>
    <row r="82" spans="2:2" ht="11.25" customHeight="1">
      <c r="B82" s="26"/>
    </row>
    <row r="83" spans="2:2" ht="11.25" customHeight="1"/>
    <row r="84" spans="2:2" ht="11.25" customHeight="1"/>
    <row r="85" spans="2:2" ht="11.25" customHeight="1"/>
    <row r="86" spans="2:2" ht="11.25" customHeight="1"/>
    <row r="87" spans="2:2" ht="11.25" customHeight="1"/>
    <row r="88" spans="2:2" ht="11.25" customHeight="1"/>
    <row r="89" spans="2:2" ht="11.25" customHeight="1"/>
    <row r="90" spans="2:2" ht="11.25" customHeight="1"/>
    <row r="91" spans="2:2" ht="11.25" customHeight="1"/>
  </sheetData>
  <mergeCells count="3">
    <mergeCell ref="M2:X2"/>
    <mergeCell ref="J2:L2"/>
    <mergeCell ref="F2:I2"/>
  </mergeCells>
  <phoneticPr fontId="5"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72" activePane="bottomRight" state="frozen"/>
      <selection pane="topRight"/>
      <selection pane="bottomLeft"/>
      <selection pane="bottomRight" activeCell="C72" sqref="C72:E73"/>
    </sheetView>
  </sheetViews>
  <sheetFormatPr defaultColWidth="9.140625"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11.7109375" style="26" bestFit="1"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3" s="56" customFormat="1">
      <c r="A1" s="24" t="s">
        <v>2484</v>
      </c>
      <c r="B1" s="24"/>
      <c r="C1" s="24"/>
      <c r="D1" s="24"/>
      <c r="E1" s="24"/>
      <c r="F1" s="24"/>
      <c r="G1" s="24"/>
      <c r="H1" s="24"/>
      <c r="I1" s="24"/>
      <c r="J1" s="24"/>
      <c r="K1" s="24"/>
      <c r="L1" s="24"/>
    </row>
    <row r="2" spans="1:13" ht="28.5" customHeight="1">
      <c r="A2" s="831" t="str">
        <f>Vdesc</f>
        <v>Vote Description</v>
      </c>
      <c r="B2" s="288" t="str">
        <f>head27</f>
        <v>Ref</v>
      </c>
      <c r="C2" s="27" t="str">
        <f>head1b</f>
        <v>2016/17</v>
      </c>
      <c r="D2" s="27" t="str">
        <f>head1A</f>
        <v>2017/18</v>
      </c>
      <c r="E2" s="23" t="str">
        <f>Head1</f>
        <v>2018/19</v>
      </c>
      <c r="F2" s="2842" t="str">
        <f>Head2</f>
        <v>Current Year 2019/20</v>
      </c>
      <c r="G2" s="2843"/>
      <c r="H2" s="2843"/>
      <c r="I2" s="2843"/>
      <c r="J2" s="2839" t="str">
        <f>Head3</f>
        <v>2020/21 Medium Term Revenue &amp; Expenditure Framework</v>
      </c>
      <c r="K2" s="2840"/>
      <c r="L2" s="2841"/>
    </row>
    <row r="3" spans="1:13" ht="25.5">
      <c r="A3" s="57" t="s">
        <v>569</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row>
    <row r="4" spans="1:13">
      <c r="A4" s="58" t="s">
        <v>445</v>
      </c>
      <c r="B4" s="165"/>
      <c r="C4" s="184"/>
      <c r="D4" s="184"/>
      <c r="E4" s="185"/>
      <c r="F4" s="186"/>
      <c r="G4" s="184"/>
      <c r="H4" s="187"/>
      <c r="I4" s="185"/>
      <c r="J4" s="186"/>
      <c r="K4" s="184"/>
      <c r="L4" s="187"/>
    </row>
    <row r="5" spans="1:13" ht="11.25" customHeight="1">
      <c r="A5" s="58" t="s">
        <v>902</v>
      </c>
      <c r="B5" s="167">
        <v>2</v>
      </c>
      <c r="C5" s="188"/>
      <c r="D5" s="188"/>
      <c r="E5" s="189"/>
      <c r="F5" s="190"/>
      <c r="G5" s="188"/>
      <c r="H5" s="191"/>
      <c r="I5" s="189"/>
      <c r="J5" s="190"/>
      <c r="K5" s="188"/>
      <c r="L5" s="191"/>
    </row>
    <row r="6" spans="1:13" ht="11.25" customHeight="1">
      <c r="A6" s="67" t="str">
        <f>A5A!A6</f>
        <v>Vote 1 - Municipal Manager</v>
      </c>
      <c r="B6" s="167"/>
      <c r="C6" s="69">
        <f>A5A!C6</f>
        <v>0</v>
      </c>
      <c r="D6" s="69">
        <f>A5A!D6</f>
        <v>0</v>
      </c>
      <c r="E6" s="70">
        <f>A5A!E6</f>
        <v>0</v>
      </c>
      <c r="F6" s="71">
        <f>A5A!F6</f>
        <v>0</v>
      </c>
      <c r="G6" s="69">
        <f>A5A!G6</f>
        <v>0</v>
      </c>
      <c r="H6" s="70">
        <f>A5A!H6</f>
        <v>0</v>
      </c>
      <c r="I6" s="800">
        <f>A5A!I6</f>
        <v>0</v>
      </c>
      <c r="J6" s="71">
        <f>A5A!J6</f>
        <v>0</v>
      </c>
      <c r="K6" s="69">
        <f>A5A!K6</f>
        <v>0</v>
      </c>
      <c r="L6" s="70">
        <f>A5A!L6</f>
        <v>0</v>
      </c>
      <c r="M6" s="192"/>
    </row>
    <row r="7" spans="1:13" ht="11.25" customHeight="1">
      <c r="A7" s="67" t="str">
        <f>A5A!A17</f>
        <v>Vote 2 - Planning &amp; Economic Development</v>
      </c>
      <c r="B7" s="167"/>
      <c r="C7" s="69">
        <f>A5A!C17</f>
        <v>0</v>
      </c>
      <c r="D7" s="69">
        <f>A5A!D17</f>
        <v>0</v>
      </c>
      <c r="E7" s="70">
        <f>A5A!E17</f>
        <v>0</v>
      </c>
      <c r="F7" s="71">
        <f>A5A!F17</f>
        <v>0</v>
      </c>
      <c r="G7" s="69">
        <f>A5A!G17</f>
        <v>0</v>
      </c>
      <c r="H7" s="70">
        <f>A5A!H17</f>
        <v>0</v>
      </c>
      <c r="I7" s="68">
        <f>A5A!I17</f>
        <v>0</v>
      </c>
      <c r="J7" s="71">
        <f>A5A!J17</f>
        <v>0</v>
      </c>
      <c r="K7" s="69">
        <f>A5A!K17</f>
        <v>0</v>
      </c>
      <c r="L7" s="70">
        <f>A5A!L17</f>
        <v>0</v>
      </c>
      <c r="M7" s="194"/>
    </row>
    <row r="8" spans="1:13" ht="11.25" customHeight="1">
      <c r="A8" s="67" t="str">
        <f>A5A!A28</f>
        <v>Vote 3 - Financial Services</v>
      </c>
      <c r="B8" s="167"/>
      <c r="C8" s="69">
        <f>A5A!C28</f>
        <v>0</v>
      </c>
      <c r="D8" s="69">
        <f>A5A!D28</f>
        <v>0</v>
      </c>
      <c r="E8" s="70">
        <f>A5A!E28</f>
        <v>0</v>
      </c>
      <c r="F8" s="71">
        <f>A5A!F28</f>
        <v>0</v>
      </c>
      <c r="G8" s="69">
        <f>A5A!G28</f>
        <v>0</v>
      </c>
      <c r="H8" s="70">
        <f>A5A!H28</f>
        <v>0</v>
      </c>
      <c r="I8" s="68">
        <f>A5A!I28</f>
        <v>0</v>
      </c>
      <c r="J8" s="71">
        <f>A5A!J28</f>
        <v>0</v>
      </c>
      <c r="K8" s="69">
        <f>A5A!K28</f>
        <v>0</v>
      </c>
      <c r="L8" s="70">
        <f>A5A!L28</f>
        <v>0</v>
      </c>
      <c r="M8" s="193"/>
    </row>
    <row r="9" spans="1:13" ht="11.25" customHeight="1">
      <c r="A9" s="67" t="str">
        <f>A5A!A39</f>
        <v>Vote 4 - Corporate Services</v>
      </c>
      <c r="B9" s="167"/>
      <c r="C9" s="69">
        <f>A5A!C39</f>
        <v>0</v>
      </c>
      <c r="D9" s="69">
        <f>A5A!D39</f>
        <v>0</v>
      </c>
      <c r="E9" s="70">
        <f>A5A!E39</f>
        <v>0</v>
      </c>
      <c r="F9" s="195">
        <f>A5A!F39</f>
        <v>0</v>
      </c>
      <c r="G9" s="69">
        <f>A5A!G39</f>
        <v>0</v>
      </c>
      <c r="H9" s="70">
        <f>A5A!H39</f>
        <v>0</v>
      </c>
      <c r="I9" s="68">
        <f>A5A!I39</f>
        <v>0</v>
      </c>
      <c r="J9" s="71">
        <f>A5A!J39</f>
        <v>0</v>
      </c>
      <c r="K9" s="69">
        <f>A5A!K39</f>
        <v>0</v>
      </c>
      <c r="L9" s="196">
        <f>A5A!L39</f>
        <v>0</v>
      </c>
      <c r="M9" s="193"/>
    </row>
    <row r="10" spans="1:13" ht="11.25" customHeight="1">
      <c r="A10" s="67" t="str">
        <f>A5A!A50</f>
        <v>Vote 5 - Community Services</v>
      </c>
      <c r="B10" s="167"/>
      <c r="C10" s="69">
        <f>A5A!C50</f>
        <v>0</v>
      </c>
      <c r="D10" s="69">
        <f>A5A!D50</f>
        <v>0</v>
      </c>
      <c r="E10" s="70">
        <f>A5A!E50</f>
        <v>0</v>
      </c>
      <c r="F10" s="71">
        <f>A5A!F50</f>
        <v>0</v>
      </c>
      <c r="G10" s="69">
        <f>A5A!G50</f>
        <v>0</v>
      </c>
      <c r="H10" s="70">
        <f>A5A!H50</f>
        <v>0</v>
      </c>
      <c r="I10" s="68">
        <f>A5A!I50</f>
        <v>0</v>
      </c>
      <c r="J10" s="71">
        <f>A5A!J50</f>
        <v>0</v>
      </c>
      <c r="K10" s="69">
        <f>A5A!K50</f>
        <v>0</v>
      </c>
      <c r="L10" s="70">
        <f>A5A!L50</f>
        <v>0</v>
      </c>
      <c r="M10" s="193"/>
    </row>
    <row r="11" spans="1:13" ht="11.25" customHeight="1">
      <c r="A11" s="67" t="str">
        <f>A5A!A61</f>
        <v>Vote 6 - Community Services</v>
      </c>
      <c r="B11" s="167"/>
      <c r="C11" s="69">
        <f>A5A!C61</f>
        <v>0</v>
      </c>
      <c r="D11" s="69">
        <f>A5A!D61</f>
        <v>0</v>
      </c>
      <c r="E11" s="70">
        <f>A5A!E61</f>
        <v>0</v>
      </c>
      <c r="F11" s="71">
        <f>A5A!F61</f>
        <v>0</v>
      </c>
      <c r="G11" s="69">
        <f>A5A!G61</f>
        <v>0</v>
      </c>
      <c r="H11" s="70">
        <f>A5A!H61</f>
        <v>0</v>
      </c>
      <c r="I11" s="68">
        <f>A5A!I61</f>
        <v>0</v>
      </c>
      <c r="J11" s="71">
        <f>A5A!J61</f>
        <v>0</v>
      </c>
      <c r="K11" s="69">
        <f>A5A!K61</f>
        <v>0</v>
      </c>
      <c r="L11" s="70">
        <f>A5A!L61</f>
        <v>0</v>
      </c>
      <c r="M11" s="193"/>
    </row>
    <row r="12" spans="1:13" ht="11.25" customHeight="1">
      <c r="A12" s="67" t="str">
        <f>A5A!A72</f>
        <v>Vote 7 - Electrical Engineering Services</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193"/>
    </row>
    <row r="13" spans="1:13" ht="11.25" customHeight="1">
      <c r="A13" s="67" t="str">
        <f>A5A!A83</f>
        <v>Vote 8 - Engineering Services</v>
      </c>
      <c r="B13" s="167"/>
      <c r="C13" s="69">
        <f>A5A!C83</f>
        <v>0</v>
      </c>
      <c r="D13" s="69">
        <f>A5A!D83</f>
        <v>0</v>
      </c>
      <c r="E13" s="68">
        <f>A5A!E83</f>
        <v>0</v>
      </c>
      <c r="F13" s="71">
        <f>A5A!F83</f>
        <v>0</v>
      </c>
      <c r="G13" s="69">
        <f>A5A!G83</f>
        <v>0</v>
      </c>
      <c r="H13" s="70">
        <f>A5A!H83</f>
        <v>0</v>
      </c>
      <c r="I13" s="68">
        <f>A5A!I83</f>
        <v>0</v>
      </c>
      <c r="J13" s="71">
        <f>A5A!J83</f>
        <v>0</v>
      </c>
      <c r="K13" s="69">
        <f>A5A!K83</f>
        <v>0</v>
      </c>
      <c r="L13" s="70">
        <f>A5A!L83</f>
        <v>0</v>
      </c>
      <c r="M13" s="193"/>
    </row>
    <row r="14" spans="1:13" ht="11.25" customHeight="1">
      <c r="A14" s="67" t="str">
        <f>A5A!A94</f>
        <v>Vote 9 - [NAME OF VOTE 9]</v>
      </c>
      <c r="B14" s="167"/>
      <c r="C14" s="69">
        <f>A5A!C94</f>
        <v>0</v>
      </c>
      <c r="D14" s="69">
        <f>A5A!D94</f>
        <v>0</v>
      </c>
      <c r="E14" s="68">
        <f>A5A!E94</f>
        <v>0</v>
      </c>
      <c r="F14" s="71">
        <f>A5A!F94</f>
        <v>0</v>
      </c>
      <c r="G14" s="69">
        <f>A5A!G94</f>
        <v>0</v>
      </c>
      <c r="H14" s="70">
        <f>A5A!H94</f>
        <v>0</v>
      </c>
      <c r="I14" s="68">
        <f>A5A!I94</f>
        <v>0</v>
      </c>
      <c r="J14" s="71">
        <f>A5A!J94</f>
        <v>0</v>
      </c>
      <c r="K14" s="69">
        <f>A5A!K94</f>
        <v>0</v>
      </c>
      <c r="L14" s="70">
        <f>A5A!L94</f>
        <v>0</v>
      </c>
      <c r="M14" s="1355"/>
    </row>
    <row r="15" spans="1:13" ht="11.25" customHeight="1">
      <c r="A15" s="67" t="str">
        <f>A5A!A105</f>
        <v>Vote 10 - [NAME OF VOTE 10]</v>
      </c>
      <c r="B15" s="167"/>
      <c r="C15" s="69">
        <f>A5A!C105</f>
        <v>0</v>
      </c>
      <c r="D15" s="69">
        <f>A5A!D105</f>
        <v>0</v>
      </c>
      <c r="E15" s="68">
        <f>A5A!E105</f>
        <v>0</v>
      </c>
      <c r="F15" s="71">
        <f>A5A!F105</f>
        <v>0</v>
      </c>
      <c r="G15" s="69">
        <f>A5A!G105</f>
        <v>0</v>
      </c>
      <c r="H15" s="70">
        <f>A5A!H105</f>
        <v>0</v>
      </c>
      <c r="I15" s="68">
        <f>A5A!I105</f>
        <v>0</v>
      </c>
      <c r="J15" s="71">
        <f>A5A!J105</f>
        <v>0</v>
      </c>
      <c r="K15" s="69">
        <f>A5A!K105</f>
        <v>0</v>
      </c>
      <c r="L15" s="70">
        <f>A5A!L105</f>
        <v>0</v>
      </c>
      <c r="M15" s="1355"/>
    </row>
    <row r="16" spans="1:13" ht="11.25" customHeight="1">
      <c r="A16" s="67" t="str">
        <f>A5A!A116</f>
        <v>Vote 11 - [NAME OF VOTE 11]</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40"/>
    </row>
    <row r="17" spans="1:13" ht="11.25" customHeight="1">
      <c r="A17" s="67" t="str">
        <f>A5A!A127</f>
        <v>Vote 12 - [NAME OF VOTE 12]</v>
      </c>
      <c r="B17" s="167"/>
      <c r="C17" s="69">
        <f>A5A!C127</f>
        <v>0</v>
      </c>
      <c r="D17" s="69">
        <f>A5A!D127</f>
        <v>0</v>
      </c>
      <c r="E17" s="68">
        <f>A5A!E127</f>
        <v>0</v>
      </c>
      <c r="F17" s="71">
        <f>A5A!F127</f>
        <v>0</v>
      </c>
      <c r="G17" s="69">
        <f>A5A!G127</f>
        <v>0</v>
      </c>
      <c r="H17" s="70">
        <f>A5A!H127</f>
        <v>0</v>
      </c>
      <c r="I17" s="68">
        <f>A5A!I127</f>
        <v>0</v>
      </c>
      <c r="J17" s="71">
        <f>A5A!J127</f>
        <v>0</v>
      </c>
      <c r="K17" s="69">
        <f>A5A!K127</f>
        <v>0</v>
      </c>
      <c r="L17" s="70">
        <f>A5A!L127</f>
        <v>0</v>
      </c>
      <c r="M17" s="1355"/>
    </row>
    <row r="18" spans="1:13" ht="11.25" customHeight="1">
      <c r="A18" s="67" t="str">
        <f>A5A!A138</f>
        <v>Vote 13 - [NAME OF VOTE 13]</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1355"/>
    </row>
    <row r="19" spans="1:13" ht="11.25" customHeight="1">
      <c r="A19" s="67" t="str">
        <f>A5A!A149</f>
        <v>Vote 14 - [NAME OF VOTE 14]</v>
      </c>
      <c r="B19" s="167"/>
      <c r="C19" s="69">
        <f>A5A!C149</f>
        <v>0</v>
      </c>
      <c r="D19" s="69">
        <f>A5A!D149</f>
        <v>0</v>
      </c>
      <c r="E19" s="68">
        <f>A5A!E149</f>
        <v>0</v>
      </c>
      <c r="F19" s="71">
        <f>A5A!F149</f>
        <v>0</v>
      </c>
      <c r="G19" s="69">
        <f>A5A!G149</f>
        <v>0</v>
      </c>
      <c r="H19" s="70">
        <f>A5A!H149</f>
        <v>0</v>
      </c>
      <c r="I19" s="68">
        <f>A5A!I149</f>
        <v>0</v>
      </c>
      <c r="J19" s="71">
        <f>A5A!J149</f>
        <v>0</v>
      </c>
      <c r="K19" s="69">
        <f>A5A!K149</f>
        <v>0</v>
      </c>
      <c r="L19" s="70">
        <f>A5A!L149</f>
        <v>0</v>
      </c>
      <c r="M19" s="1355"/>
    </row>
    <row r="20" spans="1:13" ht="11.25" customHeight="1">
      <c r="A20" s="67" t="str">
        <f>A5A!A160</f>
        <v>Vote 15 - [NAME OF VOTE 15]</v>
      </c>
      <c r="B20" s="167"/>
      <c r="C20" s="69">
        <f>A5A!C160</f>
        <v>0</v>
      </c>
      <c r="D20" s="69">
        <f>A5A!D160</f>
        <v>0</v>
      </c>
      <c r="E20" s="68">
        <f>A5A!E160</f>
        <v>0</v>
      </c>
      <c r="F20" s="71">
        <f>A5A!F160</f>
        <v>0</v>
      </c>
      <c r="G20" s="69">
        <f>A5A!G160</f>
        <v>0</v>
      </c>
      <c r="H20" s="70">
        <f>A5A!H160</f>
        <v>0</v>
      </c>
      <c r="I20" s="68">
        <f>A5A!I160</f>
        <v>0</v>
      </c>
      <c r="J20" s="71">
        <f>A5A!J160</f>
        <v>0</v>
      </c>
      <c r="K20" s="69">
        <f>A5A!K160</f>
        <v>0</v>
      </c>
      <c r="L20" s="70">
        <f>A5A!L160</f>
        <v>0</v>
      </c>
      <c r="M20" s="1355"/>
    </row>
    <row r="21" spans="1:13">
      <c r="A21" s="74" t="s">
        <v>168</v>
      </c>
      <c r="B21" s="167">
        <v>7</v>
      </c>
      <c r="C21" s="1172">
        <f>SUM(C6:C20)</f>
        <v>0</v>
      </c>
      <c r="D21" s="1172">
        <f t="shared" ref="D21:L21" si="0">SUM(D6:D20)</f>
        <v>0</v>
      </c>
      <c r="E21" s="141">
        <f t="shared" si="0"/>
        <v>0</v>
      </c>
      <c r="F21" s="144">
        <f t="shared" si="0"/>
        <v>0</v>
      </c>
      <c r="G21" s="142">
        <f t="shared" si="0"/>
        <v>0</v>
      </c>
      <c r="H21" s="143">
        <f>SUM(H6:H20)</f>
        <v>0</v>
      </c>
      <c r="I21" s="141">
        <f t="shared" si="0"/>
        <v>0</v>
      </c>
      <c r="J21" s="144">
        <f t="shared" si="0"/>
        <v>0</v>
      </c>
      <c r="K21" s="142">
        <f t="shared" si="0"/>
        <v>0</v>
      </c>
      <c r="L21" s="143">
        <f t="shared" si="0"/>
        <v>0</v>
      </c>
      <c r="M21" s="240"/>
    </row>
    <row r="22" spans="1:13" ht="4.9000000000000004" customHeight="1">
      <c r="A22" s="78"/>
      <c r="B22" s="167"/>
      <c r="C22" s="80"/>
      <c r="D22" s="135"/>
      <c r="E22" s="79"/>
      <c r="F22" s="82"/>
      <c r="G22" s="80"/>
      <c r="H22" s="81"/>
      <c r="I22" s="79"/>
      <c r="J22" s="82"/>
      <c r="K22" s="80"/>
      <c r="L22" s="81"/>
      <c r="M22" s="240"/>
    </row>
    <row r="23" spans="1:13" ht="11.25" customHeight="1">
      <c r="A23" s="58" t="s">
        <v>903</v>
      </c>
      <c r="B23" s="167">
        <v>2</v>
      </c>
      <c r="C23" s="197"/>
      <c r="D23" s="197"/>
      <c r="E23" s="70"/>
      <c r="F23" s="71"/>
      <c r="G23" s="69"/>
      <c r="H23" s="70"/>
      <c r="I23" s="68"/>
      <c r="J23" s="71"/>
      <c r="K23" s="69"/>
      <c r="L23" s="70"/>
      <c r="M23" s="240"/>
    </row>
    <row r="24" spans="1:13" ht="11.25" customHeight="1">
      <c r="A24" s="67" t="str">
        <f>A6</f>
        <v>Vote 1 - Municipal Manager</v>
      </c>
      <c r="B24" s="167"/>
      <c r="C24" s="197">
        <f>A5A!C175</f>
        <v>24246.6</v>
      </c>
      <c r="D24" s="197">
        <f>A5A!D175</f>
        <v>0</v>
      </c>
      <c r="E24" s="70">
        <f>A5A!E175</f>
        <v>6059</v>
      </c>
      <c r="F24" s="71">
        <f>A5A!F175</f>
        <v>1900000</v>
      </c>
      <c r="G24" s="69">
        <f>A5A!G175</f>
        <v>0</v>
      </c>
      <c r="H24" s="70">
        <f>A5A!H175</f>
        <v>0</v>
      </c>
      <c r="I24" s="68">
        <f>A5A!I175</f>
        <v>0</v>
      </c>
      <c r="J24" s="71">
        <f>A5A!J175</f>
        <v>0</v>
      </c>
      <c r="K24" s="69">
        <f>A5A!K175</f>
        <v>0</v>
      </c>
      <c r="L24" s="70">
        <f>A5A!L175</f>
        <v>0</v>
      </c>
      <c r="M24" s="240"/>
    </row>
    <row r="25" spans="1:13" ht="11.25" customHeight="1">
      <c r="A25" s="67" t="str">
        <f t="shared" ref="A25:A37" si="1">A7</f>
        <v>Vote 2 - Planning &amp; Economic Development</v>
      </c>
      <c r="B25" s="167"/>
      <c r="C25" s="197">
        <f>A5A!C186</f>
        <v>12531767.832982456</v>
      </c>
      <c r="D25" s="197">
        <f>A5A!D186</f>
        <v>113641</v>
      </c>
      <c r="E25" s="70">
        <f>A5A!E186</f>
        <v>48501</v>
      </c>
      <c r="F25" s="71">
        <f>A5A!F186</f>
        <v>1235000</v>
      </c>
      <c r="G25" s="69">
        <f>A5A!G186</f>
        <v>235000</v>
      </c>
      <c r="H25" s="70">
        <f>A5A!H186</f>
        <v>235000</v>
      </c>
      <c r="I25" s="68">
        <f>A5A!I186</f>
        <v>235000</v>
      </c>
      <c r="J25" s="71">
        <f>A5A!J186</f>
        <v>1235000</v>
      </c>
      <c r="K25" s="69">
        <f>A5A!K186</f>
        <v>235000</v>
      </c>
      <c r="L25" s="70">
        <f>A5A!L186</f>
        <v>235000</v>
      </c>
      <c r="M25" s="240"/>
    </row>
    <row r="26" spans="1:13" ht="11.25" customHeight="1">
      <c r="A26" s="67" t="str">
        <f t="shared" si="1"/>
        <v>Vote 3 - Financial Services</v>
      </c>
      <c r="B26" s="167"/>
      <c r="C26" s="197">
        <f>A5A!C197</f>
        <v>28118.400000000001</v>
      </c>
      <c r="D26" s="197">
        <f>A5A!D197</f>
        <v>0</v>
      </c>
      <c r="E26" s="70">
        <f>A5A!E197</f>
        <v>3619175.39</v>
      </c>
      <c r="F26" s="71">
        <f>A5A!F197</f>
        <v>0</v>
      </c>
      <c r="G26" s="69">
        <f>A5A!G197</f>
        <v>200000</v>
      </c>
      <c r="H26" s="70">
        <f>A5A!H197</f>
        <v>200000</v>
      </c>
      <c r="I26" s="68">
        <f>A5A!I197</f>
        <v>200000</v>
      </c>
      <c r="J26" s="71">
        <f>A5A!J197</f>
        <v>500000</v>
      </c>
      <c r="K26" s="69">
        <f>A5A!K197</f>
        <v>700000</v>
      </c>
      <c r="L26" s="70">
        <f>A5A!L197</f>
        <v>700000</v>
      </c>
      <c r="M26" s="240"/>
    </row>
    <row r="27" spans="1:13" ht="11.25" customHeight="1">
      <c r="A27" s="67" t="str">
        <f t="shared" si="1"/>
        <v>Vote 4 - Corporate Services</v>
      </c>
      <c r="B27" s="167"/>
      <c r="C27" s="197">
        <f>A5A!C208</f>
        <v>8658855.5</v>
      </c>
      <c r="D27" s="197">
        <f>A5A!D208</f>
        <v>0</v>
      </c>
      <c r="E27" s="70">
        <f>A5A!E208</f>
        <v>7920181.2000000002</v>
      </c>
      <c r="F27" s="71">
        <f>A5A!F208</f>
        <v>0</v>
      </c>
      <c r="G27" s="69">
        <f>A5A!G208</f>
        <v>0</v>
      </c>
      <c r="H27" s="70">
        <f>A5A!H208</f>
        <v>0</v>
      </c>
      <c r="I27" s="68">
        <f>A5A!I208</f>
        <v>0</v>
      </c>
      <c r="J27" s="71">
        <f>A5A!J208</f>
        <v>0</v>
      </c>
      <c r="K27" s="69">
        <f>A5A!K208</f>
        <v>0</v>
      </c>
      <c r="L27" s="70">
        <f>A5A!L208</f>
        <v>0</v>
      </c>
      <c r="M27" s="240"/>
    </row>
    <row r="28" spans="1:13" ht="11.25" customHeight="1">
      <c r="A28" s="67" t="str">
        <f t="shared" si="1"/>
        <v>Vote 5 - Community Services</v>
      </c>
      <c r="B28" s="167"/>
      <c r="C28" s="197">
        <f>A5A!C219</f>
        <v>129872.0292982456</v>
      </c>
      <c r="D28" s="197">
        <f>A5A!D219</f>
        <v>0</v>
      </c>
      <c r="E28" s="70">
        <f>A5A!E219</f>
        <v>554302.11</v>
      </c>
      <c r="F28" s="71">
        <f>A5A!F219</f>
        <v>1885000</v>
      </c>
      <c r="G28" s="69">
        <f>A5A!G219</f>
        <v>1885000</v>
      </c>
      <c r="H28" s="70">
        <f>A5A!H219</f>
        <v>1885000</v>
      </c>
      <c r="I28" s="68">
        <f>A5A!I219</f>
        <v>0</v>
      </c>
      <c r="J28" s="71">
        <f>A5A!J219</f>
        <v>2300000</v>
      </c>
      <c r="K28" s="69">
        <f>A5A!K219</f>
        <v>0</v>
      </c>
      <c r="L28" s="70">
        <f>A5A!L219</f>
        <v>0</v>
      </c>
      <c r="M28" s="240"/>
    </row>
    <row r="29" spans="1:13" ht="11.25" customHeight="1">
      <c r="A29" s="67" t="str">
        <f t="shared" si="1"/>
        <v>Vote 6 - Community Services</v>
      </c>
      <c r="B29" s="167"/>
      <c r="C29" s="197">
        <f>A5A!C230</f>
        <v>0</v>
      </c>
      <c r="D29" s="197">
        <f>A5A!D230</f>
        <v>0</v>
      </c>
      <c r="E29" s="70">
        <f>A5A!E230</f>
        <v>0</v>
      </c>
      <c r="F29" s="71">
        <f>A5A!F230</f>
        <v>0</v>
      </c>
      <c r="G29" s="69">
        <f>A5A!G230</f>
        <v>0</v>
      </c>
      <c r="H29" s="70">
        <f>A5A!H230</f>
        <v>0</v>
      </c>
      <c r="I29" s="68">
        <f>A5A!I230</f>
        <v>0</v>
      </c>
      <c r="J29" s="71">
        <f>A5A!J230</f>
        <v>0</v>
      </c>
      <c r="K29" s="69">
        <f>A5A!K230</f>
        <v>0</v>
      </c>
      <c r="L29" s="70">
        <f>A5A!L230</f>
        <v>0</v>
      </c>
      <c r="M29" s="240"/>
    </row>
    <row r="30" spans="1:13" ht="11.25" customHeight="1">
      <c r="A30" s="67" t="str">
        <f t="shared" si="1"/>
        <v>Vote 7 - Electrical Engineering Services</v>
      </c>
      <c r="B30" s="167"/>
      <c r="C30" s="197">
        <f>A5A!C241</f>
        <v>13159543.24</v>
      </c>
      <c r="D30" s="197">
        <f>A5A!D241</f>
        <v>13837042.619999999</v>
      </c>
      <c r="E30" s="70">
        <f>A5A!E241</f>
        <v>36071006</v>
      </c>
      <c r="F30" s="71">
        <f>A5A!F241</f>
        <v>35000000</v>
      </c>
      <c r="G30" s="69">
        <f>A5A!G241</f>
        <v>50847675</v>
      </c>
      <c r="H30" s="70">
        <f>A5A!H241</f>
        <v>50847675</v>
      </c>
      <c r="I30" s="68">
        <f>A5A!I241</f>
        <v>48828197.18</v>
      </c>
      <c r="J30" s="71">
        <f>A5A!J241</f>
        <v>30000000</v>
      </c>
      <c r="K30" s="69">
        <f>A5A!K241</f>
        <v>8384000</v>
      </c>
      <c r="L30" s="70">
        <f>A5A!L241</f>
        <v>8786432</v>
      </c>
      <c r="M30" s="240"/>
    </row>
    <row r="31" spans="1:13" ht="11.25" customHeight="1">
      <c r="A31" s="67" t="str">
        <f t="shared" si="1"/>
        <v>Vote 8 - Engineering Services</v>
      </c>
      <c r="B31" s="167"/>
      <c r="C31" s="197">
        <f>A5A!C252</f>
        <v>41878155.109999999</v>
      </c>
      <c r="D31" s="197">
        <f>A5A!D252</f>
        <v>34950547.010000005</v>
      </c>
      <c r="E31" s="70">
        <f>A5A!E252</f>
        <v>55263213.810000002</v>
      </c>
      <c r="F31" s="71">
        <f>A5A!F252</f>
        <v>102699850</v>
      </c>
      <c r="G31" s="69">
        <f>A5A!G252</f>
        <v>101225090</v>
      </c>
      <c r="H31" s="70">
        <f>A5A!H252</f>
        <v>101225090</v>
      </c>
      <c r="I31" s="68">
        <f>A5A!I252</f>
        <v>100422803.71999998</v>
      </c>
      <c r="J31" s="71">
        <f>A5A!J252</f>
        <v>96938050</v>
      </c>
      <c r="K31" s="69">
        <f>A5A!K252</f>
        <v>96829700</v>
      </c>
      <c r="L31" s="70">
        <f>A5A!L252</f>
        <v>102603800</v>
      </c>
      <c r="M31" s="240"/>
    </row>
    <row r="32" spans="1:13" ht="11.25" customHeight="1">
      <c r="A32" s="67" t="str">
        <f t="shared" si="1"/>
        <v>Vote 9 - [NAME OF VOTE 9]</v>
      </c>
      <c r="B32" s="167"/>
      <c r="C32" s="197">
        <f>A5A!C263</f>
        <v>7449</v>
      </c>
      <c r="D32" s="197">
        <f>A5A!D263</f>
        <v>0</v>
      </c>
      <c r="E32" s="70">
        <f>A5A!E263</f>
        <v>0</v>
      </c>
      <c r="F32" s="71">
        <f>A5A!F263</f>
        <v>0</v>
      </c>
      <c r="G32" s="69">
        <f>A5A!G263</f>
        <v>0</v>
      </c>
      <c r="H32" s="70">
        <f>A5A!H263</f>
        <v>0</v>
      </c>
      <c r="I32" s="68">
        <f>A5A!I263</f>
        <v>0</v>
      </c>
      <c r="J32" s="71">
        <f>A5A!J263</f>
        <v>0</v>
      </c>
      <c r="K32" s="69">
        <f>A5A!K263</f>
        <v>0</v>
      </c>
      <c r="L32" s="70">
        <f>A5A!L263</f>
        <v>0</v>
      </c>
      <c r="M32" s="240"/>
    </row>
    <row r="33" spans="1:18" ht="11.25" customHeight="1">
      <c r="A33" s="67" t="str">
        <f t="shared" si="1"/>
        <v>Vote 10 - [NAME OF VOTE 10]</v>
      </c>
      <c r="B33" s="167"/>
      <c r="C33" s="197">
        <f>A5A!C274</f>
        <v>0</v>
      </c>
      <c r="D33" s="197">
        <f>A5A!D274</f>
        <v>0</v>
      </c>
      <c r="E33" s="70">
        <f>A5A!E274</f>
        <v>0</v>
      </c>
      <c r="F33" s="71">
        <f>A5A!F274</f>
        <v>0</v>
      </c>
      <c r="G33" s="69">
        <f>A5A!G274</f>
        <v>0</v>
      </c>
      <c r="H33" s="70">
        <f>A5A!H274</f>
        <v>0</v>
      </c>
      <c r="I33" s="68">
        <f>A5A!I274</f>
        <v>0</v>
      </c>
      <c r="J33" s="71">
        <f>A5A!J274</f>
        <v>0</v>
      </c>
      <c r="K33" s="69">
        <f>A5A!K274</f>
        <v>0</v>
      </c>
      <c r="L33" s="70">
        <f>A5A!L274</f>
        <v>0</v>
      </c>
      <c r="M33" s="240"/>
    </row>
    <row r="34" spans="1:18" ht="11.25" customHeight="1">
      <c r="A34" s="67" t="str">
        <f t="shared" si="1"/>
        <v>Vote 11 - [NAME OF VOTE 11]</v>
      </c>
      <c r="B34" s="167"/>
      <c r="C34" s="197">
        <f>A5A!C285</f>
        <v>0</v>
      </c>
      <c r="D34" s="197">
        <f>A5A!D285</f>
        <v>0</v>
      </c>
      <c r="E34" s="70">
        <f>A5A!E285</f>
        <v>0</v>
      </c>
      <c r="F34" s="71">
        <f>A5A!F285</f>
        <v>0</v>
      </c>
      <c r="G34" s="69">
        <f>A5A!G285</f>
        <v>0</v>
      </c>
      <c r="H34" s="70">
        <f>A5A!H285</f>
        <v>0</v>
      </c>
      <c r="I34" s="68">
        <f>A5A!I285</f>
        <v>0</v>
      </c>
      <c r="J34" s="71">
        <f>A5A!J285</f>
        <v>0</v>
      </c>
      <c r="K34" s="69">
        <f>A5A!K285</f>
        <v>0</v>
      </c>
      <c r="L34" s="70">
        <f>A5A!L285</f>
        <v>0</v>
      </c>
      <c r="M34" s="240"/>
    </row>
    <row r="35" spans="1:18" ht="11.25" customHeight="1">
      <c r="A35" s="67" t="str">
        <f t="shared" si="1"/>
        <v>Vote 12 - [NAME OF VOTE 12]</v>
      </c>
      <c r="B35" s="167"/>
      <c r="C35" s="197">
        <f>A5A!C296</f>
        <v>0</v>
      </c>
      <c r="D35" s="197">
        <f>A5A!D296</f>
        <v>0</v>
      </c>
      <c r="E35" s="70">
        <f>A5A!E296</f>
        <v>0</v>
      </c>
      <c r="F35" s="71">
        <f>A5A!F296</f>
        <v>0</v>
      </c>
      <c r="G35" s="69">
        <f>A5A!G296</f>
        <v>0</v>
      </c>
      <c r="H35" s="70">
        <f>A5A!H296</f>
        <v>0</v>
      </c>
      <c r="I35" s="68">
        <f>A5A!I296</f>
        <v>0</v>
      </c>
      <c r="J35" s="71">
        <f>A5A!J296</f>
        <v>0</v>
      </c>
      <c r="K35" s="69">
        <f>A5A!K296</f>
        <v>0</v>
      </c>
      <c r="L35" s="70">
        <f>A5A!L296</f>
        <v>0</v>
      </c>
      <c r="M35" s="240"/>
    </row>
    <row r="36" spans="1:18" ht="11.25" customHeight="1">
      <c r="A36" s="67" t="str">
        <f t="shared" si="1"/>
        <v>Vote 13 - [NAME OF VOTE 13]</v>
      </c>
      <c r="B36" s="167"/>
      <c r="C36" s="1322">
        <f>A5A!C307</f>
        <v>0</v>
      </c>
      <c r="D36" s="1322">
        <f>A5A!D307</f>
        <v>0</v>
      </c>
      <c r="E36" s="1323">
        <f>A5A!E307</f>
        <v>0</v>
      </c>
      <c r="F36" s="1324">
        <f>A5A!F307</f>
        <v>0</v>
      </c>
      <c r="G36" s="1286">
        <f>A5A!G307</f>
        <v>0</v>
      </c>
      <c r="H36" s="1323">
        <f>A5A!H307</f>
        <v>0</v>
      </c>
      <c r="I36" s="1287">
        <f>A5A!I307</f>
        <v>0</v>
      </c>
      <c r="J36" s="1324">
        <f>A5A!J307</f>
        <v>0</v>
      </c>
      <c r="K36" s="1286">
        <f>A5A!K307</f>
        <v>0</v>
      </c>
      <c r="L36" s="1323">
        <f>A5A!L307</f>
        <v>0</v>
      </c>
      <c r="M36" s="240"/>
    </row>
    <row r="37" spans="1:18" ht="11.25" customHeight="1">
      <c r="A37" s="67" t="str">
        <f t="shared" si="1"/>
        <v>Vote 14 - [NAME OF VOTE 14]</v>
      </c>
      <c r="B37" s="167"/>
      <c r="C37" s="1322">
        <f>A5A!C318</f>
        <v>0</v>
      </c>
      <c r="D37" s="1322">
        <f>A5A!D318</f>
        <v>0</v>
      </c>
      <c r="E37" s="1323">
        <f>A5A!E318</f>
        <v>0</v>
      </c>
      <c r="F37" s="1324">
        <f>A5A!F318</f>
        <v>0</v>
      </c>
      <c r="G37" s="1286">
        <f>A5A!G318</f>
        <v>0</v>
      </c>
      <c r="H37" s="1323">
        <f>A5A!H318</f>
        <v>0</v>
      </c>
      <c r="I37" s="1287">
        <f>A5A!I318</f>
        <v>0</v>
      </c>
      <c r="J37" s="1324">
        <f>A5A!J318</f>
        <v>0</v>
      </c>
      <c r="K37" s="1286">
        <f>A5A!K318</f>
        <v>0</v>
      </c>
      <c r="L37" s="1323">
        <f>A5A!L318</f>
        <v>0</v>
      </c>
      <c r="M37" s="240"/>
    </row>
    <row r="38" spans="1:18" ht="11.25" customHeight="1">
      <c r="A38" s="67" t="str">
        <f>A20</f>
        <v>Vote 15 - [NAME OF VOTE 15]</v>
      </c>
      <c r="B38" s="167"/>
      <c r="C38" s="1322">
        <f>A5A!C329</f>
        <v>0</v>
      </c>
      <c r="D38" s="1322">
        <f>A5A!D329</f>
        <v>0</v>
      </c>
      <c r="E38" s="1323">
        <f>A5A!E329</f>
        <v>0</v>
      </c>
      <c r="F38" s="1324">
        <f>A5A!F329</f>
        <v>0</v>
      </c>
      <c r="G38" s="1286">
        <f>A5A!G329</f>
        <v>0</v>
      </c>
      <c r="H38" s="1323">
        <f>A5A!H329</f>
        <v>0</v>
      </c>
      <c r="I38" s="1287">
        <f>A5A!I329</f>
        <v>0</v>
      </c>
      <c r="J38" s="1324">
        <f>A5A!J329</f>
        <v>0</v>
      </c>
      <c r="K38" s="1286">
        <f>A5A!K329</f>
        <v>0</v>
      </c>
      <c r="L38" s="1323">
        <f>A5A!L329</f>
        <v>0</v>
      </c>
      <c r="M38" s="240"/>
    </row>
    <row r="39" spans="1:18" ht="11.25" customHeight="1">
      <c r="A39" s="199" t="s">
        <v>1165</v>
      </c>
      <c r="B39" s="167"/>
      <c r="C39" s="1169">
        <f>SUM(C24:C38)</f>
        <v>76418007.712280706</v>
      </c>
      <c r="D39" s="1169">
        <f t="shared" ref="D39:L39" si="2">SUM(D24:D38)</f>
        <v>48901230.630000003</v>
      </c>
      <c r="E39" s="1170">
        <f t="shared" si="2"/>
        <v>103482438.51000001</v>
      </c>
      <c r="F39" s="1171">
        <f t="shared" si="2"/>
        <v>142719850</v>
      </c>
      <c r="G39" s="1172">
        <f t="shared" si="2"/>
        <v>154392765</v>
      </c>
      <c r="H39" s="1170">
        <f t="shared" si="2"/>
        <v>154392765</v>
      </c>
      <c r="I39" s="1173">
        <f t="shared" si="2"/>
        <v>149686000.89999998</v>
      </c>
      <c r="J39" s="1171">
        <f t="shared" si="2"/>
        <v>130973050</v>
      </c>
      <c r="K39" s="1172">
        <f t="shared" si="2"/>
        <v>106148700</v>
      </c>
      <c r="L39" s="1170">
        <f t="shared" si="2"/>
        <v>112325232</v>
      </c>
      <c r="M39" s="240"/>
    </row>
    <row r="40" spans="1:18">
      <c r="A40" s="101" t="s">
        <v>904</v>
      </c>
      <c r="B40" s="179"/>
      <c r="C40" s="200">
        <f>C39+C21</f>
        <v>76418007.712280706</v>
      </c>
      <c r="D40" s="200">
        <f t="shared" ref="D40:L40" si="3">D39+D21</f>
        <v>48901230.630000003</v>
      </c>
      <c r="E40" s="201">
        <f t="shared" si="3"/>
        <v>103482438.51000001</v>
      </c>
      <c r="F40" s="202">
        <f t="shared" si="3"/>
        <v>142719850</v>
      </c>
      <c r="G40" s="203">
        <f t="shared" si="3"/>
        <v>154392765</v>
      </c>
      <c r="H40" s="201">
        <f t="shared" si="3"/>
        <v>154392765</v>
      </c>
      <c r="I40" s="204">
        <f t="shared" si="3"/>
        <v>149686000.89999998</v>
      </c>
      <c r="J40" s="202">
        <f t="shared" si="3"/>
        <v>130973050</v>
      </c>
      <c r="K40" s="203">
        <f t="shared" si="3"/>
        <v>106148700</v>
      </c>
      <c r="L40" s="201">
        <f t="shared" si="3"/>
        <v>112325232</v>
      </c>
      <c r="M40" s="240"/>
    </row>
    <row r="41" spans="1:18" ht="4.9000000000000004" customHeight="1">
      <c r="A41" s="78"/>
      <c r="B41" s="167"/>
      <c r="C41" s="197"/>
      <c r="D41" s="197"/>
      <c r="E41" s="70"/>
      <c r="F41" s="71"/>
      <c r="G41" s="69"/>
      <c r="H41" s="70"/>
      <c r="I41" s="68"/>
      <c r="J41" s="71"/>
      <c r="K41" s="69"/>
      <c r="L41" s="70"/>
      <c r="M41" s="240"/>
    </row>
    <row r="42" spans="1:18" ht="11.25" customHeight="1">
      <c r="A42" s="58" t="s">
        <v>2458</v>
      </c>
      <c r="B42" s="167"/>
      <c r="C42" s="197"/>
      <c r="D42" s="197"/>
      <c r="E42" s="70"/>
      <c r="F42" s="71"/>
      <c r="G42" s="69"/>
      <c r="H42" s="70"/>
      <c r="I42" s="68"/>
      <c r="J42" s="1103"/>
      <c r="K42" s="69"/>
      <c r="L42" s="1104"/>
      <c r="M42" s="240"/>
    </row>
    <row r="43" spans="1:18" ht="11.25" customHeight="1">
      <c r="A43" s="1101" t="s">
        <v>991</v>
      </c>
      <c r="B43" s="1018"/>
      <c r="C43" s="963">
        <f>SUM(C44:C46)</f>
        <v>0</v>
      </c>
      <c r="D43" s="963">
        <f t="shared" ref="D43:L43" si="4">SUM(D44:D46)</f>
        <v>0</v>
      </c>
      <c r="E43" s="1230">
        <f t="shared" si="4"/>
        <v>11545415</v>
      </c>
      <c r="F43" s="967">
        <f t="shared" si="4"/>
        <v>1900000</v>
      </c>
      <c r="G43" s="963">
        <f t="shared" si="4"/>
        <v>200000</v>
      </c>
      <c r="H43" s="1231">
        <f t="shared" si="4"/>
        <v>200000</v>
      </c>
      <c r="I43" s="966">
        <f t="shared" si="4"/>
        <v>200000</v>
      </c>
      <c r="J43" s="967">
        <f t="shared" si="4"/>
        <v>500000</v>
      </c>
      <c r="K43" s="963">
        <f t="shared" si="4"/>
        <v>700000</v>
      </c>
      <c r="L43" s="1231">
        <f t="shared" si="4"/>
        <v>700000</v>
      </c>
      <c r="M43" s="240"/>
      <c r="Q43" s="129"/>
      <c r="R43" s="130"/>
    </row>
    <row r="44" spans="1:18" ht="11.25" customHeight="1">
      <c r="A44" s="1102" t="s">
        <v>119</v>
      </c>
      <c r="B44" s="1018"/>
      <c r="C44" s="2787">
        <v>0</v>
      </c>
      <c r="D44" s="2787">
        <v>0</v>
      </c>
      <c r="E44" s="2788">
        <v>6059</v>
      </c>
      <c r="F44" s="1961">
        <v>1900000</v>
      </c>
      <c r="G44" s="1951">
        <v>0</v>
      </c>
      <c r="H44" s="1962">
        <v>0</v>
      </c>
      <c r="I44" s="1961">
        <v>0</v>
      </c>
      <c r="J44" s="1953"/>
      <c r="K44" s="1951"/>
      <c r="L44" s="1954"/>
      <c r="M44" s="240"/>
      <c r="Q44" s="129"/>
      <c r="R44" s="130"/>
    </row>
    <row r="45" spans="1:18" ht="11.25" customHeight="1">
      <c r="A45" s="1102" t="s">
        <v>2383</v>
      </c>
      <c r="B45" s="1018"/>
      <c r="C45" s="2789">
        <v>0</v>
      </c>
      <c r="D45" s="2789">
        <v>0</v>
      </c>
      <c r="E45" s="2790">
        <v>11539356</v>
      </c>
      <c r="F45" s="1968"/>
      <c r="G45" s="1964">
        <v>200000</v>
      </c>
      <c r="H45" s="1969">
        <v>200000</v>
      </c>
      <c r="I45" s="1968">
        <v>200000</v>
      </c>
      <c r="J45" s="1970">
        <f>700000-200000</f>
        <v>500000</v>
      </c>
      <c r="K45" s="1964">
        <v>700000</v>
      </c>
      <c r="L45" s="1965">
        <v>700000</v>
      </c>
      <c r="M45" s="240"/>
      <c r="Q45" s="129"/>
      <c r="R45" s="130"/>
    </row>
    <row r="46" spans="1:18" ht="11.25" customHeight="1">
      <c r="A46" s="1102" t="s">
        <v>2379</v>
      </c>
      <c r="B46" s="1018"/>
      <c r="C46" s="2787">
        <v>0</v>
      </c>
      <c r="D46" s="2787">
        <v>0</v>
      </c>
      <c r="E46" s="2788">
        <v>0</v>
      </c>
      <c r="F46" s="1961"/>
      <c r="G46" s="1951">
        <v>0</v>
      </c>
      <c r="H46" s="1962">
        <v>0</v>
      </c>
      <c r="I46" s="1961">
        <v>0</v>
      </c>
      <c r="J46" s="1953"/>
      <c r="K46" s="1951"/>
      <c r="L46" s="1954"/>
      <c r="M46" s="240"/>
      <c r="Q46" s="129"/>
      <c r="R46" s="130"/>
    </row>
    <row r="47" spans="1:18" ht="11.25" customHeight="1">
      <c r="A47" s="1101" t="s">
        <v>122</v>
      </c>
      <c r="B47" s="1018"/>
      <c r="C47" s="963">
        <f>SUM(C48:C52)</f>
        <v>80297</v>
      </c>
      <c r="D47" s="963">
        <f t="shared" ref="D47:L47" si="5">SUM(D48:D52)</f>
        <v>826160</v>
      </c>
      <c r="E47" s="964">
        <f t="shared" si="5"/>
        <v>1605684</v>
      </c>
      <c r="F47" s="965">
        <f t="shared" si="5"/>
        <v>5050000</v>
      </c>
      <c r="G47" s="963">
        <f t="shared" si="5"/>
        <v>7500000</v>
      </c>
      <c r="H47" s="966">
        <f t="shared" si="5"/>
        <v>7500000</v>
      </c>
      <c r="I47" s="965">
        <f t="shared" si="5"/>
        <v>7500000</v>
      </c>
      <c r="J47" s="967">
        <f t="shared" si="5"/>
        <v>3800000</v>
      </c>
      <c r="K47" s="963">
        <f t="shared" si="5"/>
        <v>0</v>
      </c>
      <c r="L47" s="1231">
        <f t="shared" si="5"/>
        <v>0</v>
      </c>
      <c r="M47" s="240"/>
      <c r="Q47" s="129"/>
      <c r="R47" s="130"/>
    </row>
    <row r="48" spans="1:18" ht="11.25" customHeight="1">
      <c r="A48" s="1102" t="s">
        <v>123</v>
      </c>
      <c r="B48" s="1018"/>
      <c r="C48" s="2791">
        <v>0</v>
      </c>
      <c r="D48" s="2791">
        <v>0</v>
      </c>
      <c r="E48" s="2792">
        <v>0</v>
      </c>
      <c r="F48" s="1961"/>
      <c r="G48" s="1951">
        <v>0</v>
      </c>
      <c r="H48" s="1962">
        <v>0</v>
      </c>
      <c r="I48" s="1961">
        <v>0</v>
      </c>
      <c r="J48" s="1953"/>
      <c r="K48" s="1951"/>
      <c r="L48" s="1954"/>
      <c r="M48" s="240"/>
      <c r="Q48" s="129"/>
      <c r="R48" s="130"/>
    </row>
    <row r="49" spans="1:18" ht="11.25" customHeight="1">
      <c r="A49" s="1102" t="s">
        <v>124</v>
      </c>
      <c r="B49" s="1018"/>
      <c r="C49" s="2791">
        <v>80297</v>
      </c>
      <c r="D49" s="2791">
        <v>0</v>
      </c>
      <c r="E49" s="2792">
        <v>349001</v>
      </c>
      <c r="F49" s="1961">
        <v>1800000</v>
      </c>
      <c r="G49" s="1951">
        <v>1800000</v>
      </c>
      <c r="H49" s="1962">
        <v>1800000</v>
      </c>
      <c r="I49" s="1961">
        <v>1800000</v>
      </c>
      <c r="J49" s="1953">
        <v>2300000</v>
      </c>
      <c r="K49" s="1951">
        <v>0</v>
      </c>
      <c r="L49" s="1954">
        <v>0</v>
      </c>
      <c r="M49" s="240"/>
      <c r="Q49" s="129"/>
      <c r="R49" s="130"/>
    </row>
    <row r="50" spans="1:18" ht="11.25" customHeight="1">
      <c r="A50" s="1102" t="s">
        <v>125</v>
      </c>
      <c r="B50" s="1018"/>
      <c r="C50" s="2791">
        <v>0</v>
      </c>
      <c r="D50" s="2791">
        <v>0</v>
      </c>
      <c r="E50" s="2792">
        <v>0</v>
      </c>
      <c r="F50" s="1961"/>
      <c r="G50" s="1951">
        <v>0</v>
      </c>
      <c r="H50" s="1962">
        <v>0</v>
      </c>
      <c r="I50" s="1961">
        <v>0</v>
      </c>
      <c r="J50" s="1953"/>
      <c r="K50" s="1951"/>
      <c r="L50" s="1954"/>
      <c r="M50" s="240"/>
      <c r="Q50" s="129"/>
      <c r="R50" s="130"/>
    </row>
    <row r="51" spans="1:18" ht="11.25" customHeight="1">
      <c r="A51" s="1102" t="s">
        <v>1493</v>
      </c>
      <c r="B51" s="1018"/>
      <c r="C51" s="2791">
        <v>0</v>
      </c>
      <c r="D51" s="2791">
        <v>826160</v>
      </c>
      <c r="E51" s="2792">
        <v>1066513</v>
      </c>
      <c r="F51" s="1961">
        <v>3250000</v>
      </c>
      <c r="G51" s="1951">
        <v>5700000</v>
      </c>
      <c r="H51" s="1962">
        <v>5700000</v>
      </c>
      <c r="I51" s="1962">
        <v>5700000</v>
      </c>
      <c r="J51" s="1953">
        <v>1500000</v>
      </c>
      <c r="K51" s="1951"/>
      <c r="L51" s="1954"/>
      <c r="M51" s="240"/>
      <c r="Q51" s="129"/>
      <c r="R51" s="130"/>
    </row>
    <row r="52" spans="1:18" ht="11.25" customHeight="1">
      <c r="A52" s="1102" t="s">
        <v>1557</v>
      </c>
      <c r="B52" s="1018"/>
      <c r="C52" s="2793">
        <v>0</v>
      </c>
      <c r="D52" s="2793">
        <v>0</v>
      </c>
      <c r="E52" s="2794">
        <v>190170</v>
      </c>
      <c r="F52" s="1968"/>
      <c r="G52" s="1964"/>
      <c r="H52" s="1969"/>
      <c r="I52" s="1968"/>
      <c r="J52" s="1970"/>
      <c r="K52" s="1964"/>
      <c r="L52" s="1965"/>
      <c r="M52" s="240"/>
      <c r="Q52" s="129"/>
      <c r="R52" s="130"/>
    </row>
    <row r="53" spans="1:18" ht="11.25" customHeight="1">
      <c r="A53" s="1101" t="s">
        <v>126</v>
      </c>
      <c r="B53" s="962"/>
      <c r="C53" s="963">
        <f>SUM(C54:C56)</f>
        <v>64048975</v>
      </c>
      <c r="D53" s="963">
        <f t="shared" ref="D53:L53" si="6">SUM(D54:D56)</f>
        <v>34630299</v>
      </c>
      <c r="E53" s="964">
        <f t="shared" si="6"/>
        <v>54245202</v>
      </c>
      <c r="F53" s="965">
        <f t="shared" si="6"/>
        <v>100684850</v>
      </c>
      <c r="G53" s="963">
        <f t="shared" si="6"/>
        <v>95760090</v>
      </c>
      <c r="H53" s="966">
        <f t="shared" si="6"/>
        <v>95760090</v>
      </c>
      <c r="I53" s="965">
        <f t="shared" si="6"/>
        <v>95760090</v>
      </c>
      <c r="J53" s="967">
        <f t="shared" si="6"/>
        <v>96673050</v>
      </c>
      <c r="K53" s="963">
        <f t="shared" si="6"/>
        <v>97064700</v>
      </c>
      <c r="L53" s="1231">
        <f t="shared" si="6"/>
        <v>102838800</v>
      </c>
      <c r="M53" s="240"/>
      <c r="Q53" s="129"/>
      <c r="R53" s="130"/>
    </row>
    <row r="54" spans="1:18" ht="11.25" customHeight="1">
      <c r="A54" s="1102" t="s">
        <v>127</v>
      </c>
      <c r="B54" s="1018"/>
      <c r="C54" s="2795">
        <v>5361114</v>
      </c>
      <c r="D54" s="2795">
        <v>0</v>
      </c>
      <c r="E54" s="2796">
        <v>48501</v>
      </c>
      <c r="F54" s="1961">
        <v>1235000</v>
      </c>
      <c r="G54" s="1951">
        <v>235000</v>
      </c>
      <c r="H54" s="1962">
        <v>235000</v>
      </c>
      <c r="I54" s="1961">
        <v>235000</v>
      </c>
      <c r="J54" s="1953">
        <f>1000000+235000</f>
        <v>1235000</v>
      </c>
      <c r="K54" s="1951">
        <v>235000</v>
      </c>
      <c r="L54" s="1954">
        <v>235000</v>
      </c>
      <c r="M54" s="240"/>
      <c r="Q54" s="129"/>
      <c r="R54" s="130"/>
    </row>
    <row r="55" spans="1:18" ht="11.25" customHeight="1">
      <c r="A55" s="1102" t="s">
        <v>128</v>
      </c>
      <c r="B55" s="1018"/>
      <c r="C55" s="2795">
        <v>58687861</v>
      </c>
      <c r="D55" s="2795">
        <v>34630299</v>
      </c>
      <c r="E55" s="2796">
        <v>54196701</v>
      </c>
      <c r="F55" s="1961">
        <v>99449850</v>
      </c>
      <c r="G55" s="1951">
        <v>95525090</v>
      </c>
      <c r="H55" s="1962">
        <v>95525090</v>
      </c>
      <c r="I55" s="1962">
        <v>95525090</v>
      </c>
      <c r="J55" s="1953">
        <f>94938050-1000000+1500000</f>
        <v>95438050</v>
      </c>
      <c r="K55" s="1951">
        <v>96829700</v>
      </c>
      <c r="L55" s="1954">
        <v>102603800</v>
      </c>
      <c r="M55" s="240"/>
      <c r="Q55" s="129"/>
      <c r="R55" s="130"/>
    </row>
    <row r="56" spans="1:18" ht="11.25" customHeight="1">
      <c r="A56" s="1102" t="s">
        <v>129</v>
      </c>
      <c r="B56" s="1018"/>
      <c r="C56" s="1951"/>
      <c r="D56" s="1951"/>
      <c r="E56" s="1960"/>
      <c r="F56" s="1961"/>
      <c r="G56" s="1951"/>
      <c r="H56" s="1962"/>
      <c r="I56" s="1961"/>
      <c r="J56" s="1953"/>
      <c r="K56" s="1951"/>
      <c r="L56" s="1954"/>
      <c r="M56" s="240"/>
      <c r="Q56" s="129"/>
      <c r="R56" s="130"/>
    </row>
    <row r="57" spans="1:18" ht="11.25" customHeight="1">
      <c r="A57" s="1101" t="s">
        <v>130</v>
      </c>
      <c r="B57" s="962"/>
      <c r="C57" s="963">
        <f>SUM(C58:C61)</f>
        <v>12288736</v>
      </c>
      <c r="D57" s="963">
        <f t="shared" ref="D57:L57" si="7">SUM(D58:D61)</f>
        <v>13444078</v>
      </c>
      <c r="E57" s="964">
        <f t="shared" si="7"/>
        <v>36086138</v>
      </c>
      <c r="F57" s="965">
        <f t="shared" si="7"/>
        <v>35085000</v>
      </c>
      <c r="G57" s="963">
        <f t="shared" si="7"/>
        <v>50932675</v>
      </c>
      <c r="H57" s="966">
        <f t="shared" si="7"/>
        <v>50932675</v>
      </c>
      <c r="I57" s="965">
        <f t="shared" si="7"/>
        <v>50932675</v>
      </c>
      <c r="J57" s="967">
        <f t="shared" si="7"/>
        <v>30000000</v>
      </c>
      <c r="K57" s="963">
        <f t="shared" si="7"/>
        <v>8384000</v>
      </c>
      <c r="L57" s="1231">
        <f t="shared" si="7"/>
        <v>8786432</v>
      </c>
      <c r="M57" s="240"/>
      <c r="Q57" s="129"/>
      <c r="R57" s="130"/>
    </row>
    <row r="58" spans="1:18" ht="11.25" customHeight="1">
      <c r="A58" s="1102" t="s">
        <v>2380</v>
      </c>
      <c r="B58" s="1018"/>
      <c r="C58" s="2797">
        <v>12288736</v>
      </c>
      <c r="D58" s="2797">
        <v>13444078</v>
      </c>
      <c r="E58" s="2798">
        <v>36071006</v>
      </c>
      <c r="F58" s="1961">
        <v>35000000</v>
      </c>
      <c r="G58" s="1951">
        <v>50847675</v>
      </c>
      <c r="H58" s="1962">
        <v>50847675</v>
      </c>
      <c r="I58" s="1962">
        <v>50847675</v>
      </c>
      <c r="J58" s="1953">
        <v>30000000</v>
      </c>
      <c r="K58" s="1951">
        <v>8384000</v>
      </c>
      <c r="L58" s="1954">
        <v>8786432</v>
      </c>
      <c r="M58" s="240"/>
      <c r="Q58" s="129"/>
      <c r="R58" s="130"/>
    </row>
    <row r="59" spans="1:18" ht="11.25" customHeight="1">
      <c r="A59" s="1102" t="s">
        <v>2381</v>
      </c>
      <c r="B59" s="1018"/>
      <c r="C59" s="2797">
        <v>0</v>
      </c>
      <c r="D59" s="2797">
        <v>0</v>
      </c>
      <c r="E59" s="2798">
        <v>0</v>
      </c>
      <c r="F59" s="1961"/>
      <c r="G59" s="1951">
        <v>0</v>
      </c>
      <c r="H59" s="1962">
        <v>0</v>
      </c>
      <c r="I59" s="1961">
        <v>0</v>
      </c>
      <c r="J59" s="1953"/>
      <c r="K59" s="1951"/>
      <c r="L59" s="1954"/>
      <c r="M59" s="240"/>
      <c r="Q59" s="129"/>
      <c r="R59" s="130"/>
    </row>
    <row r="60" spans="1:18" ht="11.25" customHeight="1">
      <c r="A60" s="1102" t="s">
        <v>993</v>
      </c>
      <c r="B60" s="1018"/>
      <c r="C60" s="2799">
        <v>0</v>
      </c>
      <c r="D60" s="2799">
        <v>0</v>
      </c>
      <c r="E60" s="2800">
        <v>0</v>
      </c>
      <c r="F60" s="1968"/>
      <c r="G60" s="1964">
        <v>0</v>
      </c>
      <c r="H60" s="1969">
        <v>0</v>
      </c>
      <c r="I60" s="1968">
        <v>0</v>
      </c>
      <c r="J60" s="1970"/>
      <c r="K60" s="1964"/>
      <c r="L60" s="1965"/>
      <c r="M60" s="240"/>
      <c r="Q60" s="129"/>
      <c r="R60" s="130"/>
    </row>
    <row r="61" spans="1:18" ht="11.25" customHeight="1">
      <c r="A61" s="1102" t="s">
        <v>994</v>
      </c>
      <c r="B61" s="1018"/>
      <c r="C61" s="2797">
        <v>0</v>
      </c>
      <c r="D61" s="2797">
        <v>0</v>
      </c>
      <c r="E61" s="2798">
        <v>15132</v>
      </c>
      <c r="F61" s="1961">
        <v>85000</v>
      </c>
      <c r="G61" s="1951">
        <v>85000</v>
      </c>
      <c r="H61" s="1962">
        <v>85000</v>
      </c>
      <c r="I61" s="1961">
        <v>85000</v>
      </c>
      <c r="J61" s="1953"/>
      <c r="K61" s="1951"/>
      <c r="L61" s="1954"/>
      <c r="M61" s="240"/>
      <c r="Q61" s="129"/>
      <c r="R61" s="130"/>
    </row>
    <row r="62" spans="1:18" ht="11.25" customHeight="1">
      <c r="A62" s="1101" t="s">
        <v>245</v>
      </c>
      <c r="B62" s="962"/>
      <c r="C62" s="2801">
        <v>0</v>
      </c>
      <c r="D62" s="2801">
        <v>0</v>
      </c>
      <c r="E62" s="2802">
        <v>0</v>
      </c>
      <c r="F62" s="1977"/>
      <c r="G62" s="1975"/>
      <c r="H62" s="1405"/>
      <c r="I62" s="1977"/>
      <c r="J62" s="1978"/>
      <c r="K62" s="1979"/>
      <c r="L62" s="1980"/>
      <c r="M62" s="240"/>
      <c r="Q62" s="129"/>
      <c r="R62" s="130"/>
    </row>
    <row r="63" spans="1:18">
      <c r="A63" s="205" t="s">
        <v>2459</v>
      </c>
      <c r="B63" s="179">
        <v>3</v>
      </c>
      <c r="C63" s="104">
        <f>C43+C47+C53+C57+C62</f>
        <v>76418008</v>
      </c>
      <c r="D63" s="104">
        <f t="shared" ref="D63:K63" si="8">D43+D47+D53+D57+D62</f>
        <v>48900537</v>
      </c>
      <c r="E63" s="225">
        <f t="shared" si="8"/>
        <v>103482439</v>
      </c>
      <c r="F63" s="226">
        <f t="shared" si="8"/>
        <v>142719850</v>
      </c>
      <c r="G63" s="104">
        <f t="shared" si="8"/>
        <v>154392765</v>
      </c>
      <c r="H63" s="225">
        <f t="shared" si="8"/>
        <v>154392765</v>
      </c>
      <c r="I63" s="103">
        <f t="shared" si="8"/>
        <v>154392765</v>
      </c>
      <c r="J63" s="226">
        <f t="shared" si="8"/>
        <v>130973050</v>
      </c>
      <c r="K63" s="104">
        <f t="shared" si="8"/>
        <v>106148700</v>
      </c>
      <c r="L63" s="225">
        <f>L43+L47+L53+L57+L62</f>
        <v>112325232</v>
      </c>
      <c r="M63" s="240"/>
    </row>
    <row r="64" spans="1:18" ht="4.9000000000000004" customHeight="1">
      <c r="A64" s="74"/>
      <c r="B64" s="167"/>
      <c r="C64" s="95"/>
      <c r="D64" s="95"/>
      <c r="E64" s="94"/>
      <c r="F64" s="97"/>
      <c r="G64" s="95"/>
      <c r="H64" s="96"/>
      <c r="I64" s="94"/>
      <c r="J64" s="97"/>
      <c r="K64" s="95"/>
      <c r="L64" s="96"/>
      <c r="M64" s="240"/>
    </row>
    <row r="65" spans="1:13" ht="11.25" customHeight="1">
      <c r="A65" s="58" t="s">
        <v>422</v>
      </c>
      <c r="B65" s="167"/>
      <c r="C65" s="80"/>
      <c r="D65" s="80"/>
      <c r="E65" s="79"/>
      <c r="F65" s="82"/>
      <c r="G65" s="80"/>
      <c r="H65" s="81"/>
      <c r="I65" s="79"/>
      <c r="J65" s="82"/>
      <c r="K65" s="80"/>
      <c r="L65" s="81"/>
      <c r="M65" s="240"/>
    </row>
    <row r="66" spans="1:13" ht="11.25" customHeight="1">
      <c r="A66" s="287" t="s">
        <v>1363</v>
      </c>
      <c r="B66" s="167"/>
      <c r="C66" s="2803">
        <v>58687861</v>
      </c>
      <c r="D66" s="2803">
        <v>35960391</v>
      </c>
      <c r="E66" s="2804">
        <v>85470334</v>
      </c>
      <c r="F66" s="1961">
        <v>84749850</v>
      </c>
      <c r="G66" s="1951">
        <v>89549850</v>
      </c>
      <c r="H66" s="1960">
        <v>89549850</v>
      </c>
      <c r="I66" s="1960">
        <v>89549850</v>
      </c>
      <c r="J66" s="1961">
        <v>88938050</v>
      </c>
      <c r="K66" s="1951">
        <v>96829700</v>
      </c>
      <c r="L66" s="1960">
        <v>102603800</v>
      </c>
      <c r="M66" s="240"/>
    </row>
    <row r="67" spans="1:13" ht="11.25" customHeight="1">
      <c r="A67" s="287" t="s">
        <v>470</v>
      </c>
      <c r="B67" s="167"/>
      <c r="C67" s="2805">
        <v>0</v>
      </c>
      <c r="D67" s="2803">
        <v>0</v>
      </c>
      <c r="E67" s="2804">
        <v>0</v>
      </c>
      <c r="F67" s="1961"/>
      <c r="G67" s="1951"/>
      <c r="H67" s="1960"/>
      <c r="I67" s="1962"/>
      <c r="J67" s="1961"/>
      <c r="K67" s="1951"/>
      <c r="L67" s="1960"/>
      <c r="M67" s="240"/>
    </row>
    <row r="68" spans="1:13" ht="11.25" customHeight="1">
      <c r="A68" s="287" t="s">
        <v>471</v>
      </c>
      <c r="B68" s="167"/>
      <c r="C68" s="2805">
        <v>0</v>
      </c>
      <c r="D68" s="2805">
        <v>0</v>
      </c>
      <c r="E68" s="2805">
        <v>0</v>
      </c>
      <c r="F68" s="1968"/>
      <c r="G68" s="1964"/>
      <c r="H68" s="1967"/>
      <c r="I68" s="1962"/>
      <c r="J68" s="1968"/>
      <c r="K68" s="1964"/>
      <c r="L68" s="1967"/>
      <c r="M68" s="240"/>
    </row>
    <row r="69" spans="1:13" ht="79.5" customHeight="1">
      <c r="A69" s="2599" t="str">
        <f>'A4-FinPerf RE'!A39</f>
        <v>Transfers and subsidies - capital (monetary allocations) (National / Provincial Departmental Agencies, Households, Non-profit Institutions, Private Enterprises, Public Corporatons, Higher Educational Institutions)</v>
      </c>
      <c r="B69" s="167"/>
      <c r="C69" s="2805">
        <v>0</v>
      </c>
      <c r="D69" s="2805">
        <v>0</v>
      </c>
      <c r="E69" s="2806">
        <v>0</v>
      </c>
      <c r="F69" s="1968"/>
      <c r="G69" s="1964">
        <v>10000000</v>
      </c>
      <c r="H69" s="1967">
        <v>10000000</v>
      </c>
      <c r="I69" s="1961">
        <v>10000000</v>
      </c>
      <c r="J69" s="1968"/>
      <c r="K69" s="1964"/>
      <c r="L69" s="1967"/>
      <c r="M69" s="240"/>
    </row>
    <row r="70" spans="1:13" ht="12.4" customHeight="1">
      <c r="A70" s="1351" t="s">
        <v>1180</v>
      </c>
      <c r="B70" s="167">
        <v>4</v>
      </c>
      <c r="C70" s="90">
        <f t="shared" ref="C70:L70" si="9">SUM(C66:C69)</f>
        <v>58687861</v>
      </c>
      <c r="D70" s="90">
        <f t="shared" si="9"/>
        <v>35960391</v>
      </c>
      <c r="E70" s="89">
        <f t="shared" si="9"/>
        <v>85470334</v>
      </c>
      <c r="F70" s="92">
        <f t="shared" si="9"/>
        <v>84749850</v>
      </c>
      <c r="G70" s="90">
        <f t="shared" si="9"/>
        <v>99549850</v>
      </c>
      <c r="H70" s="91">
        <f t="shared" si="9"/>
        <v>99549850</v>
      </c>
      <c r="I70" s="89">
        <f t="shared" si="9"/>
        <v>99549850</v>
      </c>
      <c r="J70" s="92">
        <f t="shared" si="9"/>
        <v>88938050</v>
      </c>
      <c r="K70" s="90">
        <f t="shared" si="9"/>
        <v>96829700</v>
      </c>
      <c r="L70" s="91">
        <f t="shared" si="9"/>
        <v>102603800</v>
      </c>
      <c r="M70" s="1356"/>
    </row>
    <row r="71" spans="1:13" ht="1.9" customHeight="1">
      <c r="A71" s="286"/>
      <c r="B71" s="167"/>
      <c r="C71" s="1279"/>
      <c r="D71" s="900"/>
      <c r="E71" s="903"/>
      <c r="F71" s="902"/>
      <c r="G71" s="900"/>
      <c r="H71" s="901"/>
      <c r="I71" s="903"/>
      <c r="J71" s="902"/>
      <c r="K71" s="900"/>
      <c r="L71" s="901"/>
      <c r="M71" s="240"/>
    </row>
    <row r="72" spans="1:13" ht="12.4" customHeight="1">
      <c r="A72" s="286" t="s">
        <v>1122</v>
      </c>
      <c r="B72" s="167">
        <v>6</v>
      </c>
      <c r="C72" s="2807">
        <v>12369033</v>
      </c>
      <c r="D72" s="2807">
        <v>12113986</v>
      </c>
      <c r="E72" s="2808">
        <v>18012105</v>
      </c>
      <c r="F72" s="1961">
        <v>23450003</v>
      </c>
      <c r="G72" s="1951">
        <v>32847676</v>
      </c>
      <c r="H72" s="1951">
        <v>32847676</v>
      </c>
      <c r="I72" s="1951">
        <v>32847676</v>
      </c>
      <c r="J72" s="1961">
        <v>22000000</v>
      </c>
      <c r="K72" s="1951"/>
      <c r="L72" s="1960"/>
      <c r="M72" s="240"/>
    </row>
    <row r="73" spans="1:13" ht="11.25" customHeight="1">
      <c r="A73" s="286" t="s">
        <v>423</v>
      </c>
      <c r="B73" s="167"/>
      <c r="C73" s="2807">
        <v>5361114</v>
      </c>
      <c r="D73" s="2807">
        <v>826160</v>
      </c>
      <c r="E73" s="2808">
        <v>0</v>
      </c>
      <c r="F73" s="1961">
        <f>34520000-3</f>
        <v>34519997</v>
      </c>
      <c r="G73" s="1951">
        <f>21995242-3</f>
        <v>21995239</v>
      </c>
      <c r="H73" s="1951">
        <f t="shared" ref="H73:I73" si="10">21995242-3</f>
        <v>21995239</v>
      </c>
      <c r="I73" s="1951">
        <f t="shared" si="10"/>
        <v>21995239</v>
      </c>
      <c r="J73" s="1961">
        <f>12000000+6000000+235000+1500000+1500000-200000-1000000</f>
        <v>20035000</v>
      </c>
      <c r="K73" s="1951">
        <f>9084000+235000</f>
        <v>9319000</v>
      </c>
      <c r="L73" s="1960">
        <f>9486432+235000</f>
        <v>9721432</v>
      </c>
      <c r="M73" s="240"/>
    </row>
    <row r="74" spans="1:13">
      <c r="A74" s="101" t="s">
        <v>670</v>
      </c>
      <c r="B74" s="179">
        <v>7</v>
      </c>
      <c r="C74" s="107">
        <f>+C70+C72+C73</f>
        <v>76418008</v>
      </c>
      <c r="D74" s="107">
        <f t="shared" ref="D74:L74" si="11">+D70+D72+D73</f>
        <v>48900537</v>
      </c>
      <c r="E74" s="108">
        <f t="shared" si="11"/>
        <v>103482439</v>
      </c>
      <c r="F74" s="106">
        <f t="shared" si="11"/>
        <v>142719850</v>
      </c>
      <c r="G74" s="107">
        <f t="shared" si="11"/>
        <v>154392765</v>
      </c>
      <c r="H74" s="105">
        <f t="shared" si="11"/>
        <v>154392765</v>
      </c>
      <c r="I74" s="105">
        <f t="shared" si="11"/>
        <v>154392765</v>
      </c>
      <c r="J74" s="106">
        <f t="shared" si="11"/>
        <v>130973050</v>
      </c>
      <c r="K74" s="107">
        <f t="shared" si="11"/>
        <v>106148700</v>
      </c>
      <c r="L74" s="105">
        <f t="shared" si="11"/>
        <v>112325232</v>
      </c>
      <c r="M74" s="240"/>
    </row>
    <row r="75" spans="1:13" s="576" customFormat="1">
      <c r="A75" s="1063" t="str">
        <f>head27a</f>
        <v>References</v>
      </c>
      <c r="B75" s="1024"/>
      <c r="C75" s="1027"/>
      <c r="D75" s="1027"/>
      <c r="E75" s="1027"/>
      <c r="F75" s="1027"/>
      <c r="G75" s="1027"/>
      <c r="H75" s="1027"/>
      <c r="I75" s="1027"/>
      <c r="J75" s="1027"/>
      <c r="K75" s="1027"/>
      <c r="L75" s="1027"/>
      <c r="M75" s="923"/>
    </row>
    <row r="76" spans="1:13" s="576" customFormat="1" ht="12" customHeight="1">
      <c r="A76" s="1025" t="s">
        <v>166</v>
      </c>
      <c r="B76" s="1024"/>
      <c r="C76" s="1026"/>
      <c r="D76" s="1026"/>
      <c r="E76" s="1027"/>
      <c r="F76" s="1027"/>
      <c r="G76" s="1027"/>
      <c r="H76" s="1027"/>
      <c r="I76" s="1027"/>
      <c r="J76" s="1027"/>
      <c r="K76" s="1027"/>
      <c r="L76" s="1027"/>
      <c r="M76" s="923"/>
    </row>
    <row r="77" spans="1:13" s="576" customFormat="1" ht="12" customHeight="1">
      <c r="A77" s="2862" t="s">
        <v>906</v>
      </c>
      <c r="B77" s="2862"/>
      <c r="C77" s="2862"/>
      <c r="D77" s="2862"/>
      <c r="E77" s="2862"/>
      <c r="F77" s="2862"/>
      <c r="G77" s="2862"/>
      <c r="H77" s="2862"/>
      <c r="I77" s="2862"/>
      <c r="J77" s="2862"/>
      <c r="K77" s="2862"/>
      <c r="L77" s="2862"/>
      <c r="M77" s="923"/>
    </row>
    <row r="78" spans="1:13" s="576" customFormat="1" ht="12" customHeight="1">
      <c r="A78" s="2862" t="s">
        <v>2471</v>
      </c>
      <c r="B78" s="2862"/>
      <c r="C78" s="2862"/>
      <c r="D78" s="2862"/>
      <c r="E78" s="2862"/>
      <c r="F78" s="2862"/>
      <c r="G78" s="2862"/>
      <c r="H78" s="2862"/>
      <c r="I78" s="2862"/>
      <c r="J78" s="2862"/>
      <c r="K78" s="2862"/>
      <c r="L78" s="2862"/>
      <c r="M78" s="923"/>
    </row>
    <row r="79" spans="1:13" s="576" customFormat="1" ht="12" customHeight="1">
      <c r="A79" s="2863" t="s">
        <v>907</v>
      </c>
      <c r="B79" s="2863"/>
      <c r="C79" s="2863"/>
      <c r="D79" s="2863"/>
      <c r="E79" s="2863"/>
      <c r="F79" s="2863"/>
      <c r="G79" s="2863"/>
      <c r="H79" s="2863"/>
      <c r="I79" s="2863"/>
      <c r="J79" s="2863"/>
      <c r="K79" s="2863"/>
      <c r="L79" s="2863"/>
      <c r="M79" s="923"/>
    </row>
    <row r="80" spans="1:13" s="576" customFormat="1" ht="12" customHeight="1">
      <c r="A80" s="1025"/>
      <c r="B80" s="1097"/>
      <c r="C80" s="1097"/>
      <c r="D80" s="1097"/>
      <c r="E80" s="1097"/>
      <c r="F80" s="1097"/>
      <c r="G80" s="1097"/>
      <c r="H80" s="1097"/>
      <c r="I80" s="1097"/>
      <c r="J80" s="1097"/>
      <c r="K80" s="1097"/>
      <c r="L80" s="1097"/>
      <c r="M80" s="923"/>
    </row>
    <row r="81" spans="1:13" s="576" customFormat="1" ht="12" customHeight="1">
      <c r="A81" s="1025" t="s">
        <v>908</v>
      </c>
      <c r="B81" s="1097"/>
      <c r="C81" s="1097"/>
      <c r="D81" s="1097"/>
      <c r="E81" s="1097"/>
      <c r="F81" s="1097"/>
      <c r="G81" s="1097"/>
      <c r="H81" s="1097"/>
      <c r="I81" s="1097"/>
      <c r="J81" s="1097"/>
      <c r="K81" s="1097"/>
      <c r="L81" s="1097"/>
      <c r="M81" s="923"/>
    </row>
    <row r="82" spans="1:13" s="576" customFormat="1" ht="12" customHeight="1">
      <c r="A82" s="1025" t="s">
        <v>167</v>
      </c>
      <c r="B82" s="1024"/>
      <c r="C82" s="1026"/>
      <c r="D82" s="1026"/>
      <c r="E82" s="1027"/>
      <c r="F82" s="1027"/>
      <c r="G82" s="1027"/>
      <c r="H82" s="1027"/>
      <c r="I82" s="1027"/>
      <c r="J82" s="1027"/>
      <c r="K82" s="1027"/>
      <c r="L82" s="1027"/>
      <c r="M82" s="923"/>
    </row>
    <row r="83" spans="1:13" s="897" customFormat="1" ht="12" customHeight="1">
      <c r="A83" s="2861" t="s">
        <v>1277</v>
      </c>
      <c r="B83" s="2861"/>
      <c r="C83" s="2861"/>
      <c r="D83" s="2861"/>
      <c r="E83" s="2861"/>
      <c r="F83" s="2861"/>
      <c r="G83" s="2861"/>
      <c r="H83" s="2861"/>
      <c r="I83" s="2861"/>
      <c r="J83" s="2861"/>
      <c r="K83" s="2861"/>
      <c r="L83" s="2861"/>
      <c r="M83" s="1357"/>
    </row>
    <row r="84" spans="1:13" s="897" customFormat="1" ht="11.25" customHeight="1">
      <c r="M84" s="1357"/>
    </row>
    <row r="85" spans="1:13" ht="11.25" customHeight="1">
      <c r="A85" s="162" t="s">
        <v>248</v>
      </c>
      <c r="B85" s="120"/>
      <c r="C85" s="211">
        <f>IF((C63-C74)=0,0,"Unbalanced")</f>
        <v>0</v>
      </c>
      <c r="D85" s="211">
        <f t="shared" ref="D85:L85" si="12">IF((D63-D74)=0,0,"Unbalanced")</f>
        <v>0</v>
      </c>
      <c r="E85" s="211">
        <f t="shared" si="12"/>
        <v>0</v>
      </c>
      <c r="F85" s="211">
        <f t="shared" si="12"/>
        <v>0</v>
      </c>
      <c r="G85" s="211">
        <f t="shared" si="12"/>
        <v>0</v>
      </c>
      <c r="H85" s="211">
        <f t="shared" si="12"/>
        <v>0</v>
      </c>
      <c r="I85" s="211">
        <f t="shared" si="12"/>
        <v>0</v>
      </c>
      <c r="J85" s="211">
        <f t="shared" si="12"/>
        <v>0</v>
      </c>
      <c r="K85" s="211">
        <f t="shared" si="12"/>
        <v>0</v>
      </c>
      <c r="L85" s="211">
        <f t="shared" si="12"/>
        <v>0</v>
      </c>
    </row>
    <row r="86" spans="1:13" ht="11.25" customHeight="1">
      <c r="A86" s="162"/>
      <c r="C86" s="211"/>
      <c r="D86" s="211"/>
      <c r="E86" s="212"/>
      <c r="F86" s="213"/>
      <c r="G86" s="212"/>
      <c r="H86" s="212"/>
      <c r="I86" s="212"/>
      <c r="J86" s="212"/>
      <c r="K86" s="212"/>
      <c r="L86" s="212"/>
    </row>
    <row r="87" spans="1:13" ht="11.25" customHeight="1"/>
    <row r="88" spans="1:13" ht="11.25" customHeight="1"/>
    <row r="89" spans="1:13" ht="11.25" customHeight="1"/>
    <row r="90" spans="1:13" ht="11.25" customHeight="1"/>
    <row r="91" spans="1:13" ht="11.25" customHeight="1"/>
    <row r="92" spans="1:13" ht="11.25" customHeight="1"/>
    <row r="93" spans="1:13" ht="11.25" customHeight="1"/>
    <row r="94" spans="1:13" ht="11.25" customHeight="1"/>
    <row r="95" spans="1:13" ht="11.25" customHeight="1"/>
    <row r="96" spans="1:1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sheetData>
  <sheetProtection sheet="1" objects="1" scenarios="1"/>
  <mergeCells count="6">
    <mergeCell ref="J2:L2"/>
    <mergeCell ref="F2:I2"/>
    <mergeCell ref="A83:L83"/>
    <mergeCell ref="A78:L78"/>
    <mergeCell ref="A77:L77"/>
    <mergeCell ref="A79:L79"/>
  </mergeCells>
  <phoneticPr fontId="5"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342" zoomScaleNormal="100" workbookViewId="0">
      <selection activeCell="J354" sqref="J354"/>
    </sheetView>
  </sheetViews>
  <sheetFormatPr defaultColWidth="9.140625"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3.42578125" style="26" customWidth="1"/>
    <col min="14" max="14" width="10.140625" style="26" customWidth="1"/>
    <col min="15" max="15" width="9.7109375" style="26" customWidth="1"/>
    <col min="16" max="16" width="9.42578125" style="26" customWidth="1"/>
    <col min="17" max="17" width="10" style="26" customWidth="1"/>
    <col min="18" max="18" width="10.140625" style="26" customWidth="1"/>
    <col min="19" max="19" width="9.7109375" style="26" customWidth="1"/>
    <col min="20" max="20" width="9.42578125" style="26" customWidth="1"/>
    <col min="21" max="21" width="10" style="26" customWidth="1"/>
    <col min="22" max="22" width="9.42578125" style="26" customWidth="1"/>
    <col min="23" max="24" width="9.7109375" style="26" customWidth="1"/>
    <col min="25" max="16384" width="9.140625" style="26"/>
  </cols>
  <sheetData>
    <row r="1" spans="1:24" s="56" customFormat="1">
      <c r="A1" s="24" t="str">
        <f>muni&amp;" - "&amp;Approve5</f>
        <v>LIM333 Greater Tzaneen - Table A5 Consolidated Budgeted Capital Expenditure by vote, functional classification and funding</v>
      </c>
      <c r="B1" s="24"/>
      <c r="C1" s="24"/>
      <c r="D1" s="24"/>
      <c r="E1" s="24"/>
      <c r="F1" s="24"/>
      <c r="G1" s="24"/>
      <c r="H1" s="24"/>
      <c r="I1" s="24"/>
      <c r="J1" s="24"/>
      <c r="K1" s="24"/>
      <c r="L1" s="24"/>
    </row>
    <row r="2" spans="1:24" ht="28.5" customHeight="1">
      <c r="A2" s="831" t="str">
        <f>Vdesc</f>
        <v>Vote Description</v>
      </c>
      <c r="B2" s="288" t="str">
        <f>head27</f>
        <v>Ref</v>
      </c>
      <c r="C2" s="27" t="str">
        <f>head1b</f>
        <v>2016/17</v>
      </c>
      <c r="D2" s="27" t="str">
        <f>head1A</f>
        <v>2017/18</v>
      </c>
      <c r="E2" s="23" t="str">
        <f>Head1</f>
        <v>2018/19</v>
      </c>
      <c r="F2" s="2842" t="str">
        <f>Head2</f>
        <v>Current Year 2019/20</v>
      </c>
      <c r="G2" s="2843"/>
      <c r="H2" s="2843"/>
      <c r="I2" s="2843"/>
      <c r="J2" s="2839" t="str">
        <f>Head3</f>
        <v>2020/21 Medium Term Revenue &amp; Expenditure Framework</v>
      </c>
      <c r="K2" s="2840"/>
      <c r="L2" s="2841"/>
      <c r="N2" s="2864" t="str">
        <f>"Multi-year appropriation for "&amp;Head9&amp;
"
 in the "&amp;Head2A&amp;" Annual Budget"</f>
        <v>Multi-year appropriation for Budget Year 2020/21
 in the 2019/20 Annual Budget</v>
      </c>
      <c r="O2" s="2840"/>
      <c r="P2" s="2840"/>
      <c r="Q2" s="2841"/>
      <c r="R2" s="2864" t="str">
        <f>"Multi-year appropriation for "&amp;RIGHT(Head10,7)&amp;
"
 in the "&amp;Head2A&amp;" Annual Budget"</f>
        <v>Multi-year appropriation for 2021/22
 in the 2019/20 Annual Budget</v>
      </c>
      <c r="S2" s="2840"/>
      <c r="T2" s="2840"/>
      <c r="U2" s="2841"/>
      <c r="V2" s="2839" t="s">
        <v>1955</v>
      </c>
      <c r="W2" s="2840"/>
      <c r="X2" s="2841"/>
    </row>
    <row r="3" spans="1:24" ht="38.25">
      <c r="A3" s="57" t="s">
        <v>569</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c r="N3" s="172" t="str">
        <f>"Appropriation for "&amp;RIGHT(Head9,7)</f>
        <v>Appropriation for 2020/21</v>
      </c>
      <c r="O3" s="260" t="str">
        <f>"Adjustments in "&amp;Head2A</f>
        <v>Adjustments in 2019/20</v>
      </c>
      <c r="P3" s="261" t="str">
        <f>"Downward adjustments for "&amp;RIGHT(Head9,7)</f>
        <v>Downward adjustments for 2020/21</v>
      </c>
      <c r="Q3" s="259" t="s">
        <v>1956</v>
      </c>
      <c r="R3" s="172" t="str">
        <f>"Appropriation for "&amp;RIGHT(Head9,7)</f>
        <v>Appropriation for 2020/21</v>
      </c>
      <c r="S3" s="260" t="str">
        <f>"Adjustments in "&amp;Head2A</f>
        <v>Adjustments in 2019/20</v>
      </c>
      <c r="T3" s="261" t="str">
        <f>"Downward adjustments for "&amp;RIGHT(Head9,7)</f>
        <v>Downward adjustments for 2020/21</v>
      </c>
      <c r="U3" s="1600" t="s">
        <v>1956</v>
      </c>
      <c r="V3" s="259" t="str">
        <f>Head9</f>
        <v>Budget Year 2020/21</v>
      </c>
      <c r="W3" s="260" t="str">
        <f>Head10</f>
        <v>Budget Year +1 2021/22</v>
      </c>
      <c r="X3" s="261" t="str">
        <f>Head11</f>
        <v>Budget Year +2 2022/23</v>
      </c>
    </row>
    <row r="4" spans="1:24">
      <c r="A4" s="58" t="s">
        <v>1570</v>
      </c>
      <c r="B4" s="165"/>
      <c r="C4" s="184"/>
      <c r="D4" s="184"/>
      <c r="E4" s="185"/>
      <c r="F4" s="186"/>
      <c r="G4" s="184"/>
      <c r="H4" s="187"/>
      <c r="I4" s="185"/>
      <c r="J4" s="214"/>
      <c r="K4" s="184"/>
      <c r="L4" s="725"/>
      <c r="N4" s="186"/>
      <c r="O4" s="184"/>
      <c r="P4" s="187"/>
      <c r="Q4" s="185"/>
      <c r="R4" s="186"/>
      <c r="S4" s="184"/>
      <c r="T4" s="185"/>
      <c r="U4" s="289"/>
      <c r="V4" s="185"/>
      <c r="W4" s="184"/>
      <c r="X4" s="725"/>
    </row>
    <row r="5" spans="1:24" ht="11.25" customHeight="1">
      <c r="A5" s="58" t="s">
        <v>330</v>
      </c>
      <c r="B5" s="167">
        <v>2</v>
      </c>
      <c r="C5" s="188"/>
      <c r="D5" s="188"/>
      <c r="E5" s="189"/>
      <c r="F5" s="190"/>
      <c r="G5" s="188"/>
      <c r="H5" s="191"/>
      <c r="I5" s="189"/>
      <c r="J5" s="276"/>
      <c r="K5" s="188"/>
      <c r="L5" s="849"/>
      <c r="N5" s="190"/>
      <c r="O5" s="188"/>
      <c r="P5" s="191"/>
      <c r="Q5" s="189"/>
      <c r="R5" s="190"/>
      <c r="S5" s="188"/>
      <c r="T5" s="189"/>
      <c r="U5" s="793"/>
      <c r="V5" s="189"/>
      <c r="W5" s="188"/>
      <c r="X5" s="849"/>
    </row>
    <row r="6" spans="1:24" ht="15" customHeight="1">
      <c r="A6" s="1000" t="str">
        <f>'Org structure'!A2</f>
        <v>Vote 1 - Municipal Manager</v>
      </c>
      <c r="B6" s="837"/>
      <c r="C6" s="832">
        <f>SUM(C7:C16)</f>
        <v>0</v>
      </c>
      <c r="D6" s="832">
        <f t="shared" ref="D6:L6" si="0">SUM(D7:D16)</f>
        <v>0</v>
      </c>
      <c r="E6" s="833">
        <f t="shared" si="0"/>
        <v>0</v>
      </c>
      <c r="F6" s="834">
        <f t="shared" si="0"/>
        <v>0</v>
      </c>
      <c r="G6" s="832">
        <f t="shared" si="0"/>
        <v>0</v>
      </c>
      <c r="H6" s="833">
        <f t="shared" si="0"/>
        <v>0</v>
      </c>
      <c r="I6" s="804">
        <f>SUM(I7:I16)</f>
        <v>0</v>
      </c>
      <c r="J6" s="836">
        <f t="shared" si="0"/>
        <v>0</v>
      </c>
      <c r="K6" s="832">
        <f t="shared" si="0"/>
        <v>0</v>
      </c>
      <c r="L6" s="1771">
        <f t="shared" si="0"/>
        <v>0</v>
      </c>
      <c r="M6" s="1003"/>
      <c r="N6" s="834">
        <f t="shared" ref="N6:U6" si="1">SUM(N7:N16)</f>
        <v>0</v>
      </c>
      <c r="O6" s="832">
        <f t="shared" si="1"/>
        <v>0</v>
      </c>
      <c r="P6" s="833">
        <f t="shared" si="1"/>
        <v>0</v>
      </c>
      <c r="Q6" s="833">
        <f t="shared" si="1"/>
        <v>0</v>
      </c>
      <c r="R6" s="834">
        <f t="shared" si="1"/>
        <v>0</v>
      </c>
      <c r="S6" s="832">
        <f t="shared" si="1"/>
        <v>0</v>
      </c>
      <c r="T6" s="1769">
        <f t="shared" si="1"/>
        <v>0</v>
      </c>
      <c r="U6" s="1765">
        <f t="shared" si="1"/>
        <v>0</v>
      </c>
      <c r="V6" s="835">
        <f>SUM(V7:V16)</f>
        <v>0</v>
      </c>
      <c r="W6" s="832">
        <f>SUM(W7:W16)</f>
        <v>0</v>
      </c>
      <c r="X6" s="1771">
        <f>SUM(X7:X16)</f>
        <v>0</v>
      </c>
    </row>
    <row r="7" spans="1:24" ht="11.25" customHeight="1">
      <c r="A7" s="1001" t="str">
        <f>'Org structure'!E3</f>
        <v>1.1 - Administration Municipal Manager</v>
      </c>
      <c r="B7" s="167"/>
      <c r="C7" s="1402"/>
      <c r="D7" s="1402"/>
      <c r="E7" s="1960"/>
      <c r="F7" s="1958"/>
      <c r="G7" s="1402"/>
      <c r="H7" s="1957"/>
      <c r="I7" s="1403"/>
      <c r="J7" s="1772">
        <f>Q7+V7</f>
        <v>0</v>
      </c>
      <c r="K7" s="803">
        <f>U7+W7</f>
        <v>0</v>
      </c>
      <c r="L7" s="1773">
        <f>X7</f>
        <v>0</v>
      </c>
      <c r="M7" s="1002"/>
      <c r="N7" s="1958"/>
      <c r="O7" s="1402"/>
      <c r="P7" s="1957"/>
      <c r="Q7" s="834">
        <f>SUM(N7:P7)</f>
        <v>0</v>
      </c>
      <c r="R7" s="1958"/>
      <c r="S7" s="1402"/>
      <c r="T7" s="1403"/>
      <c r="U7" s="1765">
        <f>SUM(R7:T7)</f>
        <v>0</v>
      </c>
      <c r="V7" s="1403"/>
      <c r="W7" s="1402"/>
      <c r="X7" s="1404"/>
    </row>
    <row r="8" spans="1:24" ht="11.25" customHeight="1">
      <c r="A8" s="1001" t="str">
        <f>'Org structure'!E4</f>
        <v>1.2 - Internal Audit</v>
      </c>
      <c r="B8" s="167"/>
      <c r="C8" s="1402"/>
      <c r="D8" s="1402"/>
      <c r="E8" s="1957"/>
      <c r="F8" s="1958"/>
      <c r="G8" s="1402"/>
      <c r="H8" s="1957"/>
      <c r="I8" s="1403"/>
      <c r="J8" s="1772">
        <f>Q8+V8</f>
        <v>0</v>
      </c>
      <c r="K8" s="803">
        <f>U8+W8</f>
        <v>0</v>
      </c>
      <c r="L8" s="1773">
        <f t="shared" ref="L8:L16" si="2">X8</f>
        <v>0</v>
      </c>
      <c r="M8" s="1002"/>
      <c r="N8" s="1958"/>
      <c r="O8" s="1402"/>
      <c r="P8" s="1957"/>
      <c r="Q8" s="834">
        <f t="shared" ref="Q8:Q16" si="3">SUM(N8:P8)</f>
        <v>0</v>
      </c>
      <c r="R8" s="1958"/>
      <c r="S8" s="1402"/>
      <c r="T8" s="1403"/>
      <c r="U8" s="1765">
        <f t="shared" ref="U8:U71" si="4">SUM(R8:T8)</f>
        <v>0</v>
      </c>
      <c r="V8" s="1403"/>
      <c r="W8" s="1402"/>
      <c r="X8" s="1404"/>
    </row>
    <row r="9" spans="1:24" ht="11.25" customHeight="1">
      <c r="A9" s="1001" t="str">
        <f>'Org structure'!E5</f>
        <v>1.3 - Strategic Support</v>
      </c>
      <c r="B9" s="167"/>
      <c r="C9" s="1402"/>
      <c r="D9" s="1402"/>
      <c r="E9" s="1957"/>
      <c r="F9" s="1958"/>
      <c r="G9" s="1402"/>
      <c r="H9" s="1957"/>
      <c r="I9" s="1403"/>
      <c r="J9" s="1772">
        <f t="shared" ref="J9:J16" si="5">Q9+V9</f>
        <v>0</v>
      </c>
      <c r="K9" s="803">
        <f t="shared" ref="K9:K16" si="6">U9+W9</f>
        <v>0</v>
      </c>
      <c r="L9" s="1773">
        <f t="shared" si="2"/>
        <v>0</v>
      </c>
      <c r="M9" s="1002"/>
      <c r="N9" s="1958"/>
      <c r="O9" s="1402"/>
      <c r="P9" s="1957"/>
      <c r="Q9" s="834">
        <f t="shared" si="3"/>
        <v>0</v>
      </c>
      <c r="R9" s="1958"/>
      <c r="S9" s="1402"/>
      <c r="T9" s="1403"/>
      <c r="U9" s="1765">
        <f t="shared" si="4"/>
        <v>0</v>
      </c>
      <c r="V9" s="1403"/>
      <c r="W9" s="1402"/>
      <c r="X9" s="1404"/>
    </row>
    <row r="10" spans="1:24" ht="11.25" customHeight="1">
      <c r="A10" s="1001" t="str">
        <f>'Org structure'!E6</f>
        <v>1.4 - Risk Management</v>
      </c>
      <c r="B10" s="167"/>
      <c r="C10" s="1402"/>
      <c r="D10" s="1402"/>
      <c r="E10" s="1957"/>
      <c r="F10" s="1958"/>
      <c r="G10" s="1402"/>
      <c r="H10" s="1957"/>
      <c r="I10" s="1403"/>
      <c r="J10" s="1772">
        <f t="shared" si="5"/>
        <v>0</v>
      </c>
      <c r="K10" s="803">
        <f t="shared" si="6"/>
        <v>0</v>
      </c>
      <c r="L10" s="1773">
        <f t="shared" si="2"/>
        <v>0</v>
      </c>
      <c r="M10" s="1002"/>
      <c r="N10" s="1958"/>
      <c r="O10" s="1402"/>
      <c r="P10" s="1957"/>
      <c r="Q10" s="834">
        <f t="shared" si="3"/>
        <v>0</v>
      </c>
      <c r="R10" s="1958"/>
      <c r="S10" s="1402"/>
      <c r="T10" s="1403"/>
      <c r="U10" s="1765">
        <f t="shared" si="4"/>
        <v>0</v>
      </c>
      <c r="V10" s="1403"/>
      <c r="W10" s="1402"/>
      <c r="X10" s="1404"/>
    </row>
    <row r="11" spans="1:24" ht="11.25" customHeight="1">
      <c r="A11" s="1001" t="str">
        <f>'Org structure'!E7</f>
        <v>1.5 - Council Expenditure</v>
      </c>
      <c r="B11" s="167"/>
      <c r="C11" s="1402"/>
      <c r="D11" s="1402"/>
      <c r="E11" s="1957"/>
      <c r="F11" s="1958"/>
      <c r="G11" s="1402"/>
      <c r="H11" s="1957"/>
      <c r="I11" s="1403"/>
      <c r="J11" s="1772">
        <f t="shared" si="5"/>
        <v>0</v>
      </c>
      <c r="K11" s="803">
        <f t="shared" si="6"/>
        <v>0</v>
      </c>
      <c r="L11" s="1773">
        <f>X11</f>
        <v>0</v>
      </c>
      <c r="M11" s="1002"/>
      <c r="N11" s="1958"/>
      <c r="O11" s="1402"/>
      <c r="P11" s="1957"/>
      <c r="Q11" s="834">
        <f t="shared" si="3"/>
        <v>0</v>
      </c>
      <c r="R11" s="1958"/>
      <c r="S11" s="1402"/>
      <c r="T11" s="1403"/>
      <c r="U11" s="1765">
        <f t="shared" si="4"/>
        <v>0</v>
      </c>
      <c r="V11" s="1403"/>
      <c r="W11" s="1402"/>
      <c r="X11" s="1404"/>
    </row>
    <row r="12" spans="1:24" ht="11.25" customHeight="1">
      <c r="A12" s="1001" t="str">
        <f>'Org structure'!E8</f>
        <v>1.6 - Legal Services</v>
      </c>
      <c r="B12" s="167"/>
      <c r="C12" s="1402"/>
      <c r="D12" s="1402"/>
      <c r="E12" s="1957"/>
      <c r="F12" s="1958"/>
      <c r="G12" s="1402"/>
      <c r="H12" s="1957"/>
      <c r="I12" s="1403"/>
      <c r="J12" s="1772">
        <f t="shared" si="5"/>
        <v>0</v>
      </c>
      <c r="K12" s="803">
        <f t="shared" si="6"/>
        <v>0</v>
      </c>
      <c r="L12" s="1773">
        <f t="shared" si="2"/>
        <v>0</v>
      </c>
      <c r="M12" s="1002"/>
      <c r="N12" s="1958"/>
      <c r="O12" s="1402"/>
      <c r="P12" s="1957"/>
      <c r="Q12" s="834">
        <f t="shared" si="3"/>
        <v>0</v>
      </c>
      <c r="R12" s="1958"/>
      <c r="S12" s="1402"/>
      <c r="T12" s="1403"/>
      <c r="U12" s="1765">
        <f t="shared" si="4"/>
        <v>0</v>
      </c>
      <c r="V12" s="1403"/>
      <c r="W12" s="1402"/>
      <c r="X12" s="1404"/>
    </row>
    <row r="13" spans="1:24" ht="11.25" customHeight="1">
      <c r="A13" s="1001" t="str">
        <f>'Org structure'!E9</f>
        <v>1.7 - Disaster Management</v>
      </c>
      <c r="B13" s="167"/>
      <c r="C13" s="1402"/>
      <c r="D13" s="1402"/>
      <c r="E13" s="1957"/>
      <c r="F13" s="1958"/>
      <c r="G13" s="1402"/>
      <c r="H13" s="1957"/>
      <c r="I13" s="1403"/>
      <c r="J13" s="1772">
        <f t="shared" si="5"/>
        <v>0</v>
      </c>
      <c r="K13" s="803">
        <f t="shared" si="6"/>
        <v>0</v>
      </c>
      <c r="L13" s="1773">
        <f t="shared" si="2"/>
        <v>0</v>
      </c>
      <c r="M13" s="1002"/>
      <c r="N13" s="1958"/>
      <c r="O13" s="1402"/>
      <c r="P13" s="1957"/>
      <c r="Q13" s="834">
        <f t="shared" si="3"/>
        <v>0</v>
      </c>
      <c r="R13" s="1958"/>
      <c r="S13" s="1402"/>
      <c r="T13" s="1403"/>
      <c r="U13" s="1765">
        <f t="shared" si="4"/>
        <v>0</v>
      </c>
      <c r="V13" s="1403"/>
      <c r="W13" s="1402"/>
      <c r="X13" s="1404"/>
    </row>
    <row r="14" spans="1:24" ht="11.25" customHeight="1">
      <c r="A14" s="1001">
        <f>'Org structure'!E10</f>
        <v>0</v>
      </c>
      <c r="B14" s="167"/>
      <c r="C14" s="1402"/>
      <c r="D14" s="1402"/>
      <c r="E14" s="1957"/>
      <c r="F14" s="1958"/>
      <c r="G14" s="1402"/>
      <c r="H14" s="1957"/>
      <c r="I14" s="1403"/>
      <c r="J14" s="1772">
        <f t="shared" si="5"/>
        <v>0</v>
      </c>
      <c r="K14" s="803">
        <f t="shared" si="6"/>
        <v>0</v>
      </c>
      <c r="L14" s="1773">
        <f t="shared" si="2"/>
        <v>0</v>
      </c>
      <c r="M14" s="1002"/>
      <c r="N14" s="1958"/>
      <c r="O14" s="1402"/>
      <c r="P14" s="1957"/>
      <c r="Q14" s="834">
        <f t="shared" si="3"/>
        <v>0</v>
      </c>
      <c r="R14" s="1958"/>
      <c r="S14" s="1402"/>
      <c r="T14" s="1403"/>
      <c r="U14" s="1765">
        <f t="shared" si="4"/>
        <v>0</v>
      </c>
      <c r="V14" s="1403"/>
      <c r="W14" s="1402"/>
      <c r="X14" s="1404"/>
    </row>
    <row r="15" spans="1:24" ht="11.25" customHeight="1">
      <c r="A15" s="1001">
        <f>'Org structure'!E11</f>
        <v>0</v>
      </c>
      <c r="B15" s="167"/>
      <c r="C15" s="1402"/>
      <c r="D15" s="1402"/>
      <c r="E15" s="1957"/>
      <c r="F15" s="1958"/>
      <c r="G15" s="1402"/>
      <c r="H15" s="1957"/>
      <c r="I15" s="1403"/>
      <c r="J15" s="1772">
        <f t="shared" si="5"/>
        <v>0</v>
      </c>
      <c r="K15" s="803">
        <f t="shared" si="6"/>
        <v>0</v>
      </c>
      <c r="L15" s="1773">
        <f t="shared" si="2"/>
        <v>0</v>
      </c>
      <c r="M15" s="1002"/>
      <c r="N15" s="1958"/>
      <c r="O15" s="1402"/>
      <c r="P15" s="1957"/>
      <c r="Q15" s="834">
        <f t="shared" si="3"/>
        <v>0</v>
      </c>
      <c r="R15" s="1958"/>
      <c r="S15" s="1402"/>
      <c r="T15" s="1403"/>
      <c r="U15" s="1765">
        <f t="shared" si="4"/>
        <v>0</v>
      </c>
      <c r="V15" s="1403"/>
      <c r="W15" s="1402"/>
      <c r="X15" s="1404"/>
    </row>
    <row r="16" spans="1:24" ht="11.25" customHeight="1">
      <c r="A16" s="1001">
        <f>'Org structure'!E12</f>
        <v>0</v>
      </c>
      <c r="B16" s="167"/>
      <c r="C16" s="1402"/>
      <c r="D16" s="1402"/>
      <c r="E16" s="1957"/>
      <c r="F16" s="1958"/>
      <c r="G16" s="1402"/>
      <c r="H16" s="1957"/>
      <c r="I16" s="1403"/>
      <c r="J16" s="1772">
        <f t="shared" si="5"/>
        <v>0</v>
      </c>
      <c r="K16" s="803">
        <f t="shared" si="6"/>
        <v>0</v>
      </c>
      <c r="L16" s="1773">
        <f t="shared" si="2"/>
        <v>0</v>
      </c>
      <c r="M16" s="193"/>
      <c r="N16" s="1958"/>
      <c r="O16" s="1402"/>
      <c r="P16" s="1957"/>
      <c r="Q16" s="834">
        <f t="shared" si="3"/>
        <v>0</v>
      </c>
      <c r="R16" s="1958"/>
      <c r="S16" s="1402"/>
      <c r="T16" s="1403"/>
      <c r="U16" s="1765">
        <f t="shared" si="4"/>
        <v>0</v>
      </c>
      <c r="V16" s="1403"/>
      <c r="W16" s="1402"/>
      <c r="X16" s="1404"/>
    </row>
    <row r="17" spans="1:24" ht="15" customHeight="1">
      <c r="A17" s="1000" t="str">
        <f>'Org structure'!A3</f>
        <v>Vote 2 - Planning &amp; Economic Development</v>
      </c>
      <c r="B17" s="837"/>
      <c r="C17" s="832">
        <f>SUM(C18:C27)</f>
        <v>0</v>
      </c>
      <c r="D17" s="832">
        <f t="shared" ref="D17:L17" si="7">SUM(D18:D27)</f>
        <v>0</v>
      </c>
      <c r="E17" s="833">
        <f t="shared" si="7"/>
        <v>0</v>
      </c>
      <c r="F17" s="834">
        <f t="shared" si="7"/>
        <v>0</v>
      </c>
      <c r="G17" s="832">
        <f t="shared" si="7"/>
        <v>0</v>
      </c>
      <c r="H17" s="833">
        <f t="shared" si="7"/>
        <v>0</v>
      </c>
      <c r="I17" s="835">
        <f>SUM(I18:I27)</f>
        <v>0</v>
      </c>
      <c r="J17" s="1772">
        <f t="shared" si="7"/>
        <v>0</v>
      </c>
      <c r="K17" s="803">
        <f t="shared" si="7"/>
        <v>0</v>
      </c>
      <c r="L17" s="1773">
        <f t="shared" si="7"/>
        <v>0</v>
      </c>
      <c r="M17" s="1004"/>
      <c r="N17" s="834">
        <f t="shared" ref="N17:X17" si="8">SUM(N18:N27)</f>
        <v>0</v>
      </c>
      <c r="O17" s="832">
        <f t="shared" si="8"/>
        <v>0</v>
      </c>
      <c r="P17" s="833">
        <f t="shared" si="8"/>
        <v>0</v>
      </c>
      <c r="Q17" s="834">
        <f t="shared" si="8"/>
        <v>0</v>
      </c>
      <c r="R17" s="834">
        <f t="shared" si="8"/>
        <v>0</v>
      </c>
      <c r="S17" s="832">
        <f t="shared" si="8"/>
        <v>0</v>
      </c>
      <c r="T17" s="1769">
        <f t="shared" si="8"/>
        <v>0</v>
      </c>
      <c r="U17" s="1765">
        <f t="shared" si="8"/>
        <v>0</v>
      </c>
      <c r="V17" s="1770">
        <f t="shared" si="8"/>
        <v>0</v>
      </c>
      <c r="W17" s="832">
        <f t="shared" si="8"/>
        <v>0</v>
      </c>
      <c r="X17" s="1771">
        <f t="shared" si="8"/>
        <v>0</v>
      </c>
    </row>
    <row r="18" spans="1:24" ht="11.25" customHeight="1">
      <c r="A18" s="1001" t="str">
        <f>'Org structure'!E14</f>
        <v>2.1 - Administration Strategy &amp; Development</v>
      </c>
      <c r="B18" s="167"/>
      <c r="C18" s="1402"/>
      <c r="D18" s="1402"/>
      <c r="E18" s="1957"/>
      <c r="F18" s="1958"/>
      <c r="G18" s="1402"/>
      <c r="H18" s="1957"/>
      <c r="I18" s="1403"/>
      <c r="J18" s="1772">
        <f t="shared" ref="J18:J27" si="9">Q18+V18</f>
        <v>0</v>
      </c>
      <c r="K18" s="803">
        <f t="shared" ref="K18:K27" si="10">U18+W18</f>
        <v>0</v>
      </c>
      <c r="L18" s="1773">
        <f t="shared" ref="L18:L27" si="11">X18</f>
        <v>0</v>
      </c>
      <c r="M18" s="1002"/>
      <c r="N18" s="1958"/>
      <c r="O18" s="1402"/>
      <c r="P18" s="1957"/>
      <c r="Q18" s="834">
        <f t="shared" ref="Q18:Q27" si="12">SUM(N18:P18)</f>
        <v>0</v>
      </c>
      <c r="R18" s="1958"/>
      <c r="S18" s="1402"/>
      <c r="T18" s="1403"/>
      <c r="U18" s="1765">
        <f t="shared" si="4"/>
        <v>0</v>
      </c>
      <c r="V18" s="1403"/>
      <c r="W18" s="1402"/>
      <c r="X18" s="1404"/>
    </row>
    <row r="19" spans="1:24" ht="11.25" customHeight="1">
      <c r="A19" s="1001" t="str">
        <f>'Org structure'!E15</f>
        <v>2.2 - Local Economic Development</v>
      </c>
      <c r="B19" s="167"/>
      <c r="C19" s="1402"/>
      <c r="D19" s="1402"/>
      <c r="E19" s="1957"/>
      <c r="F19" s="1958"/>
      <c r="G19" s="1402"/>
      <c r="H19" s="1957"/>
      <c r="I19" s="1403"/>
      <c r="J19" s="1772">
        <f>Q19+V19</f>
        <v>0</v>
      </c>
      <c r="K19" s="803">
        <f>U19+W19</f>
        <v>0</v>
      </c>
      <c r="L19" s="1773">
        <f t="shared" si="11"/>
        <v>0</v>
      </c>
      <c r="M19" s="1002"/>
      <c r="N19" s="1958"/>
      <c r="O19" s="1402"/>
      <c r="P19" s="1957"/>
      <c r="Q19" s="834">
        <f t="shared" si="12"/>
        <v>0</v>
      </c>
      <c r="R19" s="1958"/>
      <c r="S19" s="1402"/>
      <c r="T19" s="1403"/>
      <c r="U19" s="1765">
        <f t="shared" si="4"/>
        <v>0</v>
      </c>
      <c r="V19" s="1403"/>
      <c r="W19" s="1402"/>
      <c r="X19" s="1404"/>
    </row>
    <row r="20" spans="1:24" ht="11.25" customHeight="1">
      <c r="A20" s="1001" t="str">
        <f>'Org structure'!E16</f>
        <v>2.3 - Town &amp; Regional Planning</v>
      </c>
      <c r="B20" s="167"/>
      <c r="C20" s="1402"/>
      <c r="D20" s="1402"/>
      <c r="E20" s="1957"/>
      <c r="F20" s="1958"/>
      <c r="G20" s="1402"/>
      <c r="H20" s="1957"/>
      <c r="I20" s="1403"/>
      <c r="J20" s="1772">
        <f t="shared" si="9"/>
        <v>0</v>
      </c>
      <c r="K20" s="803">
        <f t="shared" si="10"/>
        <v>0</v>
      </c>
      <c r="L20" s="1773">
        <f t="shared" si="11"/>
        <v>0</v>
      </c>
      <c r="M20" s="1002"/>
      <c r="N20" s="1958"/>
      <c r="O20" s="1402"/>
      <c r="P20" s="1957"/>
      <c r="Q20" s="834">
        <f t="shared" si="12"/>
        <v>0</v>
      </c>
      <c r="R20" s="1958"/>
      <c r="S20" s="1402"/>
      <c r="T20" s="1403"/>
      <c r="U20" s="1765">
        <f t="shared" si="4"/>
        <v>0</v>
      </c>
      <c r="V20" s="1403"/>
      <c r="W20" s="1402"/>
      <c r="X20" s="1404"/>
    </row>
    <row r="21" spans="1:24" ht="11.25" customHeight="1">
      <c r="A21" s="1001" t="str">
        <f>'Org structure'!E17</f>
        <v>2.4 - Housing Administration</v>
      </c>
      <c r="B21" s="167"/>
      <c r="C21" s="1402"/>
      <c r="D21" s="1402"/>
      <c r="E21" s="1957"/>
      <c r="F21" s="1958"/>
      <c r="G21" s="1402"/>
      <c r="H21" s="1957"/>
      <c r="I21" s="1403"/>
      <c r="J21" s="1772">
        <f t="shared" si="9"/>
        <v>0</v>
      </c>
      <c r="K21" s="803">
        <f>U21+W21</f>
        <v>0</v>
      </c>
      <c r="L21" s="1773">
        <f t="shared" si="11"/>
        <v>0</v>
      </c>
      <c r="M21" s="1002"/>
      <c r="N21" s="1958"/>
      <c r="O21" s="1402"/>
      <c r="P21" s="1957"/>
      <c r="Q21" s="834">
        <f t="shared" si="12"/>
        <v>0</v>
      </c>
      <c r="R21" s="1958"/>
      <c r="S21" s="1402"/>
      <c r="T21" s="1403"/>
      <c r="U21" s="1765">
        <f t="shared" si="4"/>
        <v>0</v>
      </c>
      <c r="V21" s="1403"/>
      <c r="W21" s="1402"/>
      <c r="X21" s="1404"/>
    </row>
    <row r="22" spans="1:24" ht="11.25" customHeight="1">
      <c r="A22" s="1001" t="str">
        <f>'Org structure'!E18</f>
        <v>2.5 - SATELITE OFFICE: NKOWANKOWA</v>
      </c>
      <c r="B22" s="167"/>
      <c r="C22" s="1402"/>
      <c r="D22" s="1402"/>
      <c r="E22" s="1957"/>
      <c r="F22" s="1958"/>
      <c r="G22" s="1402"/>
      <c r="H22" s="1957"/>
      <c r="I22" s="1403"/>
      <c r="J22" s="1772">
        <f t="shared" si="9"/>
        <v>0</v>
      </c>
      <c r="K22" s="803">
        <f t="shared" si="10"/>
        <v>0</v>
      </c>
      <c r="L22" s="1773">
        <f t="shared" si="11"/>
        <v>0</v>
      </c>
      <c r="M22" s="1002"/>
      <c r="N22" s="1958"/>
      <c r="O22" s="1402"/>
      <c r="P22" s="1957"/>
      <c r="Q22" s="834">
        <f t="shared" si="12"/>
        <v>0</v>
      </c>
      <c r="R22" s="1958"/>
      <c r="S22" s="1402"/>
      <c r="T22" s="1403"/>
      <c r="U22" s="1765">
        <f t="shared" si="4"/>
        <v>0</v>
      </c>
      <c r="V22" s="1403"/>
      <c r="W22" s="1402"/>
      <c r="X22" s="1404"/>
    </row>
    <row r="23" spans="1:24" ht="11.25" customHeight="1">
      <c r="A23" s="1001" t="str">
        <f>'Org structure'!E19</f>
        <v>2.6 - SATELITE OFFICE: LENYENYE</v>
      </c>
      <c r="B23" s="167"/>
      <c r="C23" s="1402"/>
      <c r="D23" s="1402"/>
      <c r="E23" s="1957"/>
      <c r="F23" s="1958"/>
      <c r="G23" s="1402"/>
      <c r="H23" s="1957"/>
      <c r="I23" s="1403"/>
      <c r="J23" s="1772">
        <f t="shared" si="9"/>
        <v>0</v>
      </c>
      <c r="K23" s="803">
        <f t="shared" si="10"/>
        <v>0</v>
      </c>
      <c r="L23" s="1773">
        <f t="shared" si="11"/>
        <v>0</v>
      </c>
      <c r="M23" s="1002"/>
      <c r="N23" s="1958"/>
      <c r="O23" s="1402"/>
      <c r="P23" s="1957"/>
      <c r="Q23" s="834">
        <f t="shared" si="12"/>
        <v>0</v>
      </c>
      <c r="R23" s="1958"/>
      <c r="S23" s="1402"/>
      <c r="T23" s="1403"/>
      <c r="U23" s="1765">
        <f t="shared" si="4"/>
        <v>0</v>
      </c>
      <c r="V23" s="1403"/>
      <c r="W23" s="1402"/>
      <c r="X23" s="1404"/>
    </row>
    <row r="24" spans="1:24" ht="11.25" customHeight="1">
      <c r="A24" s="1001" t="str">
        <f>'Org structure'!E20</f>
        <v>2.7 - SATELITE OFFICE: LETSITELE</v>
      </c>
      <c r="B24" s="167"/>
      <c r="C24" s="1402"/>
      <c r="D24" s="1402"/>
      <c r="E24" s="1957"/>
      <c r="F24" s="1958"/>
      <c r="G24" s="1402"/>
      <c r="H24" s="1957"/>
      <c r="I24" s="1403"/>
      <c r="J24" s="1772">
        <f t="shared" si="9"/>
        <v>0</v>
      </c>
      <c r="K24" s="803">
        <f t="shared" si="10"/>
        <v>0</v>
      </c>
      <c r="L24" s="1773">
        <f t="shared" si="11"/>
        <v>0</v>
      </c>
      <c r="M24" s="1002"/>
      <c r="N24" s="1958"/>
      <c r="O24" s="1402"/>
      <c r="P24" s="1957"/>
      <c r="Q24" s="834">
        <f t="shared" si="12"/>
        <v>0</v>
      </c>
      <c r="R24" s="1958"/>
      <c r="S24" s="1402"/>
      <c r="T24" s="1403"/>
      <c r="U24" s="1765">
        <f t="shared" si="4"/>
        <v>0</v>
      </c>
      <c r="V24" s="1403"/>
      <c r="W24" s="1402"/>
      <c r="X24" s="1404"/>
    </row>
    <row r="25" spans="1:24" ht="11.25" customHeight="1">
      <c r="A25" s="1001">
        <f>'Org structure'!E21</f>
        <v>0</v>
      </c>
      <c r="B25" s="167"/>
      <c r="C25" s="1402"/>
      <c r="D25" s="1402"/>
      <c r="E25" s="1957"/>
      <c r="F25" s="1958"/>
      <c r="G25" s="1402"/>
      <c r="H25" s="1957"/>
      <c r="I25" s="1403"/>
      <c r="J25" s="1772">
        <f t="shared" si="9"/>
        <v>0</v>
      </c>
      <c r="K25" s="803">
        <f t="shared" si="10"/>
        <v>0</v>
      </c>
      <c r="L25" s="1773">
        <f t="shared" si="11"/>
        <v>0</v>
      </c>
      <c r="M25" s="1002"/>
      <c r="N25" s="1958"/>
      <c r="O25" s="1402"/>
      <c r="P25" s="1957"/>
      <c r="Q25" s="834">
        <f t="shared" si="12"/>
        <v>0</v>
      </c>
      <c r="R25" s="1958"/>
      <c r="S25" s="1402"/>
      <c r="T25" s="1403"/>
      <c r="U25" s="1765">
        <f t="shared" si="4"/>
        <v>0</v>
      </c>
      <c r="V25" s="1403"/>
      <c r="W25" s="1402"/>
      <c r="X25" s="1404"/>
    </row>
    <row r="26" spans="1:24" ht="11.25" customHeight="1">
      <c r="A26" s="1001">
        <f>'Org structure'!E22</f>
        <v>0</v>
      </c>
      <c r="B26" s="167"/>
      <c r="C26" s="1402"/>
      <c r="D26" s="1402"/>
      <c r="E26" s="1957"/>
      <c r="F26" s="1958"/>
      <c r="G26" s="1402"/>
      <c r="H26" s="1957"/>
      <c r="I26" s="1403"/>
      <c r="J26" s="1772">
        <f t="shared" si="9"/>
        <v>0</v>
      </c>
      <c r="K26" s="803">
        <f t="shared" si="10"/>
        <v>0</v>
      </c>
      <c r="L26" s="1773">
        <f t="shared" si="11"/>
        <v>0</v>
      </c>
      <c r="M26" s="1002"/>
      <c r="N26" s="1958"/>
      <c r="O26" s="1402"/>
      <c r="P26" s="1957"/>
      <c r="Q26" s="834">
        <f t="shared" si="12"/>
        <v>0</v>
      </c>
      <c r="R26" s="1958"/>
      <c r="S26" s="1402"/>
      <c r="T26" s="1403"/>
      <c r="U26" s="1765">
        <f t="shared" si="4"/>
        <v>0</v>
      </c>
      <c r="V26" s="1403"/>
      <c r="W26" s="1402"/>
      <c r="X26" s="1404"/>
    </row>
    <row r="27" spans="1:24" ht="11.25" customHeight="1">
      <c r="A27" s="1001">
        <f>'Org structure'!E23</f>
        <v>0</v>
      </c>
      <c r="B27" s="167"/>
      <c r="C27" s="1402"/>
      <c r="D27" s="1402"/>
      <c r="E27" s="1957"/>
      <c r="F27" s="1958"/>
      <c r="G27" s="1402"/>
      <c r="H27" s="1957"/>
      <c r="I27" s="1403"/>
      <c r="J27" s="1772">
        <f t="shared" si="9"/>
        <v>0</v>
      </c>
      <c r="K27" s="803">
        <f t="shared" si="10"/>
        <v>0</v>
      </c>
      <c r="L27" s="1773">
        <f t="shared" si="11"/>
        <v>0</v>
      </c>
      <c r="M27" s="1002"/>
      <c r="N27" s="1958"/>
      <c r="O27" s="1402"/>
      <c r="P27" s="1957"/>
      <c r="Q27" s="834">
        <f t="shared" si="12"/>
        <v>0</v>
      </c>
      <c r="R27" s="1958"/>
      <c r="S27" s="1402"/>
      <c r="T27" s="1403"/>
      <c r="U27" s="1765">
        <f t="shared" si="4"/>
        <v>0</v>
      </c>
      <c r="V27" s="1403"/>
      <c r="W27" s="1402"/>
      <c r="X27" s="1404"/>
    </row>
    <row r="28" spans="1:24" ht="15" customHeight="1">
      <c r="A28" s="1000" t="str">
        <f>'Org structure'!A4</f>
        <v>Vote 3 - Financial Services</v>
      </c>
      <c r="B28" s="837"/>
      <c r="C28" s="832">
        <f>SUM(C29:C38)</f>
        <v>0</v>
      </c>
      <c r="D28" s="832">
        <f t="shared" ref="D28:L28" si="13">SUM(D29:D38)</f>
        <v>0</v>
      </c>
      <c r="E28" s="833">
        <f t="shared" si="13"/>
        <v>0</v>
      </c>
      <c r="F28" s="834">
        <f t="shared" si="13"/>
        <v>0</v>
      </c>
      <c r="G28" s="832">
        <f t="shared" si="13"/>
        <v>0</v>
      </c>
      <c r="H28" s="833">
        <f t="shared" si="13"/>
        <v>0</v>
      </c>
      <c r="I28" s="835">
        <f>SUM(I29:I38)</f>
        <v>0</v>
      </c>
      <c r="J28" s="1772">
        <f t="shared" si="13"/>
        <v>0</v>
      </c>
      <c r="K28" s="803">
        <f t="shared" si="13"/>
        <v>0</v>
      </c>
      <c r="L28" s="1773">
        <f t="shared" si="13"/>
        <v>0</v>
      </c>
      <c r="M28" s="1002"/>
      <c r="N28" s="834">
        <f t="shared" ref="N28:X28" si="14">SUM(N29:N38)</f>
        <v>0</v>
      </c>
      <c r="O28" s="832">
        <f t="shared" si="14"/>
        <v>0</v>
      </c>
      <c r="P28" s="833">
        <f t="shared" si="14"/>
        <v>0</v>
      </c>
      <c r="Q28" s="834">
        <f t="shared" si="14"/>
        <v>0</v>
      </c>
      <c r="R28" s="834">
        <f t="shared" si="14"/>
        <v>0</v>
      </c>
      <c r="S28" s="832">
        <f t="shared" si="14"/>
        <v>0</v>
      </c>
      <c r="T28" s="1769">
        <f t="shared" si="14"/>
        <v>0</v>
      </c>
      <c r="U28" s="1765">
        <f t="shared" si="14"/>
        <v>0</v>
      </c>
      <c r="V28" s="1770">
        <f t="shared" si="14"/>
        <v>0</v>
      </c>
      <c r="W28" s="832">
        <f t="shared" si="14"/>
        <v>0</v>
      </c>
      <c r="X28" s="1771">
        <f t="shared" si="14"/>
        <v>0</v>
      </c>
    </row>
    <row r="29" spans="1:24" ht="11.25" customHeight="1">
      <c r="A29" s="1001" t="str">
        <f>'Org structure'!E25</f>
        <v>3.1 - Administration Finance</v>
      </c>
      <c r="B29" s="167"/>
      <c r="C29" s="1402"/>
      <c r="D29" s="1402"/>
      <c r="E29" s="1957"/>
      <c r="F29" s="1958"/>
      <c r="G29" s="1402"/>
      <c r="H29" s="1957"/>
      <c r="I29" s="1403"/>
      <c r="J29" s="1772">
        <f t="shared" ref="J29:J38" si="15">Q29+V29</f>
        <v>0</v>
      </c>
      <c r="K29" s="803">
        <f t="shared" ref="K29:K38" si="16">U29+W29</f>
        <v>0</v>
      </c>
      <c r="L29" s="1773">
        <f t="shared" ref="L29:L38" si="17">X29</f>
        <v>0</v>
      </c>
      <c r="M29" s="1002"/>
      <c r="N29" s="1958"/>
      <c r="O29" s="1402"/>
      <c r="P29" s="1957"/>
      <c r="Q29" s="834">
        <f t="shared" ref="Q29:Q38" si="18">SUM(N29:P29)</f>
        <v>0</v>
      </c>
      <c r="R29" s="1958"/>
      <c r="S29" s="1402"/>
      <c r="T29" s="1403"/>
      <c r="U29" s="1765">
        <f t="shared" si="4"/>
        <v>0</v>
      </c>
      <c r="V29" s="1403"/>
      <c r="W29" s="1402"/>
      <c r="X29" s="1404"/>
    </row>
    <row r="30" spans="1:24" ht="11.25" customHeight="1">
      <c r="A30" s="1001" t="str">
        <f>'Org structure'!E26</f>
        <v>3.2 - Budget office</v>
      </c>
      <c r="B30" s="167"/>
      <c r="C30" s="1402"/>
      <c r="D30" s="1402"/>
      <c r="E30" s="1957"/>
      <c r="F30" s="1958"/>
      <c r="G30" s="1402"/>
      <c r="H30" s="1957"/>
      <c r="I30" s="1403"/>
      <c r="J30" s="1772">
        <f t="shared" si="15"/>
        <v>0</v>
      </c>
      <c r="K30" s="803">
        <f t="shared" si="16"/>
        <v>0</v>
      </c>
      <c r="L30" s="1773">
        <f t="shared" si="17"/>
        <v>0</v>
      </c>
      <c r="M30" s="1002"/>
      <c r="N30" s="1958"/>
      <c r="O30" s="1402"/>
      <c r="P30" s="1957"/>
      <c r="Q30" s="834">
        <f t="shared" si="18"/>
        <v>0</v>
      </c>
      <c r="R30" s="1958"/>
      <c r="S30" s="1402"/>
      <c r="T30" s="1403"/>
      <c r="U30" s="1765">
        <f t="shared" si="4"/>
        <v>0</v>
      </c>
      <c r="V30" s="1403"/>
      <c r="W30" s="1402"/>
      <c r="X30" s="1404"/>
    </row>
    <row r="31" spans="1:24" ht="11.25" customHeight="1">
      <c r="A31" s="1001" t="str">
        <f>'Org structure'!E27</f>
        <v>3.3 - Revenue</v>
      </c>
      <c r="B31" s="167"/>
      <c r="C31" s="1402"/>
      <c r="D31" s="1402"/>
      <c r="E31" s="1957"/>
      <c r="F31" s="1958"/>
      <c r="G31" s="1402"/>
      <c r="H31" s="1957"/>
      <c r="I31" s="1403"/>
      <c r="J31" s="1772">
        <f t="shared" si="15"/>
        <v>0</v>
      </c>
      <c r="K31" s="803">
        <f t="shared" si="16"/>
        <v>0</v>
      </c>
      <c r="L31" s="1773">
        <f t="shared" si="17"/>
        <v>0</v>
      </c>
      <c r="M31" s="1002"/>
      <c r="N31" s="1958"/>
      <c r="O31" s="1402"/>
      <c r="P31" s="1957"/>
      <c r="Q31" s="834">
        <f t="shared" si="18"/>
        <v>0</v>
      </c>
      <c r="R31" s="1958"/>
      <c r="S31" s="1402"/>
      <c r="T31" s="1403"/>
      <c r="U31" s="1765">
        <f>SUM(R31:T31)</f>
        <v>0</v>
      </c>
      <c r="V31" s="1403"/>
      <c r="W31" s="1402"/>
      <c r="X31" s="1404"/>
    </row>
    <row r="32" spans="1:24" ht="11.25" customHeight="1">
      <c r="A32" s="1001" t="str">
        <f>'Org structure'!E28</f>
        <v>3.4 - Expenditure</v>
      </c>
      <c r="B32" s="167"/>
      <c r="C32" s="1402"/>
      <c r="D32" s="1402"/>
      <c r="E32" s="1957"/>
      <c r="F32" s="1958"/>
      <c r="G32" s="1402"/>
      <c r="H32" s="1957"/>
      <c r="I32" s="1403"/>
      <c r="J32" s="1772">
        <f t="shared" si="15"/>
        <v>0</v>
      </c>
      <c r="K32" s="803">
        <f>U32+W32</f>
        <v>0</v>
      </c>
      <c r="L32" s="1773">
        <f t="shared" si="17"/>
        <v>0</v>
      </c>
      <c r="M32" s="1002"/>
      <c r="N32" s="1958"/>
      <c r="O32" s="1402"/>
      <c r="P32" s="1957"/>
      <c r="Q32" s="834">
        <f t="shared" si="18"/>
        <v>0</v>
      </c>
      <c r="R32" s="1958"/>
      <c r="S32" s="1402"/>
      <c r="T32" s="1403"/>
      <c r="U32" s="1765">
        <f t="shared" si="4"/>
        <v>0</v>
      </c>
      <c r="V32" s="1403"/>
      <c r="W32" s="1402"/>
      <c r="X32" s="1404"/>
    </row>
    <row r="33" spans="1:24" ht="11.25" customHeight="1">
      <c r="A33" s="1001" t="str">
        <f>'Org structure'!E29</f>
        <v>3.5 - Inventory</v>
      </c>
      <c r="B33" s="167"/>
      <c r="C33" s="1402"/>
      <c r="D33" s="1402"/>
      <c r="E33" s="1957"/>
      <c r="F33" s="1958"/>
      <c r="G33" s="1402"/>
      <c r="H33" s="1957"/>
      <c r="I33" s="1403"/>
      <c r="J33" s="1772">
        <f>Q33+V33</f>
        <v>0</v>
      </c>
      <c r="K33" s="803">
        <f t="shared" si="16"/>
        <v>0</v>
      </c>
      <c r="L33" s="1773">
        <f t="shared" si="17"/>
        <v>0</v>
      </c>
      <c r="M33" s="1002"/>
      <c r="N33" s="1958"/>
      <c r="O33" s="1402"/>
      <c r="P33" s="1957"/>
      <c r="Q33" s="834">
        <f t="shared" si="18"/>
        <v>0</v>
      </c>
      <c r="R33" s="1958"/>
      <c r="S33" s="1402"/>
      <c r="T33" s="1403"/>
      <c r="U33" s="1765">
        <f t="shared" si="4"/>
        <v>0</v>
      </c>
      <c r="V33" s="1403"/>
      <c r="W33" s="1402"/>
      <c r="X33" s="1404"/>
    </row>
    <row r="34" spans="1:24" ht="11.25" customHeight="1">
      <c r="A34" s="1001" t="str">
        <f>'Org structure'!E30</f>
        <v>3.6 - Supply Chain Management</v>
      </c>
      <c r="B34" s="167"/>
      <c r="C34" s="1402"/>
      <c r="D34" s="1402"/>
      <c r="E34" s="1957"/>
      <c r="F34" s="1958"/>
      <c r="G34" s="1402"/>
      <c r="H34" s="1957"/>
      <c r="I34" s="1403"/>
      <c r="J34" s="1772">
        <f t="shared" si="15"/>
        <v>0</v>
      </c>
      <c r="K34" s="803">
        <f t="shared" si="16"/>
        <v>0</v>
      </c>
      <c r="L34" s="1773">
        <f t="shared" si="17"/>
        <v>0</v>
      </c>
      <c r="M34" s="1002"/>
      <c r="N34" s="1958"/>
      <c r="O34" s="1402"/>
      <c r="P34" s="1957"/>
      <c r="Q34" s="834">
        <f t="shared" si="18"/>
        <v>0</v>
      </c>
      <c r="R34" s="1958"/>
      <c r="S34" s="1402"/>
      <c r="T34" s="1403"/>
      <c r="U34" s="1765">
        <f t="shared" si="4"/>
        <v>0</v>
      </c>
      <c r="V34" s="1403"/>
      <c r="W34" s="1402"/>
      <c r="X34" s="1404"/>
    </row>
    <row r="35" spans="1:24" ht="11.25" customHeight="1">
      <c r="A35" s="1001">
        <f>'Org structure'!E31</f>
        <v>0</v>
      </c>
      <c r="B35" s="167"/>
      <c r="C35" s="1402"/>
      <c r="D35" s="1402"/>
      <c r="E35" s="1957"/>
      <c r="F35" s="1958"/>
      <c r="G35" s="1402"/>
      <c r="H35" s="1957"/>
      <c r="I35" s="1403"/>
      <c r="J35" s="1772">
        <f t="shared" si="15"/>
        <v>0</v>
      </c>
      <c r="K35" s="803">
        <f t="shared" si="16"/>
        <v>0</v>
      </c>
      <c r="L35" s="1773">
        <f t="shared" si="17"/>
        <v>0</v>
      </c>
      <c r="M35" s="1002"/>
      <c r="N35" s="1958"/>
      <c r="O35" s="1402"/>
      <c r="P35" s="1957"/>
      <c r="Q35" s="834">
        <f t="shared" si="18"/>
        <v>0</v>
      </c>
      <c r="R35" s="1958"/>
      <c r="S35" s="1402"/>
      <c r="T35" s="1403"/>
      <c r="U35" s="1765">
        <f t="shared" si="4"/>
        <v>0</v>
      </c>
      <c r="V35" s="1403"/>
      <c r="W35" s="1402"/>
      <c r="X35" s="1404"/>
    </row>
    <row r="36" spans="1:24" ht="11.25" customHeight="1">
      <c r="A36" s="1001">
        <f>'Org structure'!E32</f>
        <v>0</v>
      </c>
      <c r="B36" s="167"/>
      <c r="C36" s="1402"/>
      <c r="D36" s="1402"/>
      <c r="E36" s="1957"/>
      <c r="F36" s="1958"/>
      <c r="G36" s="1402"/>
      <c r="H36" s="1957"/>
      <c r="I36" s="1403"/>
      <c r="J36" s="1772">
        <f t="shared" si="15"/>
        <v>0</v>
      </c>
      <c r="K36" s="803">
        <f t="shared" si="16"/>
        <v>0</v>
      </c>
      <c r="L36" s="1773">
        <f t="shared" si="17"/>
        <v>0</v>
      </c>
      <c r="M36" s="1002"/>
      <c r="N36" s="1958"/>
      <c r="O36" s="1402"/>
      <c r="P36" s="1957"/>
      <c r="Q36" s="834">
        <f t="shared" si="18"/>
        <v>0</v>
      </c>
      <c r="R36" s="1958"/>
      <c r="S36" s="1402"/>
      <c r="T36" s="1403"/>
      <c r="U36" s="1765">
        <f t="shared" si="4"/>
        <v>0</v>
      </c>
      <c r="V36" s="1403"/>
      <c r="W36" s="1402"/>
      <c r="X36" s="1404"/>
    </row>
    <row r="37" spans="1:24" ht="11.25" customHeight="1">
      <c r="A37" s="1001">
        <f>'Org structure'!E33</f>
        <v>0</v>
      </c>
      <c r="B37" s="167"/>
      <c r="C37" s="1402"/>
      <c r="D37" s="1402"/>
      <c r="E37" s="1957"/>
      <c r="F37" s="1958"/>
      <c r="G37" s="1402"/>
      <c r="H37" s="1957"/>
      <c r="I37" s="1403"/>
      <c r="J37" s="1772">
        <f t="shared" si="15"/>
        <v>0</v>
      </c>
      <c r="K37" s="803">
        <f t="shared" si="16"/>
        <v>0</v>
      </c>
      <c r="L37" s="1773">
        <f t="shared" si="17"/>
        <v>0</v>
      </c>
      <c r="M37" s="1002"/>
      <c r="N37" s="1958"/>
      <c r="O37" s="1402"/>
      <c r="P37" s="1957"/>
      <c r="Q37" s="834">
        <f t="shared" si="18"/>
        <v>0</v>
      </c>
      <c r="R37" s="1958"/>
      <c r="S37" s="1402"/>
      <c r="T37" s="1403"/>
      <c r="U37" s="1765">
        <f t="shared" si="4"/>
        <v>0</v>
      </c>
      <c r="V37" s="1403"/>
      <c r="W37" s="1402"/>
      <c r="X37" s="1404"/>
    </row>
    <row r="38" spans="1:24" ht="11.25" customHeight="1">
      <c r="A38" s="1001">
        <f>'Org structure'!E34</f>
        <v>0</v>
      </c>
      <c r="B38" s="167"/>
      <c r="C38" s="1402"/>
      <c r="D38" s="1402"/>
      <c r="E38" s="1957"/>
      <c r="F38" s="1958"/>
      <c r="G38" s="1402"/>
      <c r="H38" s="1957"/>
      <c r="I38" s="1403"/>
      <c r="J38" s="1772">
        <f t="shared" si="15"/>
        <v>0</v>
      </c>
      <c r="K38" s="803">
        <f t="shared" si="16"/>
        <v>0</v>
      </c>
      <c r="L38" s="1773">
        <f t="shared" si="17"/>
        <v>0</v>
      </c>
      <c r="M38" s="1002"/>
      <c r="N38" s="1958"/>
      <c r="O38" s="1402"/>
      <c r="P38" s="1957"/>
      <c r="Q38" s="834">
        <f t="shared" si="18"/>
        <v>0</v>
      </c>
      <c r="R38" s="1958"/>
      <c r="S38" s="1402"/>
      <c r="T38" s="1403"/>
      <c r="U38" s="1765">
        <f t="shared" si="4"/>
        <v>0</v>
      </c>
      <c r="V38" s="1403"/>
      <c r="W38" s="1402"/>
      <c r="X38" s="1404"/>
    </row>
    <row r="39" spans="1:24" ht="15" customHeight="1">
      <c r="A39" s="1000" t="str">
        <f>'Org structure'!A5</f>
        <v>Vote 4 - Corporate Services</v>
      </c>
      <c r="B39" s="837"/>
      <c r="C39" s="832">
        <f>SUM(C40:C49)</f>
        <v>0</v>
      </c>
      <c r="D39" s="832">
        <f t="shared" ref="D39:L39" si="19">SUM(D40:D49)</f>
        <v>0</v>
      </c>
      <c r="E39" s="833">
        <f t="shared" si="19"/>
        <v>0</v>
      </c>
      <c r="F39" s="838">
        <f t="shared" si="19"/>
        <v>0</v>
      </c>
      <c r="G39" s="832">
        <f t="shared" si="19"/>
        <v>0</v>
      </c>
      <c r="H39" s="833">
        <f t="shared" si="19"/>
        <v>0</v>
      </c>
      <c r="I39" s="835">
        <f>SUM(I40:I49)</f>
        <v>0</v>
      </c>
      <c r="J39" s="1772">
        <f t="shared" si="19"/>
        <v>0</v>
      </c>
      <c r="K39" s="803">
        <f t="shared" si="19"/>
        <v>0</v>
      </c>
      <c r="L39" s="1773">
        <f t="shared" si="19"/>
        <v>0</v>
      </c>
      <c r="M39" s="1002"/>
      <c r="N39" s="834">
        <f t="shared" ref="N39:X39" si="20">SUM(N40:N49)</f>
        <v>0</v>
      </c>
      <c r="O39" s="832">
        <f t="shared" si="20"/>
        <v>0</v>
      </c>
      <c r="P39" s="839">
        <f t="shared" si="20"/>
        <v>0</v>
      </c>
      <c r="Q39" s="834">
        <f t="shared" si="20"/>
        <v>0</v>
      </c>
      <c r="R39" s="834">
        <f t="shared" si="20"/>
        <v>0</v>
      </c>
      <c r="S39" s="832">
        <f t="shared" si="20"/>
        <v>0</v>
      </c>
      <c r="T39" s="1769">
        <f t="shared" si="20"/>
        <v>0</v>
      </c>
      <c r="U39" s="1765">
        <f t="shared" si="20"/>
        <v>0</v>
      </c>
      <c r="V39" s="1770">
        <f t="shared" si="20"/>
        <v>0</v>
      </c>
      <c r="W39" s="832">
        <f t="shared" si="20"/>
        <v>0</v>
      </c>
      <c r="X39" s="1771">
        <f t="shared" si="20"/>
        <v>0</v>
      </c>
    </row>
    <row r="40" spans="1:24" ht="11.25" customHeight="1">
      <c r="A40" s="1001" t="str">
        <f>'Org structure'!E36</f>
        <v>4.1 - Communications</v>
      </c>
      <c r="B40" s="167"/>
      <c r="C40" s="1402"/>
      <c r="D40" s="1402"/>
      <c r="E40" s="1957"/>
      <c r="F40" s="1958"/>
      <c r="G40" s="1402"/>
      <c r="H40" s="1957"/>
      <c r="I40" s="1403"/>
      <c r="J40" s="1772">
        <f t="shared" ref="J40:J49" si="21">Q40+V40</f>
        <v>0</v>
      </c>
      <c r="K40" s="803">
        <f t="shared" ref="K40:K49" si="22">U40+W40</f>
        <v>0</v>
      </c>
      <c r="L40" s="1773">
        <f t="shared" ref="L40:L49" si="23">X40</f>
        <v>0</v>
      </c>
      <c r="M40" s="1002"/>
      <c r="N40" s="1958"/>
      <c r="O40" s="1402"/>
      <c r="P40" s="1957"/>
      <c r="Q40" s="834">
        <f t="shared" ref="Q40:Q49" si="24">SUM(N40:P40)</f>
        <v>0</v>
      </c>
      <c r="R40" s="1958"/>
      <c r="S40" s="1402"/>
      <c r="T40" s="1403"/>
      <c r="U40" s="1765">
        <f t="shared" si="4"/>
        <v>0</v>
      </c>
      <c r="V40" s="1403"/>
      <c r="W40" s="1402"/>
      <c r="X40" s="1404"/>
    </row>
    <row r="41" spans="1:24" ht="11.25" customHeight="1">
      <c r="A41" s="1001" t="str">
        <f>'Org structure'!E37</f>
        <v>4.2 - Public Participation &amp; Project Support</v>
      </c>
      <c r="B41" s="167"/>
      <c r="C41" s="1402"/>
      <c r="D41" s="1402"/>
      <c r="E41" s="1957"/>
      <c r="F41" s="1958"/>
      <c r="G41" s="1402"/>
      <c r="H41" s="1957"/>
      <c r="I41" s="1403"/>
      <c r="J41" s="1772">
        <f t="shared" si="21"/>
        <v>0</v>
      </c>
      <c r="K41" s="803">
        <f t="shared" si="22"/>
        <v>0</v>
      </c>
      <c r="L41" s="1773">
        <f t="shared" si="23"/>
        <v>0</v>
      </c>
      <c r="M41" s="1002"/>
      <c r="N41" s="1958"/>
      <c r="O41" s="1402"/>
      <c r="P41" s="1957"/>
      <c r="Q41" s="834">
        <f t="shared" si="24"/>
        <v>0</v>
      </c>
      <c r="R41" s="1958"/>
      <c r="S41" s="1402"/>
      <c r="T41" s="1403"/>
      <c r="U41" s="1765">
        <f t="shared" si="4"/>
        <v>0</v>
      </c>
      <c r="V41" s="1403"/>
      <c r="W41" s="1402"/>
      <c r="X41" s="1404"/>
    </row>
    <row r="42" spans="1:24" ht="11.25" customHeight="1">
      <c r="A42" s="1001" t="str">
        <f>'Org structure'!E38</f>
        <v>4.3 - Information Technolgy</v>
      </c>
      <c r="B42" s="167"/>
      <c r="C42" s="1402"/>
      <c r="D42" s="1402"/>
      <c r="E42" s="1957"/>
      <c r="F42" s="1958"/>
      <c r="G42" s="1402"/>
      <c r="H42" s="1957"/>
      <c r="I42" s="1403"/>
      <c r="J42" s="1772">
        <f t="shared" si="21"/>
        <v>0</v>
      </c>
      <c r="K42" s="803">
        <f t="shared" si="22"/>
        <v>0</v>
      </c>
      <c r="L42" s="1773">
        <f t="shared" si="23"/>
        <v>0</v>
      </c>
      <c r="M42" s="1002"/>
      <c r="N42" s="1958"/>
      <c r="O42" s="1402"/>
      <c r="P42" s="1957"/>
      <c r="Q42" s="834">
        <f t="shared" si="24"/>
        <v>0</v>
      </c>
      <c r="R42" s="1958"/>
      <c r="S42" s="1402"/>
      <c r="T42" s="1403"/>
      <c r="U42" s="1765">
        <f t="shared" si="4"/>
        <v>0</v>
      </c>
      <c r="V42" s="1403"/>
      <c r="W42" s="1402"/>
      <c r="X42" s="1404"/>
    </row>
    <row r="43" spans="1:24" ht="11.25" customHeight="1">
      <c r="A43" s="1001" t="str">
        <f>'Org structure'!E39</f>
        <v>4.4 - Administration HR &amp; Corporate</v>
      </c>
      <c r="B43" s="167"/>
      <c r="C43" s="1402"/>
      <c r="D43" s="1402"/>
      <c r="E43" s="1957"/>
      <c r="F43" s="1958"/>
      <c r="G43" s="1402"/>
      <c r="H43" s="1957"/>
      <c r="I43" s="1403"/>
      <c r="J43" s="1772">
        <f t="shared" si="21"/>
        <v>0</v>
      </c>
      <c r="K43" s="803">
        <f t="shared" si="22"/>
        <v>0</v>
      </c>
      <c r="L43" s="1773">
        <f t="shared" si="23"/>
        <v>0</v>
      </c>
      <c r="M43" s="1002"/>
      <c r="N43" s="1958"/>
      <c r="O43" s="1402"/>
      <c r="P43" s="1957"/>
      <c r="Q43" s="834">
        <f t="shared" si="24"/>
        <v>0</v>
      </c>
      <c r="R43" s="1958"/>
      <c r="S43" s="1402"/>
      <c r="T43" s="1403"/>
      <c r="U43" s="1765">
        <f t="shared" si="4"/>
        <v>0</v>
      </c>
      <c r="V43" s="1403"/>
      <c r="W43" s="1402"/>
      <c r="X43" s="1404"/>
    </row>
    <row r="44" spans="1:24" ht="11.25" customHeight="1">
      <c r="A44" s="1001" t="str">
        <f>'Org structure'!E40</f>
        <v>4.6 - Human Resources</v>
      </c>
      <c r="B44" s="167"/>
      <c r="C44" s="1402"/>
      <c r="D44" s="1402"/>
      <c r="E44" s="1957"/>
      <c r="F44" s="1958"/>
      <c r="G44" s="1402"/>
      <c r="H44" s="1957"/>
      <c r="I44" s="1403"/>
      <c r="J44" s="1772">
        <f t="shared" si="21"/>
        <v>0</v>
      </c>
      <c r="K44" s="803">
        <f t="shared" si="22"/>
        <v>0</v>
      </c>
      <c r="L44" s="1773">
        <f t="shared" si="23"/>
        <v>0</v>
      </c>
      <c r="M44" s="1002"/>
      <c r="N44" s="1958"/>
      <c r="O44" s="1402"/>
      <c r="P44" s="1957"/>
      <c r="Q44" s="834">
        <f t="shared" si="24"/>
        <v>0</v>
      </c>
      <c r="R44" s="1958"/>
      <c r="S44" s="1402"/>
      <c r="T44" s="1403"/>
      <c r="U44" s="1765">
        <f t="shared" si="4"/>
        <v>0</v>
      </c>
      <c r="V44" s="1403"/>
      <c r="W44" s="1402"/>
      <c r="X44" s="1404"/>
    </row>
    <row r="45" spans="1:24" ht="11.25" customHeight="1">
      <c r="A45" s="1001" t="str">
        <f>'Org structure'!E41</f>
        <v>4.7 - Occupational Health &amp; safety</v>
      </c>
      <c r="B45" s="167"/>
      <c r="C45" s="1402"/>
      <c r="D45" s="1402"/>
      <c r="E45" s="1957"/>
      <c r="F45" s="1958"/>
      <c r="G45" s="1402"/>
      <c r="H45" s="1957"/>
      <c r="I45" s="1403"/>
      <c r="J45" s="1772">
        <f t="shared" si="21"/>
        <v>0</v>
      </c>
      <c r="K45" s="803">
        <f t="shared" si="22"/>
        <v>0</v>
      </c>
      <c r="L45" s="1773">
        <f t="shared" si="23"/>
        <v>0</v>
      </c>
      <c r="M45" s="1002"/>
      <c r="N45" s="1958"/>
      <c r="O45" s="1402"/>
      <c r="P45" s="1957"/>
      <c r="Q45" s="834">
        <f t="shared" si="24"/>
        <v>0</v>
      </c>
      <c r="R45" s="1958"/>
      <c r="S45" s="1402"/>
      <c r="T45" s="1403"/>
      <c r="U45" s="1765">
        <f t="shared" si="4"/>
        <v>0</v>
      </c>
      <c r="V45" s="1403"/>
      <c r="W45" s="1402"/>
      <c r="X45" s="1404"/>
    </row>
    <row r="46" spans="1:24" ht="11.25" customHeight="1">
      <c r="A46" s="1001" t="str">
        <f>'Org structure'!E42</f>
        <v>4.8 - Corporate Services</v>
      </c>
      <c r="B46" s="167"/>
      <c r="C46" s="1402"/>
      <c r="D46" s="1402"/>
      <c r="E46" s="1957"/>
      <c r="F46" s="1958"/>
      <c r="G46" s="1402"/>
      <c r="H46" s="1957"/>
      <c r="I46" s="1403"/>
      <c r="J46" s="1772">
        <f t="shared" si="21"/>
        <v>0</v>
      </c>
      <c r="K46" s="803">
        <f t="shared" si="22"/>
        <v>0</v>
      </c>
      <c r="L46" s="1773">
        <f t="shared" si="23"/>
        <v>0</v>
      </c>
      <c r="M46" s="1002"/>
      <c r="N46" s="1958"/>
      <c r="O46" s="1402"/>
      <c r="P46" s="1957"/>
      <c r="Q46" s="834">
        <f t="shared" si="24"/>
        <v>0</v>
      </c>
      <c r="R46" s="1958"/>
      <c r="S46" s="1402"/>
      <c r="T46" s="1403"/>
      <c r="U46" s="1765">
        <f t="shared" si="4"/>
        <v>0</v>
      </c>
      <c r="V46" s="1403"/>
      <c r="W46" s="1402"/>
      <c r="X46" s="1404"/>
    </row>
    <row r="47" spans="1:24" ht="11.25" customHeight="1">
      <c r="A47" s="1001">
        <f>'Org structure'!E43</f>
        <v>0</v>
      </c>
      <c r="B47" s="167"/>
      <c r="C47" s="1402"/>
      <c r="D47" s="1402"/>
      <c r="E47" s="1957"/>
      <c r="F47" s="1958"/>
      <c r="G47" s="1402"/>
      <c r="H47" s="1957"/>
      <c r="I47" s="1403"/>
      <c r="J47" s="1772">
        <f t="shared" si="21"/>
        <v>0</v>
      </c>
      <c r="K47" s="803">
        <f t="shared" si="22"/>
        <v>0</v>
      </c>
      <c r="L47" s="1773">
        <f t="shared" si="23"/>
        <v>0</v>
      </c>
      <c r="M47" s="1002"/>
      <c r="N47" s="1958"/>
      <c r="O47" s="1402"/>
      <c r="P47" s="1957"/>
      <c r="Q47" s="834">
        <f t="shared" si="24"/>
        <v>0</v>
      </c>
      <c r="R47" s="1958"/>
      <c r="S47" s="1402"/>
      <c r="T47" s="1403"/>
      <c r="U47" s="1765">
        <f t="shared" si="4"/>
        <v>0</v>
      </c>
      <c r="V47" s="1403"/>
      <c r="W47" s="1402"/>
      <c r="X47" s="1404"/>
    </row>
    <row r="48" spans="1:24" ht="11.25" customHeight="1">
      <c r="A48" s="1001">
        <f>'Org structure'!E44</f>
        <v>0</v>
      </c>
      <c r="B48" s="167"/>
      <c r="C48" s="1402"/>
      <c r="D48" s="1402"/>
      <c r="E48" s="1957"/>
      <c r="F48" s="1958"/>
      <c r="G48" s="1402"/>
      <c r="H48" s="1957"/>
      <c r="I48" s="1403"/>
      <c r="J48" s="1772">
        <f t="shared" si="21"/>
        <v>0</v>
      </c>
      <c r="K48" s="803">
        <f t="shared" si="22"/>
        <v>0</v>
      </c>
      <c r="L48" s="1773">
        <f t="shared" si="23"/>
        <v>0</v>
      </c>
      <c r="M48" s="1002"/>
      <c r="N48" s="1958"/>
      <c r="O48" s="1402"/>
      <c r="P48" s="1957"/>
      <c r="Q48" s="834">
        <f t="shared" si="24"/>
        <v>0</v>
      </c>
      <c r="R48" s="1958"/>
      <c r="S48" s="1402"/>
      <c r="T48" s="1403"/>
      <c r="U48" s="1765">
        <f t="shared" si="4"/>
        <v>0</v>
      </c>
      <c r="V48" s="1403"/>
      <c r="W48" s="1402"/>
      <c r="X48" s="1404"/>
    </row>
    <row r="49" spans="1:24" ht="11.25" customHeight="1">
      <c r="A49" s="1001">
        <f>'Org structure'!E45</f>
        <v>0</v>
      </c>
      <c r="B49" s="167"/>
      <c r="C49" s="1402"/>
      <c r="D49" s="1402"/>
      <c r="E49" s="1957"/>
      <c r="F49" s="1958"/>
      <c r="G49" s="1402"/>
      <c r="H49" s="1957"/>
      <c r="I49" s="1403"/>
      <c r="J49" s="1772">
        <f t="shared" si="21"/>
        <v>0</v>
      </c>
      <c r="K49" s="803">
        <f t="shared" si="22"/>
        <v>0</v>
      </c>
      <c r="L49" s="1773">
        <f t="shared" si="23"/>
        <v>0</v>
      </c>
      <c r="M49" s="1002"/>
      <c r="N49" s="1958"/>
      <c r="O49" s="1402"/>
      <c r="P49" s="1957"/>
      <c r="Q49" s="834">
        <f t="shared" si="24"/>
        <v>0</v>
      </c>
      <c r="R49" s="1958"/>
      <c r="S49" s="1402"/>
      <c r="T49" s="1403"/>
      <c r="U49" s="1765">
        <f t="shared" si="4"/>
        <v>0</v>
      </c>
      <c r="V49" s="1403"/>
      <c r="W49" s="1402"/>
      <c r="X49" s="1404"/>
    </row>
    <row r="50" spans="1:24" ht="15" customHeight="1">
      <c r="A50" s="1000" t="str">
        <f>'Org structure'!A6</f>
        <v>Vote 5 - Community Services</v>
      </c>
      <c r="B50" s="837"/>
      <c r="C50" s="832">
        <f>SUM(C51:C60)</f>
        <v>0</v>
      </c>
      <c r="D50" s="832">
        <f t="shared" ref="D50:L50" si="25">SUM(D51:D60)</f>
        <v>0</v>
      </c>
      <c r="E50" s="833">
        <f t="shared" si="25"/>
        <v>0</v>
      </c>
      <c r="F50" s="834">
        <f t="shared" si="25"/>
        <v>0</v>
      </c>
      <c r="G50" s="832">
        <f t="shared" si="25"/>
        <v>0</v>
      </c>
      <c r="H50" s="833">
        <f t="shared" si="25"/>
        <v>0</v>
      </c>
      <c r="I50" s="835">
        <f>SUM(I51:I60)</f>
        <v>0</v>
      </c>
      <c r="J50" s="1772">
        <f t="shared" si="25"/>
        <v>0</v>
      </c>
      <c r="K50" s="803">
        <f t="shared" si="25"/>
        <v>0</v>
      </c>
      <c r="L50" s="1773">
        <f t="shared" si="25"/>
        <v>0</v>
      </c>
      <c r="M50" s="1002"/>
      <c r="N50" s="834">
        <f t="shared" ref="N50:X50" si="26">SUM(N51:N60)</f>
        <v>0</v>
      </c>
      <c r="O50" s="832">
        <f t="shared" si="26"/>
        <v>0</v>
      </c>
      <c r="P50" s="833">
        <f t="shared" si="26"/>
        <v>0</v>
      </c>
      <c r="Q50" s="834">
        <f t="shared" si="26"/>
        <v>0</v>
      </c>
      <c r="R50" s="834">
        <f t="shared" si="26"/>
        <v>0</v>
      </c>
      <c r="S50" s="832">
        <f t="shared" si="26"/>
        <v>0</v>
      </c>
      <c r="T50" s="1769">
        <f t="shared" si="26"/>
        <v>0</v>
      </c>
      <c r="U50" s="1765">
        <f t="shared" si="26"/>
        <v>0</v>
      </c>
      <c r="V50" s="1770">
        <f t="shared" si="26"/>
        <v>0</v>
      </c>
      <c r="W50" s="832">
        <f t="shared" si="26"/>
        <v>0</v>
      </c>
      <c r="X50" s="1771">
        <f t="shared" si="26"/>
        <v>0</v>
      </c>
    </row>
    <row r="51" spans="1:24" ht="11.25" customHeight="1">
      <c r="A51" s="1001" t="str">
        <f>'Org structure'!E47</f>
        <v>5.1 - Parks &amp; Recreation</v>
      </c>
      <c r="B51" s="167"/>
      <c r="C51" s="1402"/>
      <c r="D51" s="1402"/>
      <c r="E51" s="1957"/>
      <c r="F51" s="1958"/>
      <c r="G51" s="1402"/>
      <c r="H51" s="1957"/>
      <c r="I51" s="1403"/>
      <c r="J51" s="1772">
        <f t="shared" ref="J51:J60" si="27">Q51+V51</f>
        <v>0</v>
      </c>
      <c r="K51" s="803">
        <f t="shared" ref="K51:K60" si="28">U51+W51</f>
        <v>0</v>
      </c>
      <c r="L51" s="1773">
        <f t="shared" ref="L51:L60" si="29">X51</f>
        <v>0</v>
      </c>
      <c r="M51" s="1002"/>
      <c r="N51" s="1958"/>
      <c r="O51" s="1402"/>
      <c r="P51" s="1957"/>
      <c r="Q51" s="834">
        <f t="shared" ref="Q51:Q60" si="30">SUM(N51:P51)</f>
        <v>0</v>
      </c>
      <c r="R51" s="1958"/>
      <c r="S51" s="1402"/>
      <c r="T51" s="1403"/>
      <c r="U51" s="1765">
        <f t="shared" si="4"/>
        <v>0</v>
      </c>
      <c r="V51" s="1403"/>
      <c r="W51" s="1402"/>
      <c r="X51" s="1404"/>
    </row>
    <row r="52" spans="1:24" ht="11.25" customHeight="1">
      <c r="A52" s="1001" t="str">
        <f>'Org structure'!E48</f>
        <v>5.2 - Administration Community Services</v>
      </c>
      <c r="B52" s="167"/>
      <c r="C52" s="1402"/>
      <c r="D52" s="1402"/>
      <c r="E52" s="1957"/>
      <c r="F52" s="1958"/>
      <c r="G52" s="1402"/>
      <c r="H52" s="1957"/>
      <c r="I52" s="1403"/>
      <c r="J52" s="1772">
        <f t="shared" si="27"/>
        <v>0</v>
      </c>
      <c r="K52" s="803">
        <f t="shared" si="28"/>
        <v>0</v>
      </c>
      <c r="L52" s="1773">
        <f t="shared" si="29"/>
        <v>0</v>
      </c>
      <c r="M52" s="1002"/>
      <c r="N52" s="1958"/>
      <c r="O52" s="1402"/>
      <c r="P52" s="1957"/>
      <c r="Q52" s="834">
        <f t="shared" si="30"/>
        <v>0</v>
      </c>
      <c r="R52" s="1958"/>
      <c r="S52" s="1402"/>
      <c r="T52" s="1403"/>
      <c r="U52" s="1765">
        <f t="shared" si="4"/>
        <v>0</v>
      </c>
      <c r="V52" s="1403"/>
      <c r="W52" s="1402"/>
      <c r="X52" s="1404"/>
    </row>
    <row r="53" spans="1:24" ht="11.25" customHeight="1">
      <c r="A53" s="1001" t="str">
        <f>'Org structure'!E49</f>
        <v>5.3 - Community Health Services</v>
      </c>
      <c r="B53" s="167"/>
      <c r="C53" s="1402"/>
      <c r="D53" s="1402"/>
      <c r="E53" s="1957"/>
      <c r="F53" s="1958"/>
      <c r="G53" s="1402"/>
      <c r="H53" s="1957"/>
      <c r="I53" s="1403"/>
      <c r="J53" s="1772">
        <f t="shared" si="27"/>
        <v>0</v>
      </c>
      <c r="K53" s="803">
        <f t="shared" si="28"/>
        <v>0</v>
      </c>
      <c r="L53" s="1773">
        <f t="shared" si="29"/>
        <v>0</v>
      </c>
      <c r="M53" s="1002"/>
      <c r="N53" s="1958"/>
      <c r="O53" s="1402"/>
      <c r="P53" s="1957"/>
      <c r="Q53" s="834">
        <f t="shared" si="30"/>
        <v>0</v>
      </c>
      <c r="R53" s="1958"/>
      <c r="S53" s="1402"/>
      <c r="T53" s="1403"/>
      <c r="U53" s="1765">
        <f t="shared" si="4"/>
        <v>0</v>
      </c>
      <c r="V53" s="1403"/>
      <c r="W53" s="1402"/>
      <c r="X53" s="1404"/>
    </row>
    <row r="54" spans="1:24" ht="11.25" customHeight="1">
      <c r="A54" s="1001" t="str">
        <f>'Org structure'!E50</f>
        <v>5.4 - Enviromental Health Services</v>
      </c>
      <c r="B54" s="167"/>
      <c r="C54" s="1402"/>
      <c r="D54" s="1402"/>
      <c r="E54" s="1957"/>
      <c r="F54" s="1958"/>
      <c r="G54" s="1402"/>
      <c r="H54" s="1957"/>
      <c r="I54" s="1403"/>
      <c r="J54" s="1772">
        <f t="shared" si="27"/>
        <v>0</v>
      </c>
      <c r="K54" s="803">
        <f t="shared" si="28"/>
        <v>0</v>
      </c>
      <c r="L54" s="1773">
        <f t="shared" si="29"/>
        <v>0</v>
      </c>
      <c r="M54" s="1002"/>
      <c r="N54" s="1958"/>
      <c r="O54" s="1402"/>
      <c r="P54" s="1957"/>
      <c r="Q54" s="834">
        <f t="shared" si="30"/>
        <v>0</v>
      </c>
      <c r="R54" s="1958"/>
      <c r="S54" s="1402"/>
      <c r="T54" s="1403"/>
      <c r="U54" s="1765">
        <f t="shared" si="4"/>
        <v>0</v>
      </c>
      <c r="V54" s="1403"/>
      <c r="W54" s="1402"/>
      <c r="X54" s="1404"/>
    </row>
    <row r="55" spans="1:24" ht="11.25" customHeight="1">
      <c r="A55" s="1001" t="str">
        <f>'Org structure'!E51</f>
        <v>5.5 - Library Services</v>
      </c>
      <c r="B55" s="167"/>
      <c r="C55" s="1402"/>
      <c r="D55" s="1402"/>
      <c r="E55" s="1957"/>
      <c r="F55" s="1958"/>
      <c r="G55" s="1402"/>
      <c r="H55" s="1957"/>
      <c r="I55" s="1403"/>
      <c r="J55" s="1772">
        <f t="shared" si="27"/>
        <v>0</v>
      </c>
      <c r="K55" s="803">
        <f t="shared" si="28"/>
        <v>0</v>
      </c>
      <c r="L55" s="1773">
        <f t="shared" si="29"/>
        <v>0</v>
      </c>
      <c r="M55" s="1002"/>
      <c r="N55" s="1958"/>
      <c r="O55" s="1402"/>
      <c r="P55" s="1957"/>
      <c r="Q55" s="834">
        <f t="shared" si="30"/>
        <v>0</v>
      </c>
      <c r="R55" s="1958"/>
      <c r="S55" s="1402"/>
      <c r="T55" s="1403"/>
      <c r="U55" s="1765">
        <f t="shared" si="4"/>
        <v>0</v>
      </c>
      <c r="V55" s="1403"/>
      <c r="W55" s="1402"/>
      <c r="X55" s="1404"/>
    </row>
    <row r="56" spans="1:24" ht="11.25" customHeight="1">
      <c r="A56" s="1001" t="str">
        <f>'Org structure'!E52</f>
        <v>5.6 - Solid Waste</v>
      </c>
      <c r="B56" s="167"/>
      <c r="C56" s="1402"/>
      <c r="D56" s="1402"/>
      <c r="E56" s="1957"/>
      <c r="F56" s="1958"/>
      <c r="G56" s="1402"/>
      <c r="H56" s="1957"/>
      <c r="I56" s="1403"/>
      <c r="J56" s="1772">
        <f t="shared" si="27"/>
        <v>0</v>
      </c>
      <c r="K56" s="803">
        <f t="shared" si="28"/>
        <v>0</v>
      </c>
      <c r="L56" s="1773">
        <f t="shared" si="29"/>
        <v>0</v>
      </c>
      <c r="M56" s="1002"/>
      <c r="N56" s="1958"/>
      <c r="O56" s="1402"/>
      <c r="P56" s="1957"/>
      <c r="Q56" s="834">
        <f t="shared" si="30"/>
        <v>0</v>
      </c>
      <c r="R56" s="1958"/>
      <c r="S56" s="1402"/>
      <c r="T56" s="1403"/>
      <c r="U56" s="1765">
        <f t="shared" si="4"/>
        <v>0</v>
      </c>
      <c r="V56" s="1403"/>
      <c r="W56" s="1402"/>
      <c r="X56" s="1404"/>
    </row>
    <row r="57" spans="1:24" ht="11.25" customHeight="1">
      <c r="A57" s="1001" t="str">
        <f>'Org structure'!E53</f>
        <v>5.7 - Street Cleansing</v>
      </c>
      <c r="B57" s="167"/>
      <c r="C57" s="1402"/>
      <c r="D57" s="1402"/>
      <c r="E57" s="1957"/>
      <c r="F57" s="1958"/>
      <c r="G57" s="1402"/>
      <c r="H57" s="1957"/>
      <c r="I57" s="1403"/>
      <c r="J57" s="1772">
        <f t="shared" si="27"/>
        <v>0</v>
      </c>
      <c r="K57" s="803">
        <f t="shared" si="28"/>
        <v>0</v>
      </c>
      <c r="L57" s="1773">
        <f t="shared" si="29"/>
        <v>0</v>
      </c>
      <c r="M57" s="1002"/>
      <c r="N57" s="1958"/>
      <c r="O57" s="1402"/>
      <c r="P57" s="1957"/>
      <c r="Q57" s="834">
        <f t="shared" si="30"/>
        <v>0</v>
      </c>
      <c r="R57" s="1958"/>
      <c r="S57" s="1402"/>
      <c r="T57" s="1403"/>
      <c r="U57" s="1765">
        <f t="shared" si="4"/>
        <v>0</v>
      </c>
      <c r="V57" s="1403"/>
      <c r="W57" s="1402"/>
      <c r="X57" s="1404"/>
    </row>
    <row r="58" spans="1:24" ht="11.25" customHeight="1">
      <c r="A58" s="1001" t="str">
        <f>'Org structure'!E54</f>
        <v>5.8 - Public Toilets</v>
      </c>
      <c r="B58" s="167"/>
      <c r="C58" s="1402"/>
      <c r="D58" s="1402"/>
      <c r="E58" s="1957"/>
      <c r="F58" s="1958"/>
      <c r="G58" s="1402"/>
      <c r="H58" s="1957"/>
      <c r="I58" s="1403"/>
      <c r="J58" s="1772">
        <f t="shared" si="27"/>
        <v>0</v>
      </c>
      <c r="K58" s="803">
        <f t="shared" si="28"/>
        <v>0</v>
      </c>
      <c r="L58" s="1773">
        <f t="shared" si="29"/>
        <v>0</v>
      </c>
      <c r="M58" s="1002"/>
      <c r="N58" s="1958"/>
      <c r="O58" s="1402"/>
      <c r="P58" s="1957"/>
      <c r="Q58" s="834">
        <f t="shared" si="30"/>
        <v>0</v>
      </c>
      <c r="R58" s="1958"/>
      <c r="S58" s="1402"/>
      <c r="T58" s="1403"/>
      <c r="U58" s="1765">
        <f t="shared" si="4"/>
        <v>0</v>
      </c>
      <c r="V58" s="1403"/>
      <c r="W58" s="1402"/>
      <c r="X58" s="1404"/>
    </row>
    <row r="59" spans="1:24" ht="11.25" customHeight="1">
      <c r="A59" s="1001">
        <f>'Org structure'!E55</f>
        <v>0</v>
      </c>
      <c r="B59" s="167"/>
      <c r="C59" s="1402"/>
      <c r="D59" s="1402"/>
      <c r="E59" s="1957"/>
      <c r="F59" s="1958"/>
      <c r="G59" s="1402"/>
      <c r="H59" s="1957"/>
      <c r="I59" s="1403"/>
      <c r="J59" s="1772">
        <f t="shared" si="27"/>
        <v>0</v>
      </c>
      <c r="K59" s="803">
        <f t="shared" si="28"/>
        <v>0</v>
      </c>
      <c r="L59" s="1773">
        <f t="shared" si="29"/>
        <v>0</v>
      </c>
      <c r="M59" s="1002"/>
      <c r="N59" s="1958"/>
      <c r="O59" s="1402"/>
      <c r="P59" s="1957"/>
      <c r="Q59" s="834">
        <f t="shared" si="30"/>
        <v>0</v>
      </c>
      <c r="R59" s="1958"/>
      <c r="S59" s="1402"/>
      <c r="T59" s="1403"/>
      <c r="U59" s="1765">
        <f t="shared" si="4"/>
        <v>0</v>
      </c>
      <c r="V59" s="1403"/>
      <c r="W59" s="1402"/>
      <c r="X59" s="1404"/>
    </row>
    <row r="60" spans="1:24" ht="11.25" customHeight="1">
      <c r="A60" s="1001">
        <f>'Org structure'!E56</f>
        <v>0</v>
      </c>
      <c r="B60" s="167"/>
      <c r="C60" s="1402"/>
      <c r="D60" s="1402"/>
      <c r="E60" s="1957"/>
      <c r="F60" s="1958"/>
      <c r="G60" s="1402"/>
      <c r="H60" s="1957"/>
      <c r="I60" s="1403"/>
      <c r="J60" s="1772">
        <f t="shared" si="27"/>
        <v>0</v>
      </c>
      <c r="K60" s="803">
        <f t="shared" si="28"/>
        <v>0</v>
      </c>
      <c r="L60" s="1773">
        <f t="shared" si="29"/>
        <v>0</v>
      </c>
      <c r="M60" s="1002"/>
      <c r="N60" s="1958"/>
      <c r="O60" s="1402"/>
      <c r="P60" s="1957"/>
      <c r="Q60" s="834">
        <f t="shared" si="30"/>
        <v>0</v>
      </c>
      <c r="R60" s="1958"/>
      <c r="S60" s="1402"/>
      <c r="T60" s="1403"/>
      <c r="U60" s="1765">
        <f t="shared" si="4"/>
        <v>0</v>
      </c>
      <c r="V60" s="1403"/>
      <c r="W60" s="1402"/>
      <c r="X60" s="1404"/>
    </row>
    <row r="61" spans="1:24" ht="15" customHeight="1">
      <c r="A61" s="1000" t="str">
        <f>'Org structure'!A7</f>
        <v>Vote 6 - Community Services</v>
      </c>
      <c r="B61" s="837"/>
      <c r="C61" s="832">
        <f>SUM(C62:C71)</f>
        <v>0</v>
      </c>
      <c r="D61" s="832">
        <f t="shared" ref="D61:L61" si="31">SUM(D62:D71)</f>
        <v>0</v>
      </c>
      <c r="E61" s="833">
        <f t="shared" si="31"/>
        <v>0</v>
      </c>
      <c r="F61" s="834">
        <f t="shared" si="31"/>
        <v>0</v>
      </c>
      <c r="G61" s="832">
        <f t="shared" si="31"/>
        <v>0</v>
      </c>
      <c r="H61" s="833">
        <f t="shared" si="31"/>
        <v>0</v>
      </c>
      <c r="I61" s="835">
        <f>SUM(I62:I71)</f>
        <v>0</v>
      </c>
      <c r="J61" s="1772">
        <f t="shared" si="31"/>
        <v>0</v>
      </c>
      <c r="K61" s="803">
        <f t="shared" si="31"/>
        <v>0</v>
      </c>
      <c r="L61" s="1773">
        <f t="shared" si="31"/>
        <v>0</v>
      </c>
      <c r="M61" s="1002"/>
      <c r="N61" s="834">
        <f t="shared" ref="N61:X61" si="32">SUM(N62:N71)</f>
        <v>0</v>
      </c>
      <c r="O61" s="832">
        <f t="shared" si="32"/>
        <v>0</v>
      </c>
      <c r="P61" s="833">
        <f t="shared" si="32"/>
        <v>0</v>
      </c>
      <c r="Q61" s="834">
        <f t="shared" si="32"/>
        <v>0</v>
      </c>
      <c r="R61" s="834">
        <f t="shared" si="32"/>
        <v>0</v>
      </c>
      <c r="S61" s="832">
        <f t="shared" si="32"/>
        <v>0</v>
      </c>
      <c r="T61" s="1769">
        <f t="shared" si="32"/>
        <v>0</v>
      </c>
      <c r="U61" s="1765">
        <f t="shared" si="32"/>
        <v>0</v>
      </c>
      <c r="V61" s="1770">
        <f t="shared" si="32"/>
        <v>0</v>
      </c>
      <c r="W61" s="832">
        <f t="shared" si="32"/>
        <v>0</v>
      </c>
      <c r="X61" s="1771">
        <f t="shared" si="32"/>
        <v>0</v>
      </c>
    </row>
    <row r="62" spans="1:24" ht="11.25" customHeight="1">
      <c r="A62" s="1001" t="str">
        <f>'Org structure'!E58</f>
        <v>6.1 - 6.2 - Administration Transport,safety,Security</v>
      </c>
      <c r="B62" s="167"/>
      <c r="C62" s="1402"/>
      <c r="D62" s="1402"/>
      <c r="E62" s="1957"/>
      <c r="F62" s="1958"/>
      <c r="G62" s="1402"/>
      <c r="H62" s="1957"/>
      <c r="I62" s="1403"/>
      <c r="J62" s="1772">
        <f t="shared" ref="J62:J71" si="33">Q62+V62</f>
        <v>0</v>
      </c>
      <c r="K62" s="803">
        <f t="shared" ref="K62:K71" si="34">U62+W62</f>
        <v>0</v>
      </c>
      <c r="L62" s="1773">
        <f t="shared" ref="L62:L71" si="35">X62</f>
        <v>0</v>
      </c>
      <c r="M62" s="1002"/>
      <c r="N62" s="1958"/>
      <c r="O62" s="1402"/>
      <c r="P62" s="1957"/>
      <c r="Q62" s="834">
        <f t="shared" ref="Q62:Q71" si="36">SUM(N62:P62)</f>
        <v>0</v>
      </c>
      <c r="R62" s="1958"/>
      <c r="S62" s="1402"/>
      <c r="T62" s="1403"/>
      <c r="U62" s="1765">
        <f t="shared" si="4"/>
        <v>0</v>
      </c>
      <c r="V62" s="1403"/>
      <c r="W62" s="1402"/>
      <c r="X62" s="1404"/>
    </row>
    <row r="63" spans="1:24" ht="11.25" customHeight="1">
      <c r="A63" s="1001" t="str">
        <f>'Org structure'!E59</f>
        <v>6.2 - 6.3 - Vehicle licencing</v>
      </c>
      <c r="B63" s="167"/>
      <c r="C63" s="1402"/>
      <c r="D63" s="1402"/>
      <c r="E63" s="1957"/>
      <c r="F63" s="1958"/>
      <c r="G63" s="1402"/>
      <c r="H63" s="1957"/>
      <c r="I63" s="1403"/>
      <c r="J63" s="1772">
        <f t="shared" si="33"/>
        <v>0</v>
      </c>
      <c r="K63" s="803">
        <f t="shared" si="34"/>
        <v>0</v>
      </c>
      <c r="L63" s="1773">
        <f t="shared" si="35"/>
        <v>0</v>
      </c>
      <c r="M63" s="1002"/>
      <c r="N63" s="1958"/>
      <c r="O63" s="1402"/>
      <c r="P63" s="1957"/>
      <c r="Q63" s="834">
        <f t="shared" si="36"/>
        <v>0</v>
      </c>
      <c r="R63" s="1958"/>
      <c r="S63" s="1402"/>
      <c r="T63" s="1403"/>
      <c r="U63" s="1765">
        <f t="shared" si="4"/>
        <v>0</v>
      </c>
      <c r="V63" s="1403"/>
      <c r="W63" s="1402"/>
      <c r="X63" s="1404"/>
    </row>
    <row r="64" spans="1:24" ht="11.25" customHeight="1">
      <c r="A64" s="1001" t="str">
        <f>'Org structure'!E60</f>
        <v>6.3 - 6.1 - Traffic services</v>
      </c>
      <c r="B64" s="167"/>
      <c r="C64" s="1402"/>
      <c r="D64" s="1402"/>
      <c r="E64" s="1957"/>
      <c r="F64" s="1958"/>
      <c r="G64" s="1402"/>
      <c r="H64" s="1957"/>
      <c r="I64" s="1403"/>
      <c r="J64" s="1772">
        <f t="shared" si="33"/>
        <v>0</v>
      </c>
      <c r="K64" s="803">
        <f t="shared" si="34"/>
        <v>0</v>
      </c>
      <c r="L64" s="1773">
        <f t="shared" si="35"/>
        <v>0</v>
      </c>
      <c r="M64" s="1002"/>
      <c r="N64" s="1958"/>
      <c r="O64" s="1402"/>
      <c r="P64" s="1957"/>
      <c r="Q64" s="834">
        <f t="shared" si="36"/>
        <v>0</v>
      </c>
      <c r="R64" s="1958"/>
      <c r="S64" s="1402"/>
      <c r="T64" s="1403"/>
      <c r="U64" s="1765">
        <f t="shared" si="4"/>
        <v>0</v>
      </c>
      <c r="V64" s="1403"/>
      <c r="W64" s="1402"/>
      <c r="X64" s="1404"/>
    </row>
    <row r="65" spans="1:24" ht="11.25" customHeight="1">
      <c r="A65" s="1001">
        <f>'Org structure'!E61</f>
        <v>0</v>
      </c>
      <c r="B65" s="167"/>
      <c r="C65" s="1402"/>
      <c r="D65" s="1402"/>
      <c r="E65" s="1957"/>
      <c r="F65" s="1958"/>
      <c r="G65" s="1402"/>
      <c r="H65" s="1957"/>
      <c r="I65" s="1403"/>
      <c r="J65" s="1772">
        <f t="shared" si="33"/>
        <v>0</v>
      </c>
      <c r="K65" s="803">
        <f t="shared" si="34"/>
        <v>0</v>
      </c>
      <c r="L65" s="1773">
        <f t="shared" si="35"/>
        <v>0</v>
      </c>
      <c r="M65" s="1002"/>
      <c r="N65" s="1958"/>
      <c r="O65" s="1402"/>
      <c r="P65" s="1957"/>
      <c r="Q65" s="834">
        <f t="shared" si="36"/>
        <v>0</v>
      </c>
      <c r="R65" s="1958"/>
      <c r="S65" s="1402"/>
      <c r="T65" s="1403"/>
      <c r="U65" s="1765">
        <f t="shared" si="4"/>
        <v>0</v>
      </c>
      <c r="V65" s="1403"/>
      <c r="W65" s="1402"/>
      <c r="X65" s="1404"/>
    </row>
    <row r="66" spans="1:24" ht="11.25" customHeight="1">
      <c r="A66" s="1001">
        <f>'Org structure'!E62</f>
        <v>0</v>
      </c>
      <c r="B66" s="167"/>
      <c r="C66" s="1402"/>
      <c r="D66" s="1402"/>
      <c r="E66" s="1957"/>
      <c r="F66" s="1958"/>
      <c r="G66" s="1402"/>
      <c r="H66" s="1957"/>
      <c r="I66" s="1403"/>
      <c r="J66" s="1772">
        <f t="shared" si="33"/>
        <v>0</v>
      </c>
      <c r="K66" s="803">
        <f t="shared" si="34"/>
        <v>0</v>
      </c>
      <c r="L66" s="1773">
        <f t="shared" si="35"/>
        <v>0</v>
      </c>
      <c r="M66" s="1002"/>
      <c r="N66" s="1958"/>
      <c r="O66" s="1402"/>
      <c r="P66" s="1957"/>
      <c r="Q66" s="834">
        <f t="shared" si="36"/>
        <v>0</v>
      </c>
      <c r="R66" s="1958"/>
      <c r="S66" s="1402"/>
      <c r="T66" s="1403"/>
      <c r="U66" s="1765">
        <f t="shared" si="4"/>
        <v>0</v>
      </c>
      <c r="V66" s="1403"/>
      <c r="W66" s="1402"/>
      <c r="X66" s="1404"/>
    </row>
    <row r="67" spans="1:24" ht="11.25" customHeight="1">
      <c r="A67" s="1001">
        <f>'Org structure'!E63</f>
        <v>0</v>
      </c>
      <c r="B67" s="167"/>
      <c r="C67" s="1402"/>
      <c r="D67" s="1402"/>
      <c r="E67" s="1957"/>
      <c r="F67" s="1958"/>
      <c r="G67" s="1402"/>
      <c r="H67" s="1957"/>
      <c r="I67" s="1403"/>
      <c r="J67" s="1772">
        <f t="shared" si="33"/>
        <v>0</v>
      </c>
      <c r="K67" s="803">
        <f t="shared" si="34"/>
        <v>0</v>
      </c>
      <c r="L67" s="1773">
        <f t="shared" si="35"/>
        <v>0</v>
      </c>
      <c r="M67" s="1002"/>
      <c r="N67" s="1958"/>
      <c r="O67" s="1402"/>
      <c r="P67" s="1957"/>
      <c r="Q67" s="834">
        <f t="shared" si="36"/>
        <v>0</v>
      </c>
      <c r="R67" s="1958"/>
      <c r="S67" s="1402"/>
      <c r="T67" s="1403"/>
      <c r="U67" s="1765">
        <f t="shared" si="4"/>
        <v>0</v>
      </c>
      <c r="V67" s="1403"/>
      <c r="W67" s="1402"/>
      <c r="X67" s="1404"/>
    </row>
    <row r="68" spans="1:24" ht="11.25" customHeight="1">
      <c r="A68" s="1001">
        <f>'Org structure'!E64</f>
        <v>0</v>
      </c>
      <c r="B68" s="167"/>
      <c r="C68" s="1402"/>
      <c r="D68" s="1402"/>
      <c r="E68" s="1957"/>
      <c r="F68" s="1958"/>
      <c r="G68" s="1402"/>
      <c r="H68" s="1957"/>
      <c r="I68" s="1403"/>
      <c r="J68" s="1772">
        <f t="shared" si="33"/>
        <v>0</v>
      </c>
      <c r="K68" s="803">
        <f t="shared" si="34"/>
        <v>0</v>
      </c>
      <c r="L68" s="1773">
        <f t="shared" si="35"/>
        <v>0</v>
      </c>
      <c r="M68" s="1002"/>
      <c r="N68" s="1958"/>
      <c r="O68" s="1402"/>
      <c r="P68" s="1957"/>
      <c r="Q68" s="834">
        <f t="shared" si="36"/>
        <v>0</v>
      </c>
      <c r="R68" s="1958"/>
      <c r="S68" s="1402"/>
      <c r="T68" s="1403"/>
      <c r="U68" s="1765">
        <f t="shared" si="4"/>
        <v>0</v>
      </c>
      <c r="V68" s="1403"/>
      <c r="W68" s="1402"/>
      <c r="X68" s="1404"/>
    </row>
    <row r="69" spans="1:24" ht="11.25" customHeight="1">
      <c r="A69" s="1001">
        <f>'Org structure'!E65</f>
        <v>0</v>
      </c>
      <c r="B69" s="167"/>
      <c r="C69" s="1402"/>
      <c r="D69" s="1402"/>
      <c r="E69" s="1957"/>
      <c r="F69" s="1958"/>
      <c r="G69" s="1402"/>
      <c r="H69" s="1957"/>
      <c r="I69" s="1403"/>
      <c r="J69" s="1772">
        <f t="shared" si="33"/>
        <v>0</v>
      </c>
      <c r="K69" s="803">
        <f t="shared" si="34"/>
        <v>0</v>
      </c>
      <c r="L69" s="1773">
        <f t="shared" si="35"/>
        <v>0</v>
      </c>
      <c r="M69" s="1002"/>
      <c r="N69" s="1958"/>
      <c r="O69" s="1402"/>
      <c r="P69" s="1957"/>
      <c r="Q69" s="834">
        <f t="shared" si="36"/>
        <v>0</v>
      </c>
      <c r="R69" s="1958"/>
      <c r="S69" s="1402"/>
      <c r="T69" s="1403"/>
      <c r="U69" s="1765">
        <f t="shared" si="4"/>
        <v>0</v>
      </c>
      <c r="V69" s="1403"/>
      <c r="W69" s="1402"/>
      <c r="X69" s="1404"/>
    </row>
    <row r="70" spans="1:24" ht="11.25" customHeight="1">
      <c r="A70" s="1001">
        <f>'Org structure'!E66</f>
        <v>0</v>
      </c>
      <c r="B70" s="167"/>
      <c r="C70" s="1402"/>
      <c r="D70" s="1402"/>
      <c r="E70" s="1957"/>
      <c r="F70" s="1958"/>
      <c r="G70" s="1402"/>
      <c r="H70" s="1957"/>
      <c r="I70" s="1403"/>
      <c r="J70" s="1772">
        <f t="shared" si="33"/>
        <v>0</v>
      </c>
      <c r="K70" s="803">
        <f t="shared" si="34"/>
        <v>0</v>
      </c>
      <c r="L70" s="1773">
        <f t="shared" si="35"/>
        <v>0</v>
      </c>
      <c r="M70" s="1002"/>
      <c r="N70" s="1958"/>
      <c r="O70" s="1402"/>
      <c r="P70" s="1957"/>
      <c r="Q70" s="834">
        <f t="shared" si="36"/>
        <v>0</v>
      </c>
      <c r="R70" s="1958"/>
      <c r="S70" s="1402"/>
      <c r="T70" s="1403"/>
      <c r="U70" s="1765">
        <f t="shared" si="4"/>
        <v>0</v>
      </c>
      <c r="V70" s="1403"/>
      <c r="W70" s="1402"/>
      <c r="X70" s="1404"/>
    </row>
    <row r="71" spans="1:24" ht="11.25" customHeight="1">
      <c r="A71" s="1001">
        <f>'Org structure'!E67</f>
        <v>0</v>
      </c>
      <c r="B71" s="167"/>
      <c r="C71" s="1402"/>
      <c r="D71" s="1402"/>
      <c r="E71" s="1957"/>
      <c r="F71" s="1958"/>
      <c r="G71" s="1402"/>
      <c r="H71" s="1957"/>
      <c r="I71" s="1403"/>
      <c r="J71" s="1772">
        <f t="shared" si="33"/>
        <v>0</v>
      </c>
      <c r="K71" s="803">
        <f t="shared" si="34"/>
        <v>0</v>
      </c>
      <c r="L71" s="1773">
        <f t="shared" si="35"/>
        <v>0</v>
      </c>
      <c r="M71" s="1002"/>
      <c r="N71" s="1958"/>
      <c r="O71" s="1402"/>
      <c r="P71" s="1957"/>
      <c r="Q71" s="834">
        <f t="shared" si="36"/>
        <v>0</v>
      </c>
      <c r="R71" s="1958"/>
      <c r="S71" s="1402"/>
      <c r="T71" s="1403"/>
      <c r="U71" s="1765">
        <f t="shared" si="4"/>
        <v>0</v>
      </c>
      <c r="V71" s="1403"/>
      <c r="W71" s="1402"/>
      <c r="X71" s="1404"/>
    </row>
    <row r="72" spans="1:24" ht="15" customHeight="1">
      <c r="A72" s="1000" t="str">
        <f>'Org structure'!A8</f>
        <v>Vote 7 - Electrical Engineering Services</v>
      </c>
      <c r="B72" s="837"/>
      <c r="C72" s="832">
        <f t="shared" ref="C72:L72" si="37">SUM(C73:C82)</f>
        <v>0</v>
      </c>
      <c r="D72" s="832">
        <f t="shared" si="37"/>
        <v>0</v>
      </c>
      <c r="E72" s="833">
        <f t="shared" si="37"/>
        <v>0</v>
      </c>
      <c r="F72" s="834">
        <f t="shared" si="37"/>
        <v>0</v>
      </c>
      <c r="G72" s="832">
        <f t="shared" si="37"/>
        <v>0</v>
      </c>
      <c r="H72" s="833">
        <f t="shared" si="37"/>
        <v>0</v>
      </c>
      <c r="I72" s="835">
        <f t="shared" si="37"/>
        <v>0</v>
      </c>
      <c r="J72" s="1772">
        <f t="shared" si="37"/>
        <v>0</v>
      </c>
      <c r="K72" s="803">
        <f t="shared" si="37"/>
        <v>0</v>
      </c>
      <c r="L72" s="1773">
        <f t="shared" si="37"/>
        <v>0</v>
      </c>
      <c r="M72" s="1002"/>
      <c r="N72" s="834">
        <f t="shared" ref="N72:X72" si="38">SUM(N73:N82)</f>
        <v>0</v>
      </c>
      <c r="O72" s="832">
        <f t="shared" si="38"/>
        <v>0</v>
      </c>
      <c r="P72" s="833">
        <f t="shared" si="38"/>
        <v>0</v>
      </c>
      <c r="Q72" s="834">
        <f t="shared" si="38"/>
        <v>0</v>
      </c>
      <c r="R72" s="834">
        <f t="shared" si="38"/>
        <v>0</v>
      </c>
      <c r="S72" s="832">
        <f t="shared" si="38"/>
        <v>0</v>
      </c>
      <c r="T72" s="1769">
        <f t="shared" si="38"/>
        <v>0</v>
      </c>
      <c r="U72" s="1765">
        <f t="shared" si="38"/>
        <v>0</v>
      </c>
      <c r="V72" s="1770">
        <f t="shared" si="38"/>
        <v>0</v>
      </c>
      <c r="W72" s="832">
        <f t="shared" si="38"/>
        <v>0</v>
      </c>
      <c r="X72" s="1771">
        <f t="shared" si="38"/>
        <v>0</v>
      </c>
    </row>
    <row r="73" spans="1:24" ht="11.25" customHeight="1">
      <c r="A73" s="1001" t="str">
        <f>'Org structure'!E69</f>
        <v>7.1 - Administration Electrical Engineering</v>
      </c>
      <c r="B73" s="167"/>
      <c r="C73" s="1402"/>
      <c r="D73" s="1402"/>
      <c r="E73" s="1957"/>
      <c r="F73" s="1958"/>
      <c r="G73" s="1402"/>
      <c r="H73" s="1957"/>
      <c r="I73" s="1403"/>
      <c r="J73" s="1772">
        <f t="shared" ref="J73:J82" si="39">Q73+V73</f>
        <v>0</v>
      </c>
      <c r="K73" s="803">
        <f t="shared" ref="K73:K82" si="40">U73+W73</f>
        <v>0</v>
      </c>
      <c r="L73" s="1773">
        <f t="shared" ref="L73:L82" si="41">X73</f>
        <v>0</v>
      </c>
      <c r="M73" s="1002"/>
      <c r="N73" s="1958"/>
      <c r="O73" s="1402"/>
      <c r="P73" s="1957"/>
      <c r="Q73" s="834">
        <f t="shared" ref="Q73:Q82" si="42">SUM(N73:P73)</f>
        <v>0</v>
      </c>
      <c r="R73" s="1958"/>
      <c r="S73" s="1402"/>
      <c r="T73" s="1403"/>
      <c r="U73" s="1765">
        <f t="shared" ref="U73:U135" si="43">SUM(R73:T73)</f>
        <v>0</v>
      </c>
      <c r="V73" s="1403"/>
      <c r="W73" s="1402"/>
      <c r="X73" s="1404"/>
    </row>
    <row r="74" spans="1:24" ht="11.25" customHeight="1">
      <c r="A74" s="1001" t="str">
        <f>'Org structure'!E70</f>
        <v>7.2 - Operations &amp; Maintenance: Rural</v>
      </c>
      <c r="B74" s="167"/>
      <c r="C74" s="1402"/>
      <c r="D74" s="1402"/>
      <c r="E74" s="1957"/>
      <c r="F74" s="1958"/>
      <c r="G74" s="1402"/>
      <c r="H74" s="1957"/>
      <c r="I74" s="1403"/>
      <c r="J74" s="1772">
        <f t="shared" si="39"/>
        <v>0</v>
      </c>
      <c r="K74" s="803">
        <f t="shared" si="40"/>
        <v>0</v>
      </c>
      <c r="L74" s="1773">
        <f t="shared" si="41"/>
        <v>0</v>
      </c>
      <c r="M74" s="1002"/>
      <c r="N74" s="1958"/>
      <c r="O74" s="1402"/>
      <c r="P74" s="1957"/>
      <c r="Q74" s="834">
        <f t="shared" si="42"/>
        <v>0</v>
      </c>
      <c r="R74" s="1958"/>
      <c r="S74" s="1402"/>
      <c r="T74" s="1403"/>
      <c r="U74" s="1765">
        <f t="shared" si="43"/>
        <v>0</v>
      </c>
      <c r="V74" s="1403"/>
      <c r="W74" s="1402"/>
      <c r="X74" s="1404"/>
    </row>
    <row r="75" spans="1:24" ht="11.25" customHeight="1">
      <c r="A75" s="1001" t="str">
        <f>'Org structure'!E71</f>
        <v>7.3 - Operations &amp; Maintenance: Town</v>
      </c>
      <c r="B75" s="167"/>
      <c r="C75" s="1402"/>
      <c r="D75" s="1402"/>
      <c r="E75" s="1957"/>
      <c r="F75" s="1958"/>
      <c r="G75" s="1402"/>
      <c r="H75" s="1957"/>
      <c r="I75" s="1403"/>
      <c r="J75" s="1772">
        <f t="shared" si="39"/>
        <v>0</v>
      </c>
      <c r="K75" s="803">
        <f t="shared" si="40"/>
        <v>0</v>
      </c>
      <c r="L75" s="1773">
        <f t="shared" si="41"/>
        <v>0</v>
      </c>
      <c r="M75" s="1002"/>
      <c r="N75" s="1958"/>
      <c r="O75" s="1402"/>
      <c r="P75" s="1957"/>
      <c r="Q75" s="834">
        <f t="shared" si="42"/>
        <v>0</v>
      </c>
      <c r="R75" s="1958"/>
      <c r="S75" s="1402"/>
      <c r="T75" s="1403"/>
      <c r="U75" s="1765">
        <f t="shared" si="43"/>
        <v>0</v>
      </c>
      <c r="V75" s="1403"/>
      <c r="W75" s="1402"/>
      <c r="X75" s="1404"/>
    </row>
    <row r="76" spans="1:24" ht="11.25" customHeight="1">
      <c r="A76" s="1001">
        <f>'Org structure'!E72</f>
        <v>0</v>
      </c>
      <c r="B76" s="167"/>
      <c r="C76" s="1402"/>
      <c r="D76" s="1402"/>
      <c r="E76" s="1957"/>
      <c r="F76" s="1958"/>
      <c r="G76" s="1402"/>
      <c r="H76" s="1957"/>
      <c r="I76" s="1403"/>
      <c r="J76" s="1772">
        <f t="shared" si="39"/>
        <v>0</v>
      </c>
      <c r="K76" s="803">
        <f t="shared" si="40"/>
        <v>0</v>
      </c>
      <c r="L76" s="1773">
        <f t="shared" si="41"/>
        <v>0</v>
      </c>
      <c r="M76" s="1002"/>
      <c r="N76" s="1958"/>
      <c r="O76" s="1402"/>
      <c r="P76" s="1957"/>
      <c r="Q76" s="834">
        <f t="shared" si="42"/>
        <v>0</v>
      </c>
      <c r="R76" s="1958"/>
      <c r="S76" s="1402"/>
      <c r="T76" s="1403"/>
      <c r="U76" s="1765">
        <f t="shared" si="43"/>
        <v>0</v>
      </c>
      <c r="V76" s="1403"/>
      <c r="W76" s="1402"/>
      <c r="X76" s="1404"/>
    </row>
    <row r="77" spans="1:24" ht="11.25" customHeight="1">
      <c r="A77" s="1001">
        <f>'Org structure'!E73</f>
        <v>0</v>
      </c>
      <c r="B77" s="167"/>
      <c r="C77" s="1402"/>
      <c r="D77" s="1402"/>
      <c r="E77" s="1957"/>
      <c r="F77" s="1958"/>
      <c r="G77" s="1402"/>
      <c r="H77" s="1957"/>
      <c r="I77" s="1403"/>
      <c r="J77" s="1772">
        <f t="shared" si="39"/>
        <v>0</v>
      </c>
      <c r="K77" s="803">
        <f t="shared" si="40"/>
        <v>0</v>
      </c>
      <c r="L77" s="1773">
        <f t="shared" si="41"/>
        <v>0</v>
      </c>
      <c r="M77" s="1002"/>
      <c r="N77" s="1958"/>
      <c r="O77" s="1402"/>
      <c r="P77" s="1957"/>
      <c r="Q77" s="834">
        <f t="shared" si="42"/>
        <v>0</v>
      </c>
      <c r="R77" s="1958"/>
      <c r="S77" s="1402"/>
      <c r="T77" s="1403"/>
      <c r="U77" s="1765">
        <f t="shared" si="43"/>
        <v>0</v>
      </c>
      <c r="V77" s="1403"/>
      <c r="W77" s="1402"/>
      <c r="X77" s="1404"/>
    </row>
    <row r="78" spans="1:24" ht="11.25" customHeight="1">
      <c r="A78" s="1001">
        <f>'Org structure'!E74</f>
        <v>0</v>
      </c>
      <c r="B78" s="167"/>
      <c r="C78" s="1402"/>
      <c r="D78" s="1402"/>
      <c r="E78" s="1957"/>
      <c r="F78" s="1958"/>
      <c r="G78" s="1402"/>
      <c r="H78" s="1957"/>
      <c r="I78" s="1403"/>
      <c r="J78" s="1772">
        <f t="shared" si="39"/>
        <v>0</v>
      </c>
      <c r="K78" s="803">
        <f t="shared" si="40"/>
        <v>0</v>
      </c>
      <c r="L78" s="1773">
        <f t="shared" si="41"/>
        <v>0</v>
      </c>
      <c r="M78" s="1002"/>
      <c r="N78" s="1958"/>
      <c r="O78" s="1402"/>
      <c r="P78" s="1957"/>
      <c r="Q78" s="834">
        <f t="shared" si="42"/>
        <v>0</v>
      </c>
      <c r="R78" s="1958"/>
      <c r="S78" s="1402"/>
      <c r="T78" s="1403"/>
      <c r="U78" s="1765">
        <f t="shared" si="43"/>
        <v>0</v>
      </c>
      <c r="V78" s="1403"/>
      <c r="W78" s="1402"/>
      <c r="X78" s="1404"/>
    </row>
    <row r="79" spans="1:24" ht="11.25" customHeight="1">
      <c r="A79" s="1001">
        <f>'Org structure'!E75</f>
        <v>0</v>
      </c>
      <c r="B79" s="167"/>
      <c r="C79" s="1402"/>
      <c r="D79" s="1402"/>
      <c r="E79" s="1957"/>
      <c r="F79" s="1958"/>
      <c r="G79" s="1402"/>
      <c r="H79" s="1957"/>
      <c r="I79" s="1403"/>
      <c r="J79" s="1772">
        <f t="shared" si="39"/>
        <v>0</v>
      </c>
      <c r="K79" s="803">
        <f t="shared" si="40"/>
        <v>0</v>
      </c>
      <c r="L79" s="1773">
        <f t="shared" si="41"/>
        <v>0</v>
      </c>
      <c r="M79" s="1002"/>
      <c r="N79" s="1958"/>
      <c r="O79" s="1402"/>
      <c r="P79" s="1957"/>
      <c r="Q79" s="834">
        <f t="shared" si="42"/>
        <v>0</v>
      </c>
      <c r="R79" s="1958"/>
      <c r="S79" s="1402"/>
      <c r="T79" s="1403"/>
      <c r="U79" s="1765">
        <f t="shared" si="43"/>
        <v>0</v>
      </c>
      <c r="V79" s="1403"/>
      <c r="W79" s="1402"/>
      <c r="X79" s="1404"/>
    </row>
    <row r="80" spans="1:24" ht="11.25" customHeight="1">
      <c r="A80" s="1001">
        <f>'Org structure'!E76</f>
        <v>0</v>
      </c>
      <c r="B80" s="167"/>
      <c r="C80" s="1402"/>
      <c r="D80" s="1402"/>
      <c r="E80" s="1957"/>
      <c r="F80" s="1958"/>
      <c r="G80" s="1402"/>
      <c r="H80" s="1957"/>
      <c r="I80" s="1403"/>
      <c r="J80" s="1772">
        <f t="shared" si="39"/>
        <v>0</v>
      </c>
      <c r="K80" s="803">
        <f t="shared" si="40"/>
        <v>0</v>
      </c>
      <c r="L80" s="1773">
        <f t="shared" si="41"/>
        <v>0</v>
      </c>
      <c r="M80" s="1002"/>
      <c r="N80" s="1958"/>
      <c r="O80" s="1402"/>
      <c r="P80" s="1957"/>
      <c r="Q80" s="834">
        <f t="shared" si="42"/>
        <v>0</v>
      </c>
      <c r="R80" s="1958"/>
      <c r="S80" s="1402"/>
      <c r="T80" s="1403"/>
      <c r="U80" s="1765">
        <f t="shared" si="43"/>
        <v>0</v>
      </c>
      <c r="V80" s="1403"/>
      <c r="W80" s="1402"/>
      <c r="X80" s="1404"/>
    </row>
    <row r="81" spans="1:24" ht="11.25" customHeight="1">
      <c r="A81" s="1001">
        <f>'Org structure'!E77</f>
        <v>0</v>
      </c>
      <c r="B81" s="167"/>
      <c r="C81" s="1402"/>
      <c r="D81" s="1402"/>
      <c r="E81" s="1957"/>
      <c r="F81" s="1958"/>
      <c r="G81" s="1402"/>
      <c r="H81" s="1957"/>
      <c r="I81" s="1403"/>
      <c r="J81" s="1772">
        <f t="shared" si="39"/>
        <v>0</v>
      </c>
      <c r="K81" s="803">
        <f t="shared" si="40"/>
        <v>0</v>
      </c>
      <c r="L81" s="1773">
        <f t="shared" si="41"/>
        <v>0</v>
      </c>
      <c r="M81" s="1002"/>
      <c r="N81" s="1958"/>
      <c r="O81" s="1402"/>
      <c r="P81" s="1957"/>
      <c r="Q81" s="834">
        <f t="shared" si="42"/>
        <v>0</v>
      </c>
      <c r="R81" s="1958"/>
      <c r="S81" s="1402"/>
      <c r="T81" s="1403"/>
      <c r="U81" s="1765">
        <f t="shared" si="43"/>
        <v>0</v>
      </c>
      <c r="V81" s="1403"/>
      <c r="W81" s="1402"/>
      <c r="X81" s="1404"/>
    </row>
    <row r="82" spans="1:24" ht="11.25" customHeight="1">
      <c r="A82" s="1001">
        <f>'Org structure'!E78</f>
        <v>0</v>
      </c>
      <c r="B82" s="167"/>
      <c r="C82" s="1402"/>
      <c r="D82" s="1402"/>
      <c r="E82" s="1957"/>
      <c r="F82" s="1958"/>
      <c r="G82" s="1402"/>
      <c r="H82" s="1957"/>
      <c r="I82" s="1403"/>
      <c r="J82" s="1772">
        <f t="shared" si="39"/>
        <v>0</v>
      </c>
      <c r="K82" s="803">
        <f t="shared" si="40"/>
        <v>0</v>
      </c>
      <c r="L82" s="1773">
        <f t="shared" si="41"/>
        <v>0</v>
      </c>
      <c r="M82" s="1002"/>
      <c r="N82" s="1958"/>
      <c r="O82" s="1402"/>
      <c r="P82" s="1957"/>
      <c r="Q82" s="834">
        <f t="shared" si="42"/>
        <v>0</v>
      </c>
      <c r="R82" s="1958"/>
      <c r="S82" s="1402"/>
      <c r="T82" s="1403"/>
      <c r="U82" s="1765">
        <f t="shared" si="43"/>
        <v>0</v>
      </c>
      <c r="V82" s="1403"/>
      <c r="W82" s="1402"/>
      <c r="X82" s="1404"/>
    </row>
    <row r="83" spans="1:24" ht="15" customHeight="1">
      <c r="A83" s="1000" t="str">
        <f>'Org structure'!A9</f>
        <v>Vote 8 - Engineering Services</v>
      </c>
      <c r="B83" s="167"/>
      <c r="C83" s="832">
        <f t="shared" ref="C83:L83" si="44">SUM(C84:C93)</f>
        <v>0</v>
      </c>
      <c r="D83" s="832">
        <f t="shared" si="44"/>
        <v>0</v>
      </c>
      <c r="E83" s="833">
        <f t="shared" si="44"/>
        <v>0</v>
      </c>
      <c r="F83" s="834">
        <f t="shared" si="44"/>
        <v>0</v>
      </c>
      <c r="G83" s="832">
        <f t="shared" si="44"/>
        <v>0</v>
      </c>
      <c r="H83" s="833">
        <f t="shared" si="44"/>
        <v>0</v>
      </c>
      <c r="I83" s="835">
        <f t="shared" si="44"/>
        <v>0</v>
      </c>
      <c r="J83" s="1772">
        <f t="shared" si="44"/>
        <v>0</v>
      </c>
      <c r="K83" s="803">
        <f t="shared" si="44"/>
        <v>0</v>
      </c>
      <c r="L83" s="1773">
        <f t="shared" si="44"/>
        <v>0</v>
      </c>
      <c r="M83" s="193"/>
      <c r="N83" s="834">
        <f t="shared" ref="N83:X83" si="45">SUM(N84:N93)</f>
        <v>0</v>
      </c>
      <c r="O83" s="832">
        <f t="shared" si="45"/>
        <v>0</v>
      </c>
      <c r="P83" s="833">
        <f t="shared" si="45"/>
        <v>0</v>
      </c>
      <c r="Q83" s="834">
        <f t="shared" si="45"/>
        <v>0</v>
      </c>
      <c r="R83" s="834">
        <f t="shared" si="45"/>
        <v>0</v>
      </c>
      <c r="S83" s="832">
        <f t="shared" si="45"/>
        <v>0</v>
      </c>
      <c r="T83" s="1769">
        <f t="shared" si="45"/>
        <v>0</v>
      </c>
      <c r="U83" s="1765">
        <f t="shared" si="45"/>
        <v>0</v>
      </c>
      <c r="V83" s="1770">
        <f t="shared" si="45"/>
        <v>0</v>
      </c>
      <c r="W83" s="832">
        <f t="shared" si="45"/>
        <v>0</v>
      </c>
      <c r="X83" s="1771">
        <f t="shared" si="45"/>
        <v>0</v>
      </c>
    </row>
    <row r="84" spans="1:24" ht="11.25" customHeight="1">
      <c r="A84" s="1001" t="str">
        <f>'Org structure'!E80</f>
        <v>8.1 - 8.1 - Fleet Management</v>
      </c>
      <c r="B84" s="167"/>
      <c r="C84" s="1402"/>
      <c r="D84" s="1402"/>
      <c r="E84" s="1403"/>
      <c r="F84" s="1958"/>
      <c r="G84" s="1402"/>
      <c r="H84" s="1957"/>
      <c r="I84" s="1403"/>
      <c r="J84" s="1772">
        <f t="shared" ref="J84:J93" si="46">Q84+V84</f>
        <v>0</v>
      </c>
      <c r="K84" s="803">
        <f t="shared" ref="K84:K93" si="47">U84+W84</f>
        <v>0</v>
      </c>
      <c r="L84" s="1773">
        <f t="shared" ref="L84:L93" si="48">X84</f>
        <v>0</v>
      </c>
      <c r="M84" s="193"/>
      <c r="N84" s="1958"/>
      <c r="O84" s="1402"/>
      <c r="P84" s="1957"/>
      <c r="Q84" s="834">
        <f t="shared" ref="Q84:Q93" si="49">SUM(N84:P84)</f>
        <v>0</v>
      </c>
      <c r="R84" s="1958"/>
      <c r="S84" s="1402"/>
      <c r="T84" s="1403"/>
      <c r="U84" s="1765">
        <f t="shared" si="43"/>
        <v>0</v>
      </c>
      <c r="V84" s="1403"/>
      <c r="W84" s="1402"/>
      <c r="X84" s="1404"/>
    </row>
    <row r="85" spans="1:24" ht="11.25" customHeight="1">
      <c r="A85" s="1001" t="str">
        <f>'Org structure'!E81</f>
        <v>8.2 - 8.2 - Administration Civil Engineering</v>
      </c>
      <c r="B85" s="167"/>
      <c r="C85" s="1402"/>
      <c r="D85" s="1402"/>
      <c r="E85" s="1403"/>
      <c r="F85" s="1958"/>
      <c r="G85" s="1402"/>
      <c r="H85" s="1957"/>
      <c r="I85" s="1403"/>
      <c r="J85" s="1772">
        <f t="shared" si="46"/>
        <v>0</v>
      </c>
      <c r="K85" s="803">
        <f t="shared" si="47"/>
        <v>0</v>
      </c>
      <c r="L85" s="1773">
        <f t="shared" si="48"/>
        <v>0</v>
      </c>
      <c r="M85" s="193"/>
      <c r="N85" s="1958"/>
      <c r="O85" s="1402"/>
      <c r="P85" s="1957"/>
      <c r="Q85" s="834">
        <f t="shared" si="49"/>
        <v>0</v>
      </c>
      <c r="R85" s="1958"/>
      <c r="S85" s="1402"/>
      <c r="T85" s="1403"/>
      <c r="U85" s="1765">
        <f t="shared" si="43"/>
        <v>0</v>
      </c>
      <c r="V85" s="1403"/>
      <c r="W85" s="1402"/>
      <c r="X85" s="1404"/>
    </row>
    <row r="86" spans="1:24" ht="11.25" customHeight="1">
      <c r="A86" s="1001" t="str">
        <f>'Org structure'!E82</f>
        <v>8.3 - 8.3 - Roads &amp; stormwater Management</v>
      </c>
      <c r="B86" s="167"/>
      <c r="C86" s="1402"/>
      <c r="D86" s="1402"/>
      <c r="E86" s="1403"/>
      <c r="F86" s="1958"/>
      <c r="G86" s="1402"/>
      <c r="H86" s="1957"/>
      <c r="I86" s="1403"/>
      <c r="J86" s="1772">
        <f t="shared" si="46"/>
        <v>0</v>
      </c>
      <c r="K86" s="803">
        <f t="shared" si="47"/>
        <v>0</v>
      </c>
      <c r="L86" s="1773">
        <f t="shared" si="48"/>
        <v>0</v>
      </c>
      <c r="M86" s="193"/>
      <c r="N86" s="1958"/>
      <c r="O86" s="1402"/>
      <c r="P86" s="1957"/>
      <c r="Q86" s="834">
        <f t="shared" si="49"/>
        <v>0</v>
      </c>
      <c r="R86" s="1958"/>
      <c r="S86" s="1402"/>
      <c r="T86" s="1403"/>
      <c r="U86" s="1765">
        <f t="shared" si="43"/>
        <v>0</v>
      </c>
      <c r="V86" s="1403"/>
      <c r="W86" s="1402"/>
      <c r="X86" s="1404"/>
    </row>
    <row r="87" spans="1:24" ht="11.25" customHeight="1">
      <c r="A87" s="1001" t="str">
        <f>'Org structure'!E83</f>
        <v>8.4 - 8.4 - Water Networks</v>
      </c>
      <c r="B87" s="167"/>
      <c r="C87" s="1402"/>
      <c r="D87" s="1402"/>
      <c r="E87" s="1403"/>
      <c r="F87" s="1958"/>
      <c r="G87" s="1402"/>
      <c r="H87" s="1957"/>
      <c r="I87" s="1403"/>
      <c r="J87" s="1772">
        <f t="shared" si="46"/>
        <v>0</v>
      </c>
      <c r="K87" s="803">
        <f t="shared" si="47"/>
        <v>0</v>
      </c>
      <c r="L87" s="1773">
        <f t="shared" si="48"/>
        <v>0</v>
      </c>
      <c r="M87" s="193"/>
      <c r="N87" s="1958"/>
      <c r="O87" s="1402"/>
      <c r="P87" s="1957"/>
      <c r="Q87" s="834">
        <f t="shared" si="49"/>
        <v>0</v>
      </c>
      <c r="R87" s="1958"/>
      <c r="S87" s="1402"/>
      <c r="T87" s="1403"/>
      <c r="U87" s="1765">
        <f t="shared" si="43"/>
        <v>0</v>
      </c>
      <c r="V87" s="1403"/>
      <c r="W87" s="1402"/>
      <c r="X87" s="1404"/>
    </row>
    <row r="88" spans="1:24" ht="11.25" customHeight="1">
      <c r="A88" s="1001" t="str">
        <f>'Org structure'!E84</f>
        <v>8.5 - 8.5 - Water Purification</v>
      </c>
      <c r="B88" s="167"/>
      <c r="C88" s="1402"/>
      <c r="D88" s="1402"/>
      <c r="E88" s="1403"/>
      <c r="F88" s="1958"/>
      <c r="G88" s="1402"/>
      <c r="H88" s="1957"/>
      <c r="I88" s="1403"/>
      <c r="J88" s="1772">
        <f t="shared" si="46"/>
        <v>0</v>
      </c>
      <c r="K88" s="803">
        <f t="shared" si="47"/>
        <v>0</v>
      </c>
      <c r="L88" s="1773">
        <f t="shared" si="48"/>
        <v>0</v>
      </c>
      <c r="M88" s="193"/>
      <c r="N88" s="1958"/>
      <c r="O88" s="1402"/>
      <c r="P88" s="1957"/>
      <c r="Q88" s="834">
        <f t="shared" si="49"/>
        <v>0</v>
      </c>
      <c r="R88" s="1958"/>
      <c r="S88" s="1402"/>
      <c r="T88" s="1403"/>
      <c r="U88" s="1765">
        <f t="shared" si="43"/>
        <v>0</v>
      </c>
      <c r="V88" s="1403"/>
      <c r="W88" s="1402"/>
      <c r="X88" s="1404"/>
    </row>
    <row r="89" spans="1:24" ht="11.25" customHeight="1">
      <c r="A89" s="1001" t="str">
        <f>'Org structure'!E85</f>
        <v>8.6 - 8.8 - Sewerage Purification</v>
      </c>
      <c r="B89" s="167"/>
      <c r="C89" s="1402"/>
      <c r="D89" s="1402"/>
      <c r="E89" s="1403"/>
      <c r="F89" s="1958"/>
      <c r="G89" s="1402"/>
      <c r="H89" s="1957"/>
      <c r="I89" s="1403"/>
      <c r="J89" s="1772">
        <f t="shared" si="46"/>
        <v>0</v>
      </c>
      <c r="K89" s="803">
        <f t="shared" si="47"/>
        <v>0</v>
      </c>
      <c r="L89" s="1773">
        <f t="shared" si="48"/>
        <v>0</v>
      </c>
      <c r="M89" s="193"/>
      <c r="N89" s="1958"/>
      <c r="O89" s="1402"/>
      <c r="P89" s="1957"/>
      <c r="Q89" s="834">
        <f t="shared" si="49"/>
        <v>0</v>
      </c>
      <c r="R89" s="1958"/>
      <c r="S89" s="1402"/>
      <c r="T89" s="1403"/>
      <c r="U89" s="1765">
        <f t="shared" si="43"/>
        <v>0</v>
      </c>
      <c r="V89" s="1403"/>
      <c r="W89" s="1402"/>
      <c r="X89" s="1404"/>
    </row>
    <row r="90" spans="1:24" ht="11.25" customHeight="1">
      <c r="A90" s="1001" t="str">
        <f>'Org structure'!E86</f>
        <v>8.7 - 8.6 - Building &amp; Housing</v>
      </c>
      <c r="B90" s="167"/>
      <c r="C90" s="1402"/>
      <c r="D90" s="1402"/>
      <c r="E90" s="1403"/>
      <c r="F90" s="1958"/>
      <c r="G90" s="1402"/>
      <c r="H90" s="1957"/>
      <c r="I90" s="1403"/>
      <c r="J90" s="1772">
        <f t="shared" si="46"/>
        <v>0</v>
      </c>
      <c r="K90" s="803">
        <f t="shared" si="47"/>
        <v>0</v>
      </c>
      <c r="L90" s="1773">
        <f t="shared" si="48"/>
        <v>0</v>
      </c>
      <c r="M90" s="193"/>
      <c r="N90" s="1958"/>
      <c r="O90" s="1402"/>
      <c r="P90" s="1957"/>
      <c r="Q90" s="834">
        <f t="shared" si="49"/>
        <v>0</v>
      </c>
      <c r="R90" s="1958"/>
      <c r="S90" s="1402"/>
      <c r="T90" s="1403"/>
      <c r="U90" s="1765">
        <f t="shared" si="43"/>
        <v>0</v>
      </c>
      <c r="V90" s="1403"/>
      <c r="W90" s="1402"/>
      <c r="X90" s="1404"/>
    </row>
    <row r="91" spans="1:24" ht="11.25" customHeight="1">
      <c r="A91" s="1001" t="str">
        <f>'Org structure'!E87</f>
        <v>8.8 - 8.7 - Project Management</v>
      </c>
      <c r="B91" s="167"/>
      <c r="C91" s="1402"/>
      <c r="D91" s="1402"/>
      <c r="E91" s="1403"/>
      <c r="F91" s="1958"/>
      <c r="G91" s="1402"/>
      <c r="H91" s="1957"/>
      <c r="I91" s="1403"/>
      <c r="J91" s="1772">
        <f t="shared" si="46"/>
        <v>0</v>
      </c>
      <c r="K91" s="803">
        <f t="shared" si="47"/>
        <v>0</v>
      </c>
      <c r="L91" s="1773">
        <f t="shared" si="48"/>
        <v>0</v>
      </c>
      <c r="M91" s="193"/>
      <c r="N91" s="1958"/>
      <c r="O91" s="1402"/>
      <c r="P91" s="1957"/>
      <c r="Q91" s="834">
        <f t="shared" si="49"/>
        <v>0</v>
      </c>
      <c r="R91" s="1958"/>
      <c r="S91" s="1402"/>
      <c r="T91" s="1403"/>
      <c r="U91" s="1765">
        <f t="shared" si="43"/>
        <v>0</v>
      </c>
      <c r="V91" s="1403"/>
      <c r="W91" s="1402"/>
      <c r="X91" s="1404"/>
    </row>
    <row r="92" spans="1:24" ht="11.25" customHeight="1">
      <c r="A92" s="1001">
        <f>'Org structure'!E88</f>
        <v>0</v>
      </c>
      <c r="B92" s="167"/>
      <c r="C92" s="1402"/>
      <c r="D92" s="1402"/>
      <c r="E92" s="1403"/>
      <c r="F92" s="1958"/>
      <c r="G92" s="1402"/>
      <c r="H92" s="1957"/>
      <c r="I92" s="1403"/>
      <c r="J92" s="1772">
        <f t="shared" si="46"/>
        <v>0</v>
      </c>
      <c r="K92" s="803">
        <f t="shared" si="47"/>
        <v>0</v>
      </c>
      <c r="L92" s="1773">
        <f t="shared" si="48"/>
        <v>0</v>
      </c>
      <c r="M92" s="193"/>
      <c r="N92" s="1958"/>
      <c r="O92" s="1402"/>
      <c r="P92" s="1957"/>
      <c r="Q92" s="834">
        <f t="shared" si="49"/>
        <v>0</v>
      </c>
      <c r="R92" s="1958"/>
      <c r="S92" s="1402"/>
      <c r="T92" s="1403"/>
      <c r="U92" s="1765">
        <f t="shared" si="43"/>
        <v>0</v>
      </c>
      <c r="V92" s="1403"/>
      <c r="W92" s="1402"/>
      <c r="X92" s="1404"/>
    </row>
    <row r="93" spans="1:24" ht="11.25" customHeight="1">
      <c r="A93" s="1001">
        <f>'Org structure'!E89</f>
        <v>0</v>
      </c>
      <c r="B93" s="167"/>
      <c r="C93" s="1402"/>
      <c r="D93" s="1402"/>
      <c r="E93" s="1403"/>
      <c r="F93" s="1958"/>
      <c r="G93" s="1402"/>
      <c r="H93" s="1957"/>
      <c r="I93" s="1403"/>
      <c r="J93" s="1772">
        <f t="shared" si="46"/>
        <v>0</v>
      </c>
      <c r="K93" s="803">
        <f t="shared" si="47"/>
        <v>0</v>
      </c>
      <c r="L93" s="1773">
        <f t="shared" si="48"/>
        <v>0</v>
      </c>
      <c r="M93" s="193"/>
      <c r="N93" s="1958"/>
      <c r="O93" s="1402"/>
      <c r="P93" s="1957"/>
      <c r="Q93" s="834">
        <f t="shared" si="49"/>
        <v>0</v>
      </c>
      <c r="R93" s="1958"/>
      <c r="S93" s="1402"/>
      <c r="T93" s="1403"/>
      <c r="U93" s="1765">
        <f t="shared" si="43"/>
        <v>0</v>
      </c>
      <c r="V93" s="1403"/>
      <c r="W93" s="1402"/>
      <c r="X93" s="1404"/>
    </row>
    <row r="94" spans="1:24" ht="15" customHeight="1">
      <c r="A94" s="1000" t="str">
        <f>'Org structure'!A10</f>
        <v>Vote 9 - [NAME OF VOTE 9]</v>
      </c>
      <c r="B94" s="167"/>
      <c r="C94" s="832">
        <f>SUM(C95:C104)</f>
        <v>0</v>
      </c>
      <c r="D94" s="832">
        <f t="shared" ref="D94:L94" si="50">SUM(D95:D104)</f>
        <v>0</v>
      </c>
      <c r="E94" s="833">
        <f t="shared" si="50"/>
        <v>0</v>
      </c>
      <c r="F94" s="834">
        <f t="shared" si="50"/>
        <v>0</v>
      </c>
      <c r="G94" s="832">
        <f t="shared" si="50"/>
        <v>0</v>
      </c>
      <c r="H94" s="833">
        <f t="shared" si="50"/>
        <v>0</v>
      </c>
      <c r="I94" s="835">
        <f t="shared" si="50"/>
        <v>0</v>
      </c>
      <c r="J94" s="1772">
        <f t="shared" si="50"/>
        <v>0</v>
      </c>
      <c r="K94" s="803">
        <f t="shared" si="50"/>
        <v>0</v>
      </c>
      <c r="L94" s="1773">
        <f t="shared" si="50"/>
        <v>0</v>
      </c>
      <c r="M94" s="193"/>
      <c r="N94" s="834">
        <f t="shared" ref="N94:X94" si="51">SUM(N95:N104)</f>
        <v>0</v>
      </c>
      <c r="O94" s="832">
        <f t="shared" si="51"/>
        <v>0</v>
      </c>
      <c r="P94" s="833">
        <f t="shared" si="51"/>
        <v>0</v>
      </c>
      <c r="Q94" s="834">
        <f t="shared" si="51"/>
        <v>0</v>
      </c>
      <c r="R94" s="834">
        <f t="shared" si="51"/>
        <v>0</v>
      </c>
      <c r="S94" s="832">
        <f t="shared" si="51"/>
        <v>0</v>
      </c>
      <c r="T94" s="1769">
        <f t="shared" si="51"/>
        <v>0</v>
      </c>
      <c r="U94" s="1765">
        <f t="shared" si="51"/>
        <v>0</v>
      </c>
      <c r="V94" s="1770">
        <f t="shared" si="51"/>
        <v>0</v>
      </c>
      <c r="W94" s="832">
        <f t="shared" si="51"/>
        <v>0</v>
      </c>
      <c r="X94" s="1771">
        <f t="shared" si="51"/>
        <v>0</v>
      </c>
    </row>
    <row r="95" spans="1:24" ht="11.25" customHeight="1">
      <c r="A95" s="1001" t="str">
        <f>'Org structure'!E91</f>
        <v>9.1 - [Name of sub-vote]</v>
      </c>
      <c r="B95" s="167"/>
      <c r="C95" s="1402"/>
      <c r="D95" s="1402"/>
      <c r="E95" s="1403"/>
      <c r="F95" s="1958"/>
      <c r="G95" s="1402"/>
      <c r="H95" s="1957"/>
      <c r="I95" s="1403"/>
      <c r="J95" s="1772">
        <f t="shared" ref="J95:J104" si="52">Q95+V95</f>
        <v>0</v>
      </c>
      <c r="K95" s="803">
        <f t="shared" ref="K95:K104" si="53">U95+W95</f>
        <v>0</v>
      </c>
      <c r="L95" s="1773">
        <f t="shared" ref="L95:L104" si="54">X95</f>
        <v>0</v>
      </c>
      <c r="M95" s="193"/>
      <c r="N95" s="1958"/>
      <c r="O95" s="1402"/>
      <c r="P95" s="1957"/>
      <c r="Q95" s="834">
        <f t="shared" ref="Q95:Q104" si="55">SUM(N95:P95)</f>
        <v>0</v>
      </c>
      <c r="R95" s="1958"/>
      <c r="S95" s="1402"/>
      <c r="T95" s="1403"/>
      <c r="U95" s="1765">
        <f t="shared" si="43"/>
        <v>0</v>
      </c>
      <c r="V95" s="1403"/>
      <c r="W95" s="1402"/>
      <c r="X95" s="1404"/>
    </row>
    <row r="96" spans="1:24" ht="11.25" customHeight="1">
      <c r="A96" s="1001">
        <f>'Org structure'!E92</f>
        <v>0</v>
      </c>
      <c r="B96" s="167"/>
      <c r="C96" s="1402"/>
      <c r="D96" s="1402"/>
      <c r="E96" s="1403"/>
      <c r="F96" s="1958"/>
      <c r="G96" s="1402"/>
      <c r="H96" s="1957"/>
      <c r="I96" s="1403"/>
      <c r="J96" s="1772">
        <f t="shared" si="52"/>
        <v>0</v>
      </c>
      <c r="K96" s="803">
        <f t="shared" si="53"/>
        <v>0</v>
      </c>
      <c r="L96" s="1773">
        <f t="shared" si="54"/>
        <v>0</v>
      </c>
      <c r="M96" s="193"/>
      <c r="N96" s="1958"/>
      <c r="O96" s="1402"/>
      <c r="P96" s="1957"/>
      <c r="Q96" s="834">
        <f t="shared" si="55"/>
        <v>0</v>
      </c>
      <c r="R96" s="1958"/>
      <c r="S96" s="1402"/>
      <c r="T96" s="1403"/>
      <c r="U96" s="1765">
        <f t="shared" si="43"/>
        <v>0</v>
      </c>
      <c r="V96" s="1403"/>
      <c r="W96" s="1402"/>
      <c r="X96" s="1404"/>
    </row>
    <row r="97" spans="1:24" ht="11.25" customHeight="1">
      <c r="A97" s="1001">
        <f>'Org structure'!E93</f>
        <v>0</v>
      </c>
      <c r="B97" s="167"/>
      <c r="C97" s="1402"/>
      <c r="D97" s="1402"/>
      <c r="E97" s="1403"/>
      <c r="F97" s="1958"/>
      <c r="G97" s="1402"/>
      <c r="H97" s="1957"/>
      <c r="I97" s="1403"/>
      <c r="J97" s="1772">
        <f t="shared" si="52"/>
        <v>0</v>
      </c>
      <c r="K97" s="803">
        <f t="shared" si="53"/>
        <v>0</v>
      </c>
      <c r="L97" s="1773">
        <f t="shared" si="54"/>
        <v>0</v>
      </c>
      <c r="M97" s="193"/>
      <c r="N97" s="1958"/>
      <c r="O97" s="1402"/>
      <c r="P97" s="1957"/>
      <c r="Q97" s="834">
        <f t="shared" si="55"/>
        <v>0</v>
      </c>
      <c r="R97" s="1958"/>
      <c r="S97" s="1402"/>
      <c r="T97" s="1403"/>
      <c r="U97" s="1765">
        <f t="shared" si="43"/>
        <v>0</v>
      </c>
      <c r="V97" s="1403"/>
      <c r="W97" s="1402"/>
      <c r="X97" s="1404"/>
    </row>
    <row r="98" spans="1:24" ht="11.25" customHeight="1">
      <c r="A98" s="1001">
        <f>'Org structure'!E94</f>
        <v>0</v>
      </c>
      <c r="B98" s="167"/>
      <c r="C98" s="1402"/>
      <c r="D98" s="1402"/>
      <c r="E98" s="1403"/>
      <c r="F98" s="1958"/>
      <c r="G98" s="1402"/>
      <c r="H98" s="1957"/>
      <c r="I98" s="1403"/>
      <c r="J98" s="1772">
        <f t="shared" si="52"/>
        <v>0</v>
      </c>
      <c r="K98" s="803">
        <f t="shared" si="53"/>
        <v>0</v>
      </c>
      <c r="L98" s="1773">
        <f t="shared" si="54"/>
        <v>0</v>
      </c>
      <c r="M98" s="193"/>
      <c r="N98" s="1958"/>
      <c r="O98" s="1402"/>
      <c r="P98" s="1957"/>
      <c r="Q98" s="834">
        <f t="shared" si="55"/>
        <v>0</v>
      </c>
      <c r="R98" s="1958"/>
      <c r="S98" s="1402"/>
      <c r="T98" s="1403"/>
      <c r="U98" s="1765">
        <f t="shared" si="43"/>
        <v>0</v>
      </c>
      <c r="V98" s="1403"/>
      <c r="W98" s="1402"/>
      <c r="X98" s="1404"/>
    </row>
    <row r="99" spans="1:24" ht="11.25" customHeight="1">
      <c r="A99" s="1001">
        <f>'Org structure'!E95</f>
        <v>0</v>
      </c>
      <c r="B99" s="167"/>
      <c r="C99" s="1402"/>
      <c r="D99" s="1402"/>
      <c r="E99" s="1403"/>
      <c r="F99" s="1958"/>
      <c r="G99" s="1402"/>
      <c r="H99" s="1957"/>
      <c r="I99" s="1403"/>
      <c r="J99" s="1772">
        <f t="shared" si="52"/>
        <v>0</v>
      </c>
      <c r="K99" s="803">
        <f t="shared" si="53"/>
        <v>0</v>
      </c>
      <c r="L99" s="1773">
        <f t="shared" si="54"/>
        <v>0</v>
      </c>
      <c r="M99" s="193"/>
      <c r="N99" s="1958"/>
      <c r="O99" s="1402"/>
      <c r="P99" s="1957"/>
      <c r="Q99" s="834">
        <f t="shared" si="55"/>
        <v>0</v>
      </c>
      <c r="R99" s="1958"/>
      <c r="S99" s="1402"/>
      <c r="T99" s="1403"/>
      <c r="U99" s="1765">
        <f t="shared" si="43"/>
        <v>0</v>
      </c>
      <c r="V99" s="1403"/>
      <c r="W99" s="1402"/>
      <c r="X99" s="1404"/>
    </row>
    <row r="100" spans="1:24" ht="11.25" customHeight="1">
      <c r="A100" s="1001">
        <f>'Org structure'!E96</f>
        <v>0</v>
      </c>
      <c r="B100" s="167"/>
      <c r="C100" s="1402"/>
      <c r="D100" s="1402"/>
      <c r="E100" s="1403"/>
      <c r="F100" s="1958"/>
      <c r="G100" s="1402"/>
      <c r="H100" s="1957"/>
      <c r="I100" s="1403"/>
      <c r="J100" s="1772">
        <f t="shared" si="52"/>
        <v>0</v>
      </c>
      <c r="K100" s="803">
        <f t="shared" si="53"/>
        <v>0</v>
      </c>
      <c r="L100" s="1773">
        <f t="shared" si="54"/>
        <v>0</v>
      </c>
      <c r="M100" s="193"/>
      <c r="N100" s="1958"/>
      <c r="O100" s="1402"/>
      <c r="P100" s="1957"/>
      <c r="Q100" s="834">
        <f t="shared" si="55"/>
        <v>0</v>
      </c>
      <c r="R100" s="1958"/>
      <c r="S100" s="1402"/>
      <c r="T100" s="1403"/>
      <c r="U100" s="1765">
        <f t="shared" si="43"/>
        <v>0</v>
      </c>
      <c r="V100" s="1403"/>
      <c r="W100" s="1402"/>
      <c r="X100" s="1404"/>
    </row>
    <row r="101" spans="1:24" ht="11.25" customHeight="1">
      <c r="A101" s="1001">
        <f>'Org structure'!E97</f>
        <v>0</v>
      </c>
      <c r="B101" s="167"/>
      <c r="C101" s="1402"/>
      <c r="D101" s="1402"/>
      <c r="E101" s="1403"/>
      <c r="F101" s="1958"/>
      <c r="G101" s="1402"/>
      <c r="H101" s="1957"/>
      <c r="I101" s="1403"/>
      <c r="J101" s="1772">
        <f t="shared" si="52"/>
        <v>0</v>
      </c>
      <c r="K101" s="803">
        <f t="shared" si="53"/>
        <v>0</v>
      </c>
      <c r="L101" s="1773">
        <f t="shared" si="54"/>
        <v>0</v>
      </c>
      <c r="M101" s="193"/>
      <c r="N101" s="1958"/>
      <c r="O101" s="1402"/>
      <c r="P101" s="1957"/>
      <c r="Q101" s="834">
        <f t="shared" si="55"/>
        <v>0</v>
      </c>
      <c r="R101" s="1958"/>
      <c r="S101" s="1402"/>
      <c r="T101" s="1403"/>
      <c r="U101" s="1765">
        <f t="shared" si="43"/>
        <v>0</v>
      </c>
      <c r="V101" s="1403"/>
      <c r="W101" s="1402"/>
      <c r="X101" s="1404"/>
    </row>
    <row r="102" spans="1:24" ht="11.25" customHeight="1">
      <c r="A102" s="1001">
        <f>'Org structure'!E98</f>
        <v>0</v>
      </c>
      <c r="B102" s="167"/>
      <c r="C102" s="1402"/>
      <c r="D102" s="1402"/>
      <c r="E102" s="1403"/>
      <c r="F102" s="1958"/>
      <c r="G102" s="1402"/>
      <c r="H102" s="1957"/>
      <c r="I102" s="1403"/>
      <c r="J102" s="1772">
        <f t="shared" si="52"/>
        <v>0</v>
      </c>
      <c r="K102" s="803">
        <f t="shared" si="53"/>
        <v>0</v>
      </c>
      <c r="L102" s="1773">
        <f t="shared" si="54"/>
        <v>0</v>
      </c>
      <c r="M102" s="193"/>
      <c r="N102" s="1958"/>
      <c r="O102" s="1402"/>
      <c r="P102" s="1957"/>
      <c r="Q102" s="834">
        <f t="shared" si="55"/>
        <v>0</v>
      </c>
      <c r="R102" s="1958"/>
      <c r="S102" s="1402"/>
      <c r="T102" s="1403"/>
      <c r="U102" s="1765">
        <f t="shared" si="43"/>
        <v>0</v>
      </c>
      <c r="V102" s="1403"/>
      <c r="W102" s="1402"/>
      <c r="X102" s="1404"/>
    </row>
    <row r="103" spans="1:24" ht="11.25" customHeight="1">
      <c r="A103" s="1001">
        <f>'Org structure'!E99</f>
        <v>0</v>
      </c>
      <c r="B103" s="167"/>
      <c r="C103" s="1402"/>
      <c r="D103" s="1402"/>
      <c r="E103" s="1403"/>
      <c r="F103" s="1958"/>
      <c r="G103" s="1402"/>
      <c r="H103" s="1957"/>
      <c r="I103" s="1403"/>
      <c r="J103" s="1772">
        <f t="shared" si="52"/>
        <v>0</v>
      </c>
      <c r="K103" s="803">
        <f t="shared" si="53"/>
        <v>0</v>
      </c>
      <c r="L103" s="1773">
        <f t="shared" si="54"/>
        <v>0</v>
      </c>
      <c r="M103" s="193"/>
      <c r="N103" s="1958"/>
      <c r="O103" s="1402"/>
      <c r="P103" s="1957"/>
      <c r="Q103" s="834">
        <f t="shared" si="55"/>
        <v>0</v>
      </c>
      <c r="R103" s="1958"/>
      <c r="S103" s="1402"/>
      <c r="T103" s="1403"/>
      <c r="U103" s="1765">
        <f t="shared" si="43"/>
        <v>0</v>
      </c>
      <c r="V103" s="1403"/>
      <c r="W103" s="1402"/>
      <c r="X103" s="1404"/>
    </row>
    <row r="104" spans="1:24" ht="11.25" customHeight="1">
      <c r="A104" s="1001">
        <f>'Org structure'!E100</f>
        <v>0</v>
      </c>
      <c r="B104" s="167"/>
      <c r="C104" s="1402"/>
      <c r="D104" s="1402"/>
      <c r="E104" s="1403"/>
      <c r="F104" s="1958"/>
      <c r="G104" s="1402"/>
      <c r="H104" s="1957"/>
      <c r="I104" s="1403"/>
      <c r="J104" s="1772">
        <f t="shared" si="52"/>
        <v>0</v>
      </c>
      <c r="K104" s="803">
        <f t="shared" si="53"/>
        <v>0</v>
      </c>
      <c r="L104" s="1773">
        <f t="shared" si="54"/>
        <v>0</v>
      </c>
      <c r="M104" s="193"/>
      <c r="N104" s="1958"/>
      <c r="O104" s="1402"/>
      <c r="P104" s="1957"/>
      <c r="Q104" s="834">
        <f t="shared" si="55"/>
        <v>0</v>
      </c>
      <c r="R104" s="1958"/>
      <c r="S104" s="1402"/>
      <c r="T104" s="1403"/>
      <c r="U104" s="1765">
        <f t="shared" si="43"/>
        <v>0</v>
      </c>
      <c r="V104" s="1403"/>
      <c r="W104" s="1402"/>
      <c r="X104" s="1404"/>
    </row>
    <row r="105" spans="1:24" ht="15" customHeight="1">
      <c r="A105" s="1000" t="str">
        <f>'Org structure'!A11</f>
        <v>Vote 10 - [NAME OF VOTE 10]</v>
      </c>
      <c r="B105" s="167"/>
      <c r="C105" s="832">
        <f>SUM(C106:C115)</f>
        <v>0</v>
      </c>
      <c r="D105" s="832">
        <f t="shared" ref="D105:L105" si="56">SUM(D106:D115)</f>
        <v>0</v>
      </c>
      <c r="E105" s="833">
        <f t="shared" si="56"/>
        <v>0</v>
      </c>
      <c r="F105" s="834">
        <f t="shared" si="56"/>
        <v>0</v>
      </c>
      <c r="G105" s="832">
        <f t="shared" si="56"/>
        <v>0</v>
      </c>
      <c r="H105" s="833">
        <f t="shared" si="56"/>
        <v>0</v>
      </c>
      <c r="I105" s="835">
        <f t="shared" si="56"/>
        <v>0</v>
      </c>
      <c r="J105" s="1772">
        <f t="shared" si="56"/>
        <v>0</v>
      </c>
      <c r="K105" s="803">
        <f t="shared" si="56"/>
        <v>0</v>
      </c>
      <c r="L105" s="1773">
        <f t="shared" si="56"/>
        <v>0</v>
      </c>
      <c r="M105" s="193"/>
      <c r="N105" s="834">
        <f t="shared" ref="N105:X105" si="57">SUM(N106:N115)</f>
        <v>0</v>
      </c>
      <c r="O105" s="832">
        <f t="shared" si="57"/>
        <v>0</v>
      </c>
      <c r="P105" s="833">
        <f t="shared" si="57"/>
        <v>0</v>
      </c>
      <c r="Q105" s="834">
        <f t="shared" si="57"/>
        <v>0</v>
      </c>
      <c r="R105" s="834">
        <f t="shared" si="57"/>
        <v>0</v>
      </c>
      <c r="S105" s="832">
        <f t="shared" si="57"/>
        <v>0</v>
      </c>
      <c r="T105" s="1769">
        <f t="shared" si="57"/>
        <v>0</v>
      </c>
      <c r="U105" s="1765">
        <f t="shared" si="57"/>
        <v>0</v>
      </c>
      <c r="V105" s="1770">
        <f t="shared" si="57"/>
        <v>0</v>
      </c>
      <c r="W105" s="832">
        <f t="shared" si="57"/>
        <v>0</v>
      </c>
      <c r="X105" s="1771">
        <f t="shared" si="57"/>
        <v>0</v>
      </c>
    </row>
    <row r="106" spans="1:24" ht="11.25" customHeight="1">
      <c r="A106" s="1001" t="str">
        <f>'Org structure'!E102</f>
        <v>10.1 - [Name of sub-vote]</v>
      </c>
      <c r="B106" s="167"/>
      <c r="C106" s="1402"/>
      <c r="D106" s="1402"/>
      <c r="E106" s="1403"/>
      <c r="F106" s="1958"/>
      <c r="G106" s="1402"/>
      <c r="H106" s="1957"/>
      <c r="I106" s="1403"/>
      <c r="J106" s="1772">
        <f t="shared" ref="J106:J115" si="58">Q106+V106</f>
        <v>0</v>
      </c>
      <c r="K106" s="803">
        <f t="shared" ref="K106:K115" si="59">U106+W106</f>
        <v>0</v>
      </c>
      <c r="L106" s="1773">
        <f t="shared" ref="L106:L115" si="60">X106</f>
        <v>0</v>
      </c>
      <c r="M106" s="193"/>
      <c r="N106" s="1958"/>
      <c r="O106" s="1402"/>
      <c r="P106" s="1957"/>
      <c r="Q106" s="834">
        <f t="shared" ref="Q106:Q115" si="61">SUM(N106:P106)</f>
        <v>0</v>
      </c>
      <c r="R106" s="1958"/>
      <c r="S106" s="1402"/>
      <c r="T106" s="1403"/>
      <c r="U106" s="1765">
        <f t="shared" si="43"/>
        <v>0</v>
      </c>
      <c r="V106" s="1403"/>
      <c r="W106" s="1402"/>
      <c r="X106" s="1404"/>
    </row>
    <row r="107" spans="1:24" ht="11.25" customHeight="1">
      <c r="A107" s="1001">
        <f>'Org structure'!E103</f>
        <v>0</v>
      </c>
      <c r="B107" s="167"/>
      <c r="C107" s="1402"/>
      <c r="D107" s="1402"/>
      <c r="E107" s="1403"/>
      <c r="F107" s="1958"/>
      <c r="G107" s="1402"/>
      <c r="H107" s="1957"/>
      <c r="I107" s="1403"/>
      <c r="J107" s="1772">
        <f t="shared" si="58"/>
        <v>0</v>
      </c>
      <c r="K107" s="803">
        <f t="shared" si="59"/>
        <v>0</v>
      </c>
      <c r="L107" s="1773">
        <f t="shared" si="60"/>
        <v>0</v>
      </c>
      <c r="M107" s="193"/>
      <c r="N107" s="1958"/>
      <c r="O107" s="1402"/>
      <c r="P107" s="1957"/>
      <c r="Q107" s="834">
        <f t="shared" si="61"/>
        <v>0</v>
      </c>
      <c r="R107" s="1958"/>
      <c r="S107" s="1402"/>
      <c r="T107" s="1403"/>
      <c r="U107" s="1765">
        <f t="shared" si="43"/>
        <v>0</v>
      </c>
      <c r="V107" s="1403"/>
      <c r="W107" s="1402"/>
      <c r="X107" s="1404"/>
    </row>
    <row r="108" spans="1:24" ht="11.25" customHeight="1">
      <c r="A108" s="1001">
        <f>'Org structure'!E104</f>
        <v>0</v>
      </c>
      <c r="B108" s="167"/>
      <c r="C108" s="1402"/>
      <c r="D108" s="1402"/>
      <c r="E108" s="1403"/>
      <c r="F108" s="1958"/>
      <c r="G108" s="1402"/>
      <c r="H108" s="1957"/>
      <c r="I108" s="1403"/>
      <c r="J108" s="1772">
        <f t="shared" si="58"/>
        <v>0</v>
      </c>
      <c r="K108" s="803">
        <f t="shared" si="59"/>
        <v>0</v>
      </c>
      <c r="L108" s="1773">
        <f t="shared" si="60"/>
        <v>0</v>
      </c>
      <c r="M108" s="193"/>
      <c r="N108" s="1958"/>
      <c r="O108" s="1402"/>
      <c r="P108" s="1957"/>
      <c r="Q108" s="834">
        <f t="shared" si="61"/>
        <v>0</v>
      </c>
      <c r="R108" s="1958"/>
      <c r="S108" s="1402"/>
      <c r="T108" s="1403"/>
      <c r="U108" s="1765">
        <f t="shared" si="43"/>
        <v>0</v>
      </c>
      <c r="V108" s="1403"/>
      <c r="W108" s="1402"/>
      <c r="X108" s="1404"/>
    </row>
    <row r="109" spans="1:24" ht="11.25" customHeight="1">
      <c r="A109" s="1001">
        <f>'Org structure'!E105</f>
        <v>0</v>
      </c>
      <c r="B109" s="167"/>
      <c r="C109" s="1402"/>
      <c r="D109" s="1402"/>
      <c r="E109" s="1403"/>
      <c r="F109" s="1958"/>
      <c r="G109" s="1402"/>
      <c r="H109" s="1957"/>
      <c r="I109" s="1403"/>
      <c r="J109" s="1772">
        <f t="shared" si="58"/>
        <v>0</v>
      </c>
      <c r="K109" s="803">
        <f t="shared" si="59"/>
        <v>0</v>
      </c>
      <c r="L109" s="1773">
        <f t="shared" si="60"/>
        <v>0</v>
      </c>
      <c r="M109" s="193"/>
      <c r="N109" s="1958"/>
      <c r="O109" s="1402"/>
      <c r="P109" s="1957"/>
      <c r="Q109" s="834">
        <f t="shared" si="61"/>
        <v>0</v>
      </c>
      <c r="R109" s="1958"/>
      <c r="S109" s="1402"/>
      <c r="T109" s="1403"/>
      <c r="U109" s="1765">
        <f t="shared" si="43"/>
        <v>0</v>
      </c>
      <c r="V109" s="1403"/>
      <c r="W109" s="1402"/>
      <c r="X109" s="1404"/>
    </row>
    <row r="110" spans="1:24" ht="11.25" customHeight="1">
      <c r="A110" s="1001">
        <f>'Org structure'!E106</f>
        <v>0</v>
      </c>
      <c r="B110" s="167"/>
      <c r="C110" s="1402"/>
      <c r="D110" s="1402"/>
      <c r="E110" s="1403"/>
      <c r="F110" s="1958"/>
      <c r="G110" s="1402"/>
      <c r="H110" s="1957"/>
      <c r="I110" s="1403"/>
      <c r="J110" s="1772">
        <f t="shared" si="58"/>
        <v>0</v>
      </c>
      <c r="K110" s="803">
        <f t="shared" si="59"/>
        <v>0</v>
      </c>
      <c r="L110" s="1773">
        <f t="shared" si="60"/>
        <v>0</v>
      </c>
      <c r="M110" s="193"/>
      <c r="N110" s="1958"/>
      <c r="O110" s="1402"/>
      <c r="P110" s="1957"/>
      <c r="Q110" s="834">
        <f t="shared" si="61"/>
        <v>0</v>
      </c>
      <c r="R110" s="1958"/>
      <c r="S110" s="1402"/>
      <c r="T110" s="1403"/>
      <c r="U110" s="1765">
        <f t="shared" si="43"/>
        <v>0</v>
      </c>
      <c r="V110" s="1403"/>
      <c r="W110" s="1402"/>
      <c r="X110" s="1404"/>
    </row>
    <row r="111" spans="1:24" ht="11.25" customHeight="1">
      <c r="A111" s="1001">
        <f>'Org structure'!E107</f>
        <v>0</v>
      </c>
      <c r="B111" s="167"/>
      <c r="C111" s="1402"/>
      <c r="D111" s="1402"/>
      <c r="E111" s="1403"/>
      <c r="F111" s="1958"/>
      <c r="G111" s="1402"/>
      <c r="H111" s="1957"/>
      <c r="I111" s="1403"/>
      <c r="J111" s="1772">
        <f t="shared" si="58"/>
        <v>0</v>
      </c>
      <c r="K111" s="803">
        <f t="shared" si="59"/>
        <v>0</v>
      </c>
      <c r="L111" s="1773">
        <f t="shared" si="60"/>
        <v>0</v>
      </c>
      <c r="M111" s="193"/>
      <c r="N111" s="1958"/>
      <c r="O111" s="1402"/>
      <c r="P111" s="1957"/>
      <c r="Q111" s="834">
        <f t="shared" si="61"/>
        <v>0</v>
      </c>
      <c r="R111" s="1958"/>
      <c r="S111" s="1402"/>
      <c r="T111" s="1403"/>
      <c r="U111" s="1765">
        <f t="shared" si="43"/>
        <v>0</v>
      </c>
      <c r="V111" s="1403"/>
      <c r="W111" s="1402"/>
      <c r="X111" s="1404"/>
    </row>
    <row r="112" spans="1:24" ht="11.25" customHeight="1">
      <c r="A112" s="1001">
        <f>'Org structure'!E108</f>
        <v>0</v>
      </c>
      <c r="B112" s="167"/>
      <c r="C112" s="1402"/>
      <c r="D112" s="1402"/>
      <c r="E112" s="1403"/>
      <c r="F112" s="1958"/>
      <c r="G112" s="1402"/>
      <c r="H112" s="1957"/>
      <c r="I112" s="1403"/>
      <c r="J112" s="1772">
        <f t="shared" si="58"/>
        <v>0</v>
      </c>
      <c r="K112" s="803">
        <f t="shared" si="59"/>
        <v>0</v>
      </c>
      <c r="L112" s="1773">
        <f t="shared" si="60"/>
        <v>0</v>
      </c>
      <c r="M112" s="193"/>
      <c r="N112" s="1958"/>
      <c r="O112" s="1402"/>
      <c r="P112" s="1957"/>
      <c r="Q112" s="834">
        <f t="shared" si="61"/>
        <v>0</v>
      </c>
      <c r="R112" s="1958"/>
      <c r="S112" s="1402"/>
      <c r="T112" s="1403"/>
      <c r="U112" s="1765">
        <f t="shared" si="43"/>
        <v>0</v>
      </c>
      <c r="V112" s="1403"/>
      <c r="W112" s="1402"/>
      <c r="X112" s="1404"/>
    </row>
    <row r="113" spans="1:24" ht="11.25" customHeight="1">
      <c r="A113" s="1001">
        <f>'Org structure'!E109</f>
        <v>0</v>
      </c>
      <c r="B113" s="167"/>
      <c r="C113" s="1402"/>
      <c r="D113" s="1402"/>
      <c r="E113" s="1403"/>
      <c r="F113" s="1958"/>
      <c r="G113" s="1402"/>
      <c r="H113" s="1957"/>
      <c r="I113" s="1403"/>
      <c r="J113" s="1772">
        <f t="shared" si="58"/>
        <v>0</v>
      </c>
      <c r="K113" s="803">
        <f t="shared" si="59"/>
        <v>0</v>
      </c>
      <c r="L113" s="1773">
        <f t="shared" si="60"/>
        <v>0</v>
      </c>
      <c r="M113" s="193"/>
      <c r="N113" s="1958"/>
      <c r="O113" s="1402"/>
      <c r="P113" s="1957"/>
      <c r="Q113" s="834">
        <f t="shared" si="61"/>
        <v>0</v>
      </c>
      <c r="R113" s="1958"/>
      <c r="S113" s="1402"/>
      <c r="T113" s="1403"/>
      <c r="U113" s="1765">
        <f t="shared" si="43"/>
        <v>0</v>
      </c>
      <c r="V113" s="1403"/>
      <c r="W113" s="1402"/>
      <c r="X113" s="1404"/>
    </row>
    <row r="114" spans="1:24" ht="11.25" customHeight="1">
      <c r="A114" s="1001">
        <f>'Org structure'!E110</f>
        <v>0</v>
      </c>
      <c r="B114" s="167"/>
      <c r="C114" s="1402"/>
      <c r="D114" s="1402"/>
      <c r="E114" s="1403"/>
      <c r="F114" s="1958"/>
      <c r="G114" s="1402"/>
      <c r="H114" s="1957"/>
      <c r="I114" s="1403"/>
      <c r="J114" s="1772">
        <f t="shared" si="58"/>
        <v>0</v>
      </c>
      <c r="K114" s="803">
        <f t="shared" si="59"/>
        <v>0</v>
      </c>
      <c r="L114" s="1773">
        <f t="shared" si="60"/>
        <v>0</v>
      </c>
      <c r="M114" s="193"/>
      <c r="N114" s="1958"/>
      <c r="O114" s="1402"/>
      <c r="P114" s="1957"/>
      <c r="Q114" s="834">
        <f t="shared" si="61"/>
        <v>0</v>
      </c>
      <c r="R114" s="1958"/>
      <c r="S114" s="1402"/>
      <c r="T114" s="1403"/>
      <c r="U114" s="1765">
        <f t="shared" si="43"/>
        <v>0</v>
      </c>
      <c r="V114" s="1403"/>
      <c r="W114" s="1402"/>
      <c r="X114" s="1404"/>
    </row>
    <row r="115" spans="1:24" ht="11.25" customHeight="1">
      <c r="A115" s="1001">
        <f>'Org structure'!E111</f>
        <v>0</v>
      </c>
      <c r="B115" s="167"/>
      <c r="C115" s="1402"/>
      <c r="D115" s="1402"/>
      <c r="E115" s="1403"/>
      <c r="F115" s="1958"/>
      <c r="G115" s="1402"/>
      <c r="H115" s="1957"/>
      <c r="I115" s="1403"/>
      <c r="J115" s="1772">
        <f t="shared" si="58"/>
        <v>0</v>
      </c>
      <c r="K115" s="803">
        <f t="shared" si="59"/>
        <v>0</v>
      </c>
      <c r="L115" s="1773">
        <f t="shared" si="60"/>
        <v>0</v>
      </c>
      <c r="M115" s="193"/>
      <c r="N115" s="1958"/>
      <c r="O115" s="1402"/>
      <c r="P115" s="1957"/>
      <c r="Q115" s="834">
        <f t="shared" si="61"/>
        <v>0</v>
      </c>
      <c r="R115" s="1958"/>
      <c r="S115" s="1402"/>
      <c r="T115" s="1403"/>
      <c r="U115" s="1765">
        <f t="shared" si="43"/>
        <v>0</v>
      </c>
      <c r="V115" s="1403"/>
      <c r="W115" s="1402"/>
      <c r="X115" s="1404"/>
    </row>
    <row r="116" spans="1:24" ht="15" customHeight="1">
      <c r="A116" s="1000" t="str">
        <f>'Org structure'!A12</f>
        <v>Vote 11 - [NAME OF VOTE 11]</v>
      </c>
      <c r="B116" s="167"/>
      <c r="C116" s="832">
        <f t="shared" ref="C116:L116" si="62">SUM(C117:C126)</f>
        <v>0</v>
      </c>
      <c r="D116" s="832">
        <f t="shared" si="62"/>
        <v>0</v>
      </c>
      <c r="E116" s="833">
        <f t="shared" si="62"/>
        <v>0</v>
      </c>
      <c r="F116" s="834">
        <f t="shared" si="62"/>
        <v>0</v>
      </c>
      <c r="G116" s="832">
        <f t="shared" si="62"/>
        <v>0</v>
      </c>
      <c r="H116" s="833">
        <f t="shared" si="62"/>
        <v>0</v>
      </c>
      <c r="I116" s="835">
        <f t="shared" si="62"/>
        <v>0</v>
      </c>
      <c r="J116" s="1772">
        <f t="shared" si="62"/>
        <v>0</v>
      </c>
      <c r="K116" s="803">
        <f t="shared" si="62"/>
        <v>0</v>
      </c>
      <c r="L116" s="1773">
        <f t="shared" si="62"/>
        <v>0</v>
      </c>
      <c r="M116" s="193"/>
      <c r="N116" s="834">
        <f t="shared" ref="N116:X116" si="63">SUM(N117:N126)</f>
        <v>0</v>
      </c>
      <c r="O116" s="832">
        <f t="shared" si="63"/>
        <v>0</v>
      </c>
      <c r="P116" s="833">
        <f t="shared" si="63"/>
        <v>0</v>
      </c>
      <c r="Q116" s="834">
        <f t="shared" si="63"/>
        <v>0</v>
      </c>
      <c r="R116" s="834">
        <f t="shared" si="63"/>
        <v>0</v>
      </c>
      <c r="S116" s="832">
        <f t="shared" si="63"/>
        <v>0</v>
      </c>
      <c r="T116" s="1769">
        <f t="shared" si="63"/>
        <v>0</v>
      </c>
      <c r="U116" s="1765">
        <f t="shared" si="63"/>
        <v>0</v>
      </c>
      <c r="V116" s="1770">
        <f t="shared" si="63"/>
        <v>0</v>
      </c>
      <c r="W116" s="832">
        <f t="shared" si="63"/>
        <v>0</v>
      </c>
      <c r="X116" s="1771">
        <f t="shared" si="63"/>
        <v>0</v>
      </c>
    </row>
    <row r="117" spans="1:24" ht="11.25" customHeight="1">
      <c r="A117" s="1001" t="str">
        <f>'Org structure'!E113</f>
        <v>11.1 - [Name of sub-vote]</v>
      </c>
      <c r="B117" s="167"/>
      <c r="C117" s="1402"/>
      <c r="D117" s="1402"/>
      <c r="E117" s="1403"/>
      <c r="F117" s="1958"/>
      <c r="G117" s="1402"/>
      <c r="H117" s="1957"/>
      <c r="I117" s="1403"/>
      <c r="J117" s="1772">
        <f t="shared" ref="J117:J126" si="64">Q117+V117</f>
        <v>0</v>
      </c>
      <c r="K117" s="803">
        <f t="shared" ref="K117:K126" si="65">U117+W117</f>
        <v>0</v>
      </c>
      <c r="L117" s="1773">
        <f t="shared" ref="L117:L126" si="66">X117</f>
        <v>0</v>
      </c>
      <c r="M117" s="193"/>
      <c r="N117" s="1958"/>
      <c r="O117" s="1402"/>
      <c r="P117" s="1957"/>
      <c r="Q117" s="834">
        <f t="shared" ref="Q117:Q126" si="67">SUM(N117:P117)</f>
        <v>0</v>
      </c>
      <c r="R117" s="1958"/>
      <c r="S117" s="1402"/>
      <c r="T117" s="1403"/>
      <c r="U117" s="1765">
        <f t="shared" si="43"/>
        <v>0</v>
      </c>
      <c r="V117" s="1403"/>
      <c r="W117" s="1402"/>
      <c r="X117" s="1404"/>
    </row>
    <row r="118" spans="1:24" ht="11.25" customHeight="1">
      <c r="A118" s="1001">
        <f>'Org structure'!E114</f>
        <v>0</v>
      </c>
      <c r="B118" s="167"/>
      <c r="C118" s="1402"/>
      <c r="D118" s="1402"/>
      <c r="E118" s="1403"/>
      <c r="F118" s="1958"/>
      <c r="G118" s="1402"/>
      <c r="H118" s="1957"/>
      <c r="I118" s="1403"/>
      <c r="J118" s="1772">
        <f t="shared" si="64"/>
        <v>0</v>
      </c>
      <c r="K118" s="803">
        <f t="shared" si="65"/>
        <v>0</v>
      </c>
      <c r="L118" s="1773">
        <f t="shared" si="66"/>
        <v>0</v>
      </c>
      <c r="M118" s="193"/>
      <c r="N118" s="1958"/>
      <c r="O118" s="1402"/>
      <c r="P118" s="1957"/>
      <c r="Q118" s="834">
        <f t="shared" si="67"/>
        <v>0</v>
      </c>
      <c r="R118" s="1958"/>
      <c r="S118" s="1402"/>
      <c r="T118" s="1403"/>
      <c r="U118" s="1765">
        <f t="shared" si="43"/>
        <v>0</v>
      </c>
      <c r="V118" s="1403"/>
      <c r="W118" s="1402"/>
      <c r="X118" s="1404"/>
    </row>
    <row r="119" spans="1:24" ht="11.25" customHeight="1">
      <c r="A119" s="1001">
        <f>'Org structure'!E115</f>
        <v>0</v>
      </c>
      <c r="B119" s="167"/>
      <c r="C119" s="1402"/>
      <c r="D119" s="1402"/>
      <c r="E119" s="1403"/>
      <c r="F119" s="1958"/>
      <c r="G119" s="1402"/>
      <c r="H119" s="1957"/>
      <c r="I119" s="1403"/>
      <c r="J119" s="1772">
        <f t="shared" si="64"/>
        <v>0</v>
      </c>
      <c r="K119" s="803">
        <f t="shared" si="65"/>
        <v>0</v>
      </c>
      <c r="L119" s="1773">
        <f t="shared" si="66"/>
        <v>0</v>
      </c>
      <c r="M119" s="193"/>
      <c r="N119" s="1958"/>
      <c r="O119" s="1402"/>
      <c r="P119" s="1957"/>
      <c r="Q119" s="834">
        <f t="shared" si="67"/>
        <v>0</v>
      </c>
      <c r="R119" s="1958"/>
      <c r="S119" s="1402"/>
      <c r="T119" s="1403"/>
      <c r="U119" s="1765">
        <f t="shared" si="43"/>
        <v>0</v>
      </c>
      <c r="V119" s="1403"/>
      <c r="W119" s="1402"/>
      <c r="X119" s="1404"/>
    </row>
    <row r="120" spans="1:24" ht="11.25" customHeight="1">
      <c r="A120" s="1001">
        <f>'Org structure'!E116</f>
        <v>0</v>
      </c>
      <c r="B120" s="167"/>
      <c r="C120" s="1402"/>
      <c r="D120" s="1402"/>
      <c r="E120" s="1403"/>
      <c r="F120" s="1958"/>
      <c r="G120" s="1402"/>
      <c r="H120" s="1957"/>
      <c r="I120" s="1403"/>
      <c r="J120" s="1772">
        <f t="shared" si="64"/>
        <v>0</v>
      </c>
      <c r="K120" s="803">
        <f t="shared" si="65"/>
        <v>0</v>
      </c>
      <c r="L120" s="1773">
        <f t="shared" si="66"/>
        <v>0</v>
      </c>
      <c r="M120" s="193"/>
      <c r="N120" s="1958"/>
      <c r="O120" s="1402"/>
      <c r="P120" s="1957"/>
      <c r="Q120" s="834">
        <f t="shared" si="67"/>
        <v>0</v>
      </c>
      <c r="R120" s="1958"/>
      <c r="S120" s="1402"/>
      <c r="T120" s="1403"/>
      <c r="U120" s="1765">
        <f t="shared" si="43"/>
        <v>0</v>
      </c>
      <c r="V120" s="1403"/>
      <c r="W120" s="1402"/>
      <c r="X120" s="1404"/>
    </row>
    <row r="121" spans="1:24" ht="11.25" customHeight="1">
      <c r="A121" s="1001">
        <f>'Org structure'!E117</f>
        <v>0</v>
      </c>
      <c r="B121" s="167"/>
      <c r="C121" s="1402"/>
      <c r="D121" s="1402"/>
      <c r="E121" s="1403"/>
      <c r="F121" s="1958"/>
      <c r="G121" s="1402"/>
      <c r="H121" s="1957"/>
      <c r="I121" s="1403"/>
      <c r="J121" s="1772">
        <f t="shared" si="64"/>
        <v>0</v>
      </c>
      <c r="K121" s="803">
        <f t="shared" si="65"/>
        <v>0</v>
      </c>
      <c r="L121" s="1773">
        <f t="shared" si="66"/>
        <v>0</v>
      </c>
      <c r="M121" s="193"/>
      <c r="N121" s="1958"/>
      <c r="O121" s="1402"/>
      <c r="P121" s="1957"/>
      <c r="Q121" s="834">
        <f t="shared" si="67"/>
        <v>0</v>
      </c>
      <c r="R121" s="1958"/>
      <c r="S121" s="1402"/>
      <c r="T121" s="1403"/>
      <c r="U121" s="1765">
        <f t="shared" si="43"/>
        <v>0</v>
      </c>
      <c r="V121" s="1403"/>
      <c r="W121" s="1402"/>
      <c r="X121" s="1404"/>
    </row>
    <row r="122" spans="1:24" ht="11.25" customHeight="1">
      <c r="A122" s="1001">
        <f>'Org structure'!E118</f>
        <v>0</v>
      </c>
      <c r="B122" s="167"/>
      <c r="C122" s="1402"/>
      <c r="D122" s="1402"/>
      <c r="E122" s="1403"/>
      <c r="F122" s="1958"/>
      <c r="G122" s="1402"/>
      <c r="H122" s="1957"/>
      <c r="I122" s="1403"/>
      <c r="J122" s="1772">
        <f t="shared" si="64"/>
        <v>0</v>
      </c>
      <c r="K122" s="803">
        <f t="shared" si="65"/>
        <v>0</v>
      </c>
      <c r="L122" s="1773">
        <f t="shared" si="66"/>
        <v>0</v>
      </c>
      <c r="M122" s="193"/>
      <c r="N122" s="1958"/>
      <c r="O122" s="1402"/>
      <c r="P122" s="1957"/>
      <c r="Q122" s="834">
        <f t="shared" si="67"/>
        <v>0</v>
      </c>
      <c r="R122" s="1958"/>
      <c r="S122" s="1402"/>
      <c r="T122" s="1403"/>
      <c r="U122" s="1765">
        <f t="shared" si="43"/>
        <v>0</v>
      </c>
      <c r="V122" s="1403"/>
      <c r="W122" s="1402"/>
      <c r="X122" s="1404"/>
    </row>
    <row r="123" spans="1:24" ht="11.25" customHeight="1">
      <c r="A123" s="1001">
        <f>'Org structure'!E119</f>
        <v>0</v>
      </c>
      <c r="B123" s="167"/>
      <c r="C123" s="1402"/>
      <c r="D123" s="1402"/>
      <c r="E123" s="1403"/>
      <c r="F123" s="1958"/>
      <c r="G123" s="1402"/>
      <c r="H123" s="1957"/>
      <c r="I123" s="1403"/>
      <c r="J123" s="1772">
        <f t="shared" si="64"/>
        <v>0</v>
      </c>
      <c r="K123" s="803">
        <f t="shared" si="65"/>
        <v>0</v>
      </c>
      <c r="L123" s="1773">
        <f t="shared" si="66"/>
        <v>0</v>
      </c>
      <c r="M123" s="193"/>
      <c r="N123" s="1958"/>
      <c r="O123" s="1402"/>
      <c r="P123" s="1957"/>
      <c r="Q123" s="834">
        <f t="shared" si="67"/>
        <v>0</v>
      </c>
      <c r="R123" s="1958"/>
      <c r="S123" s="1402"/>
      <c r="T123" s="1403"/>
      <c r="U123" s="1765">
        <f t="shared" si="43"/>
        <v>0</v>
      </c>
      <c r="V123" s="1403"/>
      <c r="W123" s="1402"/>
      <c r="X123" s="1404"/>
    </row>
    <row r="124" spans="1:24" ht="11.25" customHeight="1">
      <c r="A124" s="1001">
        <f>'Org structure'!E120</f>
        <v>0</v>
      </c>
      <c r="B124" s="167"/>
      <c r="C124" s="1402"/>
      <c r="D124" s="1402"/>
      <c r="E124" s="1403"/>
      <c r="F124" s="1958"/>
      <c r="G124" s="1402"/>
      <c r="H124" s="1957"/>
      <c r="I124" s="1403"/>
      <c r="J124" s="1772">
        <f t="shared" si="64"/>
        <v>0</v>
      </c>
      <c r="K124" s="803">
        <f t="shared" si="65"/>
        <v>0</v>
      </c>
      <c r="L124" s="1773">
        <f t="shared" si="66"/>
        <v>0</v>
      </c>
      <c r="M124" s="193"/>
      <c r="N124" s="1958"/>
      <c r="O124" s="1402"/>
      <c r="P124" s="1957"/>
      <c r="Q124" s="834">
        <f t="shared" si="67"/>
        <v>0</v>
      </c>
      <c r="R124" s="1958"/>
      <c r="S124" s="1402"/>
      <c r="T124" s="1403"/>
      <c r="U124" s="1765">
        <f t="shared" si="43"/>
        <v>0</v>
      </c>
      <c r="V124" s="1403"/>
      <c r="W124" s="1402"/>
      <c r="X124" s="1404"/>
    </row>
    <row r="125" spans="1:24" ht="11.25" customHeight="1">
      <c r="A125" s="1001">
        <f>'Org structure'!E121</f>
        <v>0</v>
      </c>
      <c r="B125" s="167"/>
      <c r="C125" s="1402"/>
      <c r="D125" s="1402"/>
      <c r="E125" s="1403"/>
      <c r="F125" s="1958"/>
      <c r="G125" s="1402"/>
      <c r="H125" s="1957"/>
      <c r="I125" s="1403"/>
      <c r="J125" s="1772">
        <f t="shared" si="64"/>
        <v>0</v>
      </c>
      <c r="K125" s="803">
        <f t="shared" si="65"/>
        <v>0</v>
      </c>
      <c r="L125" s="1773">
        <f t="shared" si="66"/>
        <v>0</v>
      </c>
      <c r="M125" s="193"/>
      <c r="N125" s="1958"/>
      <c r="O125" s="1402"/>
      <c r="P125" s="1957"/>
      <c r="Q125" s="834">
        <f t="shared" si="67"/>
        <v>0</v>
      </c>
      <c r="R125" s="1958"/>
      <c r="S125" s="1402"/>
      <c r="T125" s="1403"/>
      <c r="U125" s="1765">
        <f t="shared" si="43"/>
        <v>0</v>
      </c>
      <c r="V125" s="1403"/>
      <c r="W125" s="1402"/>
      <c r="X125" s="1404"/>
    </row>
    <row r="126" spans="1:24" ht="11.25" customHeight="1">
      <c r="A126" s="1001">
        <f>'Org structure'!E122</f>
        <v>0</v>
      </c>
      <c r="B126" s="167"/>
      <c r="C126" s="1402"/>
      <c r="D126" s="1402"/>
      <c r="E126" s="1403"/>
      <c r="F126" s="1958"/>
      <c r="G126" s="1402"/>
      <c r="H126" s="1957"/>
      <c r="I126" s="1403"/>
      <c r="J126" s="1772">
        <f t="shared" si="64"/>
        <v>0</v>
      </c>
      <c r="K126" s="803">
        <f t="shared" si="65"/>
        <v>0</v>
      </c>
      <c r="L126" s="1773">
        <f t="shared" si="66"/>
        <v>0</v>
      </c>
      <c r="M126" s="193"/>
      <c r="N126" s="1958"/>
      <c r="O126" s="1402"/>
      <c r="P126" s="1957"/>
      <c r="Q126" s="834">
        <f t="shared" si="67"/>
        <v>0</v>
      </c>
      <c r="R126" s="1958"/>
      <c r="S126" s="1402"/>
      <c r="T126" s="1403"/>
      <c r="U126" s="1765">
        <f t="shared" si="43"/>
        <v>0</v>
      </c>
      <c r="V126" s="1403"/>
      <c r="W126" s="1402"/>
      <c r="X126" s="1404"/>
    </row>
    <row r="127" spans="1:24" ht="15" customHeight="1">
      <c r="A127" s="1000" t="str">
        <f>'Org structure'!A13</f>
        <v>Vote 12 - [NAME OF VOTE 12]</v>
      </c>
      <c r="B127" s="167"/>
      <c r="C127" s="832">
        <f t="shared" ref="C127:L127" si="68">SUM(C128:C137)</f>
        <v>0</v>
      </c>
      <c r="D127" s="832">
        <f t="shared" si="68"/>
        <v>0</v>
      </c>
      <c r="E127" s="833">
        <f t="shared" si="68"/>
        <v>0</v>
      </c>
      <c r="F127" s="834">
        <f t="shared" si="68"/>
        <v>0</v>
      </c>
      <c r="G127" s="832">
        <f t="shared" si="68"/>
        <v>0</v>
      </c>
      <c r="H127" s="833">
        <f t="shared" si="68"/>
        <v>0</v>
      </c>
      <c r="I127" s="835">
        <f t="shared" si="68"/>
        <v>0</v>
      </c>
      <c r="J127" s="1772">
        <f t="shared" si="68"/>
        <v>0</v>
      </c>
      <c r="K127" s="803">
        <f t="shared" si="68"/>
        <v>0</v>
      </c>
      <c r="L127" s="1773">
        <f t="shared" si="68"/>
        <v>0</v>
      </c>
      <c r="M127" s="193"/>
      <c r="N127" s="834">
        <f t="shared" ref="N127:X127" si="69">SUM(N128:N137)</f>
        <v>0</v>
      </c>
      <c r="O127" s="832">
        <f t="shared" si="69"/>
        <v>0</v>
      </c>
      <c r="P127" s="833">
        <f t="shared" si="69"/>
        <v>0</v>
      </c>
      <c r="Q127" s="834">
        <f t="shared" si="69"/>
        <v>0</v>
      </c>
      <c r="R127" s="834">
        <f t="shared" si="69"/>
        <v>0</v>
      </c>
      <c r="S127" s="832">
        <f t="shared" si="69"/>
        <v>0</v>
      </c>
      <c r="T127" s="1769">
        <f t="shared" si="69"/>
        <v>0</v>
      </c>
      <c r="U127" s="1765">
        <f t="shared" si="69"/>
        <v>0</v>
      </c>
      <c r="V127" s="1770">
        <f t="shared" si="69"/>
        <v>0</v>
      </c>
      <c r="W127" s="832">
        <f t="shared" si="69"/>
        <v>0</v>
      </c>
      <c r="X127" s="1771">
        <f t="shared" si="69"/>
        <v>0</v>
      </c>
    </row>
    <row r="128" spans="1:24" ht="11.25" customHeight="1">
      <c r="A128" s="1001" t="str">
        <f>'Org structure'!E124</f>
        <v>12.1 - [Name of sub-vote]</v>
      </c>
      <c r="B128" s="167"/>
      <c r="C128" s="1402"/>
      <c r="D128" s="1402"/>
      <c r="E128" s="1403"/>
      <c r="F128" s="1958"/>
      <c r="G128" s="1402"/>
      <c r="H128" s="1957"/>
      <c r="I128" s="1403"/>
      <c r="J128" s="1772">
        <f t="shared" ref="J128:J137" si="70">Q128+V128</f>
        <v>0</v>
      </c>
      <c r="K128" s="803">
        <f t="shared" ref="K128:K137" si="71">U128+W128</f>
        <v>0</v>
      </c>
      <c r="L128" s="1773">
        <f t="shared" ref="L128:L137" si="72">X128</f>
        <v>0</v>
      </c>
      <c r="M128" s="193"/>
      <c r="N128" s="1958"/>
      <c r="O128" s="1402"/>
      <c r="P128" s="1957"/>
      <c r="Q128" s="834">
        <f t="shared" ref="Q128:Q137" si="73">SUM(N128:P128)</f>
        <v>0</v>
      </c>
      <c r="R128" s="1958"/>
      <c r="S128" s="1402"/>
      <c r="T128" s="1403"/>
      <c r="U128" s="1765">
        <f t="shared" si="43"/>
        <v>0</v>
      </c>
      <c r="V128" s="1403"/>
      <c r="W128" s="1402"/>
      <c r="X128" s="1404"/>
    </row>
    <row r="129" spans="1:24" ht="11.25" customHeight="1">
      <c r="A129" s="1001">
        <f>'Org structure'!E125</f>
        <v>0</v>
      </c>
      <c r="B129" s="167"/>
      <c r="C129" s="1402"/>
      <c r="D129" s="1402"/>
      <c r="E129" s="1403"/>
      <c r="F129" s="1958"/>
      <c r="G129" s="1402"/>
      <c r="H129" s="1957"/>
      <c r="I129" s="1403"/>
      <c r="J129" s="1772">
        <f t="shared" si="70"/>
        <v>0</v>
      </c>
      <c r="K129" s="803">
        <f t="shared" si="71"/>
        <v>0</v>
      </c>
      <c r="L129" s="1773">
        <f t="shared" si="72"/>
        <v>0</v>
      </c>
      <c r="M129" s="193"/>
      <c r="N129" s="1958"/>
      <c r="O129" s="1402"/>
      <c r="P129" s="1957"/>
      <c r="Q129" s="834">
        <f t="shared" si="73"/>
        <v>0</v>
      </c>
      <c r="R129" s="1958"/>
      <c r="S129" s="1402"/>
      <c r="T129" s="1403"/>
      <c r="U129" s="1765">
        <f t="shared" si="43"/>
        <v>0</v>
      </c>
      <c r="V129" s="1403"/>
      <c r="W129" s="1402"/>
      <c r="X129" s="1404"/>
    </row>
    <row r="130" spans="1:24" ht="11.25" customHeight="1">
      <c r="A130" s="1001">
        <f>'Org structure'!E126</f>
        <v>0</v>
      </c>
      <c r="B130" s="167"/>
      <c r="C130" s="1402"/>
      <c r="D130" s="1402"/>
      <c r="E130" s="1403"/>
      <c r="F130" s="1958"/>
      <c r="G130" s="1402"/>
      <c r="H130" s="1957"/>
      <c r="I130" s="1403"/>
      <c r="J130" s="1772">
        <f t="shared" si="70"/>
        <v>0</v>
      </c>
      <c r="K130" s="803">
        <f t="shared" si="71"/>
        <v>0</v>
      </c>
      <c r="L130" s="1773">
        <f t="shared" si="72"/>
        <v>0</v>
      </c>
      <c r="M130" s="193"/>
      <c r="N130" s="1958"/>
      <c r="O130" s="1402"/>
      <c r="P130" s="1957"/>
      <c r="Q130" s="834">
        <f t="shared" si="73"/>
        <v>0</v>
      </c>
      <c r="R130" s="1958"/>
      <c r="S130" s="1402"/>
      <c r="T130" s="1403"/>
      <c r="U130" s="1765">
        <f t="shared" si="43"/>
        <v>0</v>
      </c>
      <c r="V130" s="1403"/>
      <c r="W130" s="1402"/>
      <c r="X130" s="1404"/>
    </row>
    <row r="131" spans="1:24" ht="11.25" customHeight="1">
      <c r="A131" s="1001">
        <f>'Org structure'!E127</f>
        <v>0</v>
      </c>
      <c r="B131" s="167"/>
      <c r="C131" s="1402"/>
      <c r="D131" s="1402"/>
      <c r="E131" s="1403"/>
      <c r="F131" s="1958"/>
      <c r="G131" s="1402"/>
      <c r="H131" s="1957"/>
      <c r="I131" s="1403"/>
      <c r="J131" s="1772">
        <f t="shared" si="70"/>
        <v>0</v>
      </c>
      <c r="K131" s="803">
        <f t="shared" si="71"/>
        <v>0</v>
      </c>
      <c r="L131" s="1773">
        <f t="shared" si="72"/>
        <v>0</v>
      </c>
      <c r="M131" s="193"/>
      <c r="N131" s="1958"/>
      <c r="O131" s="1402"/>
      <c r="P131" s="1957"/>
      <c r="Q131" s="834">
        <f t="shared" si="73"/>
        <v>0</v>
      </c>
      <c r="R131" s="1958"/>
      <c r="S131" s="1402"/>
      <c r="T131" s="1403"/>
      <c r="U131" s="1765">
        <f t="shared" si="43"/>
        <v>0</v>
      </c>
      <c r="V131" s="1403"/>
      <c r="W131" s="1402"/>
      <c r="X131" s="1404"/>
    </row>
    <row r="132" spans="1:24" ht="11.25" customHeight="1">
      <c r="A132" s="1001">
        <f>'Org structure'!E128</f>
        <v>0</v>
      </c>
      <c r="B132" s="167"/>
      <c r="C132" s="1402"/>
      <c r="D132" s="1402"/>
      <c r="E132" s="1403"/>
      <c r="F132" s="1958"/>
      <c r="G132" s="1402"/>
      <c r="H132" s="1957"/>
      <c r="I132" s="1403"/>
      <c r="J132" s="1772">
        <f t="shared" si="70"/>
        <v>0</v>
      </c>
      <c r="K132" s="803">
        <f t="shared" si="71"/>
        <v>0</v>
      </c>
      <c r="L132" s="1773">
        <f t="shared" si="72"/>
        <v>0</v>
      </c>
      <c r="M132" s="193"/>
      <c r="N132" s="1958"/>
      <c r="O132" s="1402"/>
      <c r="P132" s="1957"/>
      <c r="Q132" s="834">
        <f t="shared" si="73"/>
        <v>0</v>
      </c>
      <c r="R132" s="1958"/>
      <c r="S132" s="1402"/>
      <c r="T132" s="1403"/>
      <c r="U132" s="1765">
        <f t="shared" si="43"/>
        <v>0</v>
      </c>
      <c r="V132" s="1403"/>
      <c r="W132" s="1402"/>
      <c r="X132" s="1404"/>
    </row>
    <row r="133" spans="1:24" ht="11.25" customHeight="1">
      <c r="A133" s="1001">
        <f>'Org structure'!E129</f>
        <v>0</v>
      </c>
      <c r="B133" s="167"/>
      <c r="C133" s="1402"/>
      <c r="D133" s="1402"/>
      <c r="E133" s="1403"/>
      <c r="F133" s="1958"/>
      <c r="G133" s="1402"/>
      <c r="H133" s="1957"/>
      <c r="I133" s="1403"/>
      <c r="J133" s="1772">
        <f>Q133+V133</f>
        <v>0</v>
      </c>
      <c r="K133" s="803">
        <f t="shared" si="71"/>
        <v>0</v>
      </c>
      <c r="L133" s="1773">
        <f t="shared" si="72"/>
        <v>0</v>
      </c>
      <c r="M133" s="193"/>
      <c r="N133" s="1958"/>
      <c r="O133" s="1402"/>
      <c r="P133" s="1957"/>
      <c r="Q133" s="834">
        <f t="shared" si="73"/>
        <v>0</v>
      </c>
      <c r="R133" s="1958"/>
      <c r="S133" s="1402"/>
      <c r="T133" s="1403"/>
      <c r="U133" s="1765">
        <f t="shared" si="43"/>
        <v>0</v>
      </c>
      <c r="V133" s="1403"/>
      <c r="W133" s="1402"/>
      <c r="X133" s="1404"/>
    </row>
    <row r="134" spans="1:24" ht="11.25" customHeight="1">
      <c r="A134" s="1001">
        <f>'Org structure'!E130</f>
        <v>0</v>
      </c>
      <c r="B134" s="167"/>
      <c r="C134" s="1402"/>
      <c r="D134" s="1402"/>
      <c r="E134" s="1403"/>
      <c r="F134" s="1958"/>
      <c r="G134" s="1402"/>
      <c r="H134" s="1957"/>
      <c r="I134" s="1403"/>
      <c r="J134" s="1772">
        <f t="shared" si="70"/>
        <v>0</v>
      </c>
      <c r="K134" s="803">
        <f t="shared" si="71"/>
        <v>0</v>
      </c>
      <c r="L134" s="1773">
        <f t="shared" si="72"/>
        <v>0</v>
      </c>
      <c r="M134" s="193"/>
      <c r="N134" s="1958"/>
      <c r="O134" s="1402"/>
      <c r="P134" s="1957"/>
      <c r="Q134" s="834">
        <f t="shared" si="73"/>
        <v>0</v>
      </c>
      <c r="R134" s="1958"/>
      <c r="S134" s="1402"/>
      <c r="T134" s="1403"/>
      <c r="U134" s="1765">
        <f t="shared" si="43"/>
        <v>0</v>
      </c>
      <c r="V134" s="1403"/>
      <c r="W134" s="1402"/>
      <c r="X134" s="1404"/>
    </row>
    <row r="135" spans="1:24" ht="11.25" customHeight="1">
      <c r="A135" s="1001">
        <f>'Org structure'!E131</f>
        <v>0</v>
      </c>
      <c r="B135" s="167"/>
      <c r="C135" s="1402"/>
      <c r="D135" s="1402"/>
      <c r="E135" s="1403"/>
      <c r="F135" s="1958"/>
      <c r="G135" s="1402"/>
      <c r="H135" s="1957"/>
      <c r="I135" s="1403"/>
      <c r="J135" s="1772">
        <f t="shared" si="70"/>
        <v>0</v>
      </c>
      <c r="K135" s="803">
        <f t="shared" si="71"/>
        <v>0</v>
      </c>
      <c r="L135" s="1773">
        <f t="shared" si="72"/>
        <v>0</v>
      </c>
      <c r="M135" s="193"/>
      <c r="N135" s="1958"/>
      <c r="O135" s="1402"/>
      <c r="P135" s="1957"/>
      <c r="Q135" s="834">
        <f t="shared" si="73"/>
        <v>0</v>
      </c>
      <c r="R135" s="1958"/>
      <c r="S135" s="1402"/>
      <c r="T135" s="1403"/>
      <c r="U135" s="1765">
        <f t="shared" si="43"/>
        <v>0</v>
      </c>
      <c r="V135" s="1403"/>
      <c r="W135" s="1402"/>
      <c r="X135" s="1404"/>
    </row>
    <row r="136" spans="1:24" ht="11.25" customHeight="1">
      <c r="A136" s="1001">
        <f>'Org structure'!E132</f>
        <v>0</v>
      </c>
      <c r="B136" s="167"/>
      <c r="C136" s="1402"/>
      <c r="D136" s="1402"/>
      <c r="E136" s="1403"/>
      <c r="F136" s="1958"/>
      <c r="G136" s="1402"/>
      <c r="H136" s="1957"/>
      <c r="I136" s="1403"/>
      <c r="J136" s="1772">
        <f t="shared" si="70"/>
        <v>0</v>
      </c>
      <c r="K136" s="803">
        <f t="shared" si="71"/>
        <v>0</v>
      </c>
      <c r="L136" s="1773">
        <f t="shared" si="72"/>
        <v>0</v>
      </c>
      <c r="M136" s="193"/>
      <c r="N136" s="1958"/>
      <c r="O136" s="1402"/>
      <c r="P136" s="1957"/>
      <c r="Q136" s="834">
        <f t="shared" si="73"/>
        <v>0</v>
      </c>
      <c r="R136" s="1958"/>
      <c r="S136" s="1402"/>
      <c r="T136" s="1403"/>
      <c r="U136" s="1765">
        <f t="shared" ref="U136:U170" si="74">SUM(R136:T136)</f>
        <v>0</v>
      </c>
      <c r="V136" s="1403"/>
      <c r="W136" s="1402"/>
      <c r="X136" s="1404"/>
    </row>
    <row r="137" spans="1:24" ht="11.25" customHeight="1">
      <c r="A137" s="1001">
        <f>'Org structure'!E133</f>
        <v>0</v>
      </c>
      <c r="B137" s="167"/>
      <c r="C137" s="1402"/>
      <c r="D137" s="1402"/>
      <c r="E137" s="1403"/>
      <c r="F137" s="1958"/>
      <c r="G137" s="1402"/>
      <c r="H137" s="1957"/>
      <c r="I137" s="1403"/>
      <c r="J137" s="1772">
        <f t="shared" si="70"/>
        <v>0</v>
      </c>
      <c r="K137" s="803">
        <f t="shared" si="71"/>
        <v>0</v>
      </c>
      <c r="L137" s="1773">
        <f t="shared" si="72"/>
        <v>0</v>
      </c>
      <c r="M137" s="193"/>
      <c r="N137" s="1958"/>
      <c r="O137" s="1402"/>
      <c r="P137" s="1957"/>
      <c r="Q137" s="834">
        <f t="shared" si="73"/>
        <v>0</v>
      </c>
      <c r="R137" s="1958"/>
      <c r="S137" s="1402"/>
      <c r="T137" s="1403"/>
      <c r="U137" s="1765">
        <f t="shared" si="74"/>
        <v>0</v>
      </c>
      <c r="V137" s="1403"/>
      <c r="W137" s="1402"/>
      <c r="X137" s="1404"/>
    </row>
    <row r="138" spans="1:24" ht="15" customHeight="1">
      <c r="A138" s="1000" t="str">
        <f>'Org structure'!A14</f>
        <v>Vote 13 - [NAME OF VOTE 13]</v>
      </c>
      <c r="B138" s="167"/>
      <c r="C138" s="832">
        <f t="shared" ref="C138:L138" si="75">SUM(C139:C148)</f>
        <v>0</v>
      </c>
      <c r="D138" s="832">
        <f t="shared" si="75"/>
        <v>0</v>
      </c>
      <c r="E138" s="833">
        <f t="shared" si="75"/>
        <v>0</v>
      </c>
      <c r="F138" s="834">
        <f t="shared" si="75"/>
        <v>0</v>
      </c>
      <c r="G138" s="832">
        <f t="shared" si="75"/>
        <v>0</v>
      </c>
      <c r="H138" s="833">
        <f t="shared" si="75"/>
        <v>0</v>
      </c>
      <c r="I138" s="835">
        <f t="shared" si="75"/>
        <v>0</v>
      </c>
      <c r="J138" s="1772">
        <f t="shared" si="75"/>
        <v>0</v>
      </c>
      <c r="K138" s="803">
        <f t="shared" si="75"/>
        <v>0</v>
      </c>
      <c r="L138" s="1773">
        <f t="shared" si="75"/>
        <v>0</v>
      </c>
      <c r="M138" s="193"/>
      <c r="N138" s="834">
        <f t="shared" ref="N138:X138" si="76">SUM(N139:N148)</f>
        <v>0</v>
      </c>
      <c r="O138" s="832">
        <f t="shared" si="76"/>
        <v>0</v>
      </c>
      <c r="P138" s="833">
        <f t="shared" si="76"/>
        <v>0</v>
      </c>
      <c r="Q138" s="834">
        <f t="shared" si="76"/>
        <v>0</v>
      </c>
      <c r="R138" s="834">
        <f t="shared" si="76"/>
        <v>0</v>
      </c>
      <c r="S138" s="832">
        <f t="shared" si="76"/>
        <v>0</v>
      </c>
      <c r="T138" s="1769">
        <f t="shared" si="76"/>
        <v>0</v>
      </c>
      <c r="U138" s="1765">
        <f t="shared" si="76"/>
        <v>0</v>
      </c>
      <c r="V138" s="1770">
        <f t="shared" si="76"/>
        <v>0</v>
      </c>
      <c r="W138" s="832">
        <f t="shared" si="76"/>
        <v>0</v>
      </c>
      <c r="X138" s="1771">
        <f t="shared" si="76"/>
        <v>0</v>
      </c>
    </row>
    <row r="139" spans="1:24" ht="11.25" customHeight="1">
      <c r="A139" s="1001" t="str">
        <f>'Org structure'!E135</f>
        <v>13.1 - [Name of sub-vote]</v>
      </c>
      <c r="B139" s="167"/>
      <c r="C139" s="1402"/>
      <c r="D139" s="1402"/>
      <c r="E139" s="1403"/>
      <c r="F139" s="1958"/>
      <c r="G139" s="1402"/>
      <c r="H139" s="1957"/>
      <c r="I139" s="1403"/>
      <c r="J139" s="1772">
        <f t="shared" ref="J139:J148" si="77">Q139+V139</f>
        <v>0</v>
      </c>
      <c r="K139" s="803">
        <f t="shared" ref="K139:K148" si="78">U139+W139</f>
        <v>0</v>
      </c>
      <c r="L139" s="1773">
        <f t="shared" ref="L139:L148" si="79">X139</f>
        <v>0</v>
      </c>
      <c r="M139" s="193"/>
      <c r="N139" s="1958"/>
      <c r="O139" s="1402"/>
      <c r="P139" s="1957"/>
      <c r="Q139" s="834">
        <f t="shared" ref="Q139:Q148" si="80">SUM(N139:P139)</f>
        <v>0</v>
      </c>
      <c r="R139" s="1958"/>
      <c r="S139" s="1402"/>
      <c r="T139" s="1403"/>
      <c r="U139" s="1765">
        <f t="shared" si="74"/>
        <v>0</v>
      </c>
      <c r="V139" s="1403"/>
      <c r="W139" s="1402"/>
      <c r="X139" s="1404"/>
    </row>
    <row r="140" spans="1:24" ht="11.25" customHeight="1">
      <c r="A140" s="1001">
        <f>'Org structure'!E136</f>
        <v>0</v>
      </c>
      <c r="B140" s="167"/>
      <c r="C140" s="1402"/>
      <c r="D140" s="1402"/>
      <c r="E140" s="1403"/>
      <c r="F140" s="1958"/>
      <c r="G140" s="1402"/>
      <c r="H140" s="1957"/>
      <c r="I140" s="1403"/>
      <c r="J140" s="1772">
        <f t="shared" si="77"/>
        <v>0</v>
      </c>
      <c r="K140" s="803">
        <f t="shared" si="78"/>
        <v>0</v>
      </c>
      <c r="L140" s="1773">
        <f t="shared" si="79"/>
        <v>0</v>
      </c>
      <c r="M140" s="193"/>
      <c r="N140" s="1958"/>
      <c r="O140" s="1402"/>
      <c r="P140" s="1957"/>
      <c r="Q140" s="834">
        <f t="shared" si="80"/>
        <v>0</v>
      </c>
      <c r="R140" s="1958"/>
      <c r="S140" s="1402"/>
      <c r="T140" s="1403"/>
      <c r="U140" s="1765">
        <f t="shared" si="74"/>
        <v>0</v>
      </c>
      <c r="V140" s="1403"/>
      <c r="W140" s="1402"/>
      <c r="X140" s="1404"/>
    </row>
    <row r="141" spans="1:24" ht="11.25" customHeight="1">
      <c r="A141" s="1001">
        <f>'Org structure'!E137</f>
        <v>0</v>
      </c>
      <c r="B141" s="167"/>
      <c r="C141" s="1402"/>
      <c r="D141" s="1402"/>
      <c r="E141" s="1403"/>
      <c r="F141" s="1958"/>
      <c r="G141" s="1402"/>
      <c r="H141" s="1957"/>
      <c r="I141" s="1403"/>
      <c r="J141" s="1772">
        <f t="shared" si="77"/>
        <v>0</v>
      </c>
      <c r="K141" s="803">
        <f t="shared" si="78"/>
        <v>0</v>
      </c>
      <c r="L141" s="1773">
        <f t="shared" si="79"/>
        <v>0</v>
      </c>
      <c r="M141" s="193"/>
      <c r="N141" s="1958"/>
      <c r="O141" s="1402"/>
      <c r="P141" s="1957"/>
      <c r="Q141" s="834">
        <f t="shared" si="80"/>
        <v>0</v>
      </c>
      <c r="R141" s="1958"/>
      <c r="S141" s="1402"/>
      <c r="T141" s="1403"/>
      <c r="U141" s="1765">
        <f t="shared" si="74"/>
        <v>0</v>
      </c>
      <c r="V141" s="1403"/>
      <c r="W141" s="1402"/>
      <c r="X141" s="1404"/>
    </row>
    <row r="142" spans="1:24" ht="11.25" customHeight="1">
      <c r="A142" s="1001">
        <f>'Org structure'!E138</f>
        <v>0</v>
      </c>
      <c r="B142" s="167"/>
      <c r="C142" s="1402"/>
      <c r="D142" s="1402"/>
      <c r="E142" s="1403"/>
      <c r="F142" s="1958"/>
      <c r="G142" s="1402"/>
      <c r="H142" s="1957"/>
      <c r="I142" s="1403"/>
      <c r="J142" s="1772">
        <f t="shared" si="77"/>
        <v>0</v>
      </c>
      <c r="K142" s="803">
        <f t="shared" si="78"/>
        <v>0</v>
      </c>
      <c r="L142" s="1773">
        <f t="shared" si="79"/>
        <v>0</v>
      </c>
      <c r="M142" s="193"/>
      <c r="N142" s="1958"/>
      <c r="O142" s="1402"/>
      <c r="P142" s="1957"/>
      <c r="Q142" s="834">
        <f t="shared" si="80"/>
        <v>0</v>
      </c>
      <c r="R142" s="1958"/>
      <c r="S142" s="1402"/>
      <c r="T142" s="1403"/>
      <c r="U142" s="1765">
        <f t="shared" si="74"/>
        <v>0</v>
      </c>
      <c r="V142" s="1403"/>
      <c r="W142" s="1402"/>
      <c r="X142" s="1404"/>
    </row>
    <row r="143" spans="1:24" ht="11.25" customHeight="1">
      <c r="A143" s="1001">
        <f>'Org structure'!E139</f>
        <v>0</v>
      </c>
      <c r="B143" s="167"/>
      <c r="C143" s="1402"/>
      <c r="D143" s="1402"/>
      <c r="E143" s="1403"/>
      <c r="F143" s="1958"/>
      <c r="G143" s="1402"/>
      <c r="H143" s="1957"/>
      <c r="I143" s="1403"/>
      <c r="J143" s="1772">
        <f t="shared" si="77"/>
        <v>0</v>
      </c>
      <c r="K143" s="803">
        <f t="shared" si="78"/>
        <v>0</v>
      </c>
      <c r="L143" s="1773">
        <f t="shared" si="79"/>
        <v>0</v>
      </c>
      <c r="M143" s="193"/>
      <c r="N143" s="1958"/>
      <c r="O143" s="1402"/>
      <c r="P143" s="1957"/>
      <c r="Q143" s="834">
        <f t="shared" si="80"/>
        <v>0</v>
      </c>
      <c r="R143" s="1958"/>
      <c r="S143" s="1402"/>
      <c r="T143" s="1403"/>
      <c r="U143" s="1765">
        <f t="shared" si="74"/>
        <v>0</v>
      </c>
      <c r="V143" s="1403"/>
      <c r="W143" s="1402"/>
      <c r="X143" s="1404"/>
    </row>
    <row r="144" spans="1:24" ht="11.25" customHeight="1">
      <c r="A144" s="1001">
        <f>'Org structure'!E140</f>
        <v>0</v>
      </c>
      <c r="B144" s="167"/>
      <c r="C144" s="1402"/>
      <c r="D144" s="1402"/>
      <c r="E144" s="1403"/>
      <c r="F144" s="1958"/>
      <c r="G144" s="1402"/>
      <c r="H144" s="1957"/>
      <c r="I144" s="1403"/>
      <c r="J144" s="1772">
        <f t="shared" si="77"/>
        <v>0</v>
      </c>
      <c r="K144" s="803">
        <f t="shared" si="78"/>
        <v>0</v>
      </c>
      <c r="L144" s="1773">
        <f t="shared" si="79"/>
        <v>0</v>
      </c>
      <c r="M144" s="193"/>
      <c r="N144" s="1958"/>
      <c r="O144" s="1402"/>
      <c r="P144" s="1957"/>
      <c r="Q144" s="834">
        <f t="shared" si="80"/>
        <v>0</v>
      </c>
      <c r="R144" s="1958"/>
      <c r="S144" s="1402"/>
      <c r="T144" s="1403"/>
      <c r="U144" s="1765">
        <f t="shared" si="74"/>
        <v>0</v>
      </c>
      <c r="V144" s="1403"/>
      <c r="W144" s="1402"/>
      <c r="X144" s="1404"/>
    </row>
    <row r="145" spans="1:24" ht="11.25" customHeight="1">
      <c r="A145" s="1001">
        <f>'Org structure'!E141</f>
        <v>0</v>
      </c>
      <c r="B145" s="167"/>
      <c r="C145" s="1402"/>
      <c r="D145" s="1402"/>
      <c r="E145" s="1403"/>
      <c r="F145" s="1958"/>
      <c r="G145" s="1402"/>
      <c r="H145" s="1957"/>
      <c r="I145" s="1403"/>
      <c r="J145" s="1772">
        <f t="shared" si="77"/>
        <v>0</v>
      </c>
      <c r="K145" s="803">
        <f t="shared" si="78"/>
        <v>0</v>
      </c>
      <c r="L145" s="1773">
        <f t="shared" si="79"/>
        <v>0</v>
      </c>
      <c r="M145" s="193"/>
      <c r="N145" s="1958"/>
      <c r="O145" s="1402"/>
      <c r="P145" s="1957"/>
      <c r="Q145" s="834">
        <f t="shared" si="80"/>
        <v>0</v>
      </c>
      <c r="R145" s="1958"/>
      <c r="S145" s="1402"/>
      <c r="T145" s="1403"/>
      <c r="U145" s="1765">
        <f t="shared" si="74"/>
        <v>0</v>
      </c>
      <c r="V145" s="1403"/>
      <c r="W145" s="1402"/>
      <c r="X145" s="1404"/>
    </row>
    <row r="146" spans="1:24" ht="11.25" customHeight="1">
      <c r="A146" s="1001">
        <f>'Org structure'!E142</f>
        <v>0</v>
      </c>
      <c r="B146" s="167"/>
      <c r="C146" s="1402"/>
      <c r="D146" s="1402"/>
      <c r="E146" s="1403"/>
      <c r="F146" s="1958"/>
      <c r="G146" s="1402"/>
      <c r="H146" s="1957"/>
      <c r="I146" s="1403"/>
      <c r="J146" s="1772">
        <f t="shared" si="77"/>
        <v>0</v>
      </c>
      <c r="K146" s="803">
        <f t="shared" si="78"/>
        <v>0</v>
      </c>
      <c r="L146" s="1773">
        <f t="shared" si="79"/>
        <v>0</v>
      </c>
      <c r="M146" s="193"/>
      <c r="N146" s="1958"/>
      <c r="O146" s="1402"/>
      <c r="P146" s="1957"/>
      <c r="Q146" s="834">
        <f t="shared" si="80"/>
        <v>0</v>
      </c>
      <c r="R146" s="1958"/>
      <c r="S146" s="1402"/>
      <c r="T146" s="1403"/>
      <c r="U146" s="1765">
        <f t="shared" si="74"/>
        <v>0</v>
      </c>
      <c r="V146" s="1403"/>
      <c r="W146" s="1402"/>
      <c r="X146" s="1404"/>
    </row>
    <row r="147" spans="1:24" ht="11.25" customHeight="1">
      <c r="A147" s="1001">
        <f>'Org structure'!E143</f>
        <v>0</v>
      </c>
      <c r="B147" s="167"/>
      <c r="C147" s="1402"/>
      <c r="D147" s="1402"/>
      <c r="E147" s="1403"/>
      <c r="F147" s="1958"/>
      <c r="G147" s="1402"/>
      <c r="H147" s="1957"/>
      <c r="I147" s="1403"/>
      <c r="J147" s="1772">
        <f t="shared" si="77"/>
        <v>0</v>
      </c>
      <c r="K147" s="803">
        <f t="shared" si="78"/>
        <v>0</v>
      </c>
      <c r="L147" s="1773">
        <f t="shared" si="79"/>
        <v>0</v>
      </c>
      <c r="M147" s="193"/>
      <c r="N147" s="1958"/>
      <c r="O147" s="1402"/>
      <c r="P147" s="1957"/>
      <c r="Q147" s="834">
        <f t="shared" si="80"/>
        <v>0</v>
      </c>
      <c r="R147" s="1958"/>
      <c r="S147" s="1402"/>
      <c r="T147" s="1403"/>
      <c r="U147" s="1765">
        <f t="shared" si="74"/>
        <v>0</v>
      </c>
      <c r="V147" s="1403"/>
      <c r="W147" s="1402"/>
      <c r="X147" s="1404"/>
    </row>
    <row r="148" spans="1:24" ht="11.25" customHeight="1">
      <c r="A148" s="1001">
        <f>'Org structure'!E144</f>
        <v>0</v>
      </c>
      <c r="B148" s="167"/>
      <c r="C148" s="1402"/>
      <c r="D148" s="1402"/>
      <c r="E148" s="1403"/>
      <c r="F148" s="1958"/>
      <c r="G148" s="1402"/>
      <c r="H148" s="1957"/>
      <c r="I148" s="1403"/>
      <c r="J148" s="1772">
        <f t="shared" si="77"/>
        <v>0</v>
      </c>
      <c r="K148" s="803">
        <f t="shared" si="78"/>
        <v>0</v>
      </c>
      <c r="L148" s="1773">
        <f t="shared" si="79"/>
        <v>0</v>
      </c>
      <c r="M148" s="193"/>
      <c r="N148" s="1958"/>
      <c r="O148" s="1402"/>
      <c r="P148" s="1957"/>
      <c r="Q148" s="834">
        <f t="shared" si="80"/>
        <v>0</v>
      </c>
      <c r="R148" s="1958"/>
      <c r="S148" s="1402"/>
      <c r="T148" s="1403"/>
      <c r="U148" s="1765">
        <f t="shared" si="74"/>
        <v>0</v>
      </c>
      <c r="V148" s="1403"/>
      <c r="W148" s="1402"/>
      <c r="X148" s="1404"/>
    </row>
    <row r="149" spans="1:24" ht="15" customHeight="1">
      <c r="A149" s="1000" t="str">
        <f>'Org structure'!A15</f>
        <v>Vote 14 - [NAME OF VOTE 14]</v>
      </c>
      <c r="B149" s="167"/>
      <c r="C149" s="832">
        <f t="shared" ref="C149:L149" si="81">SUM(C150:C159)</f>
        <v>0</v>
      </c>
      <c r="D149" s="832">
        <f t="shared" si="81"/>
        <v>0</v>
      </c>
      <c r="E149" s="833">
        <f t="shared" si="81"/>
        <v>0</v>
      </c>
      <c r="F149" s="834">
        <f t="shared" si="81"/>
        <v>0</v>
      </c>
      <c r="G149" s="832">
        <f t="shared" si="81"/>
        <v>0</v>
      </c>
      <c r="H149" s="833">
        <f t="shared" si="81"/>
        <v>0</v>
      </c>
      <c r="I149" s="835">
        <f t="shared" si="81"/>
        <v>0</v>
      </c>
      <c r="J149" s="1772">
        <f t="shared" si="81"/>
        <v>0</v>
      </c>
      <c r="K149" s="803">
        <f t="shared" si="81"/>
        <v>0</v>
      </c>
      <c r="L149" s="1773">
        <f t="shared" si="81"/>
        <v>0</v>
      </c>
      <c r="M149" s="193"/>
      <c r="N149" s="834">
        <f t="shared" ref="N149:X149" si="82">SUM(N150:N159)</f>
        <v>0</v>
      </c>
      <c r="O149" s="832">
        <f t="shared" si="82"/>
        <v>0</v>
      </c>
      <c r="P149" s="833">
        <f t="shared" si="82"/>
        <v>0</v>
      </c>
      <c r="Q149" s="834">
        <f t="shared" si="82"/>
        <v>0</v>
      </c>
      <c r="R149" s="834">
        <f t="shared" si="82"/>
        <v>0</v>
      </c>
      <c r="S149" s="832">
        <f t="shared" si="82"/>
        <v>0</v>
      </c>
      <c r="T149" s="1769">
        <f t="shared" si="82"/>
        <v>0</v>
      </c>
      <c r="U149" s="1765">
        <f t="shared" si="82"/>
        <v>0</v>
      </c>
      <c r="V149" s="1770">
        <f t="shared" si="82"/>
        <v>0</v>
      </c>
      <c r="W149" s="832">
        <f t="shared" si="82"/>
        <v>0</v>
      </c>
      <c r="X149" s="1771">
        <f t="shared" si="82"/>
        <v>0</v>
      </c>
    </row>
    <row r="150" spans="1:24" ht="11.25" customHeight="1">
      <c r="A150" s="1001" t="str">
        <f>'Org structure'!E146</f>
        <v>14.1 - [Name of sub-vote]</v>
      </c>
      <c r="B150" s="167"/>
      <c r="C150" s="1402"/>
      <c r="D150" s="1402"/>
      <c r="E150" s="1403"/>
      <c r="F150" s="1958"/>
      <c r="G150" s="1402"/>
      <c r="H150" s="1957"/>
      <c r="I150" s="1403"/>
      <c r="J150" s="1772">
        <f t="shared" ref="J150:J159" si="83">Q150+V150</f>
        <v>0</v>
      </c>
      <c r="K150" s="803">
        <f t="shared" ref="K150:K159" si="84">U150+W150</f>
        <v>0</v>
      </c>
      <c r="L150" s="1773">
        <f t="shared" ref="L150:L159" si="85">X150</f>
        <v>0</v>
      </c>
      <c r="M150" s="193"/>
      <c r="N150" s="1958"/>
      <c r="O150" s="1402"/>
      <c r="P150" s="1957"/>
      <c r="Q150" s="834">
        <f t="shared" ref="Q150:Q159" si="86">SUM(N150:P150)</f>
        <v>0</v>
      </c>
      <c r="R150" s="1958"/>
      <c r="S150" s="1402"/>
      <c r="T150" s="1403"/>
      <c r="U150" s="1765">
        <f t="shared" si="74"/>
        <v>0</v>
      </c>
      <c r="V150" s="1403"/>
      <c r="W150" s="1402"/>
      <c r="X150" s="1404"/>
    </row>
    <row r="151" spans="1:24" ht="11.25" customHeight="1">
      <c r="A151" s="1001">
        <f>'Org structure'!E147</f>
        <v>0</v>
      </c>
      <c r="B151" s="167"/>
      <c r="C151" s="1402"/>
      <c r="D151" s="1402"/>
      <c r="E151" s="1403"/>
      <c r="F151" s="1958"/>
      <c r="G151" s="1402"/>
      <c r="H151" s="1957"/>
      <c r="I151" s="1403"/>
      <c r="J151" s="1772">
        <f t="shared" si="83"/>
        <v>0</v>
      </c>
      <c r="K151" s="803">
        <f t="shared" si="84"/>
        <v>0</v>
      </c>
      <c r="L151" s="1773">
        <f t="shared" si="85"/>
        <v>0</v>
      </c>
      <c r="M151" s="193"/>
      <c r="N151" s="1958"/>
      <c r="O151" s="1402"/>
      <c r="P151" s="1957"/>
      <c r="Q151" s="834">
        <f t="shared" si="86"/>
        <v>0</v>
      </c>
      <c r="R151" s="1958"/>
      <c r="S151" s="1402"/>
      <c r="T151" s="1403"/>
      <c r="U151" s="1765">
        <f t="shared" si="74"/>
        <v>0</v>
      </c>
      <c r="V151" s="1403"/>
      <c r="W151" s="1402"/>
      <c r="X151" s="1404"/>
    </row>
    <row r="152" spans="1:24" ht="11.25" customHeight="1">
      <c r="A152" s="1001">
        <f>'Org structure'!E148</f>
        <v>0</v>
      </c>
      <c r="B152" s="167"/>
      <c r="C152" s="1402"/>
      <c r="D152" s="1402"/>
      <c r="E152" s="1403"/>
      <c r="F152" s="1958"/>
      <c r="G152" s="1402"/>
      <c r="H152" s="1957"/>
      <c r="I152" s="1403"/>
      <c r="J152" s="1772">
        <f t="shared" si="83"/>
        <v>0</v>
      </c>
      <c r="K152" s="803">
        <f t="shared" si="84"/>
        <v>0</v>
      </c>
      <c r="L152" s="1773">
        <f t="shared" si="85"/>
        <v>0</v>
      </c>
      <c r="M152" s="193"/>
      <c r="N152" s="1958"/>
      <c r="O152" s="1402"/>
      <c r="P152" s="1957"/>
      <c r="Q152" s="834">
        <f t="shared" si="86"/>
        <v>0</v>
      </c>
      <c r="R152" s="1958"/>
      <c r="S152" s="1402"/>
      <c r="T152" s="1403"/>
      <c r="U152" s="1765">
        <f t="shared" si="74"/>
        <v>0</v>
      </c>
      <c r="V152" s="1403"/>
      <c r="W152" s="1402"/>
      <c r="X152" s="1404"/>
    </row>
    <row r="153" spans="1:24" ht="11.25" customHeight="1">
      <c r="A153" s="1001">
        <f>'Org structure'!E149</f>
        <v>0</v>
      </c>
      <c r="B153" s="167"/>
      <c r="C153" s="1402"/>
      <c r="D153" s="1402"/>
      <c r="E153" s="1403"/>
      <c r="F153" s="1958"/>
      <c r="G153" s="1402"/>
      <c r="H153" s="1957"/>
      <c r="I153" s="1403"/>
      <c r="J153" s="1772">
        <f t="shared" si="83"/>
        <v>0</v>
      </c>
      <c r="K153" s="803">
        <f t="shared" si="84"/>
        <v>0</v>
      </c>
      <c r="L153" s="1773">
        <f t="shared" si="85"/>
        <v>0</v>
      </c>
      <c r="M153" s="193"/>
      <c r="N153" s="1958"/>
      <c r="O153" s="1402"/>
      <c r="P153" s="1957"/>
      <c r="Q153" s="834">
        <f t="shared" si="86"/>
        <v>0</v>
      </c>
      <c r="R153" s="1958"/>
      <c r="S153" s="1402"/>
      <c r="T153" s="1403"/>
      <c r="U153" s="1765">
        <f t="shared" si="74"/>
        <v>0</v>
      </c>
      <c r="V153" s="1403"/>
      <c r="W153" s="1402"/>
      <c r="X153" s="1404"/>
    </row>
    <row r="154" spans="1:24" ht="11.25" customHeight="1">
      <c r="A154" s="1001">
        <f>'Org structure'!E150</f>
        <v>0</v>
      </c>
      <c r="B154" s="167"/>
      <c r="C154" s="1402"/>
      <c r="D154" s="1402"/>
      <c r="E154" s="1403"/>
      <c r="F154" s="1958"/>
      <c r="G154" s="1402"/>
      <c r="H154" s="1957"/>
      <c r="I154" s="1403"/>
      <c r="J154" s="1772">
        <f t="shared" si="83"/>
        <v>0</v>
      </c>
      <c r="K154" s="803">
        <f t="shared" si="84"/>
        <v>0</v>
      </c>
      <c r="L154" s="1773">
        <f t="shared" si="85"/>
        <v>0</v>
      </c>
      <c r="M154" s="193"/>
      <c r="N154" s="1958"/>
      <c r="O154" s="1402"/>
      <c r="P154" s="1957"/>
      <c r="Q154" s="834">
        <f t="shared" si="86"/>
        <v>0</v>
      </c>
      <c r="R154" s="1958"/>
      <c r="S154" s="1402"/>
      <c r="T154" s="1403"/>
      <c r="U154" s="1765">
        <f t="shared" si="74"/>
        <v>0</v>
      </c>
      <c r="V154" s="1403"/>
      <c r="W154" s="1402"/>
      <c r="X154" s="1404"/>
    </row>
    <row r="155" spans="1:24" ht="11.25" customHeight="1">
      <c r="A155" s="1001">
        <f>'Org structure'!E151</f>
        <v>0</v>
      </c>
      <c r="B155" s="167"/>
      <c r="C155" s="1402"/>
      <c r="D155" s="1402"/>
      <c r="E155" s="1403"/>
      <c r="F155" s="1958"/>
      <c r="G155" s="1402"/>
      <c r="H155" s="1957"/>
      <c r="I155" s="1403"/>
      <c r="J155" s="1772">
        <f t="shared" si="83"/>
        <v>0</v>
      </c>
      <c r="K155" s="803">
        <f t="shared" si="84"/>
        <v>0</v>
      </c>
      <c r="L155" s="1773">
        <f t="shared" si="85"/>
        <v>0</v>
      </c>
      <c r="M155" s="193"/>
      <c r="N155" s="1958"/>
      <c r="O155" s="1402"/>
      <c r="P155" s="1957"/>
      <c r="Q155" s="834">
        <f t="shared" si="86"/>
        <v>0</v>
      </c>
      <c r="R155" s="1958"/>
      <c r="S155" s="1402"/>
      <c r="T155" s="1403"/>
      <c r="U155" s="1765">
        <f t="shared" si="74"/>
        <v>0</v>
      </c>
      <c r="V155" s="1403"/>
      <c r="W155" s="1402"/>
      <c r="X155" s="1404"/>
    </row>
    <row r="156" spans="1:24" ht="11.25" customHeight="1">
      <c r="A156" s="1001">
        <f>'Org structure'!E152</f>
        <v>0</v>
      </c>
      <c r="B156" s="167"/>
      <c r="C156" s="1402"/>
      <c r="D156" s="1402"/>
      <c r="E156" s="1403"/>
      <c r="F156" s="1958"/>
      <c r="G156" s="1402"/>
      <c r="H156" s="1957"/>
      <c r="I156" s="1403"/>
      <c r="J156" s="1772">
        <f t="shared" si="83"/>
        <v>0</v>
      </c>
      <c r="K156" s="803">
        <f t="shared" si="84"/>
        <v>0</v>
      </c>
      <c r="L156" s="1773">
        <f t="shared" si="85"/>
        <v>0</v>
      </c>
      <c r="M156" s="193"/>
      <c r="N156" s="1958"/>
      <c r="O156" s="1402"/>
      <c r="P156" s="1957"/>
      <c r="Q156" s="834">
        <f t="shared" si="86"/>
        <v>0</v>
      </c>
      <c r="R156" s="1958"/>
      <c r="S156" s="1402"/>
      <c r="T156" s="1403"/>
      <c r="U156" s="1765">
        <f t="shared" si="74"/>
        <v>0</v>
      </c>
      <c r="V156" s="1403"/>
      <c r="W156" s="1402"/>
      <c r="X156" s="1404"/>
    </row>
    <row r="157" spans="1:24" ht="11.25" customHeight="1">
      <c r="A157" s="1001">
        <f>'Org structure'!E153</f>
        <v>0</v>
      </c>
      <c r="B157" s="167"/>
      <c r="C157" s="1402"/>
      <c r="D157" s="1402"/>
      <c r="E157" s="1403"/>
      <c r="F157" s="1958"/>
      <c r="G157" s="1402"/>
      <c r="H157" s="1957"/>
      <c r="I157" s="1403"/>
      <c r="J157" s="1772">
        <f t="shared" si="83"/>
        <v>0</v>
      </c>
      <c r="K157" s="803">
        <f t="shared" si="84"/>
        <v>0</v>
      </c>
      <c r="L157" s="1773">
        <f t="shared" si="85"/>
        <v>0</v>
      </c>
      <c r="M157" s="193"/>
      <c r="N157" s="1958"/>
      <c r="O157" s="1402"/>
      <c r="P157" s="1957"/>
      <c r="Q157" s="834">
        <f t="shared" si="86"/>
        <v>0</v>
      </c>
      <c r="R157" s="1958"/>
      <c r="S157" s="1402"/>
      <c r="T157" s="1403"/>
      <c r="U157" s="1765">
        <f t="shared" si="74"/>
        <v>0</v>
      </c>
      <c r="V157" s="1403"/>
      <c r="W157" s="1402"/>
      <c r="X157" s="1404"/>
    </row>
    <row r="158" spans="1:24" ht="11.25" customHeight="1">
      <c r="A158" s="1001">
        <f>'Org structure'!E154</f>
        <v>0</v>
      </c>
      <c r="B158" s="167"/>
      <c r="C158" s="1402"/>
      <c r="D158" s="1402"/>
      <c r="E158" s="1403"/>
      <c r="F158" s="1958"/>
      <c r="G158" s="1402"/>
      <c r="H158" s="1957"/>
      <c r="I158" s="1403"/>
      <c r="J158" s="1772">
        <f t="shared" si="83"/>
        <v>0</v>
      </c>
      <c r="K158" s="803">
        <f t="shared" si="84"/>
        <v>0</v>
      </c>
      <c r="L158" s="1773">
        <f t="shared" si="85"/>
        <v>0</v>
      </c>
      <c r="M158" s="193"/>
      <c r="N158" s="1958"/>
      <c r="O158" s="1402"/>
      <c r="P158" s="1957"/>
      <c r="Q158" s="834">
        <f t="shared" si="86"/>
        <v>0</v>
      </c>
      <c r="R158" s="1958"/>
      <c r="S158" s="1402"/>
      <c r="T158" s="1403"/>
      <c r="U158" s="1765">
        <f t="shared" si="74"/>
        <v>0</v>
      </c>
      <c r="V158" s="1403"/>
      <c r="W158" s="1402"/>
      <c r="X158" s="1404"/>
    </row>
    <row r="159" spans="1:24" ht="11.25" customHeight="1">
      <c r="A159" s="1001">
        <f>'Org structure'!E155</f>
        <v>0</v>
      </c>
      <c r="B159" s="167"/>
      <c r="C159" s="1402"/>
      <c r="D159" s="1402"/>
      <c r="E159" s="1403"/>
      <c r="F159" s="1958"/>
      <c r="G159" s="1402"/>
      <c r="H159" s="1957"/>
      <c r="I159" s="1403"/>
      <c r="J159" s="1772">
        <f t="shared" si="83"/>
        <v>0</v>
      </c>
      <c r="K159" s="803">
        <f t="shared" si="84"/>
        <v>0</v>
      </c>
      <c r="L159" s="1773">
        <f t="shared" si="85"/>
        <v>0</v>
      </c>
      <c r="M159" s="193"/>
      <c r="N159" s="1958"/>
      <c r="O159" s="1402"/>
      <c r="P159" s="1957"/>
      <c r="Q159" s="834">
        <f t="shared" si="86"/>
        <v>0</v>
      </c>
      <c r="R159" s="1958"/>
      <c r="S159" s="1402"/>
      <c r="T159" s="1403"/>
      <c r="U159" s="1765">
        <f t="shared" si="74"/>
        <v>0</v>
      </c>
      <c r="V159" s="1403"/>
      <c r="W159" s="1402"/>
      <c r="X159" s="1404"/>
    </row>
    <row r="160" spans="1:24" ht="15" customHeight="1">
      <c r="A160" s="1000" t="str">
        <f>'Org structure'!A16</f>
        <v>Vote 15 - [NAME OF VOTE 15]</v>
      </c>
      <c r="B160" s="167"/>
      <c r="C160" s="832">
        <f t="shared" ref="C160:L160" si="87">SUM(C161:C170)</f>
        <v>0</v>
      </c>
      <c r="D160" s="832">
        <f t="shared" si="87"/>
        <v>0</v>
      </c>
      <c r="E160" s="833">
        <f t="shared" si="87"/>
        <v>0</v>
      </c>
      <c r="F160" s="834">
        <f t="shared" si="87"/>
        <v>0</v>
      </c>
      <c r="G160" s="832">
        <f t="shared" si="87"/>
        <v>0</v>
      </c>
      <c r="H160" s="833">
        <f t="shared" si="87"/>
        <v>0</v>
      </c>
      <c r="I160" s="835">
        <f t="shared" si="87"/>
        <v>0</v>
      </c>
      <c r="J160" s="1772">
        <f t="shared" si="87"/>
        <v>0</v>
      </c>
      <c r="K160" s="803">
        <f t="shared" si="87"/>
        <v>0</v>
      </c>
      <c r="L160" s="1773">
        <f t="shared" si="87"/>
        <v>0</v>
      </c>
      <c r="M160" s="193"/>
      <c r="N160" s="834">
        <f t="shared" ref="N160:X160" si="88">SUM(N161:N170)</f>
        <v>0</v>
      </c>
      <c r="O160" s="832">
        <f t="shared" si="88"/>
        <v>0</v>
      </c>
      <c r="P160" s="833">
        <f t="shared" si="88"/>
        <v>0</v>
      </c>
      <c r="Q160" s="834">
        <f t="shared" si="88"/>
        <v>0</v>
      </c>
      <c r="R160" s="834">
        <f t="shared" si="88"/>
        <v>0</v>
      </c>
      <c r="S160" s="832">
        <f t="shared" si="88"/>
        <v>0</v>
      </c>
      <c r="T160" s="1769">
        <f t="shared" si="88"/>
        <v>0</v>
      </c>
      <c r="U160" s="1765">
        <f t="shared" si="88"/>
        <v>0</v>
      </c>
      <c r="V160" s="1770">
        <f t="shared" si="88"/>
        <v>0</v>
      </c>
      <c r="W160" s="832">
        <f t="shared" si="88"/>
        <v>0</v>
      </c>
      <c r="X160" s="1771">
        <f t="shared" si="88"/>
        <v>0</v>
      </c>
    </row>
    <row r="161" spans="1:24" ht="11.25" customHeight="1">
      <c r="A161" s="1001" t="str">
        <f>'Org structure'!E157</f>
        <v>15.1 - [Name of sub-vote]</v>
      </c>
      <c r="B161" s="167"/>
      <c r="C161" s="1402"/>
      <c r="D161" s="1402"/>
      <c r="E161" s="1403"/>
      <c r="F161" s="1958"/>
      <c r="G161" s="1402"/>
      <c r="H161" s="1957"/>
      <c r="I161" s="1403"/>
      <c r="J161" s="1772">
        <f t="shared" ref="J161:J170" si="89">Q161+V161</f>
        <v>0</v>
      </c>
      <c r="K161" s="803">
        <f t="shared" ref="K161:K170" si="90">U161+W161</f>
        <v>0</v>
      </c>
      <c r="L161" s="1773">
        <f t="shared" ref="L161:L170" si="91">X161</f>
        <v>0</v>
      </c>
      <c r="M161" s="193"/>
      <c r="N161" s="1958"/>
      <c r="O161" s="1402"/>
      <c r="P161" s="1957"/>
      <c r="Q161" s="834">
        <f t="shared" ref="Q161:Q170" si="92">SUM(N161:P161)</f>
        <v>0</v>
      </c>
      <c r="R161" s="1958"/>
      <c r="S161" s="1402"/>
      <c r="T161" s="1403"/>
      <c r="U161" s="1765">
        <f t="shared" si="74"/>
        <v>0</v>
      </c>
      <c r="V161" s="1403"/>
      <c r="W161" s="1402"/>
      <c r="X161" s="1404"/>
    </row>
    <row r="162" spans="1:24" ht="11.25" customHeight="1">
      <c r="A162" s="1001">
        <f>'Org structure'!E158</f>
        <v>0</v>
      </c>
      <c r="B162" s="167"/>
      <c r="C162" s="1402"/>
      <c r="D162" s="1402"/>
      <c r="E162" s="1403"/>
      <c r="F162" s="1958"/>
      <c r="G162" s="1402"/>
      <c r="H162" s="1957"/>
      <c r="I162" s="1403"/>
      <c r="J162" s="1772">
        <f t="shared" si="89"/>
        <v>0</v>
      </c>
      <c r="K162" s="803">
        <f t="shared" si="90"/>
        <v>0</v>
      </c>
      <c r="L162" s="1773">
        <f t="shared" si="91"/>
        <v>0</v>
      </c>
      <c r="M162" s="193"/>
      <c r="N162" s="1958"/>
      <c r="O162" s="1402"/>
      <c r="P162" s="1957"/>
      <c r="Q162" s="834">
        <f t="shared" si="92"/>
        <v>0</v>
      </c>
      <c r="R162" s="1958"/>
      <c r="S162" s="1402"/>
      <c r="T162" s="1403"/>
      <c r="U162" s="1765">
        <f t="shared" si="74"/>
        <v>0</v>
      </c>
      <c r="V162" s="1403"/>
      <c r="W162" s="1402"/>
      <c r="X162" s="1404"/>
    </row>
    <row r="163" spans="1:24" ht="11.25" customHeight="1">
      <c r="A163" s="1001">
        <f>'Org structure'!E159</f>
        <v>0</v>
      </c>
      <c r="B163" s="167"/>
      <c r="C163" s="1402"/>
      <c r="D163" s="1402"/>
      <c r="E163" s="1403"/>
      <c r="F163" s="1958"/>
      <c r="G163" s="1402"/>
      <c r="H163" s="1957"/>
      <c r="I163" s="1403"/>
      <c r="J163" s="1772">
        <f t="shared" si="89"/>
        <v>0</v>
      </c>
      <c r="K163" s="803">
        <f t="shared" si="90"/>
        <v>0</v>
      </c>
      <c r="L163" s="1773">
        <f t="shared" si="91"/>
        <v>0</v>
      </c>
      <c r="M163" s="193"/>
      <c r="N163" s="1958"/>
      <c r="O163" s="1402"/>
      <c r="P163" s="1957"/>
      <c r="Q163" s="834">
        <f t="shared" si="92"/>
        <v>0</v>
      </c>
      <c r="R163" s="1958"/>
      <c r="S163" s="1402"/>
      <c r="T163" s="1403"/>
      <c r="U163" s="1765">
        <f t="shared" si="74"/>
        <v>0</v>
      </c>
      <c r="V163" s="1403"/>
      <c r="W163" s="1402"/>
      <c r="X163" s="1404"/>
    </row>
    <row r="164" spans="1:24" ht="11.25" customHeight="1">
      <c r="A164" s="1001">
        <f>'Org structure'!E160</f>
        <v>0</v>
      </c>
      <c r="B164" s="167"/>
      <c r="C164" s="1402"/>
      <c r="D164" s="1402"/>
      <c r="E164" s="1403"/>
      <c r="F164" s="1958"/>
      <c r="G164" s="1402"/>
      <c r="H164" s="1957"/>
      <c r="I164" s="1403"/>
      <c r="J164" s="1772">
        <f t="shared" si="89"/>
        <v>0</v>
      </c>
      <c r="K164" s="803">
        <f t="shared" si="90"/>
        <v>0</v>
      </c>
      <c r="L164" s="1773">
        <f t="shared" si="91"/>
        <v>0</v>
      </c>
      <c r="M164" s="193"/>
      <c r="N164" s="1958"/>
      <c r="O164" s="1402"/>
      <c r="P164" s="1957"/>
      <c r="Q164" s="834">
        <f t="shared" si="92"/>
        <v>0</v>
      </c>
      <c r="R164" s="1958"/>
      <c r="S164" s="1402"/>
      <c r="T164" s="1403"/>
      <c r="U164" s="1765">
        <f t="shared" si="74"/>
        <v>0</v>
      </c>
      <c r="V164" s="1403"/>
      <c r="W164" s="1402"/>
      <c r="X164" s="1404"/>
    </row>
    <row r="165" spans="1:24" ht="11.25" customHeight="1">
      <c r="A165" s="1001">
        <f>'Org structure'!E161</f>
        <v>0</v>
      </c>
      <c r="B165" s="167"/>
      <c r="C165" s="1402"/>
      <c r="D165" s="1402"/>
      <c r="E165" s="1403"/>
      <c r="F165" s="1958"/>
      <c r="G165" s="1402"/>
      <c r="H165" s="1957"/>
      <c r="I165" s="1403"/>
      <c r="J165" s="1772">
        <f t="shared" si="89"/>
        <v>0</v>
      </c>
      <c r="K165" s="803">
        <f t="shared" si="90"/>
        <v>0</v>
      </c>
      <c r="L165" s="1773">
        <f t="shared" si="91"/>
        <v>0</v>
      </c>
      <c r="M165" s="193"/>
      <c r="N165" s="1958"/>
      <c r="O165" s="1402"/>
      <c r="P165" s="1957"/>
      <c r="Q165" s="834">
        <f t="shared" si="92"/>
        <v>0</v>
      </c>
      <c r="R165" s="1958"/>
      <c r="S165" s="1402"/>
      <c r="T165" s="1403"/>
      <c r="U165" s="1765">
        <f t="shared" si="74"/>
        <v>0</v>
      </c>
      <c r="V165" s="1403"/>
      <c r="W165" s="1402"/>
      <c r="X165" s="1404"/>
    </row>
    <row r="166" spans="1:24" ht="11.25" customHeight="1">
      <c r="A166" s="1001">
        <f>'Org structure'!E162</f>
        <v>0</v>
      </c>
      <c r="B166" s="167"/>
      <c r="C166" s="1402"/>
      <c r="D166" s="1402"/>
      <c r="E166" s="1403"/>
      <c r="F166" s="1958"/>
      <c r="G166" s="1402"/>
      <c r="H166" s="1957"/>
      <c r="I166" s="1403"/>
      <c r="J166" s="1772">
        <f t="shared" si="89"/>
        <v>0</v>
      </c>
      <c r="K166" s="803">
        <f t="shared" si="90"/>
        <v>0</v>
      </c>
      <c r="L166" s="1773">
        <f t="shared" si="91"/>
        <v>0</v>
      </c>
      <c r="M166" s="193"/>
      <c r="N166" s="1958"/>
      <c r="O166" s="1402"/>
      <c r="P166" s="1957"/>
      <c r="Q166" s="834">
        <f t="shared" si="92"/>
        <v>0</v>
      </c>
      <c r="R166" s="1958"/>
      <c r="S166" s="1402"/>
      <c r="T166" s="1403"/>
      <c r="U166" s="1765">
        <f t="shared" si="74"/>
        <v>0</v>
      </c>
      <c r="V166" s="1403"/>
      <c r="W166" s="1402"/>
      <c r="X166" s="1404"/>
    </row>
    <row r="167" spans="1:24" ht="11.25" customHeight="1">
      <c r="A167" s="1001">
        <f>'Org structure'!E163</f>
        <v>0</v>
      </c>
      <c r="B167" s="167"/>
      <c r="C167" s="1402"/>
      <c r="D167" s="1402"/>
      <c r="E167" s="1403"/>
      <c r="F167" s="1958"/>
      <c r="G167" s="1402"/>
      <c r="H167" s="1957"/>
      <c r="I167" s="1403"/>
      <c r="J167" s="1772">
        <f t="shared" si="89"/>
        <v>0</v>
      </c>
      <c r="K167" s="803">
        <f t="shared" si="90"/>
        <v>0</v>
      </c>
      <c r="L167" s="1773">
        <f t="shared" si="91"/>
        <v>0</v>
      </c>
      <c r="M167" s="193"/>
      <c r="N167" s="1958"/>
      <c r="O167" s="1402"/>
      <c r="P167" s="1957"/>
      <c r="Q167" s="834">
        <f t="shared" si="92"/>
        <v>0</v>
      </c>
      <c r="R167" s="1958"/>
      <c r="S167" s="1402"/>
      <c r="T167" s="1403"/>
      <c r="U167" s="1765">
        <f t="shared" si="74"/>
        <v>0</v>
      </c>
      <c r="V167" s="1403"/>
      <c r="W167" s="1402"/>
      <c r="X167" s="1404"/>
    </row>
    <row r="168" spans="1:24" ht="11.25" customHeight="1">
      <c r="A168" s="1001">
        <f>'Org structure'!E164</f>
        <v>0</v>
      </c>
      <c r="B168" s="167"/>
      <c r="C168" s="1402"/>
      <c r="D168" s="1402"/>
      <c r="E168" s="1403"/>
      <c r="F168" s="1958"/>
      <c r="G168" s="1402"/>
      <c r="H168" s="1957"/>
      <c r="I168" s="1403"/>
      <c r="J168" s="1772">
        <f t="shared" si="89"/>
        <v>0</v>
      </c>
      <c r="K168" s="803">
        <f t="shared" si="90"/>
        <v>0</v>
      </c>
      <c r="L168" s="1773">
        <f t="shared" si="91"/>
        <v>0</v>
      </c>
      <c r="M168" s="193"/>
      <c r="N168" s="1958"/>
      <c r="O168" s="1402"/>
      <c r="P168" s="1957"/>
      <c r="Q168" s="834">
        <f t="shared" si="92"/>
        <v>0</v>
      </c>
      <c r="R168" s="1958"/>
      <c r="S168" s="1402"/>
      <c r="T168" s="1403"/>
      <c r="U168" s="1765">
        <f t="shared" si="74"/>
        <v>0</v>
      </c>
      <c r="V168" s="1403"/>
      <c r="W168" s="1402"/>
      <c r="X168" s="1404"/>
    </row>
    <row r="169" spans="1:24" ht="11.25" customHeight="1">
      <c r="A169" s="1001">
        <f>'Org structure'!E165</f>
        <v>0</v>
      </c>
      <c r="B169" s="167"/>
      <c r="C169" s="1402"/>
      <c r="D169" s="1402"/>
      <c r="E169" s="1403"/>
      <c r="F169" s="1958"/>
      <c r="G169" s="1402"/>
      <c r="H169" s="1957"/>
      <c r="I169" s="1403"/>
      <c r="J169" s="1772">
        <f t="shared" si="89"/>
        <v>0</v>
      </c>
      <c r="K169" s="803">
        <f t="shared" si="90"/>
        <v>0</v>
      </c>
      <c r="L169" s="1773">
        <f t="shared" si="91"/>
        <v>0</v>
      </c>
      <c r="M169" s="193"/>
      <c r="N169" s="1958"/>
      <c r="O169" s="1402"/>
      <c r="P169" s="1957"/>
      <c r="Q169" s="834">
        <f t="shared" si="92"/>
        <v>0</v>
      </c>
      <c r="R169" s="1958"/>
      <c r="S169" s="1402"/>
      <c r="T169" s="1403"/>
      <c r="U169" s="1765">
        <f t="shared" si="74"/>
        <v>0</v>
      </c>
      <c r="V169" s="1403"/>
      <c r="W169" s="1402"/>
      <c r="X169" s="1404"/>
    </row>
    <row r="170" spans="1:24" ht="11.25" customHeight="1">
      <c r="A170" s="1001">
        <f>'Org structure'!E166</f>
        <v>0</v>
      </c>
      <c r="B170" s="167"/>
      <c r="C170" s="1402"/>
      <c r="D170" s="1402"/>
      <c r="E170" s="1403"/>
      <c r="F170" s="1958"/>
      <c r="G170" s="1402"/>
      <c r="H170" s="1957"/>
      <c r="I170" s="1403"/>
      <c r="J170" s="1772">
        <f t="shared" si="89"/>
        <v>0</v>
      </c>
      <c r="K170" s="803">
        <f t="shared" si="90"/>
        <v>0</v>
      </c>
      <c r="L170" s="1773">
        <f t="shared" si="91"/>
        <v>0</v>
      </c>
      <c r="M170" s="193"/>
      <c r="N170" s="1958"/>
      <c r="O170" s="1402"/>
      <c r="P170" s="1957"/>
      <c r="Q170" s="834">
        <f t="shared" si="92"/>
        <v>0</v>
      </c>
      <c r="R170" s="1958"/>
      <c r="S170" s="1402"/>
      <c r="T170" s="1403"/>
      <c r="U170" s="1765">
        <f t="shared" si="74"/>
        <v>0</v>
      </c>
      <c r="V170" s="1403"/>
      <c r="W170" s="1402"/>
      <c r="X170" s="1404"/>
    </row>
    <row r="171" spans="1:24">
      <c r="A171" s="74" t="s">
        <v>168</v>
      </c>
      <c r="B171" s="167"/>
      <c r="C171" s="75">
        <f>C6+C17+C28+C39+C50+C61+C72+C83+C94+C105+C116+C127+C138+C149+C160</f>
        <v>0</v>
      </c>
      <c r="D171" s="75">
        <f t="shared" ref="D171:L171" si="93">D6+D17+D28+D39+D50+D61+D72+D83+D94+D105+D116+D127+D138+D149+D160</f>
        <v>0</v>
      </c>
      <c r="E171" s="1366">
        <f t="shared" si="93"/>
        <v>0</v>
      </c>
      <c r="F171" s="1365">
        <f t="shared" si="93"/>
        <v>0</v>
      </c>
      <c r="G171" s="75">
        <f t="shared" si="93"/>
        <v>0</v>
      </c>
      <c r="H171" s="1366">
        <f t="shared" si="93"/>
        <v>0</v>
      </c>
      <c r="I171" s="1768">
        <f t="shared" si="93"/>
        <v>0</v>
      </c>
      <c r="J171" s="1774">
        <f t="shared" si="93"/>
        <v>0</v>
      </c>
      <c r="K171" s="1172">
        <f t="shared" si="93"/>
        <v>0</v>
      </c>
      <c r="L171" s="1775">
        <f t="shared" si="93"/>
        <v>0</v>
      </c>
      <c r="M171" s="240"/>
      <c r="N171" s="1766">
        <f t="shared" ref="N171:U171" si="94">N6+N17+N28+N39+N50+N61+N72+N83+N94+N105+N116+N127+N138+N149+N160</f>
        <v>0</v>
      </c>
      <c r="O171" s="75">
        <f t="shared" si="94"/>
        <v>0</v>
      </c>
      <c r="P171" s="1366">
        <f t="shared" si="94"/>
        <v>0</v>
      </c>
      <c r="Q171" s="1778">
        <f t="shared" si="94"/>
        <v>0</v>
      </c>
      <c r="R171" s="1766">
        <f t="shared" si="94"/>
        <v>0</v>
      </c>
      <c r="S171" s="75">
        <f t="shared" si="94"/>
        <v>0</v>
      </c>
      <c r="T171" s="1767"/>
      <c r="U171" s="1367">
        <f t="shared" si="94"/>
        <v>0</v>
      </c>
      <c r="V171" s="1365">
        <f>V6+V17+V28+V39+V50+V61+V72+V83+V94+V105+V116+V127+V138+V149+V160</f>
        <v>0</v>
      </c>
      <c r="W171" s="75">
        <f>W6+W17+W28+W39+W50+W61+W72+W83+W94+W105+W116+W127+W138+W149+W160</f>
        <v>0</v>
      </c>
      <c r="X171" s="1366"/>
    </row>
    <row r="172" spans="1:24" ht="4.9000000000000004" customHeight="1">
      <c r="A172" s="209"/>
      <c r="B172" s="220"/>
      <c r="C172" s="301"/>
      <c r="D172" s="865"/>
      <c r="E172" s="304"/>
      <c r="F172" s="303"/>
      <c r="G172" s="301"/>
      <c r="H172" s="302"/>
      <c r="I172" s="304"/>
      <c r="J172" s="303"/>
      <c r="K172" s="301"/>
      <c r="L172" s="302"/>
      <c r="M172" s="240"/>
      <c r="N172" s="303"/>
      <c r="O172" s="301"/>
      <c r="P172" s="302"/>
      <c r="Q172" s="304"/>
      <c r="R172" s="303"/>
      <c r="S172" s="301"/>
      <c r="T172" s="304"/>
      <c r="U172" s="1492"/>
      <c r="V172" s="304"/>
      <c r="W172" s="301"/>
      <c r="X172" s="302"/>
    </row>
    <row r="173" spans="1:24" ht="11.25" customHeight="1">
      <c r="A173" s="58" t="s">
        <v>1570</v>
      </c>
      <c r="B173" s="165"/>
      <c r="C173" s="184"/>
      <c r="D173" s="184"/>
      <c r="E173" s="185"/>
      <c r="F173" s="186"/>
      <c r="G173" s="184"/>
      <c r="H173" s="187"/>
      <c r="I173" s="185"/>
      <c r="J173" s="186"/>
      <c r="K173" s="184"/>
      <c r="L173" s="187"/>
      <c r="M173" s="240"/>
    </row>
    <row r="174" spans="1:24" ht="11.25" customHeight="1">
      <c r="A174" s="58" t="s">
        <v>901</v>
      </c>
      <c r="B174" s="167">
        <v>2</v>
      </c>
      <c r="C174" s="188"/>
      <c r="D174" s="188"/>
      <c r="E174" s="189"/>
      <c r="F174" s="190"/>
      <c r="G174" s="188"/>
      <c r="H174" s="191"/>
      <c r="I174" s="189"/>
      <c r="J174" s="190"/>
      <c r="K174" s="188"/>
      <c r="L174" s="191"/>
      <c r="M174" s="1358"/>
    </row>
    <row r="175" spans="1:24" ht="15" customHeight="1">
      <c r="A175" s="1000" t="str">
        <f>A6</f>
        <v>Vote 1 - Municipal Manager</v>
      </c>
      <c r="B175" s="837"/>
      <c r="C175" s="832">
        <f t="shared" ref="C175:L175" si="95">SUM(C176:C185)</f>
        <v>24246.6</v>
      </c>
      <c r="D175" s="832">
        <f t="shared" si="95"/>
        <v>0</v>
      </c>
      <c r="E175" s="833">
        <f t="shared" si="95"/>
        <v>6059</v>
      </c>
      <c r="F175" s="834">
        <f t="shared" si="95"/>
        <v>1900000</v>
      </c>
      <c r="G175" s="832">
        <f t="shared" si="95"/>
        <v>0</v>
      </c>
      <c r="H175" s="833">
        <f t="shared" si="95"/>
        <v>0</v>
      </c>
      <c r="I175" s="804">
        <f t="shared" si="95"/>
        <v>0</v>
      </c>
      <c r="J175" s="834">
        <f t="shared" si="95"/>
        <v>0</v>
      </c>
      <c r="K175" s="832">
        <f t="shared" si="95"/>
        <v>0</v>
      </c>
      <c r="L175" s="833">
        <f t="shared" si="95"/>
        <v>0</v>
      </c>
      <c r="M175" s="1358"/>
    </row>
    <row r="176" spans="1:24" ht="11.25" customHeight="1">
      <c r="A176" s="1000" t="str">
        <f t="shared" ref="A176:A239" si="96">A7</f>
        <v>1.1 - Administration Municipal Manager</v>
      </c>
      <c r="B176" s="167"/>
      <c r="C176" s="1402">
        <v>24246.6</v>
      </c>
      <c r="D176" s="1402"/>
      <c r="E176" s="1960">
        <v>6059</v>
      </c>
      <c r="F176" s="1958"/>
      <c r="G176" s="1402"/>
      <c r="H176" s="1957"/>
      <c r="I176" s="1403"/>
      <c r="J176" s="1958"/>
      <c r="K176" s="1402"/>
      <c r="L176" s="1957"/>
      <c r="M176" s="1358"/>
    </row>
    <row r="177" spans="1:13" ht="11.25" customHeight="1">
      <c r="A177" s="1000" t="str">
        <f t="shared" si="96"/>
        <v>1.2 - Internal Audit</v>
      </c>
      <c r="B177" s="167"/>
      <c r="C177" s="1402"/>
      <c r="D177" s="1402"/>
      <c r="E177" s="1957"/>
      <c r="F177" s="1958"/>
      <c r="G177" s="1402"/>
      <c r="H177" s="1957"/>
      <c r="I177" s="1403"/>
      <c r="J177" s="1958"/>
      <c r="K177" s="1402"/>
      <c r="L177" s="1957"/>
      <c r="M177" s="1358"/>
    </row>
    <row r="178" spans="1:13" ht="11.25" customHeight="1">
      <c r="A178" s="1000" t="str">
        <f t="shared" si="96"/>
        <v>1.3 - Strategic Support</v>
      </c>
      <c r="B178" s="167"/>
      <c r="C178" s="1402"/>
      <c r="D178" s="1402"/>
      <c r="E178" s="1957"/>
      <c r="F178" s="1958"/>
      <c r="G178" s="1402"/>
      <c r="H178" s="1957"/>
      <c r="I178" s="1403"/>
      <c r="J178" s="1958"/>
      <c r="K178" s="1402"/>
      <c r="L178" s="1957"/>
      <c r="M178" s="1358"/>
    </row>
    <row r="179" spans="1:13" ht="11.25" customHeight="1">
      <c r="A179" s="1000" t="str">
        <f t="shared" si="96"/>
        <v>1.4 - Risk Management</v>
      </c>
      <c r="B179" s="167"/>
      <c r="C179" s="1402"/>
      <c r="D179" s="1402"/>
      <c r="E179" s="1957"/>
      <c r="F179" s="1958"/>
      <c r="G179" s="1402"/>
      <c r="H179" s="1957"/>
      <c r="I179" s="1403"/>
      <c r="J179" s="1958"/>
      <c r="K179" s="1402"/>
      <c r="L179" s="1957"/>
      <c r="M179" s="1358"/>
    </row>
    <row r="180" spans="1:13" ht="11.25" customHeight="1">
      <c r="A180" s="1000" t="str">
        <f t="shared" si="96"/>
        <v>1.5 - Council Expenditure</v>
      </c>
      <c r="B180" s="167"/>
      <c r="C180" s="1402"/>
      <c r="D180" s="1402"/>
      <c r="E180" s="1957"/>
      <c r="F180" s="1958">
        <v>1900000</v>
      </c>
      <c r="G180" s="1402"/>
      <c r="H180" s="1957"/>
      <c r="I180" s="1403"/>
      <c r="J180" s="1958"/>
      <c r="K180" s="1402"/>
      <c r="L180" s="1957"/>
      <c r="M180" s="1358"/>
    </row>
    <row r="181" spans="1:13" ht="11.25" customHeight="1">
      <c r="A181" s="1000" t="str">
        <f t="shared" si="96"/>
        <v>1.6 - Legal Services</v>
      </c>
      <c r="B181" s="167"/>
      <c r="C181" s="1402"/>
      <c r="D181" s="1402"/>
      <c r="E181" s="1957"/>
      <c r="F181" s="1958"/>
      <c r="G181" s="1402"/>
      <c r="H181" s="1957"/>
      <c r="I181" s="1403"/>
      <c r="J181" s="1958"/>
      <c r="K181" s="1402"/>
      <c r="L181" s="1957"/>
      <c r="M181" s="1358"/>
    </row>
    <row r="182" spans="1:13" ht="11.25" customHeight="1">
      <c r="A182" s="1000" t="str">
        <f t="shared" si="96"/>
        <v>1.7 - Disaster Management</v>
      </c>
      <c r="B182" s="167"/>
      <c r="C182" s="1402"/>
      <c r="D182" s="1402"/>
      <c r="E182" s="1957"/>
      <c r="F182" s="1958"/>
      <c r="G182" s="1402"/>
      <c r="H182" s="1957"/>
      <c r="I182" s="1403"/>
      <c r="J182" s="1958"/>
      <c r="K182" s="1402"/>
      <c r="L182" s="1957"/>
      <c r="M182" s="1358"/>
    </row>
    <row r="183" spans="1:13" ht="11.25" customHeight="1">
      <c r="A183" s="1000">
        <f t="shared" si="96"/>
        <v>0</v>
      </c>
      <c r="B183" s="167"/>
      <c r="C183" s="1402"/>
      <c r="D183" s="1402"/>
      <c r="E183" s="1957"/>
      <c r="F183" s="1958"/>
      <c r="G183" s="1402"/>
      <c r="H183" s="1957"/>
      <c r="I183" s="1403"/>
      <c r="J183" s="1958"/>
      <c r="K183" s="1402"/>
      <c r="L183" s="1957"/>
      <c r="M183" s="1358"/>
    </row>
    <row r="184" spans="1:13" ht="11.25" customHeight="1">
      <c r="A184" s="1000">
        <f t="shared" si="96"/>
        <v>0</v>
      </c>
      <c r="B184" s="167"/>
      <c r="C184" s="1402"/>
      <c r="D184" s="1402"/>
      <c r="E184" s="1957"/>
      <c r="F184" s="1958"/>
      <c r="G184" s="1402"/>
      <c r="H184" s="1957"/>
      <c r="I184" s="1403"/>
      <c r="J184" s="1958"/>
      <c r="K184" s="1402"/>
      <c r="L184" s="1957"/>
      <c r="M184" s="1358"/>
    </row>
    <row r="185" spans="1:13" ht="11.25" customHeight="1">
      <c r="A185" s="1000">
        <f t="shared" si="96"/>
        <v>0</v>
      </c>
      <c r="B185" s="167"/>
      <c r="C185" s="1402"/>
      <c r="D185" s="1402"/>
      <c r="E185" s="1957"/>
      <c r="F185" s="1958"/>
      <c r="G185" s="1402"/>
      <c r="H185" s="1957"/>
      <c r="I185" s="1403"/>
      <c r="J185" s="1958"/>
      <c r="K185" s="1402"/>
      <c r="L185" s="1957"/>
      <c r="M185" s="1358"/>
    </row>
    <row r="186" spans="1:13" ht="15" customHeight="1">
      <c r="A186" s="1000" t="str">
        <f t="shared" si="96"/>
        <v>Vote 2 - Planning &amp; Economic Development</v>
      </c>
      <c r="B186" s="837"/>
      <c r="C186" s="832">
        <f t="shared" ref="C186:L186" si="97">SUM(C187:C196)</f>
        <v>12531767.832982456</v>
      </c>
      <c r="D186" s="832">
        <f t="shared" si="97"/>
        <v>113641</v>
      </c>
      <c r="E186" s="833">
        <f t="shared" si="97"/>
        <v>48501</v>
      </c>
      <c r="F186" s="834">
        <f t="shared" si="97"/>
        <v>1235000</v>
      </c>
      <c r="G186" s="832">
        <f t="shared" si="97"/>
        <v>235000</v>
      </c>
      <c r="H186" s="833">
        <f t="shared" si="97"/>
        <v>235000</v>
      </c>
      <c r="I186" s="835">
        <f t="shared" si="97"/>
        <v>235000</v>
      </c>
      <c r="J186" s="834">
        <f t="shared" si="97"/>
        <v>1235000</v>
      </c>
      <c r="K186" s="832">
        <f t="shared" si="97"/>
        <v>235000</v>
      </c>
      <c r="L186" s="833">
        <f t="shared" si="97"/>
        <v>235000</v>
      </c>
      <c r="M186" s="1358"/>
    </row>
    <row r="187" spans="1:13" ht="11.25" customHeight="1">
      <c r="A187" s="1000" t="str">
        <f t="shared" si="96"/>
        <v>2.1 - Administration Strategy &amp; Development</v>
      </c>
      <c r="B187" s="167"/>
      <c r="C187" s="1402">
        <v>5390014.8329824563</v>
      </c>
      <c r="D187" s="1402">
        <v>113641</v>
      </c>
      <c r="E187" s="1957">
        <f>13891+34610</f>
        <v>48501</v>
      </c>
      <c r="F187" s="1958">
        <f>1235000-235000+235000</f>
        <v>1235000</v>
      </c>
      <c r="G187" s="1402">
        <v>235000</v>
      </c>
      <c r="H187" s="1957">
        <v>235000</v>
      </c>
      <c r="I187" s="1403">
        <v>235000</v>
      </c>
      <c r="J187" s="1958">
        <f>1000000+235000</f>
        <v>1235000</v>
      </c>
      <c r="K187" s="1402">
        <v>235000</v>
      </c>
      <c r="L187" s="1957">
        <v>235000</v>
      </c>
      <c r="M187" s="1358"/>
    </row>
    <row r="188" spans="1:13" ht="11.25" customHeight="1">
      <c r="A188" s="1000" t="str">
        <f t="shared" si="96"/>
        <v>2.2 - Local Economic Development</v>
      </c>
      <c r="B188" s="167"/>
      <c r="C188" s="1402"/>
      <c r="D188" s="1402"/>
      <c r="E188" s="1957"/>
      <c r="F188" s="1958"/>
      <c r="G188" s="1402"/>
      <c r="H188" s="1957"/>
      <c r="I188" s="1403"/>
      <c r="J188" s="1958"/>
      <c r="K188" s="1402"/>
      <c r="L188" s="1957"/>
      <c r="M188" s="1358"/>
    </row>
    <row r="189" spans="1:13" ht="11.25" customHeight="1">
      <c r="A189" s="1000" t="str">
        <f t="shared" si="96"/>
        <v>2.3 - Town &amp; Regional Planning</v>
      </c>
      <c r="B189" s="167"/>
      <c r="C189" s="1402"/>
      <c r="D189" s="1402"/>
      <c r="E189" s="1957"/>
      <c r="F189" s="1958"/>
      <c r="G189" s="1402"/>
      <c r="H189" s="1957"/>
      <c r="I189" s="1403"/>
      <c r="J189" s="1958"/>
      <c r="K189" s="1402"/>
      <c r="L189" s="1957"/>
      <c r="M189" s="1358"/>
    </row>
    <row r="190" spans="1:13" ht="11.25" customHeight="1">
      <c r="A190" s="1000" t="str">
        <f t="shared" si="96"/>
        <v>2.4 - Housing Administration</v>
      </c>
      <c r="B190" s="167"/>
      <c r="C190" s="1402">
        <v>7141753</v>
      </c>
      <c r="D190" s="1402"/>
      <c r="E190" s="1957"/>
      <c r="F190" s="1958"/>
      <c r="G190" s="1402"/>
      <c r="H190" s="1957"/>
      <c r="I190" s="1403"/>
      <c r="J190" s="1958"/>
      <c r="K190" s="1402"/>
      <c r="L190" s="1957"/>
      <c r="M190" s="1358"/>
    </row>
    <row r="191" spans="1:13" ht="11.25" customHeight="1">
      <c r="A191" s="1000" t="str">
        <f t="shared" si="96"/>
        <v>2.5 - SATELITE OFFICE: NKOWANKOWA</v>
      </c>
      <c r="B191" s="167"/>
      <c r="C191" s="1402"/>
      <c r="D191" s="1402"/>
      <c r="E191" s="1957"/>
      <c r="F191" s="1958"/>
      <c r="G191" s="1402"/>
      <c r="H191" s="1957"/>
      <c r="I191" s="1403"/>
      <c r="J191" s="1958"/>
      <c r="K191" s="1402"/>
      <c r="L191" s="1957"/>
      <c r="M191" s="1358"/>
    </row>
    <row r="192" spans="1:13" ht="11.25" customHeight="1">
      <c r="A192" s="1000" t="str">
        <f t="shared" si="96"/>
        <v>2.6 - SATELITE OFFICE: LENYENYE</v>
      </c>
      <c r="B192" s="167"/>
      <c r="C192" s="1402"/>
      <c r="D192" s="1402"/>
      <c r="E192" s="1957"/>
      <c r="F192" s="1958"/>
      <c r="G192" s="1402"/>
      <c r="H192" s="1957"/>
      <c r="I192" s="1403"/>
      <c r="J192" s="1958"/>
      <c r="K192" s="1402"/>
      <c r="L192" s="1957"/>
      <c r="M192" s="1358"/>
    </row>
    <row r="193" spans="1:13" ht="11.25" customHeight="1">
      <c r="A193" s="1000" t="str">
        <f t="shared" si="96"/>
        <v>2.7 - SATELITE OFFICE: LETSITELE</v>
      </c>
      <c r="B193" s="167"/>
      <c r="C193" s="1402"/>
      <c r="D193" s="1402"/>
      <c r="E193" s="1957"/>
      <c r="F193" s="1958"/>
      <c r="G193" s="1402"/>
      <c r="H193" s="1957"/>
      <c r="I193" s="1403"/>
      <c r="J193" s="1958"/>
      <c r="K193" s="1402"/>
      <c r="L193" s="1957"/>
      <c r="M193" s="1358"/>
    </row>
    <row r="194" spans="1:13" ht="13.5">
      <c r="A194" s="1000">
        <f t="shared" si="96"/>
        <v>0</v>
      </c>
      <c r="B194" s="167"/>
      <c r="C194" s="1402"/>
      <c r="D194" s="1402"/>
      <c r="E194" s="1957"/>
      <c r="F194" s="1958"/>
      <c r="G194" s="1402"/>
      <c r="H194" s="1957"/>
      <c r="I194" s="1403"/>
      <c r="J194" s="1958"/>
      <c r="K194" s="1402"/>
      <c r="L194" s="1957"/>
      <c r="M194" s="1358"/>
    </row>
    <row r="195" spans="1:13" ht="11.25" customHeight="1">
      <c r="A195" s="1000">
        <f t="shared" si="96"/>
        <v>0</v>
      </c>
      <c r="B195" s="167"/>
      <c r="C195" s="1402"/>
      <c r="D195" s="1402"/>
      <c r="E195" s="1957"/>
      <c r="F195" s="1958"/>
      <c r="G195" s="1402"/>
      <c r="H195" s="1957"/>
      <c r="I195" s="1403"/>
      <c r="J195" s="1958"/>
      <c r="K195" s="1402"/>
      <c r="L195" s="1957"/>
      <c r="M195" s="1358"/>
    </row>
    <row r="196" spans="1:13" ht="11.25" customHeight="1">
      <c r="A196" s="1000">
        <f t="shared" si="96"/>
        <v>0</v>
      </c>
      <c r="B196" s="167"/>
      <c r="C196" s="1402"/>
      <c r="D196" s="1402"/>
      <c r="E196" s="1957"/>
      <c r="F196" s="1958"/>
      <c r="G196" s="1402"/>
      <c r="H196" s="1957"/>
      <c r="I196" s="1403"/>
      <c r="J196" s="1958"/>
      <c r="K196" s="1402"/>
      <c r="L196" s="1957"/>
      <c r="M196" s="1358"/>
    </row>
    <row r="197" spans="1:13" ht="15" customHeight="1">
      <c r="A197" s="1000" t="str">
        <f t="shared" si="96"/>
        <v>Vote 3 - Financial Services</v>
      </c>
      <c r="B197" s="837"/>
      <c r="C197" s="832">
        <f t="shared" ref="C197:L197" si="98">SUM(C198:C207)</f>
        <v>28118.400000000001</v>
      </c>
      <c r="D197" s="832">
        <f t="shared" si="98"/>
        <v>0</v>
      </c>
      <c r="E197" s="833">
        <f t="shared" si="98"/>
        <v>3619175.39</v>
      </c>
      <c r="F197" s="834">
        <f t="shared" si="98"/>
        <v>0</v>
      </c>
      <c r="G197" s="832">
        <f t="shared" si="98"/>
        <v>200000</v>
      </c>
      <c r="H197" s="833">
        <f t="shared" si="98"/>
        <v>200000</v>
      </c>
      <c r="I197" s="835">
        <f t="shared" si="98"/>
        <v>200000</v>
      </c>
      <c r="J197" s="834">
        <f t="shared" si="98"/>
        <v>500000</v>
      </c>
      <c r="K197" s="832">
        <f t="shared" si="98"/>
        <v>700000</v>
      </c>
      <c r="L197" s="833">
        <f t="shared" si="98"/>
        <v>700000</v>
      </c>
      <c r="M197" s="1358"/>
    </row>
    <row r="198" spans="1:13" ht="11.25" customHeight="1">
      <c r="A198" s="1000" t="str">
        <f t="shared" si="96"/>
        <v>3.1 - Administration Finance</v>
      </c>
      <c r="B198" s="167"/>
      <c r="C198" s="1402">
        <v>28118.400000000001</v>
      </c>
      <c r="D198" s="1402"/>
      <c r="E198" s="1957">
        <v>1662260.3900000001</v>
      </c>
      <c r="F198" s="1958"/>
      <c r="G198" s="1402">
        <v>200000</v>
      </c>
      <c r="H198" s="1957">
        <v>200000</v>
      </c>
      <c r="I198" s="1403">
        <v>200000</v>
      </c>
      <c r="J198" s="1958">
        <f>700000-200000</f>
        <v>500000</v>
      </c>
      <c r="K198" s="1402">
        <v>700000</v>
      </c>
      <c r="L198" s="1957">
        <v>700000</v>
      </c>
      <c r="M198" s="1358"/>
    </row>
    <row r="199" spans="1:13" ht="11.25" customHeight="1">
      <c r="A199" s="1000" t="str">
        <f t="shared" si="96"/>
        <v>3.2 - Budget office</v>
      </c>
      <c r="B199" s="167"/>
      <c r="C199" s="1402"/>
      <c r="D199" s="1402"/>
      <c r="E199" s="1957"/>
      <c r="F199" s="1958"/>
      <c r="G199" s="1402"/>
      <c r="H199" s="1957"/>
      <c r="I199" s="1403"/>
      <c r="J199" s="1958"/>
      <c r="K199" s="1402"/>
      <c r="L199" s="1957"/>
      <c r="M199" s="1358"/>
    </row>
    <row r="200" spans="1:13" ht="11.25" customHeight="1">
      <c r="A200" s="1000" t="str">
        <f t="shared" si="96"/>
        <v>3.3 - Revenue</v>
      </c>
      <c r="B200" s="167"/>
      <c r="C200" s="1402"/>
      <c r="D200" s="1402"/>
      <c r="E200" s="1957"/>
      <c r="F200" s="1958"/>
      <c r="G200" s="1402"/>
      <c r="H200" s="1957"/>
      <c r="I200" s="1403"/>
      <c r="J200" s="1958"/>
      <c r="K200" s="1402"/>
      <c r="L200" s="1957"/>
      <c r="M200" s="1358"/>
    </row>
    <row r="201" spans="1:13" ht="11.25" customHeight="1">
      <c r="A201" s="1000" t="str">
        <f t="shared" si="96"/>
        <v>3.4 - Expenditure</v>
      </c>
      <c r="B201" s="167"/>
      <c r="C201" s="885"/>
      <c r="D201" s="885"/>
      <c r="E201" s="886"/>
      <c r="F201" s="887"/>
      <c r="G201" s="885"/>
      <c r="H201" s="886"/>
      <c r="I201" s="888"/>
      <c r="J201" s="887"/>
      <c r="K201" s="885"/>
      <c r="L201" s="886"/>
      <c r="M201" s="1358"/>
    </row>
    <row r="202" spans="1:13" ht="11.25" customHeight="1">
      <c r="A202" s="1000" t="str">
        <f t="shared" si="96"/>
        <v>3.5 - Inventory</v>
      </c>
      <c r="B202" s="167"/>
      <c r="C202" s="885"/>
      <c r="D202" s="885"/>
      <c r="E202" s="886">
        <v>1956915</v>
      </c>
      <c r="F202" s="887"/>
      <c r="G202" s="885"/>
      <c r="H202" s="886"/>
      <c r="I202" s="888"/>
      <c r="J202" s="887"/>
      <c r="K202" s="885"/>
      <c r="L202" s="886"/>
      <c r="M202" s="1358"/>
    </row>
    <row r="203" spans="1:13" ht="11.25" customHeight="1">
      <c r="A203" s="1000" t="str">
        <f t="shared" si="96"/>
        <v>3.6 - Supply Chain Management</v>
      </c>
      <c r="B203" s="167"/>
      <c r="C203" s="885"/>
      <c r="D203" s="885"/>
      <c r="E203" s="886"/>
      <c r="F203" s="887"/>
      <c r="G203" s="885"/>
      <c r="H203" s="886"/>
      <c r="I203" s="888"/>
      <c r="J203" s="887"/>
      <c r="K203" s="885"/>
      <c r="L203" s="886"/>
      <c r="M203" s="1358"/>
    </row>
    <row r="204" spans="1:13" ht="13.5">
      <c r="A204" s="1000">
        <f t="shared" si="96"/>
        <v>0</v>
      </c>
      <c r="B204" s="167"/>
      <c r="C204" s="885"/>
      <c r="D204" s="885"/>
      <c r="E204" s="886"/>
      <c r="F204" s="887"/>
      <c r="G204" s="885"/>
      <c r="H204" s="886"/>
      <c r="I204" s="888"/>
      <c r="J204" s="887"/>
      <c r="K204" s="885"/>
      <c r="L204" s="886"/>
      <c r="M204" s="1358"/>
    </row>
    <row r="205" spans="1:13" ht="13.5">
      <c r="A205" s="1000">
        <f t="shared" si="96"/>
        <v>0</v>
      </c>
      <c r="B205" s="167"/>
      <c r="C205" s="885"/>
      <c r="D205" s="885"/>
      <c r="E205" s="886"/>
      <c r="F205" s="887"/>
      <c r="G205" s="885"/>
      <c r="H205" s="886"/>
      <c r="I205" s="888"/>
      <c r="J205" s="887"/>
      <c r="K205" s="885"/>
      <c r="L205" s="886"/>
      <c r="M205" s="1358"/>
    </row>
    <row r="206" spans="1:13" ht="11.25" customHeight="1">
      <c r="A206" s="1000">
        <f t="shared" si="96"/>
        <v>0</v>
      </c>
      <c r="B206" s="167"/>
      <c r="C206" s="885"/>
      <c r="D206" s="885"/>
      <c r="E206" s="886"/>
      <c r="F206" s="887"/>
      <c r="G206" s="885"/>
      <c r="H206" s="886"/>
      <c r="I206" s="888"/>
      <c r="J206" s="887"/>
      <c r="K206" s="885"/>
      <c r="L206" s="886"/>
      <c r="M206" s="1358"/>
    </row>
    <row r="207" spans="1:13" ht="13.5">
      <c r="A207" s="1000">
        <f t="shared" si="96"/>
        <v>0</v>
      </c>
      <c r="B207" s="167"/>
      <c r="C207" s="885"/>
      <c r="D207" s="885"/>
      <c r="E207" s="886"/>
      <c r="F207" s="887"/>
      <c r="G207" s="885"/>
      <c r="H207" s="886"/>
      <c r="I207" s="888"/>
      <c r="J207" s="887"/>
      <c r="K207" s="885"/>
      <c r="L207" s="886"/>
      <c r="M207" s="1358"/>
    </row>
    <row r="208" spans="1:13" ht="15" customHeight="1">
      <c r="A208" s="1000" t="str">
        <f t="shared" si="96"/>
        <v>Vote 4 - Corporate Services</v>
      </c>
      <c r="B208" s="837"/>
      <c r="C208" s="832">
        <f t="shared" ref="C208:L208" si="99">SUM(C209:C218)</f>
        <v>8658855.5</v>
      </c>
      <c r="D208" s="832">
        <f t="shared" si="99"/>
        <v>0</v>
      </c>
      <c r="E208" s="833">
        <f t="shared" si="99"/>
        <v>7920181.2000000002</v>
      </c>
      <c r="F208" s="838">
        <f t="shared" si="99"/>
        <v>0</v>
      </c>
      <c r="G208" s="832">
        <f t="shared" si="99"/>
        <v>0</v>
      </c>
      <c r="H208" s="833">
        <f t="shared" si="99"/>
        <v>0</v>
      </c>
      <c r="I208" s="835">
        <f t="shared" si="99"/>
        <v>0</v>
      </c>
      <c r="J208" s="834">
        <f t="shared" si="99"/>
        <v>0</v>
      </c>
      <c r="K208" s="832">
        <f t="shared" si="99"/>
        <v>0</v>
      </c>
      <c r="L208" s="839">
        <f t="shared" si="99"/>
        <v>0</v>
      </c>
      <c r="M208" s="1358"/>
    </row>
    <row r="209" spans="1:13" ht="13.5">
      <c r="A209" s="1000" t="str">
        <f t="shared" si="96"/>
        <v>4.1 - Communications</v>
      </c>
      <c r="B209" s="167"/>
      <c r="C209" s="885"/>
      <c r="D209" s="885"/>
      <c r="E209" s="886"/>
      <c r="F209" s="887"/>
      <c r="G209" s="885"/>
      <c r="H209" s="886"/>
      <c r="I209" s="888"/>
      <c r="J209" s="887"/>
      <c r="K209" s="885"/>
      <c r="L209" s="886"/>
      <c r="M209" s="1358"/>
    </row>
    <row r="210" spans="1:13" ht="13.5">
      <c r="A210" s="1000" t="str">
        <f t="shared" si="96"/>
        <v>4.2 - Public Participation &amp; Project Support</v>
      </c>
      <c r="B210" s="167"/>
      <c r="C210" s="885"/>
      <c r="D210" s="885"/>
      <c r="E210" s="886"/>
      <c r="F210" s="887"/>
      <c r="G210" s="885"/>
      <c r="H210" s="886"/>
      <c r="I210" s="888"/>
      <c r="J210" s="887"/>
      <c r="K210" s="885"/>
      <c r="L210" s="886"/>
      <c r="M210" s="1358"/>
    </row>
    <row r="211" spans="1:13" ht="11.25" customHeight="1">
      <c r="A211" s="1000" t="str">
        <f t="shared" si="96"/>
        <v>4.3 - Information Technolgy</v>
      </c>
      <c r="B211" s="167"/>
      <c r="C211" s="885">
        <v>7259042.5</v>
      </c>
      <c r="D211" s="885"/>
      <c r="E211" s="886">
        <v>7881883.2000000002</v>
      </c>
      <c r="F211" s="887"/>
      <c r="G211" s="885"/>
      <c r="H211" s="886"/>
      <c r="I211" s="888"/>
      <c r="J211" s="887"/>
      <c r="K211" s="885"/>
      <c r="L211" s="886"/>
      <c r="M211" s="1358"/>
    </row>
    <row r="212" spans="1:13" s="208" customFormat="1" ht="11.25" customHeight="1">
      <c r="A212" s="1000" t="str">
        <f t="shared" si="96"/>
        <v>4.4 - Administration HR &amp; Corporate</v>
      </c>
      <c r="B212" s="167"/>
      <c r="C212" s="885">
        <v>218913</v>
      </c>
      <c r="D212" s="885"/>
      <c r="E212" s="886">
        <v>38298</v>
      </c>
      <c r="F212" s="887"/>
      <c r="G212" s="885"/>
      <c r="H212" s="886"/>
      <c r="I212" s="888"/>
      <c r="J212" s="887"/>
      <c r="K212" s="885"/>
      <c r="L212" s="886"/>
      <c r="M212" s="1358"/>
    </row>
    <row r="213" spans="1:13" s="208" customFormat="1" ht="11.25" customHeight="1">
      <c r="A213" s="1000" t="str">
        <f t="shared" si="96"/>
        <v>4.6 - Human Resources</v>
      </c>
      <c r="B213" s="167"/>
      <c r="C213" s="885"/>
      <c r="D213" s="885"/>
      <c r="E213" s="886"/>
      <c r="F213" s="887"/>
      <c r="G213" s="885"/>
      <c r="H213" s="886"/>
      <c r="I213" s="888"/>
      <c r="J213" s="887"/>
      <c r="K213" s="885"/>
      <c r="L213" s="886"/>
      <c r="M213" s="1358"/>
    </row>
    <row r="214" spans="1:13" ht="11.25" customHeight="1">
      <c r="A214" s="1000" t="str">
        <f t="shared" si="96"/>
        <v>4.7 - Occupational Health &amp; safety</v>
      </c>
      <c r="B214" s="167"/>
      <c r="C214" s="885"/>
      <c r="D214" s="885"/>
      <c r="E214" s="886"/>
      <c r="F214" s="887"/>
      <c r="G214" s="885"/>
      <c r="H214" s="886"/>
      <c r="I214" s="888"/>
      <c r="J214" s="887"/>
      <c r="K214" s="885"/>
      <c r="L214" s="886"/>
      <c r="M214" s="1358"/>
    </row>
    <row r="215" spans="1:13" ht="11.25" customHeight="1">
      <c r="A215" s="1000" t="str">
        <f t="shared" si="96"/>
        <v>4.8 - Corporate Services</v>
      </c>
      <c r="B215" s="167"/>
      <c r="C215" s="885">
        <v>1180900</v>
      </c>
      <c r="D215" s="885"/>
      <c r="E215" s="886"/>
      <c r="F215" s="887"/>
      <c r="G215" s="885"/>
      <c r="H215" s="886"/>
      <c r="I215" s="888"/>
      <c r="J215" s="887"/>
      <c r="K215" s="885"/>
      <c r="L215" s="886"/>
      <c r="M215" s="1358"/>
    </row>
    <row r="216" spans="1:13" ht="11.25" customHeight="1">
      <c r="A216" s="1000">
        <f t="shared" si="96"/>
        <v>0</v>
      </c>
      <c r="B216" s="167"/>
      <c r="C216" s="885"/>
      <c r="D216" s="885"/>
      <c r="E216" s="886"/>
      <c r="F216" s="887"/>
      <c r="G216" s="885"/>
      <c r="H216" s="886"/>
      <c r="I216" s="888"/>
      <c r="J216" s="887"/>
      <c r="K216" s="885"/>
      <c r="L216" s="886"/>
      <c r="M216" s="1358"/>
    </row>
    <row r="217" spans="1:13" ht="11.25" customHeight="1">
      <c r="A217" s="1000">
        <f t="shared" si="96"/>
        <v>0</v>
      </c>
      <c r="B217" s="167"/>
      <c r="C217" s="885"/>
      <c r="D217" s="885"/>
      <c r="E217" s="886"/>
      <c r="F217" s="887"/>
      <c r="G217" s="885"/>
      <c r="H217" s="886"/>
      <c r="I217" s="888"/>
      <c r="J217" s="887"/>
      <c r="K217" s="885"/>
      <c r="L217" s="886"/>
      <c r="M217" s="1358"/>
    </row>
    <row r="218" spans="1:13" ht="11.25" customHeight="1">
      <c r="A218" s="1000">
        <f t="shared" si="96"/>
        <v>0</v>
      </c>
      <c r="B218" s="167"/>
      <c r="C218" s="885"/>
      <c r="D218" s="885"/>
      <c r="E218" s="886"/>
      <c r="F218" s="887"/>
      <c r="G218" s="885"/>
      <c r="H218" s="886"/>
      <c r="I218" s="888"/>
      <c r="J218" s="887"/>
      <c r="K218" s="885"/>
      <c r="L218" s="886"/>
      <c r="M218" s="1358"/>
    </row>
    <row r="219" spans="1:13" ht="15" customHeight="1">
      <c r="A219" s="1000" t="str">
        <f t="shared" si="96"/>
        <v>Vote 5 - Community Services</v>
      </c>
      <c r="B219" s="837"/>
      <c r="C219" s="832">
        <f t="shared" ref="C219:L219" si="100">SUM(C220:C229)</f>
        <v>129872.0292982456</v>
      </c>
      <c r="D219" s="832">
        <f t="shared" si="100"/>
        <v>0</v>
      </c>
      <c r="E219" s="833">
        <f t="shared" si="100"/>
        <v>554302.11</v>
      </c>
      <c r="F219" s="834">
        <f t="shared" si="100"/>
        <v>1885000</v>
      </c>
      <c r="G219" s="832">
        <f t="shared" si="100"/>
        <v>1885000</v>
      </c>
      <c r="H219" s="833">
        <f t="shared" si="100"/>
        <v>1885000</v>
      </c>
      <c r="I219" s="835">
        <f t="shared" si="100"/>
        <v>0</v>
      </c>
      <c r="J219" s="834">
        <f t="shared" si="100"/>
        <v>2300000</v>
      </c>
      <c r="K219" s="832">
        <f t="shared" si="100"/>
        <v>0</v>
      </c>
      <c r="L219" s="833">
        <f t="shared" si="100"/>
        <v>0</v>
      </c>
      <c r="M219" s="1358"/>
    </row>
    <row r="220" spans="1:13" ht="11.25" customHeight="1">
      <c r="A220" s="1000" t="str">
        <f t="shared" si="96"/>
        <v>5.1 - Parks &amp; Recreation</v>
      </c>
      <c r="B220" s="167"/>
      <c r="C220" s="885">
        <v>80296.89</v>
      </c>
      <c r="D220" s="885"/>
      <c r="E220" s="886">
        <v>345882.61</v>
      </c>
      <c r="F220" s="887">
        <v>1800000</v>
      </c>
      <c r="G220" s="885">
        <v>1800000</v>
      </c>
      <c r="H220" s="886">
        <v>1800000</v>
      </c>
      <c r="I220" s="888"/>
      <c r="J220" s="887">
        <v>2300000</v>
      </c>
      <c r="K220" s="885">
        <v>0</v>
      </c>
      <c r="L220" s="886">
        <v>0</v>
      </c>
      <c r="M220" s="1358"/>
    </row>
    <row r="221" spans="1:13" ht="11.25" customHeight="1">
      <c r="A221" s="1000" t="str">
        <f t="shared" si="96"/>
        <v>5.2 - Administration Community Services</v>
      </c>
      <c r="B221" s="167"/>
      <c r="C221" s="885">
        <v>49575.139298245602</v>
      </c>
      <c r="D221" s="885"/>
      <c r="E221" s="886">
        <v>15194</v>
      </c>
      <c r="F221" s="887">
        <v>85000</v>
      </c>
      <c r="G221" s="885">
        <v>85000</v>
      </c>
      <c r="H221" s="886">
        <v>85000</v>
      </c>
      <c r="I221" s="888"/>
      <c r="J221" s="887"/>
      <c r="K221" s="885"/>
      <c r="L221" s="886"/>
      <c r="M221" s="1358"/>
    </row>
    <row r="222" spans="1:13" ht="11.25" customHeight="1">
      <c r="A222" s="1000" t="str">
        <f t="shared" si="96"/>
        <v>5.3 - Community Health Services</v>
      </c>
      <c r="B222" s="167"/>
      <c r="C222" s="885"/>
      <c r="D222" s="885"/>
      <c r="E222" s="886"/>
      <c r="F222" s="887"/>
      <c r="G222" s="885"/>
      <c r="H222" s="886"/>
      <c r="I222" s="888"/>
      <c r="J222" s="887"/>
      <c r="K222" s="885"/>
      <c r="L222" s="886"/>
      <c r="M222" s="1358"/>
    </row>
    <row r="223" spans="1:13" ht="11.25" customHeight="1">
      <c r="A223" s="1000" t="str">
        <f t="shared" si="96"/>
        <v>5.4 - Enviromental Health Services</v>
      </c>
      <c r="B223" s="167"/>
      <c r="C223" s="885"/>
      <c r="D223" s="885"/>
      <c r="E223" s="886">
        <v>193225.5</v>
      </c>
      <c r="F223" s="887"/>
      <c r="G223" s="885"/>
      <c r="H223" s="886"/>
      <c r="I223" s="888"/>
      <c r="J223" s="887"/>
      <c r="K223" s="885"/>
      <c r="L223" s="886"/>
      <c r="M223" s="1358"/>
    </row>
    <row r="224" spans="1:13" ht="11.25" customHeight="1">
      <c r="A224" s="1000" t="str">
        <f t="shared" si="96"/>
        <v>5.5 - Library Services</v>
      </c>
      <c r="B224" s="167"/>
      <c r="C224" s="885"/>
      <c r="D224" s="885"/>
      <c r="E224" s="886"/>
      <c r="F224" s="887"/>
      <c r="G224" s="885"/>
      <c r="H224" s="886"/>
      <c r="I224" s="888"/>
      <c r="J224" s="887"/>
      <c r="K224" s="885"/>
      <c r="L224" s="886"/>
      <c r="M224" s="1358"/>
    </row>
    <row r="225" spans="1:13" ht="11.25" customHeight="1">
      <c r="A225" s="1000" t="str">
        <f t="shared" si="96"/>
        <v>5.6 - Solid Waste</v>
      </c>
      <c r="B225" s="167"/>
      <c r="C225" s="885"/>
      <c r="D225" s="885"/>
      <c r="E225" s="886"/>
      <c r="F225" s="887"/>
      <c r="G225" s="885"/>
      <c r="H225" s="886"/>
      <c r="I225" s="888"/>
      <c r="J225" s="887"/>
      <c r="K225" s="885"/>
      <c r="L225" s="886"/>
      <c r="M225" s="1358"/>
    </row>
    <row r="226" spans="1:13" ht="11.25" customHeight="1">
      <c r="A226" s="1000" t="str">
        <f t="shared" si="96"/>
        <v>5.7 - Street Cleansing</v>
      </c>
      <c r="B226" s="167"/>
      <c r="C226" s="885"/>
      <c r="D226" s="885"/>
      <c r="E226" s="886"/>
      <c r="F226" s="887"/>
      <c r="G226" s="885"/>
      <c r="H226" s="886"/>
      <c r="I226" s="888"/>
      <c r="J226" s="887"/>
      <c r="K226" s="885"/>
      <c r="L226" s="886"/>
      <c r="M226" s="1358"/>
    </row>
    <row r="227" spans="1:13" ht="11.25" customHeight="1">
      <c r="A227" s="1000" t="str">
        <f t="shared" si="96"/>
        <v>5.8 - Public Toilets</v>
      </c>
      <c r="B227" s="167"/>
      <c r="C227" s="885"/>
      <c r="D227" s="885"/>
      <c r="E227" s="886"/>
      <c r="F227" s="887"/>
      <c r="G227" s="885"/>
      <c r="H227" s="886"/>
      <c r="I227" s="888"/>
      <c r="J227" s="887"/>
      <c r="K227" s="885"/>
      <c r="L227" s="886"/>
      <c r="M227" s="1358"/>
    </row>
    <row r="228" spans="1:13" ht="11.25" customHeight="1">
      <c r="A228" s="1000">
        <f t="shared" si="96"/>
        <v>0</v>
      </c>
      <c r="B228" s="167"/>
      <c r="C228" s="885"/>
      <c r="D228" s="885"/>
      <c r="E228" s="886"/>
      <c r="F228" s="887"/>
      <c r="G228" s="885"/>
      <c r="H228" s="886"/>
      <c r="I228" s="888"/>
      <c r="J228" s="887"/>
      <c r="K228" s="885"/>
      <c r="L228" s="886"/>
      <c r="M228" s="1358"/>
    </row>
    <row r="229" spans="1:13" ht="11.25" customHeight="1">
      <c r="A229" s="1000">
        <f t="shared" si="96"/>
        <v>0</v>
      </c>
      <c r="B229" s="167"/>
      <c r="C229" s="885"/>
      <c r="D229" s="885"/>
      <c r="E229" s="886"/>
      <c r="F229" s="887"/>
      <c r="G229" s="885"/>
      <c r="H229" s="886"/>
      <c r="I229" s="888"/>
      <c r="J229" s="887"/>
      <c r="K229" s="885"/>
      <c r="L229" s="886"/>
      <c r="M229" s="1358"/>
    </row>
    <row r="230" spans="1:13" ht="15" customHeight="1">
      <c r="A230" s="1000" t="str">
        <f t="shared" si="96"/>
        <v>Vote 6 - Community Services</v>
      </c>
      <c r="B230" s="837"/>
      <c r="C230" s="832">
        <f t="shared" ref="C230:L230" si="101">SUM(C231:C240)</f>
        <v>0</v>
      </c>
      <c r="D230" s="832">
        <f t="shared" si="101"/>
        <v>0</v>
      </c>
      <c r="E230" s="833">
        <f t="shared" si="101"/>
        <v>0</v>
      </c>
      <c r="F230" s="834">
        <f t="shared" si="101"/>
        <v>0</v>
      </c>
      <c r="G230" s="832">
        <f t="shared" si="101"/>
        <v>0</v>
      </c>
      <c r="H230" s="833">
        <f t="shared" si="101"/>
        <v>0</v>
      </c>
      <c r="I230" s="835">
        <f t="shared" si="101"/>
        <v>0</v>
      </c>
      <c r="J230" s="834">
        <f t="shared" si="101"/>
        <v>0</v>
      </c>
      <c r="K230" s="832">
        <f t="shared" si="101"/>
        <v>0</v>
      </c>
      <c r="L230" s="833">
        <f t="shared" si="101"/>
        <v>0</v>
      </c>
      <c r="M230" s="240"/>
    </row>
    <row r="231" spans="1:13" ht="11.25" customHeight="1">
      <c r="A231" s="1000" t="str">
        <f t="shared" si="96"/>
        <v>6.1 - 6.2 - Administration Transport,safety,Security</v>
      </c>
      <c r="B231" s="167"/>
      <c r="C231" s="885"/>
      <c r="D231" s="885"/>
      <c r="E231" s="886"/>
      <c r="F231" s="887"/>
      <c r="G231" s="885"/>
      <c r="H231" s="886"/>
      <c r="I231" s="888"/>
      <c r="J231" s="887"/>
      <c r="K231" s="885"/>
      <c r="L231" s="886"/>
      <c r="M231" s="240"/>
    </row>
    <row r="232" spans="1:13" ht="11.25" customHeight="1">
      <c r="A232" s="1000" t="str">
        <f t="shared" si="96"/>
        <v>6.2 - 6.3 - Vehicle licencing</v>
      </c>
      <c r="B232" s="167"/>
      <c r="C232" s="885"/>
      <c r="D232" s="885"/>
      <c r="E232" s="886"/>
      <c r="F232" s="887"/>
      <c r="G232" s="885"/>
      <c r="H232" s="886"/>
      <c r="I232" s="888"/>
      <c r="J232" s="887"/>
      <c r="K232" s="885"/>
      <c r="L232" s="886"/>
      <c r="M232" s="240"/>
    </row>
    <row r="233" spans="1:13" ht="11.25" customHeight="1">
      <c r="A233" s="1000" t="str">
        <f t="shared" si="96"/>
        <v>6.3 - 6.1 - Traffic services</v>
      </c>
      <c r="B233" s="167"/>
      <c r="C233" s="885"/>
      <c r="D233" s="885"/>
      <c r="E233" s="886"/>
      <c r="F233" s="887"/>
      <c r="G233" s="885"/>
      <c r="H233" s="886"/>
      <c r="I233" s="888"/>
      <c r="J233" s="887"/>
      <c r="K233" s="885"/>
      <c r="L233" s="886"/>
      <c r="M233" s="240"/>
    </row>
    <row r="234" spans="1:13" ht="11.25" customHeight="1">
      <c r="A234" s="1000">
        <f t="shared" si="96"/>
        <v>0</v>
      </c>
      <c r="B234" s="167"/>
      <c r="C234" s="885"/>
      <c r="D234" s="885"/>
      <c r="E234" s="886"/>
      <c r="F234" s="887"/>
      <c r="G234" s="885"/>
      <c r="H234" s="886"/>
      <c r="I234" s="888"/>
      <c r="J234" s="887"/>
      <c r="K234" s="885"/>
      <c r="L234" s="886"/>
      <c r="M234" s="240"/>
    </row>
    <row r="235" spans="1:13" ht="11.25" customHeight="1">
      <c r="A235" s="1000">
        <f t="shared" si="96"/>
        <v>0</v>
      </c>
      <c r="B235" s="167"/>
      <c r="C235" s="885"/>
      <c r="D235" s="885"/>
      <c r="E235" s="886"/>
      <c r="F235" s="887"/>
      <c r="G235" s="885"/>
      <c r="H235" s="886"/>
      <c r="I235" s="888"/>
      <c r="J235" s="887"/>
      <c r="K235" s="885"/>
      <c r="L235" s="886"/>
      <c r="M235" s="240"/>
    </row>
    <row r="236" spans="1:13" ht="11.25" customHeight="1">
      <c r="A236" s="1000">
        <f t="shared" si="96"/>
        <v>0</v>
      </c>
      <c r="B236" s="167"/>
      <c r="C236" s="885"/>
      <c r="D236" s="885"/>
      <c r="E236" s="886"/>
      <c r="F236" s="887"/>
      <c r="G236" s="885"/>
      <c r="H236" s="886"/>
      <c r="I236" s="888"/>
      <c r="J236" s="887"/>
      <c r="K236" s="885"/>
      <c r="L236" s="886"/>
      <c r="M236" s="240"/>
    </row>
    <row r="237" spans="1:13" ht="11.25" customHeight="1">
      <c r="A237" s="1000">
        <f t="shared" si="96"/>
        <v>0</v>
      </c>
      <c r="B237" s="167"/>
      <c r="C237" s="885"/>
      <c r="D237" s="885"/>
      <c r="E237" s="886"/>
      <c r="F237" s="887"/>
      <c r="G237" s="885"/>
      <c r="H237" s="886"/>
      <c r="I237" s="888"/>
      <c r="J237" s="887"/>
      <c r="K237" s="885"/>
      <c r="L237" s="886"/>
      <c r="M237" s="240"/>
    </row>
    <row r="238" spans="1:13" ht="11.25" customHeight="1">
      <c r="A238" s="1000">
        <f t="shared" si="96"/>
        <v>0</v>
      </c>
      <c r="B238" s="167"/>
      <c r="C238" s="885"/>
      <c r="D238" s="885"/>
      <c r="E238" s="886"/>
      <c r="F238" s="887"/>
      <c r="G238" s="885"/>
      <c r="H238" s="886"/>
      <c r="I238" s="888"/>
      <c r="J238" s="887"/>
      <c r="K238" s="885"/>
      <c r="L238" s="886"/>
      <c r="M238" s="240"/>
    </row>
    <row r="239" spans="1:13" ht="11.25" customHeight="1">
      <c r="A239" s="1000">
        <f t="shared" si="96"/>
        <v>0</v>
      </c>
      <c r="B239" s="167"/>
      <c r="C239" s="885"/>
      <c r="D239" s="885"/>
      <c r="E239" s="886"/>
      <c r="F239" s="887"/>
      <c r="G239" s="885"/>
      <c r="H239" s="886"/>
      <c r="I239" s="888"/>
      <c r="J239" s="887"/>
      <c r="K239" s="885"/>
      <c r="L239" s="886"/>
      <c r="M239" s="240"/>
    </row>
    <row r="240" spans="1:13" ht="11.25" customHeight="1">
      <c r="A240" s="1000">
        <f t="shared" ref="A240:A303" si="102">A71</f>
        <v>0</v>
      </c>
      <c r="B240" s="167"/>
      <c r="C240" s="885"/>
      <c r="D240" s="885"/>
      <c r="E240" s="886"/>
      <c r="F240" s="887"/>
      <c r="G240" s="885"/>
      <c r="H240" s="886"/>
      <c r="I240" s="888"/>
      <c r="J240" s="887"/>
      <c r="K240" s="885"/>
      <c r="L240" s="886"/>
      <c r="M240" s="240"/>
    </row>
    <row r="241" spans="1:13" ht="15" customHeight="1">
      <c r="A241" s="1000" t="str">
        <f t="shared" si="102"/>
        <v>Vote 7 - Electrical Engineering Services</v>
      </c>
      <c r="B241" s="837"/>
      <c r="C241" s="832">
        <f t="shared" ref="C241:L241" si="103">SUM(C242:C251)</f>
        <v>13159543.24</v>
      </c>
      <c r="D241" s="832">
        <f t="shared" si="103"/>
        <v>13837042.619999999</v>
      </c>
      <c r="E241" s="833">
        <f t="shared" si="103"/>
        <v>36071006</v>
      </c>
      <c r="F241" s="834">
        <f t="shared" si="103"/>
        <v>35000000</v>
      </c>
      <c r="G241" s="832">
        <f t="shared" si="103"/>
        <v>50847675</v>
      </c>
      <c r="H241" s="833">
        <f t="shared" si="103"/>
        <v>50847675</v>
      </c>
      <c r="I241" s="835">
        <f t="shared" si="103"/>
        <v>48828197.18</v>
      </c>
      <c r="J241" s="834">
        <f t="shared" si="103"/>
        <v>30000000</v>
      </c>
      <c r="K241" s="832">
        <f t="shared" si="103"/>
        <v>8384000</v>
      </c>
      <c r="L241" s="833">
        <f t="shared" si="103"/>
        <v>8786432</v>
      </c>
      <c r="M241" s="240"/>
    </row>
    <row r="242" spans="1:13" ht="11.25" customHeight="1">
      <c r="A242" s="1000" t="str">
        <f t="shared" si="102"/>
        <v>7.1 - Administration Electrical Engineering</v>
      </c>
      <c r="B242" s="167"/>
      <c r="C242" s="885">
        <v>4777</v>
      </c>
      <c r="D242" s="885"/>
      <c r="E242" s="886"/>
      <c r="F242" s="887"/>
      <c r="G242" s="885"/>
      <c r="H242" s="886"/>
      <c r="I242" s="888"/>
      <c r="J242" s="887"/>
      <c r="K242" s="885"/>
      <c r="L242" s="886"/>
      <c r="M242" s="240"/>
    </row>
    <row r="243" spans="1:13" ht="11.25" customHeight="1">
      <c r="A243" s="1000" t="str">
        <f t="shared" si="102"/>
        <v>7.2 - Operations &amp; Maintenance: Rural</v>
      </c>
      <c r="B243" s="167"/>
      <c r="C243" s="885">
        <v>12272536.24</v>
      </c>
      <c r="D243" s="885">
        <v>13837042.619999999</v>
      </c>
      <c r="E243" s="886">
        <v>32316403</v>
      </c>
      <c r="F243" s="887">
        <v>7500000</v>
      </c>
      <c r="G243" s="885">
        <v>4000000</v>
      </c>
      <c r="H243" s="886">
        <v>4000000</v>
      </c>
      <c r="I243" s="886">
        <v>5828890.9000000004</v>
      </c>
      <c r="J243" s="887">
        <v>4000000</v>
      </c>
      <c r="K243" s="885">
        <v>4192000</v>
      </c>
      <c r="L243" s="886">
        <v>4393216</v>
      </c>
      <c r="M243" s="240"/>
    </row>
    <row r="244" spans="1:13" ht="11.25" customHeight="1">
      <c r="A244" s="1000" t="str">
        <f t="shared" si="102"/>
        <v>7.3 - Operations &amp; Maintenance: Town</v>
      </c>
      <c r="B244" s="167"/>
      <c r="C244" s="885">
        <v>882230</v>
      </c>
      <c r="D244" s="885"/>
      <c r="E244" s="886">
        <v>3754603</v>
      </c>
      <c r="F244" s="887">
        <v>27500000</v>
      </c>
      <c r="G244" s="885">
        <v>46847675</v>
      </c>
      <c r="H244" s="886">
        <v>46847675</v>
      </c>
      <c r="I244" s="886">
        <v>42999306.280000001</v>
      </c>
      <c r="J244" s="887">
        <v>26000000</v>
      </c>
      <c r="K244" s="885">
        <v>4192000</v>
      </c>
      <c r="L244" s="886">
        <v>4393216</v>
      </c>
      <c r="M244" s="240"/>
    </row>
    <row r="245" spans="1:13" ht="11.25" customHeight="1">
      <c r="A245" s="1000">
        <f t="shared" si="102"/>
        <v>0</v>
      </c>
      <c r="B245" s="167"/>
      <c r="C245" s="885"/>
      <c r="D245" s="885"/>
      <c r="E245" s="886"/>
      <c r="F245" s="887"/>
      <c r="G245" s="885"/>
      <c r="H245" s="886"/>
      <c r="I245" s="888"/>
      <c r="J245" s="887"/>
      <c r="K245" s="885"/>
      <c r="L245" s="886"/>
      <c r="M245" s="240"/>
    </row>
    <row r="246" spans="1:13" ht="11.25" customHeight="1">
      <c r="A246" s="1000">
        <f t="shared" si="102"/>
        <v>0</v>
      </c>
      <c r="B246" s="167"/>
      <c r="C246" s="885"/>
      <c r="D246" s="885"/>
      <c r="E246" s="886"/>
      <c r="F246" s="887"/>
      <c r="G246" s="885"/>
      <c r="H246" s="886"/>
      <c r="I246" s="888"/>
      <c r="J246" s="887"/>
      <c r="K246" s="885"/>
      <c r="L246" s="886"/>
      <c r="M246" s="240"/>
    </row>
    <row r="247" spans="1:13" ht="11.25" customHeight="1">
      <c r="A247" s="1000">
        <f t="shared" si="102"/>
        <v>0</v>
      </c>
      <c r="B247" s="167"/>
      <c r="C247" s="885"/>
      <c r="D247" s="885"/>
      <c r="E247" s="886"/>
      <c r="F247" s="887"/>
      <c r="G247" s="885"/>
      <c r="H247" s="886"/>
      <c r="I247" s="888"/>
      <c r="J247" s="887"/>
      <c r="K247" s="885"/>
      <c r="L247" s="886"/>
      <c r="M247" s="240"/>
    </row>
    <row r="248" spans="1:13" ht="11.25" customHeight="1">
      <c r="A248" s="1000">
        <f t="shared" si="102"/>
        <v>0</v>
      </c>
      <c r="B248" s="167"/>
      <c r="C248" s="885"/>
      <c r="D248" s="885"/>
      <c r="E248" s="886"/>
      <c r="F248" s="887"/>
      <c r="G248" s="885"/>
      <c r="H248" s="886"/>
      <c r="I248" s="888"/>
      <c r="J248" s="887"/>
      <c r="K248" s="885"/>
      <c r="L248" s="886"/>
      <c r="M248" s="240"/>
    </row>
    <row r="249" spans="1:13" ht="11.25" customHeight="1">
      <c r="A249" s="1000">
        <f t="shared" si="102"/>
        <v>0</v>
      </c>
      <c r="B249" s="167"/>
      <c r="C249" s="885"/>
      <c r="D249" s="885"/>
      <c r="E249" s="886"/>
      <c r="F249" s="887"/>
      <c r="G249" s="885"/>
      <c r="H249" s="886"/>
      <c r="I249" s="888"/>
      <c r="J249" s="887"/>
      <c r="K249" s="885"/>
      <c r="L249" s="886"/>
      <c r="M249" s="240"/>
    </row>
    <row r="250" spans="1:13" ht="11.25" customHeight="1">
      <c r="A250" s="1000">
        <f t="shared" si="102"/>
        <v>0</v>
      </c>
      <c r="B250" s="167"/>
      <c r="C250" s="885"/>
      <c r="D250" s="885"/>
      <c r="E250" s="886"/>
      <c r="F250" s="887"/>
      <c r="G250" s="885"/>
      <c r="H250" s="886"/>
      <c r="I250" s="888"/>
      <c r="J250" s="887"/>
      <c r="K250" s="885"/>
      <c r="L250" s="886"/>
      <c r="M250" s="240"/>
    </row>
    <row r="251" spans="1:13" ht="11.25" customHeight="1">
      <c r="A251" s="1000">
        <f t="shared" si="102"/>
        <v>0</v>
      </c>
      <c r="B251" s="167"/>
      <c r="C251" s="885"/>
      <c r="D251" s="885"/>
      <c r="E251" s="886"/>
      <c r="F251" s="887"/>
      <c r="G251" s="885"/>
      <c r="H251" s="886"/>
      <c r="I251" s="888"/>
      <c r="J251" s="887"/>
      <c r="K251" s="885"/>
      <c r="L251" s="886"/>
      <c r="M251" s="240"/>
    </row>
    <row r="252" spans="1:13" ht="15" customHeight="1">
      <c r="A252" s="1000" t="str">
        <f t="shared" si="102"/>
        <v>Vote 8 - Engineering Services</v>
      </c>
      <c r="B252" s="167"/>
      <c r="C252" s="832">
        <f t="shared" ref="C252:L252" si="104">SUM(C253:C262)</f>
        <v>41878155.109999999</v>
      </c>
      <c r="D252" s="832">
        <f t="shared" si="104"/>
        <v>34950547.010000005</v>
      </c>
      <c r="E252" s="833">
        <f t="shared" si="104"/>
        <v>55263213.810000002</v>
      </c>
      <c r="F252" s="834">
        <f t="shared" si="104"/>
        <v>102699850</v>
      </c>
      <c r="G252" s="832">
        <f t="shared" si="104"/>
        <v>101225090</v>
      </c>
      <c r="H252" s="833">
        <f t="shared" si="104"/>
        <v>101225090</v>
      </c>
      <c r="I252" s="835">
        <f t="shared" si="104"/>
        <v>100422803.71999998</v>
      </c>
      <c r="J252" s="834">
        <f t="shared" si="104"/>
        <v>96938050</v>
      </c>
      <c r="K252" s="832">
        <f t="shared" si="104"/>
        <v>96829700</v>
      </c>
      <c r="L252" s="833">
        <f t="shared" si="104"/>
        <v>102603800</v>
      </c>
      <c r="M252" s="240"/>
    </row>
    <row r="253" spans="1:13">
      <c r="A253" s="1000" t="str">
        <f t="shared" si="102"/>
        <v>8.1 - 8.1 - Fleet Management</v>
      </c>
      <c r="B253" s="167"/>
      <c r="C253" s="885"/>
      <c r="D253" s="885"/>
      <c r="E253" s="888"/>
      <c r="F253" s="887"/>
      <c r="G253" s="885"/>
      <c r="H253" s="886"/>
      <c r="I253" s="888"/>
      <c r="J253" s="887"/>
      <c r="K253" s="885"/>
      <c r="L253" s="886"/>
      <c r="M253" s="240"/>
    </row>
    <row r="254" spans="1:13">
      <c r="A254" s="1000" t="str">
        <f t="shared" si="102"/>
        <v>8.2 - 8.2 - Administration Civil Engineering</v>
      </c>
      <c r="B254" s="167"/>
      <c r="C254" s="885">
        <v>41248.280000000006</v>
      </c>
      <c r="D254" s="885"/>
      <c r="E254" s="888"/>
      <c r="F254" s="887"/>
      <c r="G254" s="885"/>
      <c r="H254" s="886"/>
      <c r="I254" s="888"/>
      <c r="J254" s="887"/>
      <c r="K254" s="885"/>
      <c r="L254" s="886"/>
      <c r="M254" s="240"/>
    </row>
    <row r="255" spans="1:13">
      <c r="A255" s="1000" t="str">
        <f t="shared" si="102"/>
        <v>8.3 - 8.3 - Roads &amp; stormwater Management</v>
      </c>
      <c r="B255" s="167"/>
      <c r="C255" s="885">
        <v>10364403.799999999</v>
      </c>
      <c r="D255" s="885">
        <v>5462737.2300000004</v>
      </c>
      <c r="E255" s="888">
        <v>4605566</v>
      </c>
      <c r="F255" s="887">
        <v>9900000</v>
      </c>
      <c r="G255" s="885">
        <v>5975240</v>
      </c>
      <c r="H255" s="886">
        <v>5975240</v>
      </c>
      <c r="I255" s="886">
        <v>298154.78000000003</v>
      </c>
      <c r="J255" s="887">
        <f>6000000+1500000-1000000</f>
        <v>6500000</v>
      </c>
      <c r="K255" s="885">
        <v>0</v>
      </c>
      <c r="L255" s="886">
        <v>0</v>
      </c>
      <c r="M255" s="240"/>
    </row>
    <row r="256" spans="1:13">
      <c r="A256" s="1000" t="str">
        <f t="shared" si="102"/>
        <v>8.4 - 8.4 - Water Networks</v>
      </c>
      <c r="B256" s="167"/>
      <c r="C256" s="885"/>
      <c r="D256" s="885"/>
      <c r="E256" s="888"/>
      <c r="F256" s="887"/>
      <c r="G256" s="885"/>
      <c r="H256" s="886"/>
      <c r="I256" s="888"/>
      <c r="J256" s="887"/>
      <c r="K256" s="885"/>
      <c r="L256" s="886"/>
      <c r="M256" s="240"/>
    </row>
    <row r="257" spans="1:13">
      <c r="A257" s="1000" t="str">
        <f t="shared" si="102"/>
        <v>8.5 - 8.5 - Water Purification</v>
      </c>
      <c r="B257" s="167"/>
      <c r="C257" s="885"/>
      <c r="D257" s="885"/>
      <c r="E257" s="888"/>
      <c r="F257" s="887"/>
      <c r="G257" s="885"/>
      <c r="H257" s="886"/>
      <c r="I257" s="888"/>
      <c r="J257" s="887"/>
      <c r="K257" s="885"/>
      <c r="L257" s="886"/>
      <c r="M257" s="240"/>
    </row>
    <row r="258" spans="1:13">
      <c r="A258" s="1000" t="str">
        <f t="shared" si="102"/>
        <v>8.6 - 8.8 - Sewerage Purification</v>
      </c>
      <c r="B258" s="167"/>
      <c r="C258" s="885"/>
      <c r="D258" s="885"/>
      <c r="E258" s="888"/>
      <c r="F258" s="887"/>
      <c r="G258" s="885"/>
      <c r="H258" s="886"/>
      <c r="I258" s="888"/>
      <c r="J258" s="887"/>
      <c r="K258" s="885"/>
      <c r="L258" s="886"/>
      <c r="M258" s="240"/>
    </row>
    <row r="259" spans="1:13">
      <c r="A259" s="1000" t="str">
        <f t="shared" si="102"/>
        <v>8.7 - 8.6 - Building &amp; Housing</v>
      </c>
      <c r="B259" s="167"/>
      <c r="C259" s="885"/>
      <c r="D259" s="885">
        <v>826159.93</v>
      </c>
      <c r="E259" s="888">
        <v>1057150.81</v>
      </c>
      <c r="F259" s="887">
        <v>3250000</v>
      </c>
      <c r="G259" s="885">
        <v>5700000</v>
      </c>
      <c r="H259" s="886">
        <v>5700000</v>
      </c>
      <c r="I259" s="886">
        <v>4011880.8000000003</v>
      </c>
      <c r="J259" s="887">
        <v>1500000</v>
      </c>
      <c r="K259" s="885"/>
      <c r="L259" s="886"/>
      <c r="M259" s="240"/>
    </row>
    <row r="260" spans="1:13">
      <c r="A260" s="1000" t="str">
        <f t="shared" si="102"/>
        <v>8.8 - 8.7 - Project Management</v>
      </c>
      <c r="B260" s="167"/>
      <c r="C260" s="885">
        <v>31472503.030000001</v>
      </c>
      <c r="D260" s="885">
        <v>28661649.850000001</v>
      </c>
      <c r="E260" s="888">
        <v>49600497</v>
      </c>
      <c r="F260" s="887">
        <v>89549850</v>
      </c>
      <c r="G260" s="885">
        <v>89549850</v>
      </c>
      <c r="H260" s="886">
        <v>89549850</v>
      </c>
      <c r="I260" s="886">
        <v>96112768.139999986</v>
      </c>
      <c r="J260" s="887">
        <v>88938050</v>
      </c>
      <c r="K260" s="885">
        <v>96829700</v>
      </c>
      <c r="L260" s="886">
        <v>102603800</v>
      </c>
      <c r="M260" s="240"/>
    </row>
    <row r="261" spans="1:13">
      <c r="A261" s="1000">
        <f t="shared" si="102"/>
        <v>0</v>
      </c>
      <c r="B261" s="167"/>
      <c r="C261" s="885"/>
      <c r="D261" s="885"/>
      <c r="E261" s="888"/>
      <c r="F261" s="887"/>
      <c r="G261" s="885"/>
      <c r="H261" s="886"/>
      <c r="I261" s="888"/>
      <c r="J261" s="887"/>
      <c r="K261" s="885"/>
      <c r="L261" s="886"/>
      <c r="M261" s="240"/>
    </row>
    <row r="262" spans="1:13">
      <c r="A262" s="1000">
        <f t="shared" si="102"/>
        <v>0</v>
      </c>
      <c r="B262" s="167"/>
      <c r="C262" s="885"/>
      <c r="D262" s="885"/>
      <c r="E262" s="888"/>
      <c r="F262" s="887"/>
      <c r="G262" s="885"/>
      <c r="H262" s="886"/>
      <c r="I262" s="888"/>
      <c r="J262" s="887"/>
      <c r="K262" s="885"/>
      <c r="L262" s="886"/>
      <c r="M262" s="240"/>
    </row>
    <row r="263" spans="1:13" ht="15" customHeight="1">
      <c r="A263" s="1000" t="str">
        <f t="shared" si="102"/>
        <v>Vote 9 - [NAME OF VOTE 9]</v>
      </c>
      <c r="B263" s="167"/>
      <c r="C263" s="832">
        <f t="shared" ref="C263:L263" si="105">SUM(C264:C273)</f>
        <v>7449</v>
      </c>
      <c r="D263" s="832">
        <f t="shared" si="105"/>
        <v>0</v>
      </c>
      <c r="E263" s="833">
        <f t="shared" si="105"/>
        <v>0</v>
      </c>
      <c r="F263" s="834">
        <f t="shared" si="105"/>
        <v>0</v>
      </c>
      <c r="G263" s="832">
        <f t="shared" si="105"/>
        <v>0</v>
      </c>
      <c r="H263" s="833">
        <f t="shared" si="105"/>
        <v>0</v>
      </c>
      <c r="I263" s="835">
        <f t="shared" si="105"/>
        <v>0</v>
      </c>
      <c r="J263" s="834">
        <f t="shared" si="105"/>
        <v>0</v>
      </c>
      <c r="K263" s="832">
        <f t="shared" si="105"/>
        <v>0</v>
      </c>
      <c r="L263" s="833">
        <f t="shared" si="105"/>
        <v>0</v>
      </c>
      <c r="M263" s="240"/>
    </row>
    <row r="264" spans="1:13">
      <c r="A264" s="1000" t="str">
        <f t="shared" si="102"/>
        <v>9.1 - [Name of sub-vote]</v>
      </c>
      <c r="B264" s="167"/>
      <c r="C264" s="885">
        <v>7449</v>
      </c>
      <c r="D264" s="885"/>
      <c r="E264" s="888"/>
      <c r="F264" s="887"/>
      <c r="G264" s="885"/>
      <c r="H264" s="886"/>
      <c r="I264" s="888"/>
      <c r="J264" s="887"/>
      <c r="K264" s="885"/>
      <c r="L264" s="886"/>
      <c r="M264" s="240"/>
    </row>
    <row r="265" spans="1:13">
      <c r="A265" s="1000">
        <f t="shared" si="102"/>
        <v>0</v>
      </c>
      <c r="B265" s="167"/>
      <c r="C265" s="885"/>
      <c r="D265" s="885"/>
      <c r="E265" s="888"/>
      <c r="F265" s="887"/>
      <c r="G265" s="885"/>
      <c r="H265" s="886"/>
      <c r="I265" s="888"/>
      <c r="J265" s="887"/>
      <c r="K265" s="885"/>
      <c r="L265" s="886"/>
      <c r="M265" s="240"/>
    </row>
    <row r="266" spans="1:13">
      <c r="A266" s="1000">
        <f t="shared" si="102"/>
        <v>0</v>
      </c>
      <c r="B266" s="167"/>
      <c r="C266" s="885"/>
      <c r="D266" s="885"/>
      <c r="E266" s="888"/>
      <c r="F266" s="887"/>
      <c r="G266" s="885"/>
      <c r="H266" s="886"/>
      <c r="I266" s="888"/>
      <c r="J266" s="887"/>
      <c r="K266" s="885"/>
      <c r="L266" s="886"/>
      <c r="M266" s="240"/>
    </row>
    <row r="267" spans="1:13">
      <c r="A267" s="1000">
        <f t="shared" si="102"/>
        <v>0</v>
      </c>
      <c r="B267" s="167"/>
      <c r="C267" s="885"/>
      <c r="D267" s="885"/>
      <c r="E267" s="888"/>
      <c r="F267" s="887"/>
      <c r="G267" s="885"/>
      <c r="H267" s="886"/>
      <c r="I267" s="888"/>
      <c r="J267" s="887"/>
      <c r="K267" s="885"/>
      <c r="L267" s="886"/>
      <c r="M267" s="240"/>
    </row>
    <row r="268" spans="1:13">
      <c r="A268" s="1000">
        <f t="shared" si="102"/>
        <v>0</v>
      </c>
      <c r="B268" s="167"/>
      <c r="C268" s="885"/>
      <c r="D268" s="885"/>
      <c r="E268" s="888"/>
      <c r="F268" s="887"/>
      <c r="G268" s="885"/>
      <c r="H268" s="886"/>
      <c r="I268" s="888"/>
      <c r="J268" s="887"/>
      <c r="K268" s="885"/>
      <c r="L268" s="886"/>
      <c r="M268" s="240"/>
    </row>
    <row r="269" spans="1:13">
      <c r="A269" s="1000">
        <f t="shared" si="102"/>
        <v>0</v>
      </c>
      <c r="B269" s="167"/>
      <c r="C269" s="885"/>
      <c r="D269" s="885"/>
      <c r="E269" s="888"/>
      <c r="F269" s="887"/>
      <c r="G269" s="885"/>
      <c r="H269" s="886"/>
      <c r="I269" s="888"/>
      <c r="J269" s="887"/>
      <c r="K269" s="885"/>
      <c r="L269" s="886"/>
      <c r="M269" s="240"/>
    </row>
    <row r="270" spans="1:13">
      <c r="A270" s="1000">
        <f t="shared" si="102"/>
        <v>0</v>
      </c>
      <c r="B270" s="167"/>
      <c r="C270" s="885"/>
      <c r="D270" s="885"/>
      <c r="E270" s="888"/>
      <c r="F270" s="887"/>
      <c r="G270" s="885"/>
      <c r="H270" s="886"/>
      <c r="I270" s="888"/>
      <c r="J270" s="887"/>
      <c r="K270" s="885"/>
      <c r="L270" s="886"/>
      <c r="M270" s="240"/>
    </row>
    <row r="271" spans="1:13">
      <c r="A271" s="1000">
        <f t="shared" si="102"/>
        <v>0</v>
      </c>
      <c r="B271" s="167"/>
      <c r="C271" s="885"/>
      <c r="D271" s="885"/>
      <c r="E271" s="888"/>
      <c r="F271" s="887"/>
      <c r="G271" s="885"/>
      <c r="H271" s="886"/>
      <c r="I271" s="888"/>
      <c r="J271" s="887"/>
      <c r="K271" s="885"/>
      <c r="L271" s="886"/>
      <c r="M271" s="240"/>
    </row>
    <row r="272" spans="1:13">
      <c r="A272" s="1000">
        <f t="shared" si="102"/>
        <v>0</v>
      </c>
      <c r="B272" s="167"/>
      <c r="C272" s="885"/>
      <c r="D272" s="885"/>
      <c r="E272" s="888"/>
      <c r="F272" s="887"/>
      <c r="G272" s="885"/>
      <c r="H272" s="886"/>
      <c r="I272" s="888"/>
      <c r="J272" s="887"/>
      <c r="K272" s="885"/>
      <c r="L272" s="886"/>
      <c r="M272" s="240"/>
    </row>
    <row r="273" spans="1:13">
      <c r="A273" s="1000">
        <f t="shared" si="102"/>
        <v>0</v>
      </c>
      <c r="B273" s="167"/>
      <c r="C273" s="885"/>
      <c r="D273" s="885"/>
      <c r="E273" s="888"/>
      <c r="F273" s="887"/>
      <c r="G273" s="885"/>
      <c r="H273" s="886"/>
      <c r="I273" s="888"/>
      <c r="J273" s="887"/>
      <c r="K273" s="885"/>
      <c r="L273" s="886"/>
      <c r="M273" s="240"/>
    </row>
    <row r="274" spans="1:13" ht="15" customHeight="1">
      <c r="A274" s="1000" t="str">
        <f t="shared" si="102"/>
        <v>Vote 10 - [NAME OF VOTE 10]</v>
      </c>
      <c r="B274" s="167"/>
      <c r="C274" s="832">
        <f t="shared" ref="C274:L274" si="106">SUM(C275:C284)</f>
        <v>0</v>
      </c>
      <c r="D274" s="832">
        <f t="shared" si="106"/>
        <v>0</v>
      </c>
      <c r="E274" s="833">
        <f t="shared" si="106"/>
        <v>0</v>
      </c>
      <c r="F274" s="834">
        <f t="shared" si="106"/>
        <v>0</v>
      </c>
      <c r="G274" s="832">
        <f t="shared" si="106"/>
        <v>0</v>
      </c>
      <c r="H274" s="833">
        <f t="shared" si="106"/>
        <v>0</v>
      </c>
      <c r="I274" s="835">
        <f t="shared" si="106"/>
        <v>0</v>
      </c>
      <c r="J274" s="834">
        <f t="shared" si="106"/>
        <v>0</v>
      </c>
      <c r="K274" s="832">
        <f t="shared" si="106"/>
        <v>0</v>
      </c>
      <c r="L274" s="833">
        <f t="shared" si="106"/>
        <v>0</v>
      </c>
      <c r="M274" s="240"/>
    </row>
    <row r="275" spans="1:13">
      <c r="A275" s="1000" t="str">
        <f t="shared" si="102"/>
        <v>10.1 - [Name of sub-vote]</v>
      </c>
      <c r="B275" s="167"/>
      <c r="C275" s="885"/>
      <c r="D275" s="885"/>
      <c r="E275" s="888"/>
      <c r="F275" s="887"/>
      <c r="G275" s="885"/>
      <c r="H275" s="886"/>
      <c r="I275" s="888"/>
      <c r="J275" s="887"/>
      <c r="K275" s="885"/>
      <c r="L275" s="886"/>
      <c r="M275" s="240"/>
    </row>
    <row r="276" spans="1:13">
      <c r="A276" s="1000">
        <f t="shared" si="102"/>
        <v>0</v>
      </c>
      <c r="B276" s="167"/>
      <c r="C276" s="885"/>
      <c r="D276" s="885"/>
      <c r="E276" s="888"/>
      <c r="F276" s="887"/>
      <c r="G276" s="885"/>
      <c r="H276" s="886"/>
      <c r="I276" s="888"/>
      <c r="J276" s="887"/>
      <c r="K276" s="885"/>
      <c r="L276" s="886"/>
      <c r="M276" s="240"/>
    </row>
    <row r="277" spans="1:13">
      <c r="A277" s="1000">
        <f t="shared" si="102"/>
        <v>0</v>
      </c>
      <c r="B277" s="167"/>
      <c r="C277" s="885"/>
      <c r="D277" s="885"/>
      <c r="E277" s="888"/>
      <c r="F277" s="887"/>
      <c r="G277" s="885"/>
      <c r="H277" s="886"/>
      <c r="I277" s="888"/>
      <c r="J277" s="887"/>
      <c r="K277" s="885"/>
      <c r="L277" s="886"/>
      <c r="M277" s="240"/>
    </row>
    <row r="278" spans="1:13">
      <c r="A278" s="1000">
        <f t="shared" si="102"/>
        <v>0</v>
      </c>
      <c r="B278" s="167"/>
      <c r="C278" s="885"/>
      <c r="D278" s="885"/>
      <c r="E278" s="888"/>
      <c r="F278" s="887"/>
      <c r="G278" s="885"/>
      <c r="H278" s="886"/>
      <c r="I278" s="888"/>
      <c r="J278" s="887"/>
      <c r="K278" s="885"/>
      <c r="L278" s="886"/>
      <c r="M278" s="240"/>
    </row>
    <row r="279" spans="1:13">
      <c r="A279" s="1000">
        <f t="shared" si="102"/>
        <v>0</v>
      </c>
      <c r="B279" s="167"/>
      <c r="C279" s="885"/>
      <c r="D279" s="885"/>
      <c r="E279" s="888"/>
      <c r="F279" s="887"/>
      <c r="G279" s="885"/>
      <c r="H279" s="886"/>
      <c r="I279" s="888"/>
      <c r="J279" s="887"/>
      <c r="K279" s="885"/>
      <c r="L279" s="886"/>
      <c r="M279" s="240"/>
    </row>
    <row r="280" spans="1:13">
      <c r="A280" s="1000">
        <f t="shared" si="102"/>
        <v>0</v>
      </c>
      <c r="B280" s="167"/>
      <c r="C280" s="885"/>
      <c r="D280" s="885"/>
      <c r="E280" s="888"/>
      <c r="F280" s="887"/>
      <c r="G280" s="885"/>
      <c r="H280" s="886"/>
      <c r="I280" s="888"/>
      <c r="J280" s="887"/>
      <c r="K280" s="885"/>
      <c r="L280" s="886"/>
      <c r="M280" s="240"/>
    </row>
    <row r="281" spans="1:13">
      <c r="A281" s="1000">
        <f t="shared" si="102"/>
        <v>0</v>
      </c>
      <c r="B281" s="167"/>
      <c r="C281" s="885"/>
      <c r="D281" s="885"/>
      <c r="E281" s="888"/>
      <c r="F281" s="887"/>
      <c r="G281" s="885"/>
      <c r="H281" s="886"/>
      <c r="I281" s="888"/>
      <c r="J281" s="887"/>
      <c r="K281" s="885"/>
      <c r="L281" s="886"/>
      <c r="M281" s="240"/>
    </row>
    <row r="282" spans="1:13">
      <c r="A282" s="1000">
        <f t="shared" si="102"/>
        <v>0</v>
      </c>
      <c r="B282" s="167"/>
      <c r="C282" s="885"/>
      <c r="D282" s="885"/>
      <c r="E282" s="888"/>
      <c r="F282" s="887"/>
      <c r="G282" s="885"/>
      <c r="H282" s="886"/>
      <c r="I282" s="888"/>
      <c r="J282" s="887"/>
      <c r="K282" s="885"/>
      <c r="L282" s="886"/>
      <c r="M282" s="240"/>
    </row>
    <row r="283" spans="1:13">
      <c r="A283" s="1000">
        <f t="shared" si="102"/>
        <v>0</v>
      </c>
      <c r="B283" s="167"/>
      <c r="C283" s="885"/>
      <c r="D283" s="885"/>
      <c r="E283" s="888"/>
      <c r="F283" s="887"/>
      <c r="G283" s="885"/>
      <c r="H283" s="886"/>
      <c r="I283" s="888"/>
      <c r="J283" s="887"/>
      <c r="K283" s="885"/>
      <c r="L283" s="886"/>
      <c r="M283" s="240"/>
    </row>
    <row r="284" spans="1:13">
      <c r="A284" s="1000">
        <f t="shared" si="102"/>
        <v>0</v>
      </c>
      <c r="B284" s="167"/>
      <c r="C284" s="885"/>
      <c r="D284" s="885"/>
      <c r="E284" s="888"/>
      <c r="F284" s="887"/>
      <c r="G284" s="885"/>
      <c r="H284" s="886"/>
      <c r="I284" s="888"/>
      <c r="J284" s="887"/>
      <c r="K284" s="885"/>
      <c r="L284" s="886"/>
      <c r="M284" s="240"/>
    </row>
    <row r="285" spans="1:13" ht="15" customHeight="1">
      <c r="A285" s="1000" t="str">
        <f t="shared" si="102"/>
        <v>Vote 11 - [NAME OF VOTE 11]</v>
      </c>
      <c r="B285" s="167"/>
      <c r="C285" s="832">
        <f t="shared" ref="C285:L285" si="107">SUM(C286:C295)</f>
        <v>0</v>
      </c>
      <c r="D285" s="832">
        <f t="shared" si="107"/>
        <v>0</v>
      </c>
      <c r="E285" s="833">
        <f t="shared" si="107"/>
        <v>0</v>
      </c>
      <c r="F285" s="834">
        <f t="shared" si="107"/>
        <v>0</v>
      </c>
      <c r="G285" s="832">
        <f t="shared" si="107"/>
        <v>0</v>
      </c>
      <c r="H285" s="833">
        <f t="shared" si="107"/>
        <v>0</v>
      </c>
      <c r="I285" s="835">
        <f t="shared" si="107"/>
        <v>0</v>
      </c>
      <c r="J285" s="834">
        <f t="shared" si="107"/>
        <v>0</v>
      </c>
      <c r="K285" s="832">
        <f t="shared" si="107"/>
        <v>0</v>
      </c>
      <c r="L285" s="833">
        <f t="shared" si="107"/>
        <v>0</v>
      </c>
      <c r="M285" s="240"/>
    </row>
    <row r="286" spans="1:13">
      <c r="A286" s="1000" t="str">
        <f t="shared" si="102"/>
        <v>11.1 - [Name of sub-vote]</v>
      </c>
      <c r="B286" s="167"/>
      <c r="C286" s="885"/>
      <c r="D286" s="885"/>
      <c r="E286" s="888"/>
      <c r="F286" s="887"/>
      <c r="G286" s="885"/>
      <c r="H286" s="886"/>
      <c r="I286" s="888"/>
      <c r="J286" s="887"/>
      <c r="K286" s="885"/>
      <c r="L286" s="886"/>
      <c r="M286" s="240"/>
    </row>
    <row r="287" spans="1:13">
      <c r="A287" s="1000">
        <f t="shared" si="102"/>
        <v>0</v>
      </c>
      <c r="B287" s="167"/>
      <c r="C287" s="885"/>
      <c r="D287" s="885"/>
      <c r="E287" s="888"/>
      <c r="F287" s="887"/>
      <c r="G287" s="885"/>
      <c r="H287" s="886"/>
      <c r="I287" s="888"/>
      <c r="J287" s="887"/>
      <c r="K287" s="885"/>
      <c r="L287" s="886"/>
      <c r="M287" s="240"/>
    </row>
    <row r="288" spans="1:13">
      <c r="A288" s="1000">
        <f t="shared" si="102"/>
        <v>0</v>
      </c>
      <c r="B288" s="167"/>
      <c r="C288" s="885"/>
      <c r="D288" s="885"/>
      <c r="E288" s="888"/>
      <c r="F288" s="887"/>
      <c r="G288" s="885"/>
      <c r="H288" s="886"/>
      <c r="I288" s="888"/>
      <c r="J288" s="887"/>
      <c r="K288" s="885"/>
      <c r="L288" s="886"/>
      <c r="M288" s="240"/>
    </row>
    <row r="289" spans="1:13">
      <c r="A289" s="1000">
        <f t="shared" si="102"/>
        <v>0</v>
      </c>
      <c r="B289" s="167"/>
      <c r="C289" s="885"/>
      <c r="D289" s="885"/>
      <c r="E289" s="888"/>
      <c r="F289" s="887"/>
      <c r="G289" s="885"/>
      <c r="H289" s="886"/>
      <c r="I289" s="888"/>
      <c r="J289" s="887"/>
      <c r="K289" s="885"/>
      <c r="L289" s="886"/>
      <c r="M289" s="240"/>
    </row>
    <row r="290" spans="1:13">
      <c r="A290" s="1000">
        <f t="shared" si="102"/>
        <v>0</v>
      </c>
      <c r="B290" s="167"/>
      <c r="C290" s="885"/>
      <c r="D290" s="885"/>
      <c r="E290" s="888"/>
      <c r="F290" s="887"/>
      <c r="G290" s="885"/>
      <c r="H290" s="886"/>
      <c r="I290" s="888"/>
      <c r="J290" s="887"/>
      <c r="K290" s="885"/>
      <c r="L290" s="886"/>
      <c r="M290" s="240"/>
    </row>
    <row r="291" spans="1:13">
      <c r="A291" s="1000">
        <f t="shared" si="102"/>
        <v>0</v>
      </c>
      <c r="B291" s="167"/>
      <c r="C291" s="885"/>
      <c r="D291" s="885"/>
      <c r="E291" s="888"/>
      <c r="F291" s="887"/>
      <c r="G291" s="885"/>
      <c r="H291" s="886"/>
      <c r="I291" s="888"/>
      <c r="J291" s="887"/>
      <c r="K291" s="885"/>
      <c r="L291" s="886"/>
      <c r="M291" s="240"/>
    </row>
    <row r="292" spans="1:13">
      <c r="A292" s="1000">
        <f t="shared" si="102"/>
        <v>0</v>
      </c>
      <c r="B292" s="167"/>
      <c r="C292" s="885"/>
      <c r="D292" s="885"/>
      <c r="E292" s="888"/>
      <c r="F292" s="887"/>
      <c r="G292" s="885"/>
      <c r="H292" s="886"/>
      <c r="I292" s="888"/>
      <c r="J292" s="887"/>
      <c r="K292" s="885"/>
      <c r="L292" s="886"/>
      <c r="M292" s="240"/>
    </row>
    <row r="293" spans="1:13">
      <c r="A293" s="1000">
        <f t="shared" si="102"/>
        <v>0</v>
      </c>
      <c r="B293" s="167"/>
      <c r="C293" s="885"/>
      <c r="D293" s="885"/>
      <c r="E293" s="888"/>
      <c r="F293" s="887"/>
      <c r="G293" s="885"/>
      <c r="H293" s="886"/>
      <c r="I293" s="888"/>
      <c r="J293" s="887"/>
      <c r="K293" s="885"/>
      <c r="L293" s="886"/>
      <c r="M293" s="240"/>
    </row>
    <row r="294" spans="1:13">
      <c r="A294" s="1000">
        <f t="shared" si="102"/>
        <v>0</v>
      </c>
      <c r="B294" s="167"/>
      <c r="C294" s="885"/>
      <c r="D294" s="885"/>
      <c r="E294" s="888"/>
      <c r="F294" s="887"/>
      <c r="G294" s="885"/>
      <c r="H294" s="886"/>
      <c r="I294" s="888"/>
      <c r="J294" s="887"/>
      <c r="K294" s="885"/>
      <c r="L294" s="886"/>
      <c r="M294" s="240"/>
    </row>
    <row r="295" spans="1:13">
      <c r="A295" s="1000">
        <f t="shared" si="102"/>
        <v>0</v>
      </c>
      <c r="B295" s="167"/>
      <c r="C295" s="885"/>
      <c r="D295" s="885"/>
      <c r="E295" s="888"/>
      <c r="F295" s="887"/>
      <c r="G295" s="885"/>
      <c r="H295" s="886"/>
      <c r="I295" s="888"/>
      <c r="J295" s="887"/>
      <c r="K295" s="885"/>
      <c r="L295" s="886"/>
      <c r="M295" s="240"/>
    </row>
    <row r="296" spans="1:13" ht="15" customHeight="1">
      <c r="A296" s="1000" t="str">
        <f t="shared" si="102"/>
        <v>Vote 12 - [NAME OF VOTE 12]</v>
      </c>
      <c r="B296" s="167"/>
      <c r="C296" s="832">
        <f t="shared" ref="C296:L296" si="108">SUM(C297:C306)</f>
        <v>0</v>
      </c>
      <c r="D296" s="832">
        <f t="shared" si="108"/>
        <v>0</v>
      </c>
      <c r="E296" s="833">
        <f t="shared" si="108"/>
        <v>0</v>
      </c>
      <c r="F296" s="834">
        <f t="shared" si="108"/>
        <v>0</v>
      </c>
      <c r="G296" s="832">
        <f t="shared" si="108"/>
        <v>0</v>
      </c>
      <c r="H296" s="833">
        <f t="shared" si="108"/>
        <v>0</v>
      </c>
      <c r="I296" s="835">
        <f t="shared" si="108"/>
        <v>0</v>
      </c>
      <c r="J296" s="834">
        <f t="shared" si="108"/>
        <v>0</v>
      </c>
      <c r="K296" s="832">
        <f t="shared" si="108"/>
        <v>0</v>
      </c>
      <c r="L296" s="833">
        <f t="shared" si="108"/>
        <v>0</v>
      </c>
      <c r="M296" s="240"/>
    </row>
    <row r="297" spans="1:13">
      <c r="A297" s="1000" t="str">
        <f t="shared" si="102"/>
        <v>12.1 - [Name of sub-vote]</v>
      </c>
      <c r="B297" s="167"/>
      <c r="C297" s="885"/>
      <c r="D297" s="885"/>
      <c r="E297" s="888"/>
      <c r="F297" s="887"/>
      <c r="G297" s="885"/>
      <c r="H297" s="886"/>
      <c r="I297" s="888"/>
      <c r="J297" s="887"/>
      <c r="K297" s="885"/>
      <c r="L297" s="886"/>
      <c r="M297" s="240"/>
    </row>
    <row r="298" spans="1:13">
      <c r="A298" s="1000">
        <f t="shared" si="102"/>
        <v>0</v>
      </c>
      <c r="B298" s="167"/>
      <c r="C298" s="885"/>
      <c r="D298" s="885"/>
      <c r="E298" s="888"/>
      <c r="F298" s="887"/>
      <c r="G298" s="885"/>
      <c r="H298" s="886"/>
      <c r="I298" s="888"/>
      <c r="J298" s="887"/>
      <c r="K298" s="885"/>
      <c r="L298" s="886"/>
      <c r="M298" s="240"/>
    </row>
    <row r="299" spans="1:13">
      <c r="A299" s="1000">
        <f t="shared" si="102"/>
        <v>0</v>
      </c>
      <c r="B299" s="167"/>
      <c r="C299" s="885"/>
      <c r="D299" s="885"/>
      <c r="E299" s="888"/>
      <c r="F299" s="887"/>
      <c r="G299" s="885"/>
      <c r="H299" s="886"/>
      <c r="I299" s="888"/>
      <c r="J299" s="887"/>
      <c r="K299" s="885"/>
      <c r="L299" s="886"/>
      <c r="M299" s="240"/>
    </row>
    <row r="300" spans="1:13">
      <c r="A300" s="1000">
        <f t="shared" si="102"/>
        <v>0</v>
      </c>
      <c r="B300" s="167"/>
      <c r="C300" s="885"/>
      <c r="D300" s="885"/>
      <c r="E300" s="888"/>
      <c r="F300" s="887"/>
      <c r="G300" s="885"/>
      <c r="H300" s="886"/>
      <c r="I300" s="888"/>
      <c r="J300" s="887"/>
      <c r="K300" s="885"/>
      <c r="L300" s="886"/>
      <c r="M300" s="240"/>
    </row>
    <row r="301" spans="1:13">
      <c r="A301" s="1000">
        <f t="shared" si="102"/>
        <v>0</v>
      </c>
      <c r="B301" s="167"/>
      <c r="C301" s="885"/>
      <c r="D301" s="885"/>
      <c r="E301" s="888"/>
      <c r="F301" s="887"/>
      <c r="G301" s="885"/>
      <c r="H301" s="886"/>
      <c r="I301" s="888"/>
      <c r="J301" s="887"/>
      <c r="K301" s="885"/>
      <c r="L301" s="886"/>
      <c r="M301" s="240"/>
    </row>
    <row r="302" spans="1:13">
      <c r="A302" s="1000">
        <f t="shared" si="102"/>
        <v>0</v>
      </c>
      <c r="B302" s="167"/>
      <c r="C302" s="885"/>
      <c r="D302" s="885"/>
      <c r="E302" s="888"/>
      <c r="F302" s="887"/>
      <c r="G302" s="885"/>
      <c r="H302" s="886"/>
      <c r="I302" s="888"/>
      <c r="J302" s="887"/>
      <c r="K302" s="885"/>
      <c r="L302" s="886"/>
      <c r="M302" s="240"/>
    </row>
    <row r="303" spans="1:13">
      <c r="A303" s="1000">
        <f t="shared" si="102"/>
        <v>0</v>
      </c>
      <c r="B303" s="167"/>
      <c r="C303" s="885"/>
      <c r="D303" s="885"/>
      <c r="E303" s="888"/>
      <c r="F303" s="887"/>
      <c r="G303" s="885"/>
      <c r="H303" s="886"/>
      <c r="I303" s="888"/>
      <c r="J303" s="887"/>
      <c r="K303" s="885"/>
      <c r="L303" s="886"/>
      <c r="M303" s="240"/>
    </row>
    <row r="304" spans="1:13">
      <c r="A304" s="1000">
        <f t="shared" ref="A304:A339" si="109">A135</f>
        <v>0</v>
      </c>
      <c r="B304" s="167"/>
      <c r="C304" s="885"/>
      <c r="D304" s="885"/>
      <c r="E304" s="888"/>
      <c r="F304" s="887"/>
      <c r="G304" s="885"/>
      <c r="H304" s="886"/>
      <c r="I304" s="888"/>
      <c r="J304" s="887"/>
      <c r="K304" s="885"/>
      <c r="L304" s="886"/>
      <c r="M304" s="240"/>
    </row>
    <row r="305" spans="1:13">
      <c r="A305" s="1000">
        <f t="shared" si="109"/>
        <v>0</v>
      </c>
      <c r="B305" s="167"/>
      <c r="C305" s="885"/>
      <c r="D305" s="885"/>
      <c r="E305" s="888"/>
      <c r="F305" s="887"/>
      <c r="G305" s="885"/>
      <c r="H305" s="886"/>
      <c r="I305" s="888"/>
      <c r="J305" s="887"/>
      <c r="K305" s="885"/>
      <c r="L305" s="886"/>
      <c r="M305" s="240"/>
    </row>
    <row r="306" spans="1:13">
      <c r="A306" s="1000">
        <f t="shared" si="109"/>
        <v>0</v>
      </c>
      <c r="B306" s="167"/>
      <c r="C306" s="885"/>
      <c r="D306" s="885"/>
      <c r="E306" s="888"/>
      <c r="F306" s="887"/>
      <c r="G306" s="885"/>
      <c r="H306" s="886"/>
      <c r="I306" s="888"/>
      <c r="J306" s="887"/>
      <c r="K306" s="885"/>
      <c r="L306" s="886"/>
      <c r="M306" s="240"/>
    </row>
    <row r="307" spans="1:13" ht="15" customHeight="1">
      <c r="A307" s="1000" t="str">
        <f t="shared" si="109"/>
        <v>Vote 13 - [NAME OF VOTE 13]</v>
      </c>
      <c r="B307" s="167"/>
      <c r="C307" s="832">
        <f t="shared" ref="C307:L307" si="110">SUM(C308:C317)</f>
        <v>0</v>
      </c>
      <c r="D307" s="832">
        <f t="shared" si="110"/>
        <v>0</v>
      </c>
      <c r="E307" s="833">
        <f t="shared" si="110"/>
        <v>0</v>
      </c>
      <c r="F307" s="834">
        <f t="shared" si="110"/>
        <v>0</v>
      </c>
      <c r="G307" s="832">
        <f t="shared" si="110"/>
        <v>0</v>
      </c>
      <c r="H307" s="833">
        <f t="shared" si="110"/>
        <v>0</v>
      </c>
      <c r="I307" s="835">
        <f t="shared" si="110"/>
        <v>0</v>
      </c>
      <c r="J307" s="834">
        <f t="shared" si="110"/>
        <v>0</v>
      </c>
      <c r="K307" s="832">
        <f t="shared" si="110"/>
        <v>0</v>
      </c>
      <c r="L307" s="833">
        <f t="shared" si="110"/>
        <v>0</v>
      </c>
      <c r="M307" s="240"/>
    </row>
    <row r="308" spans="1:13">
      <c r="A308" s="1000" t="str">
        <f t="shared" si="109"/>
        <v>13.1 - [Name of sub-vote]</v>
      </c>
      <c r="B308" s="167"/>
      <c r="C308" s="885"/>
      <c r="D308" s="885"/>
      <c r="E308" s="888"/>
      <c r="F308" s="887"/>
      <c r="G308" s="885"/>
      <c r="H308" s="886"/>
      <c r="I308" s="888"/>
      <c r="J308" s="887"/>
      <c r="K308" s="885"/>
      <c r="L308" s="886"/>
      <c r="M308" s="240"/>
    </row>
    <row r="309" spans="1:13">
      <c r="A309" s="1000">
        <f t="shared" si="109"/>
        <v>0</v>
      </c>
      <c r="B309" s="167"/>
      <c r="C309" s="885"/>
      <c r="D309" s="885"/>
      <c r="E309" s="888"/>
      <c r="F309" s="887"/>
      <c r="G309" s="885"/>
      <c r="H309" s="886"/>
      <c r="I309" s="888"/>
      <c r="J309" s="887"/>
      <c r="K309" s="885"/>
      <c r="L309" s="886"/>
      <c r="M309" s="240"/>
    </row>
    <row r="310" spans="1:13">
      <c r="A310" s="1000">
        <f t="shared" si="109"/>
        <v>0</v>
      </c>
      <c r="B310" s="167"/>
      <c r="C310" s="885"/>
      <c r="D310" s="885"/>
      <c r="E310" s="888"/>
      <c r="F310" s="887"/>
      <c r="G310" s="885"/>
      <c r="H310" s="886"/>
      <c r="I310" s="888"/>
      <c r="J310" s="887"/>
      <c r="K310" s="885"/>
      <c r="L310" s="886"/>
      <c r="M310" s="240"/>
    </row>
    <row r="311" spans="1:13">
      <c r="A311" s="1000">
        <f t="shared" si="109"/>
        <v>0</v>
      </c>
      <c r="B311" s="167"/>
      <c r="C311" s="885"/>
      <c r="D311" s="885"/>
      <c r="E311" s="888"/>
      <c r="F311" s="887"/>
      <c r="G311" s="885"/>
      <c r="H311" s="886"/>
      <c r="I311" s="888"/>
      <c r="J311" s="887"/>
      <c r="K311" s="885"/>
      <c r="L311" s="886"/>
      <c r="M311" s="240"/>
    </row>
    <row r="312" spans="1:13">
      <c r="A312" s="1000">
        <f t="shared" si="109"/>
        <v>0</v>
      </c>
      <c r="B312" s="167"/>
      <c r="C312" s="885"/>
      <c r="D312" s="885"/>
      <c r="E312" s="888"/>
      <c r="F312" s="887"/>
      <c r="G312" s="885"/>
      <c r="H312" s="886"/>
      <c r="I312" s="888"/>
      <c r="J312" s="887"/>
      <c r="K312" s="885"/>
      <c r="L312" s="886"/>
      <c r="M312" s="240"/>
    </row>
    <row r="313" spans="1:13">
      <c r="A313" s="1000">
        <f t="shared" si="109"/>
        <v>0</v>
      </c>
      <c r="B313" s="167"/>
      <c r="C313" s="885"/>
      <c r="D313" s="885"/>
      <c r="E313" s="888"/>
      <c r="F313" s="887"/>
      <c r="G313" s="885"/>
      <c r="H313" s="886"/>
      <c r="I313" s="888"/>
      <c r="J313" s="887"/>
      <c r="K313" s="885"/>
      <c r="L313" s="886"/>
      <c r="M313" s="240"/>
    </row>
    <row r="314" spans="1:13">
      <c r="A314" s="1000">
        <f t="shared" si="109"/>
        <v>0</v>
      </c>
      <c r="B314" s="167"/>
      <c r="C314" s="885"/>
      <c r="D314" s="885"/>
      <c r="E314" s="888"/>
      <c r="F314" s="887"/>
      <c r="G314" s="885"/>
      <c r="H314" s="886"/>
      <c r="I314" s="888"/>
      <c r="J314" s="887"/>
      <c r="K314" s="885"/>
      <c r="L314" s="886"/>
      <c r="M314" s="240"/>
    </row>
    <row r="315" spans="1:13">
      <c r="A315" s="1000">
        <f t="shared" si="109"/>
        <v>0</v>
      </c>
      <c r="B315" s="167"/>
      <c r="C315" s="885"/>
      <c r="D315" s="885"/>
      <c r="E315" s="888"/>
      <c r="F315" s="887"/>
      <c r="G315" s="885"/>
      <c r="H315" s="886"/>
      <c r="I315" s="888"/>
      <c r="J315" s="887"/>
      <c r="K315" s="885"/>
      <c r="L315" s="886"/>
      <c r="M315" s="240"/>
    </row>
    <row r="316" spans="1:13">
      <c r="A316" s="1000">
        <f t="shared" si="109"/>
        <v>0</v>
      </c>
      <c r="B316" s="167"/>
      <c r="C316" s="885"/>
      <c r="D316" s="885"/>
      <c r="E316" s="888"/>
      <c r="F316" s="887"/>
      <c r="G316" s="885"/>
      <c r="H316" s="886"/>
      <c r="I316" s="888"/>
      <c r="J316" s="887"/>
      <c r="K316" s="885"/>
      <c r="L316" s="886"/>
      <c r="M316" s="240"/>
    </row>
    <row r="317" spans="1:13">
      <c r="A317" s="1000">
        <f t="shared" si="109"/>
        <v>0</v>
      </c>
      <c r="B317" s="167"/>
      <c r="C317" s="885"/>
      <c r="D317" s="885"/>
      <c r="E317" s="888"/>
      <c r="F317" s="887"/>
      <c r="G317" s="885"/>
      <c r="H317" s="886"/>
      <c r="I317" s="888"/>
      <c r="J317" s="887"/>
      <c r="K317" s="885"/>
      <c r="L317" s="886"/>
      <c r="M317" s="240"/>
    </row>
    <row r="318" spans="1:13" ht="15" customHeight="1">
      <c r="A318" s="1000" t="str">
        <f t="shared" si="109"/>
        <v>Vote 14 - [NAME OF VOTE 14]</v>
      </c>
      <c r="B318" s="167"/>
      <c r="C318" s="832">
        <f t="shared" ref="C318:L318" si="111">SUM(C319:C328)</f>
        <v>0</v>
      </c>
      <c r="D318" s="832">
        <f t="shared" si="111"/>
        <v>0</v>
      </c>
      <c r="E318" s="833">
        <f t="shared" si="111"/>
        <v>0</v>
      </c>
      <c r="F318" s="834">
        <f t="shared" si="111"/>
        <v>0</v>
      </c>
      <c r="G318" s="832">
        <f t="shared" si="111"/>
        <v>0</v>
      </c>
      <c r="H318" s="833">
        <f t="shared" si="111"/>
        <v>0</v>
      </c>
      <c r="I318" s="835">
        <f t="shared" si="111"/>
        <v>0</v>
      </c>
      <c r="J318" s="834">
        <f t="shared" si="111"/>
        <v>0</v>
      </c>
      <c r="K318" s="832">
        <f t="shared" si="111"/>
        <v>0</v>
      </c>
      <c r="L318" s="833">
        <f t="shared" si="111"/>
        <v>0</v>
      </c>
      <c r="M318" s="240"/>
    </row>
    <row r="319" spans="1:13">
      <c r="A319" s="1000" t="str">
        <f t="shared" si="109"/>
        <v>14.1 - [Name of sub-vote]</v>
      </c>
      <c r="B319" s="167"/>
      <c r="C319" s="885"/>
      <c r="D319" s="885"/>
      <c r="E319" s="888"/>
      <c r="F319" s="887"/>
      <c r="G319" s="885"/>
      <c r="H319" s="886"/>
      <c r="I319" s="888"/>
      <c r="J319" s="887"/>
      <c r="K319" s="885"/>
      <c r="L319" s="886"/>
      <c r="M319" s="240"/>
    </row>
    <row r="320" spans="1:13">
      <c r="A320" s="1000">
        <f t="shared" si="109"/>
        <v>0</v>
      </c>
      <c r="B320" s="167"/>
      <c r="C320" s="885"/>
      <c r="D320" s="885"/>
      <c r="E320" s="888"/>
      <c r="F320" s="887"/>
      <c r="G320" s="885"/>
      <c r="H320" s="886"/>
      <c r="I320" s="888"/>
      <c r="J320" s="887"/>
      <c r="K320" s="885"/>
      <c r="L320" s="886"/>
      <c r="M320" s="240"/>
    </row>
    <row r="321" spans="1:13">
      <c r="A321" s="1000">
        <f t="shared" si="109"/>
        <v>0</v>
      </c>
      <c r="B321" s="167"/>
      <c r="C321" s="885"/>
      <c r="D321" s="885"/>
      <c r="E321" s="888"/>
      <c r="F321" s="887"/>
      <c r="G321" s="885"/>
      <c r="H321" s="886"/>
      <c r="I321" s="888"/>
      <c r="J321" s="887"/>
      <c r="K321" s="885"/>
      <c r="L321" s="886"/>
      <c r="M321" s="240"/>
    </row>
    <row r="322" spans="1:13">
      <c r="A322" s="1000">
        <f t="shared" si="109"/>
        <v>0</v>
      </c>
      <c r="B322" s="167"/>
      <c r="C322" s="885"/>
      <c r="D322" s="885"/>
      <c r="E322" s="888"/>
      <c r="F322" s="887"/>
      <c r="G322" s="885"/>
      <c r="H322" s="886"/>
      <c r="I322" s="888"/>
      <c r="J322" s="887"/>
      <c r="K322" s="885"/>
      <c r="L322" s="886"/>
      <c r="M322" s="240"/>
    </row>
    <row r="323" spans="1:13">
      <c r="A323" s="1000">
        <f t="shared" si="109"/>
        <v>0</v>
      </c>
      <c r="B323" s="167"/>
      <c r="C323" s="885"/>
      <c r="D323" s="885"/>
      <c r="E323" s="888"/>
      <c r="F323" s="887"/>
      <c r="G323" s="885"/>
      <c r="H323" s="886"/>
      <c r="I323" s="888"/>
      <c r="J323" s="887"/>
      <c r="K323" s="885"/>
      <c r="L323" s="886"/>
      <c r="M323" s="240"/>
    </row>
    <row r="324" spans="1:13">
      <c r="A324" s="1000">
        <f t="shared" si="109"/>
        <v>0</v>
      </c>
      <c r="B324" s="167"/>
      <c r="C324" s="885"/>
      <c r="D324" s="885"/>
      <c r="E324" s="888"/>
      <c r="F324" s="887"/>
      <c r="G324" s="885"/>
      <c r="H324" s="886"/>
      <c r="I324" s="888"/>
      <c r="J324" s="887"/>
      <c r="K324" s="885"/>
      <c r="L324" s="886"/>
      <c r="M324" s="240"/>
    </row>
    <row r="325" spans="1:13">
      <c r="A325" s="1000">
        <f t="shared" si="109"/>
        <v>0</v>
      </c>
      <c r="B325" s="167"/>
      <c r="C325" s="885"/>
      <c r="D325" s="885"/>
      <c r="E325" s="888"/>
      <c r="F325" s="887"/>
      <c r="G325" s="885"/>
      <c r="H325" s="886"/>
      <c r="I325" s="888"/>
      <c r="J325" s="887"/>
      <c r="K325" s="885"/>
      <c r="L325" s="886"/>
      <c r="M325" s="240"/>
    </row>
    <row r="326" spans="1:13">
      <c r="A326" s="1000">
        <f t="shared" si="109"/>
        <v>0</v>
      </c>
      <c r="B326" s="167"/>
      <c r="C326" s="885"/>
      <c r="D326" s="885"/>
      <c r="E326" s="888"/>
      <c r="F326" s="887"/>
      <c r="G326" s="885"/>
      <c r="H326" s="886"/>
      <c r="I326" s="888"/>
      <c r="J326" s="887"/>
      <c r="K326" s="885"/>
      <c r="L326" s="886"/>
      <c r="M326" s="240"/>
    </row>
    <row r="327" spans="1:13">
      <c r="A327" s="1000">
        <f t="shared" si="109"/>
        <v>0</v>
      </c>
      <c r="B327" s="167"/>
      <c r="C327" s="885"/>
      <c r="D327" s="885"/>
      <c r="E327" s="888"/>
      <c r="F327" s="887"/>
      <c r="G327" s="885"/>
      <c r="H327" s="886"/>
      <c r="I327" s="888"/>
      <c r="J327" s="887"/>
      <c r="K327" s="885"/>
      <c r="L327" s="886"/>
      <c r="M327" s="240"/>
    </row>
    <row r="328" spans="1:13">
      <c r="A328" s="1000">
        <f t="shared" si="109"/>
        <v>0</v>
      </c>
      <c r="B328" s="167"/>
      <c r="C328" s="885"/>
      <c r="D328" s="885"/>
      <c r="E328" s="888"/>
      <c r="F328" s="887"/>
      <c r="G328" s="885"/>
      <c r="H328" s="886"/>
      <c r="I328" s="888"/>
      <c r="J328" s="887"/>
      <c r="K328" s="885"/>
      <c r="L328" s="886"/>
      <c r="M328" s="240"/>
    </row>
    <row r="329" spans="1:13" ht="15" customHeight="1">
      <c r="A329" s="1000" t="str">
        <f t="shared" si="109"/>
        <v>Vote 15 - [NAME OF VOTE 15]</v>
      </c>
      <c r="B329" s="167"/>
      <c r="C329" s="832">
        <f t="shared" ref="C329:L329" si="112">SUM(C330:C339)</f>
        <v>0</v>
      </c>
      <c r="D329" s="832">
        <f t="shared" si="112"/>
        <v>0</v>
      </c>
      <c r="E329" s="833">
        <f t="shared" si="112"/>
        <v>0</v>
      </c>
      <c r="F329" s="834">
        <f t="shared" si="112"/>
        <v>0</v>
      </c>
      <c r="G329" s="832">
        <f t="shared" si="112"/>
        <v>0</v>
      </c>
      <c r="H329" s="833">
        <f t="shared" si="112"/>
        <v>0</v>
      </c>
      <c r="I329" s="835">
        <f t="shared" si="112"/>
        <v>0</v>
      </c>
      <c r="J329" s="834">
        <f t="shared" si="112"/>
        <v>0</v>
      </c>
      <c r="K329" s="832">
        <f t="shared" si="112"/>
        <v>0</v>
      </c>
      <c r="L329" s="833">
        <f t="shared" si="112"/>
        <v>0</v>
      </c>
      <c r="M329" s="240"/>
    </row>
    <row r="330" spans="1:13">
      <c r="A330" s="1000" t="str">
        <f t="shared" si="109"/>
        <v>15.1 - [Name of sub-vote]</v>
      </c>
      <c r="B330" s="167"/>
      <c r="C330" s="885"/>
      <c r="D330" s="885"/>
      <c r="E330" s="888"/>
      <c r="F330" s="887"/>
      <c r="G330" s="885"/>
      <c r="H330" s="886"/>
      <c r="I330" s="888"/>
      <c r="J330" s="887"/>
      <c r="K330" s="885"/>
      <c r="L330" s="886"/>
      <c r="M330" s="240"/>
    </row>
    <row r="331" spans="1:13">
      <c r="A331" s="1000">
        <f t="shared" si="109"/>
        <v>0</v>
      </c>
      <c r="B331" s="167"/>
      <c r="C331" s="885"/>
      <c r="D331" s="885"/>
      <c r="E331" s="888"/>
      <c r="F331" s="887"/>
      <c r="G331" s="885"/>
      <c r="H331" s="886"/>
      <c r="I331" s="888"/>
      <c r="J331" s="887"/>
      <c r="K331" s="885"/>
      <c r="L331" s="886"/>
      <c r="M331" s="240"/>
    </row>
    <row r="332" spans="1:13">
      <c r="A332" s="1000">
        <f t="shared" si="109"/>
        <v>0</v>
      </c>
      <c r="B332" s="167"/>
      <c r="C332" s="885"/>
      <c r="D332" s="885"/>
      <c r="E332" s="888"/>
      <c r="F332" s="887"/>
      <c r="G332" s="885"/>
      <c r="H332" s="886"/>
      <c r="I332" s="888"/>
      <c r="J332" s="887"/>
      <c r="K332" s="885"/>
      <c r="L332" s="886"/>
      <c r="M332" s="240"/>
    </row>
    <row r="333" spans="1:13">
      <c r="A333" s="1000">
        <f t="shared" si="109"/>
        <v>0</v>
      </c>
      <c r="B333" s="167"/>
      <c r="C333" s="885"/>
      <c r="D333" s="885"/>
      <c r="E333" s="888"/>
      <c r="F333" s="887"/>
      <c r="G333" s="885"/>
      <c r="H333" s="886"/>
      <c r="I333" s="888"/>
      <c r="J333" s="887"/>
      <c r="K333" s="885"/>
      <c r="L333" s="886"/>
      <c r="M333" s="240"/>
    </row>
    <row r="334" spans="1:13">
      <c r="A334" s="1000">
        <f t="shared" si="109"/>
        <v>0</v>
      </c>
      <c r="B334" s="167"/>
      <c r="C334" s="885"/>
      <c r="D334" s="885"/>
      <c r="E334" s="888"/>
      <c r="F334" s="887"/>
      <c r="G334" s="885"/>
      <c r="H334" s="886"/>
      <c r="I334" s="888"/>
      <c r="J334" s="887"/>
      <c r="K334" s="885"/>
      <c r="L334" s="886"/>
      <c r="M334" s="240"/>
    </row>
    <row r="335" spans="1:13">
      <c r="A335" s="1000">
        <f t="shared" si="109"/>
        <v>0</v>
      </c>
      <c r="B335" s="167"/>
      <c r="C335" s="885"/>
      <c r="D335" s="885"/>
      <c r="E335" s="888"/>
      <c r="F335" s="887"/>
      <c r="G335" s="885"/>
      <c r="H335" s="886"/>
      <c r="I335" s="888"/>
      <c r="J335" s="887"/>
      <c r="K335" s="885"/>
      <c r="L335" s="886"/>
      <c r="M335" s="240"/>
    </row>
    <row r="336" spans="1:13">
      <c r="A336" s="1000">
        <f t="shared" si="109"/>
        <v>0</v>
      </c>
      <c r="B336" s="167"/>
      <c r="C336" s="885"/>
      <c r="D336" s="885"/>
      <c r="E336" s="888"/>
      <c r="F336" s="887"/>
      <c r="G336" s="885"/>
      <c r="H336" s="886"/>
      <c r="I336" s="888"/>
      <c r="J336" s="887"/>
      <c r="K336" s="885"/>
      <c r="L336" s="886"/>
      <c r="M336" s="240"/>
    </row>
    <row r="337" spans="1:13">
      <c r="A337" s="1000">
        <f t="shared" si="109"/>
        <v>0</v>
      </c>
      <c r="B337" s="167"/>
      <c r="C337" s="885"/>
      <c r="D337" s="885"/>
      <c r="E337" s="888"/>
      <c r="F337" s="887"/>
      <c r="G337" s="885"/>
      <c r="H337" s="886"/>
      <c r="I337" s="888"/>
      <c r="J337" s="887"/>
      <c r="K337" s="885"/>
      <c r="L337" s="886"/>
      <c r="M337" s="240"/>
    </row>
    <row r="338" spans="1:13">
      <c r="A338" s="1000">
        <f t="shared" si="109"/>
        <v>0</v>
      </c>
      <c r="B338" s="167"/>
      <c r="C338" s="885"/>
      <c r="D338" s="885"/>
      <c r="E338" s="888"/>
      <c r="F338" s="887"/>
      <c r="G338" s="885"/>
      <c r="H338" s="886"/>
      <c r="I338" s="888"/>
      <c r="J338" s="887"/>
      <c r="K338" s="885"/>
      <c r="L338" s="886"/>
      <c r="M338" s="240"/>
    </row>
    <row r="339" spans="1:13">
      <c r="A339" s="1000">
        <f t="shared" si="109"/>
        <v>0</v>
      </c>
      <c r="B339" s="167"/>
      <c r="C339" s="885"/>
      <c r="D339" s="885"/>
      <c r="E339" s="888"/>
      <c r="F339" s="887"/>
      <c r="G339" s="885"/>
      <c r="H339" s="886"/>
      <c r="I339" s="888"/>
      <c r="J339" s="887"/>
      <c r="K339" s="885"/>
      <c r="L339" s="886"/>
      <c r="M339" s="240"/>
    </row>
    <row r="340" spans="1:13">
      <c r="A340" s="199" t="s">
        <v>1165</v>
      </c>
      <c r="B340" s="167"/>
      <c r="C340" s="75">
        <f>C175+C186+C197+C208+C219+C230+C241+C252+C263+C274+C285+C296+C307+C318+C329</f>
        <v>76418007.712280706</v>
      </c>
      <c r="D340" s="75">
        <f t="shared" ref="D340:L340" si="113">D175+D186+D197+D208+D219+D230+D241+D252+D263+D274+D285+D296+D307+D318+D329</f>
        <v>48901230.630000003</v>
      </c>
      <c r="E340" s="1368">
        <f t="shared" si="113"/>
        <v>103482438.51000001</v>
      </c>
      <c r="F340" s="1365">
        <f t="shared" si="113"/>
        <v>142719850</v>
      </c>
      <c r="G340" s="75">
        <f t="shared" si="113"/>
        <v>154392765</v>
      </c>
      <c r="H340" s="1368">
        <f t="shared" si="113"/>
        <v>154392765</v>
      </c>
      <c r="I340" s="1369">
        <f t="shared" si="113"/>
        <v>149686000.89999998</v>
      </c>
      <c r="J340" s="1365">
        <f t="shared" si="113"/>
        <v>130973050</v>
      </c>
      <c r="K340" s="75">
        <f t="shared" si="113"/>
        <v>106148700</v>
      </c>
      <c r="L340" s="75">
        <f t="shared" si="113"/>
        <v>112325232</v>
      </c>
      <c r="M340" s="240"/>
    </row>
    <row r="341" spans="1:13">
      <c r="A341" s="1350" t="s">
        <v>524</v>
      </c>
      <c r="B341" s="1105"/>
      <c r="C341" s="1106">
        <f>C171+C340</f>
        <v>76418007.712280706</v>
      </c>
      <c r="D341" s="1106">
        <f t="shared" ref="D341:L341" si="114">D171+D340</f>
        <v>48901230.630000003</v>
      </c>
      <c r="E341" s="1107">
        <f t="shared" si="114"/>
        <v>103482438.51000001</v>
      </c>
      <c r="F341" s="1108">
        <f t="shared" si="114"/>
        <v>142719850</v>
      </c>
      <c r="G341" s="1109">
        <f t="shared" si="114"/>
        <v>154392765</v>
      </c>
      <c r="H341" s="1110">
        <f t="shared" si="114"/>
        <v>154392765</v>
      </c>
      <c r="I341" s="1107">
        <f t="shared" si="114"/>
        <v>149686000.89999998</v>
      </c>
      <c r="J341" s="1108">
        <f t="shared" si="114"/>
        <v>130973050</v>
      </c>
      <c r="K341" s="1109">
        <f t="shared" si="114"/>
        <v>106148700</v>
      </c>
      <c r="L341" s="1110">
        <f t="shared" si="114"/>
        <v>112325232</v>
      </c>
      <c r="M341" s="240"/>
    </row>
    <row r="342" spans="1:13">
      <c r="M342" s="240"/>
    </row>
  </sheetData>
  <dataConsolidate/>
  <mergeCells count="5">
    <mergeCell ref="F2:I2"/>
    <mergeCell ref="J2:L2"/>
    <mergeCell ref="N2:Q2"/>
    <mergeCell ref="R2:U2"/>
    <mergeCell ref="V2:X2"/>
  </mergeCells>
  <phoneticPr fontId="5"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43" activePane="bottomRight" state="frozen"/>
      <selection pane="topRight"/>
      <selection pane="bottomLeft"/>
      <selection pane="bottomRight" activeCell="G19" sqref="G19"/>
    </sheetView>
  </sheetViews>
  <sheetFormatPr defaultColWidth="9.140625"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c r="A1" s="24" t="str">
        <f>muni&amp;" - "&amp;Approve6</f>
        <v>LIM333 Greater Tzaneen - Table A6 Consolidated Budgeted Financial Position</v>
      </c>
      <c r="B1" s="24"/>
      <c r="C1" s="24"/>
      <c r="D1" s="24"/>
      <c r="E1" s="24"/>
      <c r="F1" s="24"/>
      <c r="G1" s="24"/>
      <c r="H1" s="24"/>
      <c r="I1" s="24"/>
      <c r="J1" s="24"/>
      <c r="K1" s="24"/>
      <c r="L1" s="24"/>
    </row>
    <row r="2" spans="1:12" ht="28.5" customHeight="1">
      <c r="A2" s="831" t="str">
        <f>desc</f>
        <v>Description</v>
      </c>
      <c r="B2" s="288" t="str">
        <f>head27</f>
        <v>Ref</v>
      </c>
      <c r="C2" s="27" t="str">
        <f>head1b</f>
        <v>2016/17</v>
      </c>
      <c r="D2" s="27" t="str">
        <f>head1A</f>
        <v>2017/18</v>
      </c>
      <c r="E2" s="23" t="str">
        <f>Head1</f>
        <v>2018/19</v>
      </c>
      <c r="F2" s="2842" t="str">
        <f>Head2</f>
        <v>Current Year 2019/20</v>
      </c>
      <c r="G2" s="2843"/>
      <c r="H2" s="2843"/>
      <c r="I2" s="2843"/>
      <c r="J2" s="2839" t="str">
        <f>Head3</f>
        <v>2020/21 Medium Term Revenue &amp; Expenditure Framework</v>
      </c>
      <c r="K2" s="2840"/>
      <c r="L2" s="2841"/>
    </row>
    <row r="3" spans="1:12" ht="25.5">
      <c r="A3" s="57" t="s">
        <v>569</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row>
    <row r="4" spans="1:12" ht="11.25" customHeight="1">
      <c r="A4" s="199" t="s">
        <v>887</v>
      </c>
      <c r="B4" s="165"/>
      <c r="C4" s="184"/>
      <c r="D4" s="184"/>
      <c r="E4" s="187"/>
      <c r="F4" s="186"/>
      <c r="G4" s="184"/>
      <c r="H4" s="187"/>
      <c r="I4" s="185"/>
      <c r="J4" s="214"/>
      <c r="K4" s="184"/>
      <c r="L4" s="187"/>
    </row>
    <row r="5" spans="1:12" ht="11.25" customHeight="1">
      <c r="A5" s="199" t="s">
        <v>888</v>
      </c>
      <c r="B5" s="167"/>
      <c r="C5" s="80"/>
      <c r="D5" s="80"/>
      <c r="E5" s="81"/>
      <c r="F5" s="82"/>
      <c r="G5" s="80"/>
      <c r="H5" s="81"/>
      <c r="I5" s="79"/>
      <c r="J5" s="83"/>
      <c r="K5" s="1823"/>
      <c r="L5" s="81"/>
    </row>
    <row r="6" spans="1:12" ht="11.25" customHeight="1">
      <c r="A6" s="67" t="s">
        <v>600</v>
      </c>
      <c r="B6" s="167"/>
      <c r="C6" s="1951">
        <v>32550919.149999976</v>
      </c>
      <c r="D6" s="1951">
        <v>8056070</v>
      </c>
      <c r="E6" s="1960">
        <v>42450532</v>
      </c>
      <c r="F6" s="1961">
        <v>7240867.7669000998</v>
      </c>
      <c r="G6" s="1951">
        <v>80010608</v>
      </c>
      <c r="H6" s="1960">
        <v>42032597.030000053</v>
      </c>
      <c r="I6" s="1962">
        <v>42032597.030000053</v>
      </c>
      <c r="J6" s="1953">
        <v>43999999.901153475</v>
      </c>
      <c r="K6" s="1955">
        <v>44999999.850457318</v>
      </c>
      <c r="L6" s="1960">
        <v>45999999.840318911</v>
      </c>
    </row>
    <row r="7" spans="1:12" ht="11.25" customHeight="1">
      <c r="A7" s="67" t="s">
        <v>1337</v>
      </c>
      <c r="B7" s="167">
        <v>1</v>
      </c>
      <c r="C7" s="80">
        <f>'SA3'!C9</f>
        <v>0</v>
      </c>
      <c r="D7" s="80">
        <f>'SA3'!D9</f>
        <v>0</v>
      </c>
      <c r="E7" s="139">
        <f>'SA3'!E9</f>
        <v>0</v>
      </c>
      <c r="F7" s="82">
        <f>'SA3'!F9</f>
        <v>0</v>
      </c>
      <c r="G7" s="80">
        <f>'SA3'!G9</f>
        <v>0</v>
      </c>
      <c r="H7" s="139">
        <f>'SA3'!H9</f>
        <v>0</v>
      </c>
      <c r="I7" s="87">
        <f>'SA3'!I9</f>
        <v>0</v>
      </c>
      <c r="J7" s="88">
        <f>'SA3'!J9</f>
        <v>0</v>
      </c>
      <c r="K7" s="2349">
        <f>'SA3'!K9</f>
        <v>0</v>
      </c>
      <c r="L7" s="139">
        <f>'SA3'!L9</f>
        <v>0</v>
      </c>
    </row>
    <row r="8" spans="1:12" ht="11.25" customHeight="1">
      <c r="A8" s="67" t="s">
        <v>1335</v>
      </c>
      <c r="B8" s="167">
        <v>1</v>
      </c>
      <c r="C8" s="80">
        <f>'SA3'!C14</f>
        <v>107035129</v>
      </c>
      <c r="D8" s="80">
        <f>'SA3'!D14</f>
        <v>137321124</v>
      </c>
      <c r="E8" s="139">
        <f>'SA3'!E14</f>
        <v>101943854</v>
      </c>
      <c r="F8" s="82">
        <f>'SA3'!F14</f>
        <v>136461652.74019998</v>
      </c>
      <c r="G8" s="80">
        <f>'SA3'!G14</f>
        <v>136462048.22000003</v>
      </c>
      <c r="H8" s="139">
        <f>'SA3'!H14</f>
        <v>100542140.55000001</v>
      </c>
      <c r="I8" s="87">
        <f>'SA3'!I14</f>
        <v>100542140.55000001</v>
      </c>
      <c r="J8" s="88">
        <f>'SA3'!J14</f>
        <v>99048351.25150001</v>
      </c>
      <c r="K8" s="2349">
        <f>'SA3'!K14</f>
        <v>97016729.118314981</v>
      </c>
      <c r="L8" s="139">
        <f>'SA3'!L14</f>
        <v>94421071.941012979</v>
      </c>
    </row>
    <row r="9" spans="1:12" ht="11.25" customHeight="1">
      <c r="A9" s="67" t="s">
        <v>1336</v>
      </c>
      <c r="B9" s="167"/>
      <c r="C9" s="1951">
        <v>299512752</v>
      </c>
      <c r="D9" s="1951">
        <f>173357+233724774+43961106</f>
        <v>277859237</v>
      </c>
      <c r="E9" s="1960">
        <f>261219338+152382+37553080</f>
        <v>298924800</v>
      </c>
      <c r="F9" s="1961">
        <v>301225364.41460001</v>
      </c>
      <c r="G9" s="1951">
        <v>301225364.41460001</v>
      </c>
      <c r="H9" s="1960">
        <v>300437555</v>
      </c>
      <c r="I9" s="1962">
        <v>300437555</v>
      </c>
      <c r="J9" s="1953">
        <v>302706722.53839999</v>
      </c>
      <c r="K9" s="1955">
        <v>305006052.68067199</v>
      </c>
      <c r="L9" s="1960">
        <v>307335768.19617689</v>
      </c>
    </row>
    <row r="10" spans="1:12" ht="11.25" customHeight="1">
      <c r="A10" s="67" t="s">
        <v>601</v>
      </c>
      <c r="B10" s="167"/>
      <c r="C10" s="1951"/>
      <c r="D10" s="1951"/>
      <c r="E10" s="1960"/>
      <c r="F10" s="1968"/>
      <c r="G10" s="1964"/>
      <c r="H10" s="1967"/>
      <c r="I10" s="1962"/>
      <c r="J10" s="1970"/>
      <c r="K10" s="1966"/>
      <c r="L10" s="1967"/>
    </row>
    <row r="11" spans="1:12" ht="11.25" customHeight="1">
      <c r="A11" s="67" t="s">
        <v>1334</v>
      </c>
      <c r="B11" s="167">
        <v>2</v>
      </c>
      <c r="C11" s="1951">
        <v>14753202</v>
      </c>
      <c r="D11" s="1951">
        <v>19164420</v>
      </c>
      <c r="E11" s="1960">
        <v>18162335</v>
      </c>
      <c r="F11" s="1961">
        <v>164065271</v>
      </c>
      <c r="G11" s="1951">
        <v>21128773.050000001</v>
      </c>
      <c r="H11" s="1960">
        <v>19070452</v>
      </c>
      <c r="I11" s="1962">
        <v>19070452</v>
      </c>
      <c r="J11" s="1953">
        <v>19488796</v>
      </c>
      <c r="K11" s="1955">
        <v>20463236</v>
      </c>
      <c r="L11" s="1960">
        <v>21486398</v>
      </c>
    </row>
    <row r="12" spans="1:12" ht="11.25" customHeight="1">
      <c r="A12" s="215" t="s">
        <v>499</v>
      </c>
      <c r="B12" s="216"/>
      <c r="C12" s="150">
        <f t="shared" ref="C12:L12" si="0">SUM(C6:C11)</f>
        <v>453852002.14999998</v>
      </c>
      <c r="D12" s="150">
        <f t="shared" si="0"/>
        <v>442400851</v>
      </c>
      <c r="E12" s="151">
        <f t="shared" si="0"/>
        <v>461481521</v>
      </c>
      <c r="F12" s="152">
        <f t="shared" si="0"/>
        <v>608993155.92170012</v>
      </c>
      <c r="G12" s="150">
        <f t="shared" si="0"/>
        <v>538826793.6846</v>
      </c>
      <c r="H12" s="151">
        <f t="shared" si="0"/>
        <v>462082744.58000004</v>
      </c>
      <c r="I12" s="678">
        <f t="shared" si="0"/>
        <v>462082744.58000004</v>
      </c>
      <c r="J12" s="153">
        <f t="shared" si="0"/>
        <v>465243869.69105351</v>
      </c>
      <c r="K12" s="2350">
        <f t="shared" si="0"/>
        <v>467486017.64944428</v>
      </c>
      <c r="L12" s="151">
        <f t="shared" si="0"/>
        <v>469243237.97750878</v>
      </c>
    </row>
    <row r="13" spans="1:12" ht="4.9000000000000004" customHeight="1">
      <c r="A13" s="78"/>
      <c r="B13" s="167"/>
      <c r="C13" s="80"/>
      <c r="D13" s="80"/>
      <c r="E13" s="81"/>
      <c r="F13" s="82"/>
      <c r="G13" s="80"/>
      <c r="H13" s="81"/>
      <c r="I13" s="87"/>
      <c r="J13" s="83"/>
      <c r="K13" s="1823"/>
      <c r="L13" s="81"/>
    </row>
    <row r="14" spans="1:12" ht="11.25" customHeight="1">
      <c r="A14" s="199" t="s">
        <v>493</v>
      </c>
      <c r="B14" s="167"/>
      <c r="C14" s="80"/>
      <c r="D14" s="80"/>
      <c r="E14" s="81"/>
      <c r="F14" s="82"/>
      <c r="G14" s="80"/>
      <c r="H14" s="81"/>
      <c r="I14" s="87"/>
      <c r="J14" s="83"/>
      <c r="K14" s="1823"/>
      <c r="L14" s="81"/>
    </row>
    <row r="15" spans="1:12" ht="11.25" customHeight="1">
      <c r="A15" s="67" t="s">
        <v>1333</v>
      </c>
      <c r="B15" s="167"/>
      <c r="C15" s="1951"/>
      <c r="D15" s="1951"/>
      <c r="E15" s="1960"/>
      <c r="F15" s="1961"/>
      <c r="G15" s="1951"/>
      <c r="H15" s="1960"/>
      <c r="I15" s="1962"/>
      <c r="J15" s="1953"/>
      <c r="K15" s="1955"/>
      <c r="L15" s="1960"/>
    </row>
    <row r="16" spans="1:12" ht="11.25" customHeight="1">
      <c r="A16" s="67" t="s">
        <v>889</v>
      </c>
      <c r="B16" s="167"/>
      <c r="C16" s="1951">
        <v>25174276</v>
      </c>
      <c r="D16" s="1951">
        <v>26887398</v>
      </c>
      <c r="E16" s="1960">
        <v>31525083</v>
      </c>
      <c r="F16" s="1968">
        <v>36441071</v>
      </c>
      <c r="G16" s="1964">
        <v>33878623.323100001</v>
      </c>
      <c r="H16" s="1967">
        <v>19996318</v>
      </c>
      <c r="I16" s="1962">
        <v>19996318</v>
      </c>
      <c r="J16" s="1970">
        <v>21995950</v>
      </c>
      <c r="K16" s="1966">
        <v>24195545</v>
      </c>
      <c r="L16" s="1967">
        <v>26615100</v>
      </c>
    </row>
    <row r="17" spans="1:13" ht="11.25" customHeight="1">
      <c r="A17" s="67" t="s">
        <v>1332</v>
      </c>
      <c r="B17" s="167"/>
      <c r="C17" s="1951">
        <v>173182753</v>
      </c>
      <c r="D17" s="1951">
        <v>181377053</v>
      </c>
      <c r="E17" s="1960">
        <v>181377053</v>
      </c>
      <c r="F17" s="1961">
        <v>189057053</v>
      </c>
      <c r="G17" s="1951">
        <v>189057053</v>
      </c>
      <c r="H17" s="1960">
        <v>184377053</v>
      </c>
      <c r="I17" s="1962">
        <v>184377053</v>
      </c>
      <c r="J17" s="1953">
        <v>187377053</v>
      </c>
      <c r="K17" s="1955">
        <v>190377053</v>
      </c>
      <c r="L17" s="1960">
        <v>193377053</v>
      </c>
    </row>
    <row r="18" spans="1:13" ht="11.25" customHeight="1">
      <c r="A18" s="67" t="s">
        <v>673</v>
      </c>
      <c r="B18" s="167"/>
      <c r="C18" s="1951"/>
      <c r="D18" s="1951"/>
      <c r="E18" s="1960"/>
      <c r="F18" s="1961"/>
      <c r="G18" s="1951"/>
      <c r="H18" s="1960"/>
      <c r="I18" s="1962"/>
      <c r="J18" s="1953"/>
      <c r="K18" s="1955"/>
      <c r="L18" s="1960"/>
    </row>
    <row r="19" spans="1:13" ht="11.25" customHeight="1">
      <c r="A19" s="67" t="s">
        <v>1331</v>
      </c>
      <c r="B19" s="167">
        <v>3</v>
      </c>
      <c r="C19" s="80">
        <f>'SA3'!C26</f>
        <v>1610594138</v>
      </c>
      <c r="D19" s="80">
        <f>'SA3'!D26</f>
        <v>1486460143</v>
      </c>
      <c r="E19" s="139">
        <f>'SA3'!E26</f>
        <v>1455343521</v>
      </c>
      <c r="F19" s="82">
        <f>'SA3'!F26</f>
        <v>2877936892</v>
      </c>
      <c r="G19" s="80">
        <f>'SA3'!G26</f>
        <v>1820892892</v>
      </c>
      <c r="H19" s="81">
        <f>'SA3'!H26</f>
        <v>1626060157</v>
      </c>
      <c r="I19" s="79">
        <f>'SA3'!I26</f>
        <v>1625865157</v>
      </c>
      <c r="J19" s="83">
        <f>'SA3'!J26</f>
        <v>1766960840</v>
      </c>
      <c r="K19" s="1823">
        <f>'SA3'!K26</f>
        <v>1904094830</v>
      </c>
      <c r="L19" s="81">
        <f>'SA3'!L26</f>
        <v>2044038216</v>
      </c>
    </row>
    <row r="20" spans="1:13" ht="1.9" customHeight="1">
      <c r="A20" s="67"/>
      <c r="B20" s="167"/>
      <c r="C20" s="900"/>
      <c r="D20" s="900"/>
      <c r="E20" s="901"/>
      <c r="F20" s="902"/>
      <c r="G20" s="900"/>
      <c r="H20" s="901"/>
      <c r="I20" s="903"/>
      <c r="J20" s="904"/>
      <c r="K20" s="2580"/>
      <c r="L20" s="901"/>
    </row>
    <row r="21" spans="1:13" ht="11.25" customHeight="1">
      <c r="A21" s="67" t="s">
        <v>820</v>
      </c>
      <c r="B21" s="167"/>
      <c r="C21" s="1951"/>
      <c r="D21" s="1951">
        <v>195000</v>
      </c>
      <c r="E21" s="1960">
        <v>195000</v>
      </c>
      <c r="F21" s="1961"/>
      <c r="G21" s="1951"/>
      <c r="H21" s="1960"/>
      <c r="I21" s="1962"/>
      <c r="J21" s="1953"/>
      <c r="K21" s="1955"/>
      <c r="L21" s="1960"/>
    </row>
    <row r="22" spans="1:13" ht="11.25" customHeight="1">
      <c r="A22" s="67" t="s">
        <v>821</v>
      </c>
      <c r="B22" s="167"/>
      <c r="C22" s="1951">
        <v>1143105</v>
      </c>
      <c r="D22" s="1951">
        <v>1606954</v>
      </c>
      <c r="E22" s="1960">
        <v>1135137</v>
      </c>
      <c r="F22" s="1961">
        <v>5527498</v>
      </c>
      <c r="G22" s="1951">
        <v>1416824.3247999998</v>
      </c>
      <c r="H22" s="1960">
        <v>1067027</v>
      </c>
      <c r="I22" s="1962">
        <v>1067027</v>
      </c>
      <c r="J22" s="1953">
        <v>1003005</v>
      </c>
      <c r="K22" s="1955">
        <v>942825</v>
      </c>
      <c r="L22" s="1960">
        <v>886255</v>
      </c>
    </row>
    <row r="23" spans="1:13" ht="11.25" customHeight="1">
      <c r="A23" s="67" t="s">
        <v>1476</v>
      </c>
      <c r="B23" s="167"/>
      <c r="C23" s="1951"/>
      <c r="D23" s="1951"/>
      <c r="E23" s="1960"/>
      <c r="F23" s="1968"/>
      <c r="G23" s="1964"/>
      <c r="H23" s="1967"/>
      <c r="I23" s="1961">
        <v>195000</v>
      </c>
      <c r="J23" s="1970">
        <v>195000</v>
      </c>
      <c r="K23" s="1966">
        <v>195000</v>
      </c>
      <c r="L23" s="1967">
        <v>195000</v>
      </c>
    </row>
    <row r="24" spans="1:13" ht="11.25" customHeight="1">
      <c r="A24" s="215" t="s">
        <v>498</v>
      </c>
      <c r="B24" s="1206"/>
      <c r="C24" s="1205">
        <f>SUM(C15:C19)+SUM(C21:C23)</f>
        <v>1810094272</v>
      </c>
      <c r="D24" s="90">
        <f t="shared" ref="D24:L24" si="1">SUM(D15:D19)+SUM(D21:D23)</f>
        <v>1696526548</v>
      </c>
      <c r="E24" s="91">
        <f t="shared" si="1"/>
        <v>1669575794</v>
      </c>
      <c r="F24" s="92">
        <f t="shared" si="1"/>
        <v>3108962514</v>
      </c>
      <c r="G24" s="90">
        <f t="shared" si="1"/>
        <v>2045245392.6479001</v>
      </c>
      <c r="H24" s="91">
        <f t="shared" si="1"/>
        <v>1831500555</v>
      </c>
      <c r="I24" s="89">
        <f t="shared" si="1"/>
        <v>1831500555</v>
      </c>
      <c r="J24" s="93">
        <f t="shared" si="1"/>
        <v>1977531848</v>
      </c>
      <c r="K24" s="1205">
        <f t="shared" si="1"/>
        <v>2119805253</v>
      </c>
      <c r="L24" s="91">
        <f t="shared" si="1"/>
        <v>2265111624</v>
      </c>
    </row>
    <row r="25" spans="1:13" ht="11.25" customHeight="1">
      <c r="A25" s="215" t="s">
        <v>502</v>
      </c>
      <c r="B25" s="216"/>
      <c r="C25" s="150">
        <f>C12+C24</f>
        <v>2263946274.1500001</v>
      </c>
      <c r="D25" s="150">
        <f>D12+D24</f>
        <v>2138927399</v>
      </c>
      <c r="E25" s="151">
        <f>E12+E24</f>
        <v>2131057315</v>
      </c>
      <c r="F25" s="152">
        <f t="shared" ref="F25:L25" si="2">F12+F24</f>
        <v>3717955669.9217</v>
      </c>
      <c r="G25" s="150">
        <f t="shared" si="2"/>
        <v>2584072186.3325</v>
      </c>
      <c r="H25" s="151">
        <f t="shared" si="2"/>
        <v>2293583299.5799999</v>
      </c>
      <c r="I25" s="149">
        <f t="shared" si="2"/>
        <v>2293583299.5799999</v>
      </c>
      <c r="J25" s="153">
        <f t="shared" si="2"/>
        <v>2442775717.6910534</v>
      </c>
      <c r="K25" s="2350">
        <f t="shared" si="2"/>
        <v>2587291270.6494441</v>
      </c>
      <c r="L25" s="151">
        <f t="shared" si="2"/>
        <v>2734354861.9775085</v>
      </c>
    </row>
    <row r="26" spans="1:13" ht="4.9000000000000004" customHeight="1">
      <c r="A26" s="78"/>
      <c r="B26" s="167"/>
      <c r="C26" s="80"/>
      <c r="D26" s="80"/>
      <c r="E26" s="81"/>
      <c r="F26" s="82"/>
      <c r="G26" s="80"/>
      <c r="H26" s="81"/>
      <c r="I26" s="79"/>
      <c r="J26" s="83"/>
      <c r="K26" s="1823"/>
      <c r="L26" s="81"/>
    </row>
    <row r="27" spans="1:13" ht="11.25" customHeight="1">
      <c r="A27" s="199" t="s">
        <v>494</v>
      </c>
      <c r="B27" s="167"/>
      <c r="C27" s="80"/>
      <c r="D27" s="80"/>
      <c r="E27" s="81"/>
      <c r="F27" s="82"/>
      <c r="G27" s="80"/>
      <c r="H27" s="81"/>
      <c r="I27" s="79"/>
      <c r="J27" s="83"/>
      <c r="K27" s="1823"/>
      <c r="L27" s="81"/>
    </row>
    <row r="28" spans="1:13" ht="11.25" customHeight="1">
      <c r="A28" s="199" t="s">
        <v>890</v>
      </c>
      <c r="B28" s="169"/>
      <c r="C28" s="80"/>
      <c r="D28" s="80"/>
      <c r="E28" s="81"/>
      <c r="F28" s="82"/>
      <c r="G28" s="80"/>
      <c r="H28" s="81"/>
      <c r="I28" s="79"/>
      <c r="J28" s="83"/>
      <c r="K28" s="1823"/>
      <c r="L28" s="81"/>
    </row>
    <row r="29" spans="1:13" ht="11.25" customHeight="1">
      <c r="A29" s="67" t="s">
        <v>1134</v>
      </c>
      <c r="B29" s="167">
        <v>1</v>
      </c>
      <c r="C29" s="1951"/>
      <c r="D29" s="1951"/>
      <c r="E29" s="1960"/>
      <c r="F29" s="1961"/>
      <c r="G29" s="1951"/>
      <c r="H29" s="1960"/>
      <c r="I29" s="1962"/>
      <c r="J29" s="1953"/>
      <c r="K29" s="1955"/>
      <c r="L29" s="1960"/>
    </row>
    <row r="30" spans="1:13" ht="11.25" customHeight="1">
      <c r="A30" s="67" t="s">
        <v>1122</v>
      </c>
      <c r="B30" s="167">
        <v>4</v>
      </c>
      <c r="C30" s="80">
        <f>'SA3'!C32</f>
        <v>17075913</v>
      </c>
      <c r="D30" s="80">
        <f>'SA3'!D32</f>
        <v>10725007</v>
      </c>
      <c r="E30" s="139">
        <f>'SA3'!E32</f>
        <v>22810651</v>
      </c>
      <c r="F30" s="82">
        <f>'SA3'!F32</f>
        <v>-9818010</v>
      </c>
      <c r="G30" s="80">
        <f>'SA3'!G32</f>
        <v>9818010.3850491252</v>
      </c>
      <c r="H30" s="81">
        <f>'SA3'!H32</f>
        <v>9219179</v>
      </c>
      <c r="I30" s="79">
        <f>'SA3'!I32</f>
        <v>9219179</v>
      </c>
      <c r="J30" s="83">
        <f>'SA3'!J32</f>
        <v>12994722</v>
      </c>
      <c r="K30" s="1823">
        <f>'SA3'!K32</f>
        <v>14107133</v>
      </c>
      <c r="L30" s="81">
        <f>'SA3'!L32</f>
        <v>15316584</v>
      </c>
    </row>
    <row r="31" spans="1:13" ht="11.25" customHeight="1">
      <c r="A31" s="67" t="s">
        <v>1328</v>
      </c>
      <c r="B31" s="167"/>
      <c r="C31" s="1951">
        <v>23129385</v>
      </c>
      <c r="D31" s="1951">
        <v>26858463</v>
      </c>
      <c r="E31" s="1960">
        <v>27068007</v>
      </c>
      <c r="F31" s="1961">
        <v>-29058463</v>
      </c>
      <c r="G31" s="1951">
        <v>29058463</v>
      </c>
      <c r="H31" s="1960">
        <v>27277551</v>
      </c>
      <c r="I31" s="1962">
        <v>27277551</v>
      </c>
      <c r="J31" s="1953">
        <v>27487095</v>
      </c>
      <c r="K31" s="1955">
        <v>27696639</v>
      </c>
      <c r="L31" s="1960">
        <v>27906183</v>
      </c>
      <c r="M31" s="240"/>
    </row>
    <row r="32" spans="1:13" ht="11.25" customHeight="1">
      <c r="A32" s="67" t="s">
        <v>602</v>
      </c>
      <c r="B32" s="167">
        <v>4</v>
      </c>
      <c r="C32" s="80">
        <f>'SA3'!C39</f>
        <v>236086710</v>
      </c>
      <c r="D32" s="80">
        <f>'SA3'!D39</f>
        <v>255678087</v>
      </c>
      <c r="E32" s="139">
        <f>'SA3'!E39</f>
        <v>284123339</v>
      </c>
      <c r="F32" s="128">
        <f>'SA3'!F39</f>
        <v>247511222.12715</v>
      </c>
      <c r="G32" s="80">
        <f>'SA3'!G39</f>
        <v>247511222.12715</v>
      </c>
      <c r="H32" s="81">
        <f>'SA3'!H39</f>
        <v>273677429</v>
      </c>
      <c r="I32" s="79">
        <f>'SA3'!I39</f>
        <v>273677429</v>
      </c>
      <c r="J32" s="83">
        <f>'SA3'!J39</f>
        <v>277304930</v>
      </c>
      <c r="K32" s="1823">
        <f>'SA3'!K39</f>
        <v>281466596</v>
      </c>
      <c r="L32" s="81">
        <f>'SA3'!L39</f>
        <v>284047057</v>
      </c>
      <c r="M32" s="240"/>
    </row>
    <row r="33" spans="1:15" ht="11.25" customHeight="1">
      <c r="A33" s="67" t="s">
        <v>891</v>
      </c>
      <c r="B33" s="167"/>
      <c r="C33" s="1951"/>
      <c r="D33" s="1951"/>
      <c r="E33" s="1960"/>
      <c r="F33" s="1961">
        <v>-500815</v>
      </c>
      <c r="G33" s="1951">
        <v>500815.48639999999</v>
      </c>
      <c r="H33" s="1960">
        <v>1005590</v>
      </c>
      <c r="I33" s="1962">
        <v>1005590</v>
      </c>
      <c r="J33" s="1953">
        <v>1065926</v>
      </c>
      <c r="K33" s="1955">
        <v>1129881</v>
      </c>
      <c r="L33" s="1960">
        <v>1197674</v>
      </c>
      <c r="M33" s="240"/>
    </row>
    <row r="34" spans="1:15" ht="11.25" customHeight="1">
      <c r="A34" s="215" t="s">
        <v>497</v>
      </c>
      <c r="B34" s="216"/>
      <c r="C34" s="150">
        <f t="shared" ref="C34:L34" si="3">SUM(C29:C33)</f>
        <v>276292008</v>
      </c>
      <c r="D34" s="150">
        <f t="shared" si="3"/>
        <v>293261557</v>
      </c>
      <c r="E34" s="151">
        <f t="shared" si="3"/>
        <v>334001997</v>
      </c>
      <c r="F34" s="152">
        <f t="shared" si="3"/>
        <v>208133934.12715</v>
      </c>
      <c r="G34" s="150">
        <f t="shared" si="3"/>
        <v>286888510.99859911</v>
      </c>
      <c r="H34" s="151">
        <f t="shared" si="3"/>
        <v>311179749</v>
      </c>
      <c r="I34" s="149">
        <f t="shared" si="3"/>
        <v>311179749</v>
      </c>
      <c r="J34" s="153">
        <f t="shared" si="3"/>
        <v>318852673</v>
      </c>
      <c r="K34" s="2350">
        <f t="shared" si="3"/>
        <v>324400249</v>
      </c>
      <c r="L34" s="151">
        <f t="shared" si="3"/>
        <v>328467498</v>
      </c>
      <c r="M34" s="240"/>
    </row>
    <row r="35" spans="1:15" ht="4.9000000000000004" customHeight="1">
      <c r="A35" s="78"/>
      <c r="B35" s="167"/>
      <c r="C35" s="80"/>
      <c r="D35" s="80"/>
      <c r="E35" s="81"/>
      <c r="F35" s="82"/>
      <c r="G35" s="80"/>
      <c r="H35" s="81"/>
      <c r="I35" s="79"/>
      <c r="J35" s="83"/>
      <c r="K35" s="1823"/>
      <c r="L35" s="81"/>
      <c r="M35" s="240"/>
    </row>
    <row r="36" spans="1:15" ht="11.25" customHeight="1">
      <c r="A36" s="199" t="s">
        <v>495</v>
      </c>
      <c r="B36" s="167"/>
      <c r="C36" s="80"/>
      <c r="D36" s="80"/>
      <c r="E36" s="81"/>
      <c r="F36" s="82"/>
      <c r="G36" s="80"/>
      <c r="H36" s="81"/>
      <c r="I36" s="79"/>
      <c r="J36" s="83"/>
      <c r="K36" s="1823"/>
      <c r="L36" s="81"/>
      <c r="M36" s="240"/>
    </row>
    <row r="37" spans="1:15" ht="11.25" customHeight="1">
      <c r="A37" s="67" t="s">
        <v>1122</v>
      </c>
      <c r="B37" s="167"/>
      <c r="C37" s="80">
        <f>'SA3'!C44</f>
        <v>106219600</v>
      </c>
      <c r="D37" s="80">
        <f>'SA3'!D44</f>
        <v>93059239</v>
      </c>
      <c r="E37" s="139">
        <f>'SA3'!E44</f>
        <v>114196650</v>
      </c>
      <c r="F37" s="82">
        <f>'SA3'!F44</f>
        <v>-320502103</v>
      </c>
      <c r="G37" s="80">
        <f>'SA3'!G44</f>
        <v>113337810.80647588</v>
      </c>
      <c r="H37" s="81">
        <f>'SA3'!H44</f>
        <v>127827472</v>
      </c>
      <c r="I37" s="79">
        <f>'SA3'!I44</f>
        <v>127827472</v>
      </c>
      <c r="J37" s="83">
        <f>'SA3'!J44</f>
        <v>145477165.59999999</v>
      </c>
      <c r="K37" s="1823">
        <f>'SA3'!K44</f>
        <v>132194074.04000001</v>
      </c>
      <c r="L37" s="81">
        <f>'SA3'!L44</f>
        <v>117885160.836</v>
      </c>
      <c r="M37" s="240"/>
    </row>
    <row r="38" spans="1:15" ht="11.25" customHeight="1">
      <c r="A38" s="67" t="s">
        <v>891</v>
      </c>
      <c r="B38" s="167"/>
      <c r="C38" s="80">
        <f>'SA3'!C51</f>
        <v>88429031</v>
      </c>
      <c r="D38" s="80">
        <f>'SA3'!D51</f>
        <v>88448042</v>
      </c>
      <c r="E38" s="139">
        <f>'SA3'!E51</f>
        <v>86563849</v>
      </c>
      <c r="F38" s="82">
        <f>'SA3'!F51</f>
        <v>-86383353.128000006</v>
      </c>
      <c r="G38" s="80">
        <f>'SA3'!G51</f>
        <v>86383353.128000006</v>
      </c>
      <c r="H38" s="81">
        <f>'SA3'!H51</f>
        <v>86664568</v>
      </c>
      <c r="I38" s="79">
        <f>'SA3'!I51</f>
        <v>86664568</v>
      </c>
      <c r="J38" s="83">
        <f>'SA3'!J51</f>
        <v>86602465</v>
      </c>
      <c r="K38" s="1823">
        <f>'SA3'!K51</f>
        <v>86367912</v>
      </c>
      <c r="L38" s="81">
        <f>'SA3'!L51</f>
        <v>85950892</v>
      </c>
      <c r="M38" s="240"/>
    </row>
    <row r="39" spans="1:15" ht="11.25" customHeight="1">
      <c r="A39" s="215" t="s">
        <v>496</v>
      </c>
      <c r="B39" s="1206"/>
      <c r="C39" s="1205">
        <f>SUM(C37:C38)</f>
        <v>194648631</v>
      </c>
      <c r="D39" s="90">
        <f>SUM(D37:D38)</f>
        <v>181507281</v>
      </c>
      <c r="E39" s="91">
        <f>SUM(E37:E38)</f>
        <v>200760499</v>
      </c>
      <c r="F39" s="92">
        <f t="shared" ref="F39:L39" si="4">SUM(F37:F38)</f>
        <v>-406885456.12800002</v>
      </c>
      <c r="G39" s="90">
        <f t="shared" si="4"/>
        <v>199721163.9344759</v>
      </c>
      <c r="H39" s="91">
        <f t="shared" si="4"/>
        <v>214492040</v>
      </c>
      <c r="I39" s="92">
        <f t="shared" si="4"/>
        <v>214492040</v>
      </c>
      <c r="J39" s="93">
        <f t="shared" si="4"/>
        <v>232079630.59999999</v>
      </c>
      <c r="K39" s="1205">
        <f>SUM(K37:K38)</f>
        <v>218561986.04000002</v>
      </c>
      <c r="L39" s="91">
        <f t="shared" si="4"/>
        <v>203836052.836</v>
      </c>
    </row>
    <row r="40" spans="1:15" ht="11.25" customHeight="1">
      <c r="A40" s="215" t="s">
        <v>943</v>
      </c>
      <c r="B40" s="216"/>
      <c r="C40" s="150">
        <f>C34+C39</f>
        <v>470940639</v>
      </c>
      <c r="D40" s="150">
        <f>D34+D39</f>
        <v>474768838</v>
      </c>
      <c r="E40" s="151">
        <f>E34+E39</f>
        <v>534762496</v>
      </c>
      <c r="F40" s="152">
        <f t="shared" ref="F40:L40" si="5">F34+F39</f>
        <v>-198751522.00085002</v>
      </c>
      <c r="G40" s="150">
        <f t="shared" si="5"/>
        <v>486609674.93307501</v>
      </c>
      <c r="H40" s="151">
        <f t="shared" si="5"/>
        <v>525671789</v>
      </c>
      <c r="I40" s="149">
        <f t="shared" si="5"/>
        <v>525671789</v>
      </c>
      <c r="J40" s="153">
        <f t="shared" si="5"/>
        <v>550932303.60000002</v>
      </c>
      <c r="K40" s="2350">
        <f>K34+K39</f>
        <v>542962235.03999996</v>
      </c>
      <c r="L40" s="151">
        <f t="shared" si="5"/>
        <v>532303550.83599997</v>
      </c>
    </row>
    <row r="41" spans="1:15" s="123" customFormat="1" ht="4.5" customHeight="1">
      <c r="A41" s="78"/>
      <c r="B41" s="167"/>
      <c r="C41" s="80"/>
      <c r="D41" s="80"/>
      <c r="E41" s="81"/>
      <c r="F41" s="82"/>
      <c r="G41" s="80"/>
      <c r="H41" s="81"/>
      <c r="I41" s="79"/>
      <c r="J41" s="83"/>
      <c r="K41" s="1823"/>
      <c r="L41" s="81"/>
      <c r="O41" s="26"/>
    </row>
    <row r="42" spans="1:15" ht="11.25" customHeight="1">
      <c r="A42" s="219" t="s">
        <v>501</v>
      </c>
      <c r="B42" s="220">
        <v>5</v>
      </c>
      <c r="C42" s="157">
        <f t="shared" ref="C42:L42" si="6">C25-C40</f>
        <v>1793005635.1500001</v>
      </c>
      <c r="D42" s="157">
        <f t="shared" si="6"/>
        <v>1664158561</v>
      </c>
      <c r="E42" s="158">
        <f t="shared" si="6"/>
        <v>1596294819</v>
      </c>
      <c r="F42" s="159">
        <f t="shared" si="6"/>
        <v>3916707191.9225502</v>
      </c>
      <c r="G42" s="157">
        <f t="shared" si="6"/>
        <v>2097462511.399425</v>
      </c>
      <c r="H42" s="158">
        <f t="shared" si="6"/>
        <v>1767911510.5799999</v>
      </c>
      <c r="I42" s="156">
        <f t="shared" si="6"/>
        <v>1767911510.5799999</v>
      </c>
      <c r="J42" s="160">
        <f t="shared" si="6"/>
        <v>1891843414.0910535</v>
      </c>
      <c r="K42" s="2351">
        <f t="shared" si="6"/>
        <v>2044329035.6094441</v>
      </c>
      <c r="L42" s="158">
        <f t="shared" si="6"/>
        <v>2202051311.1415086</v>
      </c>
    </row>
    <row r="43" spans="1:15" ht="4.9000000000000004" customHeight="1">
      <c r="A43" s="78"/>
      <c r="B43" s="167"/>
      <c r="C43" s="80"/>
      <c r="D43" s="80"/>
      <c r="E43" s="81"/>
      <c r="F43" s="82"/>
      <c r="G43" s="80"/>
      <c r="H43" s="81"/>
      <c r="I43" s="79"/>
      <c r="J43" s="83"/>
      <c r="K43" s="1823"/>
      <c r="L43" s="81"/>
    </row>
    <row r="44" spans="1:15" ht="11.25" customHeight="1">
      <c r="A44" s="206" t="s">
        <v>500</v>
      </c>
      <c r="B44" s="167"/>
      <c r="C44" s="80"/>
      <c r="D44" s="80"/>
      <c r="E44" s="81"/>
      <c r="F44" s="82"/>
      <c r="G44" s="80"/>
      <c r="H44" s="81"/>
      <c r="I44" s="79"/>
      <c r="J44" s="83"/>
      <c r="K44" s="1823"/>
      <c r="L44" s="81"/>
    </row>
    <row r="45" spans="1:15" ht="11.25" customHeight="1">
      <c r="A45" s="67" t="s">
        <v>363</v>
      </c>
      <c r="B45" s="167"/>
      <c r="C45" s="1951">
        <v>1793005635.1500001</v>
      </c>
      <c r="D45" s="1951">
        <v>1664158561</v>
      </c>
      <c r="E45" s="1960">
        <v>1596294819</v>
      </c>
      <c r="F45" s="1961">
        <v>2094552565</v>
      </c>
      <c r="G45" s="1951">
        <v>2097462511.399425</v>
      </c>
      <c r="H45" s="1960">
        <v>1767911510.5799999</v>
      </c>
      <c r="I45" s="1962">
        <v>1767911510.5799999</v>
      </c>
      <c r="J45" s="1953">
        <v>1891843414.0910535</v>
      </c>
      <c r="K45" s="1955">
        <v>2044329035.6094441</v>
      </c>
      <c r="L45" s="1960">
        <v>2202051311.1415086</v>
      </c>
    </row>
    <row r="46" spans="1:15" ht="11.25" customHeight="1">
      <c r="A46" s="67" t="s">
        <v>641</v>
      </c>
      <c r="B46" s="167">
        <v>4</v>
      </c>
      <c r="C46" s="80">
        <f>'SA3'!C70</f>
        <v>0</v>
      </c>
      <c r="D46" s="80">
        <f>'SA3'!D70</f>
        <v>0</v>
      </c>
      <c r="E46" s="139">
        <f>'SA3'!E70</f>
        <v>0</v>
      </c>
      <c r="F46" s="128">
        <f>'SA3'!F70</f>
        <v>-82866551</v>
      </c>
      <c r="G46" s="80">
        <f>'SA3'!G70</f>
        <v>0</v>
      </c>
      <c r="H46" s="81">
        <f>'SA3'!H70</f>
        <v>0</v>
      </c>
      <c r="I46" s="79">
        <f>'SA3'!I70</f>
        <v>0</v>
      </c>
      <c r="J46" s="83">
        <f>'SA3'!J70</f>
        <v>0</v>
      </c>
      <c r="K46" s="1823">
        <f>'SA3'!K70</f>
        <v>0</v>
      </c>
      <c r="L46" s="81">
        <f>'SA3'!L70</f>
        <v>0</v>
      </c>
    </row>
    <row r="47" spans="1:15" ht="1.9" customHeight="1">
      <c r="A47" s="67"/>
      <c r="B47" s="167"/>
      <c r="C47" s="900"/>
      <c r="D47" s="900"/>
      <c r="E47" s="901"/>
      <c r="F47" s="902"/>
      <c r="G47" s="900"/>
      <c r="H47" s="901"/>
      <c r="I47" s="903"/>
      <c r="J47" s="904"/>
      <c r="K47" s="2580"/>
      <c r="L47" s="901"/>
    </row>
    <row r="48" spans="1:15">
      <c r="A48" s="101" t="s">
        <v>944</v>
      </c>
      <c r="B48" s="179">
        <v>5</v>
      </c>
      <c r="C48" s="107">
        <f>SUM(C45:C46)</f>
        <v>1793005635.1500001</v>
      </c>
      <c r="D48" s="107">
        <f t="shared" ref="D48:L48" si="7">SUM(D45:D46)</f>
        <v>1664158561</v>
      </c>
      <c r="E48" s="105">
        <f t="shared" si="7"/>
        <v>1596294819</v>
      </c>
      <c r="F48" s="106">
        <f t="shared" si="7"/>
        <v>2011686014</v>
      </c>
      <c r="G48" s="107">
        <f t="shared" si="7"/>
        <v>2097462511.399425</v>
      </c>
      <c r="H48" s="105">
        <f t="shared" si="7"/>
        <v>1767911510.5799999</v>
      </c>
      <c r="I48" s="108">
        <f t="shared" si="7"/>
        <v>1767911510.5799999</v>
      </c>
      <c r="J48" s="109">
        <f t="shared" si="7"/>
        <v>1891843414.0910535</v>
      </c>
      <c r="K48" s="2352">
        <f t="shared" si="7"/>
        <v>2044329035.6094441</v>
      </c>
      <c r="L48" s="105">
        <f t="shared" si="7"/>
        <v>2202051311.1415086</v>
      </c>
    </row>
    <row r="49" spans="1:14" s="576" customFormat="1">
      <c r="A49" s="1063" t="str">
        <f>head27a</f>
        <v>References</v>
      </c>
      <c r="B49" s="1024"/>
      <c r="C49" s="1027"/>
      <c r="D49" s="1027"/>
      <c r="E49" s="1027"/>
      <c r="F49" s="1027"/>
      <c r="G49" s="1027"/>
      <c r="H49" s="1027"/>
      <c r="I49" s="1027"/>
      <c r="J49" s="1027"/>
      <c r="K49" s="1027"/>
      <c r="L49" s="1027"/>
    </row>
    <row r="50" spans="1:14" s="576" customFormat="1">
      <c r="A50" s="2863" t="s">
        <v>1278</v>
      </c>
      <c r="B50" s="2863"/>
      <c r="C50" s="2863"/>
      <c r="D50" s="2863"/>
      <c r="E50" s="2863"/>
      <c r="F50" s="2863"/>
      <c r="G50" s="2863"/>
      <c r="H50" s="2863"/>
      <c r="I50" s="2863"/>
      <c r="J50" s="2863"/>
      <c r="K50" s="2863"/>
      <c r="L50" s="2863"/>
    </row>
    <row r="51" spans="1:14" s="576" customFormat="1" ht="12.75" customHeight="1">
      <c r="A51" s="1025" t="s">
        <v>923</v>
      </c>
      <c r="B51" s="1025"/>
      <c r="C51" s="1025"/>
      <c r="D51" s="1025"/>
      <c r="E51" s="1025"/>
      <c r="F51" s="1025"/>
      <c r="G51" s="1025"/>
      <c r="H51" s="1025"/>
      <c r="I51" s="1025"/>
      <c r="J51" s="1025"/>
      <c r="K51" s="1025"/>
      <c r="L51" s="1025"/>
    </row>
    <row r="52" spans="1:14" s="576" customFormat="1" ht="12.75" customHeight="1">
      <c r="A52" s="1025" t="s">
        <v>1579</v>
      </c>
      <c r="B52" s="1025"/>
      <c r="C52" s="1025"/>
      <c r="D52" s="1025"/>
      <c r="E52" s="1025"/>
      <c r="F52" s="1025"/>
      <c r="G52" s="1025"/>
      <c r="H52" s="1025"/>
      <c r="I52" s="1025"/>
      <c r="J52" s="1025"/>
      <c r="K52" s="1025"/>
      <c r="L52" s="1025"/>
    </row>
    <row r="53" spans="1:14" s="576" customFormat="1" ht="12.75" customHeight="1">
      <c r="A53" s="1025" t="s">
        <v>384</v>
      </c>
      <c r="B53" s="1025"/>
      <c r="C53" s="1025"/>
      <c r="D53" s="1025"/>
      <c r="E53" s="990"/>
      <c r="F53" s="990"/>
      <c r="G53" s="1025"/>
      <c r="H53" s="1025"/>
      <c r="I53" s="1025"/>
      <c r="J53" s="1025"/>
      <c r="K53" s="1025"/>
      <c r="L53" s="1025"/>
    </row>
    <row r="54" spans="1:14" s="576" customFormat="1" ht="11.25" customHeight="1">
      <c r="A54" s="1025" t="s">
        <v>114</v>
      </c>
      <c r="B54" s="1024"/>
      <c r="C54" s="1026"/>
      <c r="D54" s="1026"/>
      <c r="E54" s="1027"/>
      <c r="F54" s="1027"/>
      <c r="G54" s="1027"/>
      <c r="H54" s="1027"/>
      <c r="I54" s="1027"/>
      <c r="J54" s="1027"/>
      <c r="K54" s="1027"/>
      <c r="L54" s="1027"/>
    </row>
    <row r="55" spans="1:14" ht="11.25" customHeight="1">
      <c r="A55" s="1094" t="s">
        <v>248</v>
      </c>
      <c r="B55" s="1024"/>
      <c r="C55" s="1098">
        <f>IF((C42-C48)=0,0,"Unbalanced")</f>
        <v>0</v>
      </c>
      <c r="D55" s="1098">
        <f t="shared" ref="D55:L55" si="8">IF((D42-D48)=0,0,"Unbalanced")</f>
        <v>0</v>
      </c>
      <c r="E55" s="1098">
        <f t="shared" si="8"/>
        <v>0</v>
      </c>
      <c r="F55" s="1098"/>
      <c r="G55" s="1098">
        <f t="shared" si="8"/>
        <v>0</v>
      </c>
      <c r="H55" s="1098">
        <f t="shared" si="8"/>
        <v>0</v>
      </c>
      <c r="I55" s="1098">
        <f t="shared" si="8"/>
        <v>0</v>
      </c>
      <c r="J55" s="1098">
        <f t="shared" si="8"/>
        <v>0</v>
      </c>
      <c r="K55" s="1098">
        <f t="shared" si="8"/>
        <v>0</v>
      </c>
      <c r="L55" s="1098">
        <f t="shared" si="8"/>
        <v>0</v>
      </c>
      <c r="M55" s="123"/>
      <c r="N55" s="123"/>
    </row>
    <row r="56" spans="1:14" ht="11.25" customHeight="1"/>
    <row r="57" spans="1:14" ht="11.25" customHeight="1">
      <c r="B57" s="26"/>
    </row>
    <row r="58" spans="1:14" ht="11.25" customHeight="1">
      <c r="B58" s="26"/>
    </row>
    <row r="59" spans="1:14" ht="11.25" customHeight="1">
      <c r="B59" s="26"/>
    </row>
    <row r="60" spans="1:14" ht="11.25" customHeight="1">
      <c r="B60" s="26"/>
    </row>
    <row r="61" spans="1:14" ht="11.25" customHeight="1"/>
    <row r="62" spans="1:14" ht="11.25" customHeight="1"/>
    <row r="63" spans="1:14" ht="11.25" customHeight="1"/>
    <row r="64" spans="1:14" ht="11.25" customHeight="1"/>
    <row r="65" spans="2:12" ht="11.25" customHeight="1"/>
    <row r="66" spans="2:12" ht="11.25" customHeight="1"/>
    <row r="67" spans="2:12" ht="11.25" customHeight="1"/>
    <row r="68" spans="2:12" ht="11.25" customHeight="1"/>
    <row r="69" spans="2:12" ht="11.25" customHeight="1"/>
    <row r="70" spans="2:12" ht="11.25" customHeight="1"/>
    <row r="71" spans="2:12" s="328" customFormat="1" ht="11.25" customHeight="1">
      <c r="B71" s="667"/>
      <c r="C71" s="1922"/>
      <c r="D71" s="1923"/>
      <c r="E71" s="1923"/>
      <c r="F71" s="1923"/>
      <c r="G71" s="1923"/>
      <c r="H71" s="1923"/>
      <c r="I71" s="1923"/>
      <c r="J71" s="1923"/>
      <c r="K71" s="1923"/>
      <c r="L71" s="1923"/>
    </row>
    <row r="72" spans="2:12" ht="11.25" customHeight="1"/>
    <row r="73" spans="2:12" ht="11.25" customHeight="1"/>
    <row r="74" spans="2:12" ht="11.25" customHeight="1"/>
    <row r="75" spans="2:12" ht="11.25" customHeight="1"/>
    <row r="76" spans="2:12" ht="11.25" customHeight="1"/>
    <row r="77" spans="2:12" ht="11.25" customHeight="1"/>
    <row r="78" spans="2:12" ht="11.25" customHeight="1"/>
    <row r="79" spans="2:12" ht="11.25" customHeight="1"/>
    <row r="80" spans="2:1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sheetData>
  <mergeCells count="3">
    <mergeCell ref="A50:L50"/>
    <mergeCell ref="J2:L2"/>
    <mergeCell ref="F2:I2"/>
  </mergeCells>
  <phoneticPr fontId="5"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34" activePane="bottomRight" state="frozen"/>
      <selection pane="topRight"/>
      <selection pane="bottomLeft"/>
      <selection pane="bottomRight" activeCell="D36" sqref="D36"/>
    </sheetView>
  </sheetViews>
  <sheetFormatPr defaultColWidth="9.140625"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c r="A1" s="24" t="str">
        <f>muni&amp;" - "&amp;Approve7</f>
        <v>LIM333 Greater Tzaneen - Table A7 Consolidated Budgeted Cash Flows</v>
      </c>
      <c r="B1" s="24"/>
      <c r="C1" s="24"/>
      <c r="D1" s="24"/>
      <c r="E1" s="24"/>
      <c r="F1" s="24"/>
      <c r="G1" s="24"/>
      <c r="H1" s="24"/>
      <c r="I1" s="24"/>
      <c r="J1" s="24"/>
      <c r="K1" s="24"/>
      <c r="L1" s="24"/>
    </row>
    <row r="2" spans="1:12" ht="28.5" customHeight="1">
      <c r="A2" s="831" t="str">
        <f>desc</f>
        <v>Description</v>
      </c>
      <c r="B2" s="288" t="str">
        <f>head27</f>
        <v>Ref</v>
      </c>
      <c r="C2" s="27" t="str">
        <f>head1b</f>
        <v>2016/17</v>
      </c>
      <c r="D2" s="27" t="str">
        <f>head1A</f>
        <v>2017/18</v>
      </c>
      <c r="E2" s="23" t="str">
        <f>Head1</f>
        <v>2018/19</v>
      </c>
      <c r="F2" s="2842" t="str">
        <f>Head2</f>
        <v>Current Year 2019/20</v>
      </c>
      <c r="G2" s="2843"/>
      <c r="H2" s="2843"/>
      <c r="I2" s="2843"/>
      <c r="J2" s="2839" t="str">
        <f>Head3</f>
        <v>2020/21 Medium Term Revenue &amp; Expenditure Framework</v>
      </c>
      <c r="K2" s="2840"/>
      <c r="L2" s="2841"/>
    </row>
    <row r="3" spans="1:12" ht="25.5">
      <c r="A3" s="57" t="s">
        <v>569</v>
      </c>
      <c r="B3" s="846"/>
      <c r="C3" s="260" t="str">
        <f>Head5</f>
        <v>Audited Outcome</v>
      </c>
      <c r="D3" s="260" t="str">
        <f>Head5</f>
        <v>Audited Outcome</v>
      </c>
      <c r="E3" s="261" t="str">
        <f>Head5</f>
        <v>Audited Outcome</v>
      </c>
      <c r="F3" s="1920" t="str">
        <f>Head6</f>
        <v>Original Budget</v>
      </c>
      <c r="G3" s="789" t="str">
        <f>Head7</f>
        <v>Adjusted Budget</v>
      </c>
      <c r="H3" s="789" t="str">
        <f>Head8</f>
        <v>Full Year Forecast</v>
      </c>
      <c r="I3" s="1921" t="str">
        <f>Head5b</f>
        <v>Pre-audit outcome</v>
      </c>
      <c r="J3" s="1920" t="str">
        <f>Head9</f>
        <v>Budget Year 2020/21</v>
      </c>
      <c r="K3" s="789" t="str">
        <f>Head10</f>
        <v>Budget Year +1 2021/22</v>
      </c>
      <c r="L3" s="790" t="str">
        <f>Head11</f>
        <v>Budget Year +2 2022/23</v>
      </c>
    </row>
    <row r="4" spans="1:12" ht="11.25" customHeight="1">
      <c r="A4" s="199" t="s">
        <v>808</v>
      </c>
      <c r="B4" s="165"/>
      <c r="C4" s="184"/>
      <c r="D4" s="184"/>
      <c r="E4" s="725"/>
      <c r="F4" s="214"/>
      <c r="G4" s="184"/>
      <c r="H4" s="184"/>
      <c r="I4" s="187"/>
      <c r="J4" s="214"/>
      <c r="K4" s="184"/>
      <c r="L4" s="725"/>
    </row>
    <row r="5" spans="1:12" ht="11.25" customHeight="1">
      <c r="A5" s="206" t="s">
        <v>712</v>
      </c>
      <c r="B5" s="167"/>
      <c r="C5" s="80"/>
      <c r="D5" s="80"/>
      <c r="E5" s="670"/>
      <c r="F5" s="83"/>
      <c r="G5" s="80"/>
      <c r="H5" s="80"/>
      <c r="I5" s="81"/>
      <c r="J5" s="83"/>
      <c r="K5" s="80"/>
      <c r="L5" s="670"/>
    </row>
    <row r="6" spans="1:12" ht="11.25" customHeight="1">
      <c r="A6" s="127" t="s">
        <v>468</v>
      </c>
      <c r="B6" s="167"/>
      <c r="C6" s="1951">
        <v>69332445</v>
      </c>
      <c r="D6" s="1951">
        <v>79408149</v>
      </c>
      <c r="E6" s="1954">
        <v>89038362</v>
      </c>
      <c r="F6" s="1953">
        <v>101160000</v>
      </c>
      <c r="G6" s="1951">
        <v>101160000</v>
      </c>
      <c r="H6" s="1951">
        <v>89220195</v>
      </c>
      <c r="I6" s="1960">
        <v>89220195</v>
      </c>
      <c r="J6" s="904">
        <f>'SA30'!N5</f>
        <v>119250000</v>
      </c>
      <c r="K6" s="900">
        <f>'SA30'!O5</f>
        <v>124735500</v>
      </c>
      <c r="L6" s="982">
        <f>'SA30'!P5</f>
        <v>130473333</v>
      </c>
    </row>
    <row r="7" spans="1:12" ht="11.25" customHeight="1">
      <c r="A7" s="127" t="s">
        <v>1410</v>
      </c>
      <c r="B7" s="167"/>
      <c r="C7" s="1951">
        <v>455175484</v>
      </c>
      <c r="D7" s="1951">
        <v>473102834</v>
      </c>
      <c r="E7" s="1954">
        <v>529514583</v>
      </c>
      <c r="F7" s="1953">
        <v>562168444.44000006</v>
      </c>
      <c r="G7" s="1951">
        <v>555728444.44000006</v>
      </c>
      <c r="H7" s="1951">
        <v>505211522</v>
      </c>
      <c r="I7" s="1960">
        <v>505211522</v>
      </c>
      <c r="J7" s="904">
        <f>'SA30'!N6+'SA30'!N7+'SA30'!N8+'SA30'!N9</f>
        <v>545955418.79999995</v>
      </c>
      <c r="K7" s="900">
        <f>'SA30'!O6+'SA30'!O7+'SA30'!O8+'SA30'!O9</f>
        <v>571083768</v>
      </c>
      <c r="L7" s="982">
        <f>'SA30'!P6+'SA30'!P7+'SA30'!P8+'SA30'!P9</f>
        <v>597368712.60000002</v>
      </c>
    </row>
    <row r="8" spans="1:12" ht="11.25" customHeight="1">
      <c r="A8" s="127" t="s">
        <v>1368</v>
      </c>
      <c r="B8" s="167"/>
      <c r="C8" s="1951">
        <v>53429039</v>
      </c>
      <c r="D8" s="1951">
        <v>34217947</v>
      </c>
      <c r="E8" s="1954">
        <v>52656007</v>
      </c>
      <c r="F8" s="1953">
        <v>65004167</v>
      </c>
      <c r="G8" s="1951">
        <v>61186167</v>
      </c>
      <c r="H8" s="1951">
        <v>61186167</v>
      </c>
      <c r="I8" s="1960">
        <v>61186167</v>
      </c>
      <c r="J8" s="904">
        <f>'SA30'!N11+'SA30'!N15+'SA30'!N16+'SA30'!N17+'SA30'!N19</f>
        <v>63202590</v>
      </c>
      <c r="K8" s="900">
        <f>'SA30'!O11+'SA30'!O15+'SA30'!O16+'SA30'!O17+'SA30'!O19</f>
        <v>66142316.700000003</v>
      </c>
      <c r="L8" s="982">
        <f>'SA30'!P11+'SA30'!P15+'SA30'!P16+'SA30'!P17+'SA30'!P19</f>
        <v>69219021.600000009</v>
      </c>
    </row>
    <row r="9" spans="1:12" ht="11.25" customHeight="1">
      <c r="A9" s="2597" t="s">
        <v>2544</v>
      </c>
      <c r="B9" s="167">
        <v>1</v>
      </c>
      <c r="C9" s="1951">
        <v>329738768</v>
      </c>
      <c r="D9" s="1951">
        <v>389156263</v>
      </c>
      <c r="E9" s="1954">
        <f>482259885-E10</f>
        <v>434167394</v>
      </c>
      <c r="F9" s="1953">
        <v>416300150</v>
      </c>
      <c r="G9" s="1951">
        <v>417239751</v>
      </c>
      <c r="H9" s="1951">
        <v>417239751</v>
      </c>
      <c r="I9" s="1960">
        <v>417239751</v>
      </c>
      <c r="J9" s="904">
        <f>'SA30'!N18</f>
        <v>443963950</v>
      </c>
      <c r="K9" s="900">
        <f>'SA30'!O18</f>
        <v>470189500</v>
      </c>
      <c r="L9" s="982">
        <f>'SA30'!P18</f>
        <v>499398139</v>
      </c>
    </row>
    <row r="10" spans="1:12" ht="11.25" customHeight="1">
      <c r="A10" s="2597" t="s">
        <v>2545</v>
      </c>
      <c r="B10" s="167">
        <v>1</v>
      </c>
      <c r="C10" s="1951">
        <v>165507150</v>
      </c>
      <c r="D10" s="1951">
        <v>101942000</v>
      </c>
      <c r="E10" s="1954">
        <v>48092491</v>
      </c>
      <c r="F10" s="1953">
        <v>89549850</v>
      </c>
      <c r="G10" s="1951">
        <v>99549850</v>
      </c>
      <c r="H10" s="1951">
        <v>99549850</v>
      </c>
      <c r="I10" s="1960">
        <v>99549850</v>
      </c>
      <c r="J10" s="904">
        <f>'SA30'!N23</f>
        <v>88938050</v>
      </c>
      <c r="K10" s="900">
        <f>'SA30'!O23</f>
        <v>96829700</v>
      </c>
      <c r="L10" s="982">
        <f>'SA30'!P23</f>
        <v>102603800</v>
      </c>
    </row>
    <row r="11" spans="1:12" ht="11.25" customHeight="1">
      <c r="A11" s="198" t="s">
        <v>292</v>
      </c>
      <c r="B11" s="167"/>
      <c r="C11" s="1951">
        <v>8253077</v>
      </c>
      <c r="D11" s="1951">
        <v>4477920</v>
      </c>
      <c r="E11" s="1954">
        <v>9639044</v>
      </c>
      <c r="F11" s="1953">
        <v>14910700</v>
      </c>
      <c r="G11" s="1951">
        <v>14910700</v>
      </c>
      <c r="H11" s="1951">
        <v>16201000</v>
      </c>
      <c r="I11" s="1960">
        <v>16201000</v>
      </c>
      <c r="J11" s="904">
        <f>'SA30'!N12+'SA30'!N13</f>
        <v>19530700</v>
      </c>
      <c r="K11" s="900">
        <f>'SA30'!O12+'SA30'!O13</f>
        <v>20429112.199999999</v>
      </c>
      <c r="L11" s="982">
        <f>'SA30'!P12+'SA30'!P13</f>
        <v>21368851.699999996</v>
      </c>
    </row>
    <row r="12" spans="1:12" ht="11.25" customHeight="1">
      <c r="A12" s="198" t="s">
        <v>525</v>
      </c>
      <c r="B12" s="167"/>
      <c r="C12" s="1951"/>
      <c r="D12" s="1951"/>
      <c r="E12" s="1954"/>
      <c r="F12" s="1953"/>
      <c r="G12" s="1951"/>
      <c r="H12" s="1951"/>
      <c r="I12" s="1960"/>
      <c r="J12" s="904">
        <f>'SA30'!N14</f>
        <v>0</v>
      </c>
      <c r="K12" s="900">
        <f>'SA30'!O14</f>
        <v>0</v>
      </c>
      <c r="L12" s="982">
        <f>'SA30'!P14</f>
        <v>0</v>
      </c>
    </row>
    <row r="13" spans="1:12" ht="11.25" customHeight="1">
      <c r="A13" s="206" t="s">
        <v>713</v>
      </c>
      <c r="B13" s="167"/>
      <c r="C13" s="84"/>
      <c r="D13" s="80"/>
      <c r="E13" s="670"/>
      <c r="F13" s="83"/>
      <c r="G13" s="80"/>
      <c r="H13" s="80"/>
      <c r="I13" s="81"/>
      <c r="J13" s="1056"/>
      <c r="K13" s="1052"/>
      <c r="L13" s="1565"/>
    </row>
    <row r="14" spans="1:12" ht="11.25" customHeight="1">
      <c r="A14" s="198" t="s">
        <v>1301</v>
      </c>
      <c r="B14" s="167"/>
      <c r="C14" s="1951">
        <v>-801915237.85000002</v>
      </c>
      <c r="D14" s="1951">
        <v>-838688793</v>
      </c>
      <c r="E14" s="1954">
        <f>-991235557+10961350+50297000-499</f>
        <v>-929977706</v>
      </c>
      <c r="F14" s="1953">
        <v>-1061092407.8099999</v>
      </c>
      <c r="G14" s="1951">
        <v>-995575744.80999994</v>
      </c>
      <c r="H14" s="1951">
        <v>-999153744.80999994</v>
      </c>
      <c r="I14" s="1960">
        <v>-999153744.80999994</v>
      </c>
      <c r="J14" s="904">
        <f>-('SA30'!N35+'SA30'!N36+'SA30'!N38+'SA30'!N39+'SA30'!N40+'SA30'!N41+'SA30'!N44+'SA30'!N50)</f>
        <v>-1126260570.2</v>
      </c>
      <c r="K14" s="900">
        <f>-('SA30'!O35+'SA30'!O36+'SA30'!O38+'SA30'!O39+'SA30'!O40+'SA30'!O41+'SA30'!O44+'SA30'!O50)</f>
        <v>-1192964878.4000001</v>
      </c>
      <c r="L14" s="982">
        <f>-('SA30'!P35+'SA30'!P36+'SA30'!P38+'SA30'!P39+'SA30'!P40+'SA30'!P41+'SA30'!P44+'SA30'!P50)</f>
        <v>-1256309274.7</v>
      </c>
    </row>
    <row r="15" spans="1:12" ht="11.25" customHeight="1">
      <c r="A15" s="198" t="s">
        <v>1367</v>
      </c>
      <c r="B15" s="167"/>
      <c r="C15" s="1951">
        <v>-12489696</v>
      </c>
      <c r="D15" s="1951">
        <v>-11107653</v>
      </c>
      <c r="E15" s="1954">
        <v>-10961350</v>
      </c>
      <c r="F15" s="1953">
        <v>-14658314</v>
      </c>
      <c r="G15" s="1951">
        <v>-14658314</v>
      </c>
      <c r="H15" s="1951">
        <v>-14658314</v>
      </c>
      <c r="I15" s="1960">
        <v>-14658314</v>
      </c>
      <c r="J15" s="904">
        <f>-('SA30'!N37)</f>
        <v>-15728808</v>
      </c>
      <c r="K15" s="900">
        <f>-('SA30'!O37)</f>
        <v>-14910947</v>
      </c>
      <c r="L15" s="982">
        <f>-('SA30'!P37)</f>
        <v>-13926741</v>
      </c>
    </row>
    <row r="16" spans="1:12" ht="11.25" customHeight="1">
      <c r="A16" s="198" t="s">
        <v>1120</v>
      </c>
      <c r="B16" s="167">
        <v>1</v>
      </c>
      <c r="C16" s="1981">
        <v>-123608709</v>
      </c>
      <c r="D16" s="1981">
        <v>-113263619</v>
      </c>
      <c r="E16" s="1982">
        <v>-50297361</v>
      </c>
      <c r="F16" s="1983">
        <v>-35047673</v>
      </c>
      <c r="G16" s="1981">
        <v>-42668287</v>
      </c>
      <c r="H16" s="1981">
        <v>-42668287</v>
      </c>
      <c r="I16" s="1984">
        <v>-42668287</v>
      </c>
      <c r="J16" s="979">
        <f>-('SA30'!N42+'SA30'!N43)</f>
        <v>-30919000</v>
      </c>
      <c r="K16" s="975">
        <f>-('SA30'!O42+'SA30'!O43)</f>
        <v>-24197110</v>
      </c>
      <c r="L16" s="1932">
        <f>-('SA30'!P42+'SA30'!P43)</f>
        <v>-24523577</v>
      </c>
    </row>
    <row r="17" spans="1:12" ht="11.25" customHeight="1">
      <c r="A17" s="215" t="s">
        <v>597</v>
      </c>
      <c r="B17" s="216"/>
      <c r="C17" s="675">
        <f t="shared" ref="C17:L17" si="0">SUM(C6:C12)+SUM(C14:C16)</f>
        <v>143422320.14999998</v>
      </c>
      <c r="D17" s="675">
        <f t="shared" si="0"/>
        <v>119245048</v>
      </c>
      <c r="E17" s="676">
        <f t="shared" si="0"/>
        <v>171871464</v>
      </c>
      <c r="F17" s="677">
        <f t="shared" si="0"/>
        <v>138294916.63000011</v>
      </c>
      <c r="G17" s="675">
        <f t="shared" si="0"/>
        <v>196872566.63000011</v>
      </c>
      <c r="H17" s="675">
        <f t="shared" si="0"/>
        <v>132128139.19000006</v>
      </c>
      <c r="I17" s="678">
        <f t="shared" si="0"/>
        <v>132128139.19000006</v>
      </c>
      <c r="J17" s="1161">
        <f t="shared" si="0"/>
        <v>107932330.5999999</v>
      </c>
      <c r="K17" s="1160">
        <f t="shared" si="0"/>
        <v>117336961.5</v>
      </c>
      <c r="L17" s="1320">
        <f t="shared" si="0"/>
        <v>125672265.20000005</v>
      </c>
    </row>
    <row r="18" spans="1:12" ht="4.9000000000000004" customHeight="1">
      <c r="A18" s="78"/>
      <c r="B18" s="167"/>
      <c r="C18" s="80"/>
      <c r="D18" s="80"/>
      <c r="E18" s="81"/>
      <c r="F18" s="82"/>
      <c r="G18" s="80"/>
      <c r="H18" s="80"/>
      <c r="I18" s="79"/>
      <c r="J18" s="1056"/>
      <c r="K18" s="1052"/>
      <c r="L18" s="1565"/>
    </row>
    <row r="19" spans="1:12" ht="11.25" customHeight="1">
      <c r="A19" s="199" t="s">
        <v>249</v>
      </c>
      <c r="B19" s="167"/>
      <c r="C19" s="80"/>
      <c r="D19" s="80"/>
      <c r="E19" s="81"/>
      <c r="F19" s="82"/>
      <c r="G19" s="80"/>
      <c r="H19" s="80"/>
      <c r="I19" s="79"/>
      <c r="J19" s="1056"/>
      <c r="K19" s="1052"/>
      <c r="L19" s="1565"/>
    </row>
    <row r="20" spans="1:12" ht="11.25" customHeight="1">
      <c r="A20" s="199" t="s">
        <v>712</v>
      </c>
      <c r="B20" s="167"/>
      <c r="C20" s="95"/>
      <c r="D20" s="95"/>
      <c r="E20" s="96"/>
      <c r="F20" s="97"/>
      <c r="G20" s="95"/>
      <c r="H20" s="95"/>
      <c r="I20" s="94"/>
      <c r="J20" s="1933"/>
      <c r="K20" s="1934"/>
      <c r="L20" s="1935"/>
    </row>
    <row r="21" spans="1:12" ht="11.25" customHeight="1">
      <c r="A21" s="198" t="s">
        <v>1344</v>
      </c>
      <c r="B21" s="167"/>
      <c r="C21" s="1951">
        <v>184998</v>
      </c>
      <c r="D21" s="1951">
        <v>3260581</v>
      </c>
      <c r="E21" s="1960">
        <v>676890</v>
      </c>
      <c r="F21" s="1968">
        <v>2500000</v>
      </c>
      <c r="G21" s="1964">
        <v>2500000</v>
      </c>
      <c r="H21" s="1964">
        <v>2500000</v>
      </c>
      <c r="I21" s="1962">
        <v>2500000</v>
      </c>
      <c r="J21" s="1283">
        <f>'SA30'!N24+'SA30'!N25</f>
        <v>1500000</v>
      </c>
      <c r="K21" s="1279">
        <f>'SA30'!O24+'SA30'!O25</f>
        <v>1569000</v>
      </c>
      <c r="L21" s="1936">
        <f>'SA30'!P24+'SA30'!P25</f>
        <v>1641174</v>
      </c>
    </row>
    <row r="22" spans="1:12" ht="1.9" customHeight="1">
      <c r="A22" s="198"/>
      <c r="B22" s="167"/>
      <c r="C22" s="900"/>
      <c r="D22" s="1279"/>
      <c r="E22" s="1280"/>
      <c r="F22" s="902">
        <v>0</v>
      </c>
      <c r="G22" s="900"/>
      <c r="H22" s="900"/>
      <c r="I22" s="903"/>
      <c r="J22" s="904"/>
      <c r="K22" s="900"/>
      <c r="L22" s="982"/>
    </row>
    <row r="23" spans="1:12" ht="11.25" customHeight="1">
      <c r="A23" s="2597" t="s">
        <v>2543</v>
      </c>
      <c r="B23" s="167"/>
      <c r="C23" s="1964"/>
      <c r="D23" s="1951"/>
      <c r="E23" s="1960"/>
      <c r="F23" s="1968">
        <v>0</v>
      </c>
      <c r="G23" s="1964"/>
      <c r="H23" s="1964"/>
      <c r="I23" s="1962"/>
      <c r="J23" s="1283">
        <f>'SA30'!N30</f>
        <v>0</v>
      </c>
      <c r="K23" s="1279">
        <f>'SA30'!O30</f>
        <v>0</v>
      </c>
      <c r="L23" s="1936">
        <f>'SA30'!P30</f>
        <v>0</v>
      </c>
    </row>
    <row r="24" spans="1:12" ht="11.25" customHeight="1">
      <c r="A24" s="198" t="s">
        <v>596</v>
      </c>
      <c r="B24" s="167"/>
      <c r="C24" s="1951">
        <v>-4757914</v>
      </c>
      <c r="D24" s="1951">
        <v>955966</v>
      </c>
      <c r="E24" s="1960">
        <v>-4637684</v>
      </c>
      <c r="F24" s="1961">
        <v>-3711461.1530999988</v>
      </c>
      <c r="G24" s="1951">
        <v>-4211461.1530999988</v>
      </c>
      <c r="H24" s="1951">
        <v>11528764.550000001</v>
      </c>
      <c r="I24" s="1962">
        <v>11528764.550000001</v>
      </c>
      <c r="J24" s="904">
        <f>'SA30'!N31</f>
        <v>-1262784</v>
      </c>
      <c r="K24" s="900">
        <f>'SA30'!O31</f>
        <v>-1262784</v>
      </c>
      <c r="L24" s="982">
        <f>'SA30'!P31</f>
        <v>-1262784</v>
      </c>
    </row>
    <row r="25" spans="1:12" ht="11.25" customHeight="1">
      <c r="A25" s="199" t="s">
        <v>713</v>
      </c>
      <c r="B25" s="167"/>
      <c r="C25" s="1121"/>
      <c r="D25" s="1121"/>
      <c r="E25" s="1156"/>
      <c r="F25" s="1157"/>
      <c r="G25" s="1121"/>
      <c r="H25" s="1121"/>
      <c r="I25" s="1158"/>
      <c r="J25" s="904"/>
      <c r="K25" s="900"/>
      <c r="L25" s="982"/>
    </row>
    <row r="26" spans="1:12" ht="11.25" customHeight="1">
      <c r="A26" s="67" t="s">
        <v>1302</v>
      </c>
      <c r="B26" s="167"/>
      <c r="C26" s="1951">
        <v>-130528443</v>
      </c>
      <c r="D26" s="1951">
        <v>-126644216</v>
      </c>
      <c r="E26" s="1960">
        <f>-167726334-154938</f>
        <v>-167881272</v>
      </c>
      <c r="F26" s="1961">
        <v>-137084850</v>
      </c>
      <c r="G26" s="1951">
        <v>-141942090</v>
      </c>
      <c r="H26" s="1951">
        <v>-141942090</v>
      </c>
      <c r="I26" s="1962">
        <v>-141942090</v>
      </c>
      <c r="J26" s="904">
        <f>-('SA30'!N48)</f>
        <v>-128938050</v>
      </c>
      <c r="K26" s="900">
        <f>-('SA30'!O48)</f>
        <v>-105913700</v>
      </c>
      <c r="L26" s="982">
        <f>-('SA30'!P48)</f>
        <v>-112090232</v>
      </c>
    </row>
    <row r="27" spans="1:12" ht="11.25" customHeight="1">
      <c r="A27" s="215" t="s">
        <v>598</v>
      </c>
      <c r="B27" s="216"/>
      <c r="C27" s="675">
        <f>+C21+C23+C24+C26</f>
        <v>-135101359</v>
      </c>
      <c r="D27" s="675">
        <f t="shared" ref="D27:L27" si="1">+D21+D23+D24+D26</f>
        <v>-122427669</v>
      </c>
      <c r="E27" s="676">
        <f>+E21+E23+E24+E26</f>
        <v>-171842066</v>
      </c>
      <c r="F27" s="677">
        <f t="shared" si="1"/>
        <v>-138296311.15310001</v>
      </c>
      <c r="G27" s="675">
        <f t="shared" si="1"/>
        <v>-143653551.15310001</v>
      </c>
      <c r="H27" s="675">
        <f t="shared" si="1"/>
        <v>-127913325.45</v>
      </c>
      <c r="I27" s="678">
        <f t="shared" si="1"/>
        <v>-127913325.45</v>
      </c>
      <c r="J27" s="1161">
        <f t="shared" si="1"/>
        <v>-128700834</v>
      </c>
      <c r="K27" s="1160">
        <f t="shared" si="1"/>
        <v>-105607484</v>
      </c>
      <c r="L27" s="1320">
        <f t="shared" si="1"/>
        <v>-111711842</v>
      </c>
    </row>
    <row r="28" spans="1:12" ht="4.9000000000000004" customHeight="1">
      <c r="A28" s="78"/>
      <c r="B28" s="167"/>
      <c r="C28" s="80"/>
      <c r="D28" s="80"/>
      <c r="E28" s="81"/>
      <c r="F28" s="82"/>
      <c r="G28" s="80"/>
      <c r="H28" s="80"/>
      <c r="I28" s="79"/>
      <c r="J28" s="1056"/>
      <c r="K28" s="1052"/>
      <c r="L28" s="1565"/>
    </row>
    <row r="29" spans="1:12" ht="11.25" customHeight="1">
      <c r="A29" s="199" t="s">
        <v>1133</v>
      </c>
      <c r="B29" s="167"/>
      <c r="C29" s="80"/>
      <c r="D29" s="80"/>
      <c r="E29" s="81"/>
      <c r="F29" s="82"/>
      <c r="G29" s="80"/>
      <c r="H29" s="80"/>
      <c r="I29" s="79"/>
      <c r="J29" s="1056"/>
      <c r="K29" s="1052"/>
      <c r="L29" s="1565"/>
    </row>
    <row r="30" spans="1:12" ht="11.25" customHeight="1">
      <c r="A30" s="199" t="s">
        <v>712</v>
      </c>
      <c r="B30" s="167"/>
      <c r="C30" s="80"/>
      <c r="D30" s="80"/>
      <c r="E30" s="81"/>
      <c r="F30" s="82"/>
      <c r="G30" s="80"/>
      <c r="H30" s="80"/>
      <c r="I30" s="79"/>
      <c r="J30" s="1056"/>
      <c r="K30" s="1052"/>
      <c r="L30" s="1565"/>
    </row>
    <row r="31" spans="1:12" ht="11.25" customHeight="1">
      <c r="A31" s="67" t="s">
        <v>715</v>
      </c>
      <c r="B31" s="167"/>
      <c r="C31" s="1951"/>
      <c r="D31" s="1951"/>
      <c r="E31" s="1960"/>
      <c r="F31" s="1961"/>
      <c r="G31" s="1951"/>
      <c r="H31" s="1951"/>
      <c r="I31" s="1962"/>
      <c r="J31" s="904">
        <f>'SA30'!N26</f>
        <v>0</v>
      </c>
      <c r="K31" s="900">
        <f>'SA30'!O26</f>
        <v>0</v>
      </c>
      <c r="L31" s="982">
        <f>'SA30'!P26</f>
        <v>0</v>
      </c>
    </row>
    <row r="32" spans="1:12" ht="11.25" customHeight="1">
      <c r="A32" s="198" t="s">
        <v>686</v>
      </c>
      <c r="B32" s="167"/>
      <c r="C32" s="1951"/>
      <c r="D32" s="1951"/>
      <c r="E32" s="1960">
        <v>40000000</v>
      </c>
      <c r="F32" s="1961">
        <v>20000000</v>
      </c>
      <c r="G32" s="1951">
        <v>20000000</v>
      </c>
      <c r="H32" s="1951">
        <v>20000000</v>
      </c>
      <c r="I32" s="1962">
        <v>20000000</v>
      </c>
      <c r="J32" s="904">
        <f>'SA30'!N27</f>
        <v>30000000</v>
      </c>
      <c r="K32" s="900">
        <f>'SA30'!O27</f>
        <v>0</v>
      </c>
      <c r="L32" s="982">
        <f>'SA30'!P27</f>
        <v>0</v>
      </c>
    </row>
    <row r="33" spans="1:16" ht="11.25" customHeight="1">
      <c r="A33" s="198" t="s">
        <v>329</v>
      </c>
      <c r="B33" s="167"/>
      <c r="C33" s="1951"/>
      <c r="D33" s="1951"/>
      <c r="E33" s="1960"/>
      <c r="F33" s="1961">
        <v>1100000</v>
      </c>
      <c r="G33" s="1964">
        <v>1100000</v>
      </c>
      <c r="H33" s="1964">
        <v>1100000</v>
      </c>
      <c r="I33" s="1969">
        <v>1100000</v>
      </c>
      <c r="J33" s="904">
        <f>'SA30'!N28</f>
        <v>878195</v>
      </c>
      <c r="K33" s="900">
        <f>'SA30'!O28</f>
        <v>918591</v>
      </c>
      <c r="L33" s="982">
        <f>'SA30'!P28</f>
        <v>960842</v>
      </c>
    </row>
    <row r="34" spans="1:16" ht="11.25" customHeight="1">
      <c r="A34" s="206" t="s">
        <v>713</v>
      </c>
      <c r="B34" s="167"/>
      <c r="C34" s="1121"/>
      <c r="D34" s="1121"/>
      <c r="E34" s="1156"/>
      <c r="F34" s="1157"/>
      <c r="G34" s="1121"/>
      <c r="H34" s="1121"/>
      <c r="I34" s="1158"/>
      <c r="J34" s="904"/>
      <c r="K34" s="900"/>
      <c r="L34" s="982"/>
    </row>
    <row r="35" spans="1:16" ht="11.25" customHeight="1">
      <c r="A35" s="198" t="s">
        <v>714</v>
      </c>
      <c r="B35" s="167"/>
      <c r="C35" s="1951">
        <v>-31247404</v>
      </c>
      <c r="D35" s="1951">
        <v>-21312438</v>
      </c>
      <c r="E35" s="1960">
        <v>-5635121</v>
      </c>
      <c r="F35" s="1961">
        <v>-25315227.710000001</v>
      </c>
      <c r="G35" s="1951">
        <v>-25315227.710000001</v>
      </c>
      <c r="H35" s="1951">
        <v>-25315227.710000001</v>
      </c>
      <c r="I35" s="1962">
        <v>-25315227.710000001</v>
      </c>
      <c r="J35" s="904">
        <f>-('SA30'!N49)</f>
        <v>-9109691.6988464333</v>
      </c>
      <c r="K35" s="900">
        <f>-('SA30'!O49)</f>
        <v>-11648068.550696159</v>
      </c>
      <c r="L35" s="982">
        <f>-('SA30'!P49)</f>
        <v>-13921265.210138457</v>
      </c>
    </row>
    <row r="36" spans="1:16" ht="11.25" customHeight="1">
      <c r="A36" s="215" t="s">
        <v>711</v>
      </c>
      <c r="B36" s="216"/>
      <c r="C36" s="675">
        <f>SUM(C31:C33)+C35</f>
        <v>-31247404</v>
      </c>
      <c r="D36" s="675">
        <f t="shared" ref="D36:L36" si="2">SUM(D31:D33)+D35</f>
        <v>-21312438</v>
      </c>
      <c r="E36" s="676">
        <f t="shared" si="2"/>
        <v>34364879</v>
      </c>
      <c r="F36" s="677">
        <f t="shared" si="2"/>
        <v>-4215227.7100000009</v>
      </c>
      <c r="G36" s="675">
        <f t="shared" si="2"/>
        <v>-4215227.7100000009</v>
      </c>
      <c r="H36" s="675">
        <f t="shared" si="2"/>
        <v>-4215227.7100000009</v>
      </c>
      <c r="I36" s="678">
        <f t="shared" si="2"/>
        <v>-4215227.7100000009</v>
      </c>
      <c r="J36" s="1161">
        <f t="shared" si="2"/>
        <v>21768503.301153567</v>
      </c>
      <c r="K36" s="1160">
        <f t="shared" si="2"/>
        <v>-10729477.550696159</v>
      </c>
      <c r="L36" s="1320">
        <f t="shared" si="2"/>
        <v>-12960423.210138457</v>
      </c>
    </row>
    <row r="37" spans="1:16" ht="4.9000000000000004" customHeight="1">
      <c r="A37" s="78"/>
      <c r="B37" s="167"/>
      <c r="C37" s="80"/>
      <c r="D37" s="80"/>
      <c r="E37" s="81"/>
      <c r="F37" s="82"/>
      <c r="G37" s="80"/>
      <c r="H37" s="80"/>
      <c r="I37" s="79"/>
      <c r="J37" s="1056"/>
      <c r="K37" s="1052"/>
      <c r="L37" s="1565"/>
    </row>
    <row r="38" spans="1:16" ht="11.25" customHeight="1">
      <c r="A38" s="199" t="s">
        <v>1375</v>
      </c>
      <c r="B38" s="167"/>
      <c r="C38" s="95">
        <f>C17+C27+C36</f>
        <v>-22926442.850000024</v>
      </c>
      <c r="D38" s="95">
        <f t="shared" ref="D38:L38" si="3">D17+D27+D36</f>
        <v>-24495059</v>
      </c>
      <c r="E38" s="96">
        <f t="shared" si="3"/>
        <v>34394277</v>
      </c>
      <c r="F38" s="97">
        <f t="shared" si="3"/>
        <v>-4216622.2330999002</v>
      </c>
      <c r="G38" s="95">
        <f t="shared" si="3"/>
        <v>49003787.7669001</v>
      </c>
      <c r="H38" s="95">
        <f t="shared" si="3"/>
        <v>-413.96999994665384</v>
      </c>
      <c r="I38" s="94">
        <f t="shared" si="3"/>
        <v>-413.96999994665384</v>
      </c>
      <c r="J38" s="1933">
        <f t="shared" si="3"/>
        <v>999999.90115347132</v>
      </c>
      <c r="K38" s="1934">
        <f t="shared" si="3"/>
        <v>999999.94930384122</v>
      </c>
      <c r="L38" s="1935">
        <f t="shared" si="3"/>
        <v>999999.98986159079</v>
      </c>
    </row>
    <row r="39" spans="1:16" ht="11.25" customHeight="1">
      <c r="A39" s="67" t="s">
        <v>809</v>
      </c>
      <c r="B39" s="167">
        <v>2</v>
      </c>
      <c r="C39" s="1975">
        <v>55477362</v>
      </c>
      <c r="D39" s="1975">
        <v>32550519</v>
      </c>
      <c r="E39" s="1975">
        <v>8056255</v>
      </c>
      <c r="F39" s="1975">
        <v>11457490</v>
      </c>
      <c r="G39" s="1975">
        <v>42033011</v>
      </c>
      <c r="H39" s="1975">
        <v>42033011</v>
      </c>
      <c r="I39" s="1975">
        <v>42033011</v>
      </c>
      <c r="J39" s="967">
        <f>'SA30'!N54</f>
        <v>43000000</v>
      </c>
      <c r="K39" s="1934">
        <f>J40</f>
        <v>43999999.901153475</v>
      </c>
      <c r="L39" s="1935">
        <f>K40</f>
        <v>44999999.850457318</v>
      </c>
    </row>
    <row r="40" spans="1:16" ht="11.25" customHeight="1">
      <c r="A40" s="1140" t="s">
        <v>1121</v>
      </c>
      <c r="B40" s="220">
        <v>2</v>
      </c>
      <c r="C40" s="157">
        <f>C38+C39</f>
        <v>32550919.149999976</v>
      </c>
      <c r="D40" s="221">
        <f>D38+D39</f>
        <v>8055460</v>
      </c>
      <c r="E40" s="158">
        <f>E38+E39</f>
        <v>42450532</v>
      </c>
      <c r="F40" s="159">
        <f t="shared" ref="F40:L40" si="4">F38+F39</f>
        <v>7240867.7669000998</v>
      </c>
      <c r="G40" s="157">
        <f t="shared" si="4"/>
        <v>91036798.766900092</v>
      </c>
      <c r="H40" s="157">
        <f t="shared" si="4"/>
        <v>42032597.030000053</v>
      </c>
      <c r="I40" s="866">
        <f t="shared" si="4"/>
        <v>42032597.030000053</v>
      </c>
      <c r="J40" s="1937">
        <f t="shared" si="4"/>
        <v>43999999.901153475</v>
      </c>
      <c r="K40" s="1938">
        <f t="shared" si="4"/>
        <v>44999999.850457318</v>
      </c>
      <c r="L40" s="1939">
        <f t="shared" si="4"/>
        <v>45999999.840318911</v>
      </c>
    </row>
    <row r="41" spans="1:16" s="576" customFormat="1" ht="11.25" customHeight="1">
      <c r="A41" s="1063" t="str">
        <f>head27a</f>
        <v>References</v>
      </c>
      <c r="B41" s="1064"/>
      <c r="C41" s="1068"/>
      <c r="D41" s="1066"/>
      <c r="E41" s="1068"/>
      <c r="F41" s="1068"/>
      <c r="G41" s="1068"/>
      <c r="H41" s="1068"/>
      <c r="I41" s="1068"/>
      <c r="J41" s="1068"/>
      <c r="K41" s="1068"/>
      <c r="L41" s="1068"/>
      <c r="M41" s="26"/>
      <c r="N41" s="26"/>
      <c r="O41" s="26"/>
      <c r="P41" s="26"/>
    </row>
    <row r="42" spans="1:16" s="576" customFormat="1" ht="11.25" customHeight="1">
      <c r="A42" s="1025" t="s">
        <v>987</v>
      </c>
      <c r="B42" s="1064"/>
      <c r="C42" s="1068"/>
      <c r="D42" s="1066"/>
      <c r="E42" s="1068"/>
      <c r="F42" s="1068"/>
      <c r="G42" s="1068"/>
      <c r="H42" s="1068"/>
      <c r="I42" s="1068"/>
      <c r="J42" s="1068"/>
      <c r="K42" s="1068"/>
      <c r="L42" s="1068"/>
      <c r="M42" s="26"/>
      <c r="N42" s="26"/>
      <c r="O42" s="26"/>
      <c r="P42" s="26"/>
    </row>
    <row r="43" spans="1:16" s="576" customFormat="1" ht="11.25" customHeight="1">
      <c r="A43" s="1025" t="s">
        <v>810</v>
      </c>
      <c r="B43" s="1064"/>
      <c r="C43" s="1067"/>
      <c r="D43" s="1067"/>
      <c r="E43" s="1068"/>
      <c r="F43" s="1068"/>
      <c r="G43" s="1068"/>
      <c r="H43" s="1068"/>
      <c r="I43" s="1068"/>
      <c r="J43" s="1068"/>
      <c r="K43" s="1068"/>
      <c r="L43" s="1068"/>
      <c r="N43" s="26"/>
      <c r="O43" s="26"/>
      <c r="P43" s="26"/>
    </row>
    <row r="44" spans="1:16" ht="11.25" customHeight="1">
      <c r="A44" s="1929" t="s">
        <v>2018</v>
      </c>
      <c r="B44" s="1024"/>
      <c r="C44" s="1070"/>
      <c r="D44" s="1070"/>
      <c r="E44" s="1096"/>
      <c r="F44" s="1071"/>
      <c r="G44" s="1071"/>
      <c r="H44" s="1071"/>
      <c r="I44" s="1071"/>
      <c r="J44" s="1071"/>
      <c r="K44" s="1071"/>
      <c r="L44" s="1071"/>
    </row>
    <row r="45" spans="1:16" ht="11.25" customHeight="1">
      <c r="A45" s="1095" t="s">
        <v>527</v>
      </c>
      <c r="B45" s="1064"/>
      <c r="C45" s="1055">
        <f t="shared" ref="C45:L45" si="5">SUM(C6:C12)+SUM(C21:C23)</f>
        <v>1081620961</v>
      </c>
      <c r="D45" s="1055">
        <f t="shared" si="5"/>
        <v>1085565694</v>
      </c>
      <c r="E45" s="1055">
        <f>SUM(E6:E12)+SUM(E21:E23)</f>
        <v>1163784771</v>
      </c>
      <c r="F45" s="1055">
        <f t="shared" si="5"/>
        <v>1251593311.4400001</v>
      </c>
      <c r="G45" s="1055">
        <f t="shared" si="5"/>
        <v>1252274912.4400001</v>
      </c>
      <c r="H45" s="1055">
        <f t="shared" si="5"/>
        <v>1191108485</v>
      </c>
      <c r="I45" s="1055">
        <f t="shared" si="5"/>
        <v>1191108485</v>
      </c>
      <c r="J45" s="1055">
        <f t="shared" si="5"/>
        <v>1282340708.8</v>
      </c>
      <c r="K45" s="1055">
        <f t="shared" si="5"/>
        <v>1350978896.9000001</v>
      </c>
      <c r="L45" s="1055">
        <f t="shared" si="5"/>
        <v>1422073031.9000001</v>
      </c>
    </row>
    <row r="46" spans="1:16" ht="11.25" customHeight="1">
      <c r="A46" s="1095" t="s">
        <v>232</v>
      </c>
      <c r="B46" s="1064"/>
      <c r="C46" s="1055">
        <f>SUM(C14:C16)+C26</f>
        <v>-1068542085.85</v>
      </c>
      <c r="D46" s="1055">
        <f t="shared" ref="D46:L46" si="6">SUM(D14:D16)+D26</f>
        <v>-1089704281</v>
      </c>
      <c r="E46" s="1055">
        <f t="shared" si="6"/>
        <v>-1159117689</v>
      </c>
      <c r="F46" s="1055">
        <f t="shared" si="6"/>
        <v>-1247883244.8099999</v>
      </c>
      <c r="G46" s="1055">
        <f t="shared" si="6"/>
        <v>-1194844435.8099999</v>
      </c>
      <c r="H46" s="1055">
        <f t="shared" si="6"/>
        <v>-1198422435.8099999</v>
      </c>
      <c r="I46" s="1055">
        <f t="shared" si="6"/>
        <v>-1198422435.8099999</v>
      </c>
      <c r="J46" s="1055">
        <f t="shared" si="6"/>
        <v>-1301846428.2</v>
      </c>
      <c r="K46" s="1055">
        <f t="shared" si="6"/>
        <v>-1337986635.4000001</v>
      </c>
      <c r="L46" s="1055">
        <f t="shared" si="6"/>
        <v>-1406849824.7</v>
      </c>
    </row>
    <row r="47" spans="1:16" ht="11.25" customHeight="1">
      <c r="A47" s="1095"/>
      <c r="B47" s="1064"/>
      <c r="C47" s="1055">
        <f>C45+C46</f>
        <v>13078875.149999976</v>
      </c>
      <c r="D47" s="1055">
        <f t="shared" ref="D47:L47" si="7">D45+D46</f>
        <v>-4138587</v>
      </c>
      <c r="E47" s="1055">
        <f t="shared" si="7"/>
        <v>4667082</v>
      </c>
      <c r="F47" s="1055">
        <f t="shared" si="7"/>
        <v>3710066.6300001144</v>
      </c>
      <c r="G47" s="1055">
        <f t="shared" si="7"/>
        <v>57430476.630000114</v>
      </c>
      <c r="H47" s="1055">
        <f t="shared" si="7"/>
        <v>-7313950.8099999428</v>
      </c>
      <c r="I47" s="1055">
        <f t="shared" si="7"/>
        <v>-7313950.8099999428</v>
      </c>
      <c r="J47" s="1055">
        <f t="shared" si="7"/>
        <v>-19505719.400000095</v>
      </c>
      <c r="K47" s="1055">
        <f t="shared" si="7"/>
        <v>12992261.5</v>
      </c>
      <c r="L47" s="1055">
        <f t="shared" si="7"/>
        <v>15223207.200000048</v>
      </c>
    </row>
    <row r="48" spans="1:16" ht="11.25" customHeight="1">
      <c r="A48" s="1095" t="s">
        <v>291</v>
      </c>
      <c r="B48" s="571"/>
      <c r="C48" s="1055">
        <f>C24+C32+C33</f>
        <v>-4757914</v>
      </c>
      <c r="D48" s="1055">
        <f t="shared" ref="D48:L48" si="8">D24+D32+D33</f>
        <v>955966</v>
      </c>
      <c r="E48" s="1055">
        <f>E24+E32+E33</f>
        <v>35362316</v>
      </c>
      <c r="F48" s="1055">
        <f t="shared" si="8"/>
        <v>17388538.846900001</v>
      </c>
      <c r="G48" s="1055">
        <f t="shared" si="8"/>
        <v>16888538.846900001</v>
      </c>
      <c r="H48" s="1055">
        <f t="shared" si="8"/>
        <v>32628764.550000001</v>
      </c>
      <c r="I48" s="1055">
        <f t="shared" si="8"/>
        <v>32628764.550000001</v>
      </c>
      <c r="J48" s="1055">
        <f t="shared" si="8"/>
        <v>29615411</v>
      </c>
      <c r="K48" s="1055">
        <f t="shared" si="8"/>
        <v>-344193</v>
      </c>
      <c r="L48" s="1055">
        <f t="shared" si="8"/>
        <v>-301942</v>
      </c>
    </row>
    <row r="49" spans="1:12" ht="11.25" customHeight="1">
      <c r="A49" s="1095" t="str">
        <f>A35</f>
        <v>Repayment of borrowing</v>
      </c>
      <c r="B49" s="571"/>
      <c r="C49" s="1055">
        <f>C35</f>
        <v>-31247404</v>
      </c>
      <c r="D49" s="1055">
        <f t="shared" ref="D49:L49" si="9">D35</f>
        <v>-21312438</v>
      </c>
      <c r="E49" s="1055">
        <f t="shared" si="9"/>
        <v>-5635121</v>
      </c>
      <c r="F49" s="1055">
        <f t="shared" si="9"/>
        <v>-25315227.710000001</v>
      </c>
      <c r="G49" s="1055">
        <f t="shared" si="9"/>
        <v>-25315227.710000001</v>
      </c>
      <c r="H49" s="1055">
        <f t="shared" si="9"/>
        <v>-25315227.710000001</v>
      </c>
      <c r="I49" s="1055">
        <f>I35</f>
        <v>-25315227.710000001</v>
      </c>
      <c r="J49" s="1055">
        <f t="shared" si="9"/>
        <v>-9109691.6988464333</v>
      </c>
      <c r="K49" s="1055">
        <f t="shared" si="9"/>
        <v>-11648068.550696159</v>
      </c>
      <c r="L49" s="1055">
        <f t="shared" si="9"/>
        <v>-13921265.210138457</v>
      </c>
    </row>
    <row r="50" spans="1:12" ht="11.25" customHeight="1">
      <c r="A50" s="574"/>
      <c r="B50" s="571"/>
      <c r="C50" s="1055">
        <f>C47+C48+C49</f>
        <v>-22926442.850000024</v>
      </c>
      <c r="D50" s="1055">
        <f t="shared" ref="D50:L50" si="10">D47+D48+D49</f>
        <v>-24495059</v>
      </c>
      <c r="E50" s="1055">
        <f t="shared" si="10"/>
        <v>34394277</v>
      </c>
      <c r="F50" s="1055">
        <f t="shared" si="10"/>
        <v>-4216622.2330998853</v>
      </c>
      <c r="G50" s="1055">
        <f t="shared" si="10"/>
        <v>49003787.766900115</v>
      </c>
      <c r="H50" s="1055">
        <f t="shared" si="10"/>
        <v>-413.96999994292855</v>
      </c>
      <c r="I50" s="1055">
        <f t="shared" si="10"/>
        <v>-413.96999994292855</v>
      </c>
      <c r="J50" s="1055">
        <f t="shared" si="10"/>
        <v>999999.90115347132</v>
      </c>
      <c r="K50" s="1055">
        <f t="shared" si="10"/>
        <v>999999.94930384122</v>
      </c>
      <c r="L50" s="1055">
        <f t="shared" si="10"/>
        <v>999999.98986159079</v>
      </c>
    </row>
    <row r="51" spans="1:12" ht="11.25" customHeight="1">
      <c r="A51" s="574"/>
      <c r="B51" s="571"/>
      <c r="C51" s="1099">
        <f t="shared" ref="C51:L51" si="11">C38-C50</f>
        <v>0</v>
      </c>
      <c r="D51" s="1099">
        <f t="shared" si="11"/>
        <v>0</v>
      </c>
      <c r="E51" s="1099">
        <f t="shared" si="11"/>
        <v>0</v>
      </c>
      <c r="F51" s="1099">
        <f t="shared" si="11"/>
        <v>-1.4901161193847656E-8</v>
      </c>
      <c r="G51" s="1099">
        <f t="shared" si="11"/>
        <v>0</v>
      </c>
      <c r="H51" s="1099">
        <f t="shared" si="11"/>
        <v>-3.7252902984619141E-9</v>
      </c>
      <c r="I51" s="1099">
        <f t="shared" si="11"/>
        <v>-3.7252902984619141E-9</v>
      </c>
      <c r="J51" s="1099">
        <f t="shared" si="11"/>
        <v>0</v>
      </c>
      <c r="K51" s="1099">
        <f t="shared" si="11"/>
        <v>0</v>
      </c>
      <c r="L51" s="1099">
        <f t="shared" si="11"/>
        <v>0</v>
      </c>
    </row>
    <row r="52" spans="1:12" ht="11.25" customHeight="1"/>
    <row r="53" spans="1:12" ht="11.25" customHeight="1"/>
    <row r="54" spans="1:12" ht="11.25" customHeight="1"/>
    <row r="55" spans="1:12" ht="11.25" customHeight="1"/>
    <row r="56" spans="1:12" ht="11.25" customHeight="1"/>
    <row r="57" spans="1:12" ht="11.25" customHeight="1"/>
    <row r="58" spans="1:12" ht="11.25" customHeight="1"/>
    <row r="59" spans="1:12" ht="11.25" customHeight="1"/>
    <row r="60" spans="1:12" ht="11.25" customHeight="1"/>
    <row r="61" spans="1:12" ht="11.25" customHeight="1"/>
    <row r="62" spans="1:12" ht="11.25" customHeight="1"/>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sheetData>
  <mergeCells count="2">
    <mergeCell ref="J2:L2"/>
    <mergeCell ref="F2:I2"/>
  </mergeCells>
  <phoneticPr fontId="5"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52" activePane="bottomRight" state="frozen"/>
      <selection pane="topRight"/>
      <selection pane="bottomLeft"/>
      <selection pane="bottomRight" activeCell="D70" sqref="D70"/>
    </sheetView>
  </sheetViews>
  <sheetFormatPr defaultColWidth="9.140625"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c r="A1" s="24" t="str">
        <f>muni&amp;" - "&amp;Approve8</f>
        <v>LIM333 Greater Tzaneen - Table A8 Consolidated Cash backed reserves/accumulated surplus reconciliation</v>
      </c>
      <c r="B1" s="24"/>
      <c r="C1" s="24"/>
      <c r="D1" s="24"/>
      <c r="E1" s="24"/>
      <c r="F1" s="24"/>
      <c r="G1" s="24"/>
      <c r="H1" s="24"/>
      <c r="I1" s="24"/>
      <c r="J1" s="24"/>
      <c r="K1" s="24"/>
      <c r="L1" s="24"/>
    </row>
    <row r="2" spans="1:12" ht="28.5" customHeight="1">
      <c r="A2" s="831" t="str">
        <f>desc</f>
        <v>Description</v>
      </c>
      <c r="B2" s="288" t="str">
        <f>head27</f>
        <v>Ref</v>
      </c>
      <c r="C2" s="27" t="str">
        <f>head1b</f>
        <v>2016/17</v>
      </c>
      <c r="D2" s="27" t="str">
        <f>head1A</f>
        <v>2017/18</v>
      </c>
      <c r="E2" s="23" t="str">
        <f>Head1</f>
        <v>2018/19</v>
      </c>
      <c r="F2" s="2842" t="str">
        <f>Head2</f>
        <v>Current Year 2019/20</v>
      </c>
      <c r="G2" s="2843"/>
      <c r="H2" s="2843"/>
      <c r="I2" s="2843"/>
      <c r="J2" s="2865" t="str">
        <f>Head3</f>
        <v>2020/21 Medium Term Revenue &amp; Expenditure Framework</v>
      </c>
      <c r="K2" s="2866"/>
      <c r="L2" s="2867"/>
    </row>
    <row r="3" spans="1:12" ht="25.5">
      <c r="A3" s="57" t="s">
        <v>569</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4" t="str">
        <f>Head9</f>
        <v>Budget Year 2020/21</v>
      </c>
      <c r="K3" s="260" t="str">
        <f>Head10</f>
        <v>Budget Year +1 2021/22</v>
      </c>
      <c r="L3" s="2531" t="str">
        <f>Head11</f>
        <v>Budget Year +2 2022/23</v>
      </c>
    </row>
    <row r="4" spans="1:12">
      <c r="A4" s="126" t="s">
        <v>1060</v>
      </c>
      <c r="B4" s="223"/>
      <c r="C4" s="84"/>
      <c r="D4" s="84"/>
      <c r="E4" s="139"/>
      <c r="F4" s="128"/>
      <c r="G4" s="84"/>
      <c r="H4" s="139"/>
      <c r="I4" s="87"/>
      <c r="J4" s="224"/>
      <c r="K4" s="84"/>
      <c r="L4" s="426"/>
    </row>
    <row r="5" spans="1:12" ht="11.25" customHeight="1">
      <c r="A5" s="127" t="str">
        <f>LEFT('A7-CFlow'!A40,37)</f>
        <v>Cash/cash equivalents at the year end</v>
      </c>
      <c r="B5" s="223">
        <v>1</v>
      </c>
      <c r="C5" s="84">
        <f>'A7-CFlow'!C40</f>
        <v>32550919.149999976</v>
      </c>
      <c r="D5" s="84">
        <f>'A7-CFlow'!D40</f>
        <v>8055460</v>
      </c>
      <c r="E5" s="139">
        <f>'A7-CFlow'!E40</f>
        <v>42450532</v>
      </c>
      <c r="F5" s="128">
        <f>'A7-CFlow'!F40</f>
        <v>7240867.7669000998</v>
      </c>
      <c r="G5" s="84">
        <f>'A7-CFlow'!G40</f>
        <v>91036798.766900092</v>
      </c>
      <c r="H5" s="139">
        <f>'A7-CFlow'!H40</f>
        <v>42032597.030000053</v>
      </c>
      <c r="I5" s="87">
        <f>'A7-CFlow'!I40</f>
        <v>42032597.030000053</v>
      </c>
      <c r="J5" s="88">
        <f>'A7-CFlow'!J40</f>
        <v>43999999.901153475</v>
      </c>
      <c r="K5" s="84">
        <f>'A7-CFlow'!K40</f>
        <v>44999999.850457318</v>
      </c>
      <c r="L5" s="426">
        <f>'A7-CFlow'!L40</f>
        <v>45999999.840318911</v>
      </c>
    </row>
    <row r="6" spans="1:12" ht="11.25" customHeight="1">
      <c r="A6" s="67" t="s">
        <v>1372</v>
      </c>
      <c r="B6" s="223"/>
      <c r="C6" s="84">
        <f>'A6-FinPos'!C6+'A6-FinPos'!C7-'A6-FinPos'!C29-'A8-ResRecon'!C5</f>
        <v>0</v>
      </c>
      <c r="D6" s="84">
        <f>'A6-FinPos'!D6+'A6-FinPos'!D7-'A6-FinPos'!D29-'A8-ResRecon'!D5</f>
        <v>610</v>
      </c>
      <c r="E6" s="139">
        <f>'A6-FinPos'!E6+'A6-FinPos'!E7-'A6-FinPos'!E29-'A8-ResRecon'!E5</f>
        <v>0</v>
      </c>
      <c r="F6" s="128">
        <f>'A6-FinPos'!F6+'A6-FinPos'!F7-'A6-FinPos'!F29-'A8-ResRecon'!F5</f>
        <v>0</v>
      </c>
      <c r="G6" s="84">
        <f>'A6-FinPos'!G6+'A6-FinPos'!G7-'A6-FinPos'!G29-'A8-ResRecon'!G5</f>
        <v>-11026190.766900092</v>
      </c>
      <c r="H6" s="139">
        <f>'A6-FinPos'!H6+'A6-FinPos'!H7-'A6-FinPos'!H29-'A8-ResRecon'!H5</f>
        <v>0</v>
      </c>
      <c r="I6" s="87">
        <f>'A6-FinPos'!I6+'A6-FinPos'!I7-'A6-FinPos'!I29-'A8-ResRecon'!I5</f>
        <v>0</v>
      </c>
      <c r="J6" s="88">
        <f>'A6-FinPos'!J6+'A6-FinPos'!J7-'A6-FinPos'!J29-'A8-ResRecon'!J5</f>
        <v>0</v>
      </c>
      <c r="K6" s="84">
        <f>'A6-FinPos'!K6+'A6-FinPos'!K7-'A6-FinPos'!K29-'A8-ResRecon'!K5</f>
        <v>0</v>
      </c>
      <c r="L6" s="426">
        <f>'A6-FinPos'!L6+'A6-FinPos'!L7-'A6-FinPos'!L29-'A8-ResRecon'!L5</f>
        <v>0</v>
      </c>
    </row>
    <row r="7" spans="1:12" ht="11.25" customHeight="1">
      <c r="A7" s="127" t="str">
        <f>'A6-FinPos'!A14&amp;" - "&amp;'A6-FinPos'!A16</f>
        <v>Non current assets - Investments</v>
      </c>
      <c r="B7" s="223">
        <v>1</v>
      </c>
      <c r="C7" s="84">
        <f>'A6-FinPos'!C16</f>
        <v>25174276</v>
      </c>
      <c r="D7" s="84">
        <f>'A6-FinPos'!D16</f>
        <v>26887398</v>
      </c>
      <c r="E7" s="139">
        <f>'A6-FinPos'!E16</f>
        <v>31525083</v>
      </c>
      <c r="F7" s="134">
        <f>'A6-FinPos'!F16</f>
        <v>36441071</v>
      </c>
      <c r="G7" s="133">
        <f>'A6-FinPos'!G16</f>
        <v>33878623.323100001</v>
      </c>
      <c r="H7" s="137">
        <f>'A6-FinPos'!H16</f>
        <v>19996318</v>
      </c>
      <c r="I7" s="87">
        <f>'A6-FinPos'!I16</f>
        <v>19996318</v>
      </c>
      <c r="J7" s="138">
        <f>'A6-FinPos'!J16</f>
        <v>21995950</v>
      </c>
      <c r="K7" s="133">
        <f>'A6-FinPos'!K16</f>
        <v>24195545</v>
      </c>
      <c r="L7" s="2549">
        <f>'A6-FinPos'!L16</f>
        <v>26615100</v>
      </c>
    </row>
    <row r="8" spans="1:12" ht="11.25" customHeight="1">
      <c r="A8" s="659" t="s">
        <v>1061</v>
      </c>
      <c r="B8" s="674"/>
      <c r="C8" s="675">
        <f>SUM(C5:C7)</f>
        <v>57725195.149999976</v>
      </c>
      <c r="D8" s="675">
        <f t="shared" ref="D8:L8" si="0">SUM(D5:D7)</f>
        <v>34943468</v>
      </c>
      <c r="E8" s="676">
        <f t="shared" si="0"/>
        <v>73975615</v>
      </c>
      <c r="F8" s="677">
        <f t="shared" si="0"/>
        <v>43681938.7669001</v>
      </c>
      <c r="G8" s="675">
        <f t="shared" si="0"/>
        <v>113889231.3231</v>
      </c>
      <c r="H8" s="676">
        <f t="shared" si="0"/>
        <v>62028915.030000053</v>
      </c>
      <c r="I8" s="678">
        <f t="shared" si="0"/>
        <v>62028915.030000053</v>
      </c>
      <c r="J8" s="940">
        <f t="shared" si="0"/>
        <v>65995949.901153475</v>
      </c>
      <c r="K8" s="675">
        <f t="shared" si="0"/>
        <v>69195544.850457311</v>
      </c>
      <c r="L8" s="1924">
        <f t="shared" si="0"/>
        <v>72615099.840318918</v>
      </c>
    </row>
    <row r="9" spans="1:12" ht="4.9000000000000004" customHeight="1">
      <c r="A9" s="148"/>
      <c r="B9" s="223"/>
      <c r="C9" s="84"/>
      <c r="D9" s="84"/>
      <c r="E9" s="139"/>
      <c r="F9" s="128"/>
      <c r="G9" s="84"/>
      <c r="H9" s="139"/>
      <c r="I9" s="87"/>
      <c r="J9" s="88"/>
      <c r="K9" s="84"/>
      <c r="L9" s="426"/>
    </row>
    <row r="10" spans="1:12" ht="11.25" customHeight="1">
      <c r="A10" s="126" t="s">
        <v>988</v>
      </c>
      <c r="B10" s="223"/>
      <c r="C10" s="84"/>
      <c r="D10" s="84"/>
      <c r="E10" s="139"/>
      <c r="F10" s="128"/>
      <c r="G10" s="84"/>
      <c r="H10" s="139"/>
      <c r="I10" s="87"/>
      <c r="J10" s="88"/>
      <c r="K10" s="84"/>
      <c r="L10" s="426"/>
    </row>
    <row r="11" spans="1:12" ht="11.25" customHeight="1">
      <c r="A11" s="127" t="str">
        <f>'SA3'!A37</f>
        <v>Unspent conditional transfers</v>
      </c>
      <c r="B11" s="223"/>
      <c r="C11" s="133">
        <f>'SA3'!C37</f>
        <v>20340228</v>
      </c>
      <c r="D11" s="84">
        <f>'SA3'!D37</f>
        <v>3955460</v>
      </c>
      <c r="E11" s="139">
        <f>'SA3'!E37</f>
        <v>5083273</v>
      </c>
      <c r="F11" s="128">
        <f>'SA3'!F37</f>
        <v>0</v>
      </c>
      <c r="G11" s="84">
        <f>'SA3'!G37</f>
        <v>0</v>
      </c>
      <c r="H11" s="139">
        <f>'SA3'!H37</f>
        <v>0</v>
      </c>
      <c r="I11" s="87">
        <f>'SA3'!I37</f>
        <v>0</v>
      </c>
      <c r="J11" s="88">
        <f>'SA3'!J37</f>
        <v>0</v>
      </c>
      <c r="K11" s="84">
        <f>'SA3'!K37</f>
        <v>0</v>
      </c>
      <c r="L11" s="426">
        <f>'SA3'!L37</f>
        <v>0</v>
      </c>
    </row>
    <row r="12" spans="1:12" ht="11.25" customHeight="1">
      <c r="A12" s="127" t="s">
        <v>132</v>
      </c>
      <c r="B12" s="223"/>
      <c r="C12" s="1279">
        <f>'SA17'!C67</f>
        <v>0</v>
      </c>
      <c r="D12" s="1279">
        <f>'SA17'!D67</f>
        <v>0</v>
      </c>
      <c r="E12" s="1280">
        <f>'SA17'!E67</f>
        <v>0</v>
      </c>
      <c r="F12" s="1281">
        <f>'SA17'!F67</f>
        <v>0</v>
      </c>
      <c r="G12" s="1279">
        <f>'SA17'!G67</f>
        <v>0</v>
      </c>
      <c r="H12" s="1280">
        <f>'SA17'!H67</f>
        <v>0</v>
      </c>
      <c r="I12" s="1638"/>
      <c r="J12" s="1283">
        <f>'SA17'!I67</f>
        <v>0</v>
      </c>
      <c r="K12" s="1279">
        <f>'SA17'!J67</f>
        <v>0</v>
      </c>
      <c r="L12" s="1936">
        <f>'SA17'!K67</f>
        <v>0</v>
      </c>
    </row>
    <row r="13" spans="1:12" ht="11.25" customHeight="1">
      <c r="A13" s="127" t="s">
        <v>989</v>
      </c>
      <c r="B13" s="223">
        <v>2</v>
      </c>
      <c r="C13" s="1964">
        <v>34713134</v>
      </c>
      <c r="D13" s="1964">
        <v>42373166</v>
      </c>
      <c r="E13" s="1967">
        <v>46796765</v>
      </c>
      <c r="F13" s="1968">
        <v>37821746.512800001</v>
      </c>
      <c r="G13" s="1964">
        <v>37821746.512800001</v>
      </c>
      <c r="H13" s="1967">
        <v>37821746.512800001</v>
      </c>
      <c r="I13" s="1969">
        <v>41159651.810000002</v>
      </c>
      <c r="J13" s="1970">
        <v>41982844.846200004</v>
      </c>
      <c r="K13" s="1964">
        <v>42822501.743124001</v>
      </c>
      <c r="L13" s="1965">
        <v>43678951.777986482</v>
      </c>
    </row>
    <row r="14" spans="1:12" ht="11.25" customHeight="1">
      <c r="A14" s="127" t="s">
        <v>334</v>
      </c>
      <c r="B14" s="223">
        <v>3</v>
      </c>
      <c r="C14" s="84">
        <f>-C32</f>
        <v>-180180652</v>
      </c>
      <c r="D14" s="84">
        <f t="shared" ref="D14:L14" si="1">-D32</f>
        <v>-136519539</v>
      </c>
      <c r="E14" s="139">
        <f t="shared" si="1"/>
        <v>-154495699</v>
      </c>
      <c r="F14" s="128">
        <f>-F32</f>
        <v>-165778524.38565001</v>
      </c>
      <c r="G14" s="84">
        <f t="shared" si="1"/>
        <v>-163567524.38565001</v>
      </c>
      <c r="H14" s="139">
        <f t="shared" si="1"/>
        <v>-67006223</v>
      </c>
      <c r="I14" s="87">
        <f t="shared" si="1"/>
        <v>-67006223</v>
      </c>
      <c r="J14" s="88">
        <f t="shared" si="1"/>
        <v>-101650915</v>
      </c>
      <c r="K14" s="84">
        <f t="shared" si="1"/>
        <v>-98567906</v>
      </c>
      <c r="L14" s="426">
        <f t="shared" si="1"/>
        <v>-96635895</v>
      </c>
    </row>
    <row r="15" spans="1:12" ht="11.25" customHeight="1">
      <c r="A15" s="127" t="s">
        <v>508</v>
      </c>
      <c r="B15" s="223"/>
      <c r="C15" s="1964"/>
      <c r="D15" s="1964"/>
      <c r="E15" s="1967"/>
      <c r="F15" s="1968"/>
      <c r="G15" s="1964"/>
      <c r="H15" s="1967"/>
      <c r="I15" s="1969"/>
      <c r="J15" s="1970"/>
      <c r="K15" s="1964"/>
      <c r="L15" s="1965"/>
    </row>
    <row r="16" spans="1:12" ht="11.25" customHeight="1">
      <c r="A16" s="127" t="s">
        <v>335</v>
      </c>
      <c r="B16" s="223">
        <v>4</v>
      </c>
      <c r="C16" s="84">
        <f>C52</f>
        <v>25174276</v>
      </c>
      <c r="D16" s="84">
        <f t="shared" ref="D16:L16" si="2">D52</f>
        <v>26887398</v>
      </c>
      <c r="E16" s="139">
        <f t="shared" si="2"/>
        <v>31525083</v>
      </c>
      <c r="F16" s="134">
        <f t="shared" si="2"/>
        <v>33878623.323100001</v>
      </c>
      <c r="G16" s="133">
        <f t="shared" si="2"/>
        <v>33878623.323100001</v>
      </c>
      <c r="H16" s="137">
        <f t="shared" si="2"/>
        <v>19996318.449999999</v>
      </c>
      <c r="I16" s="136">
        <f t="shared" si="2"/>
        <v>19996318.449999999</v>
      </c>
      <c r="J16" s="138">
        <f t="shared" si="2"/>
        <v>21995950.294999998</v>
      </c>
      <c r="K16" s="133">
        <f t="shared" si="2"/>
        <v>24195545.324499998</v>
      </c>
      <c r="L16" s="2549">
        <f t="shared" si="2"/>
        <v>26615099.85695</v>
      </c>
    </row>
    <row r="17" spans="1:14" ht="11.25" customHeight="1">
      <c r="A17" s="127" t="s">
        <v>1062</v>
      </c>
      <c r="B17" s="223">
        <v>5</v>
      </c>
      <c r="C17" s="1951"/>
      <c r="D17" s="1951"/>
      <c r="E17" s="1960"/>
      <c r="F17" s="1961"/>
      <c r="G17" s="1951"/>
      <c r="H17" s="1960"/>
      <c r="I17" s="1962"/>
      <c r="J17" s="1953"/>
      <c r="K17" s="1951"/>
      <c r="L17" s="1954"/>
    </row>
    <row r="18" spans="1:14" ht="11.25" customHeight="1">
      <c r="A18" s="659" t="str">
        <f>"Total "&amp;A10&amp;":"</f>
        <v>Total Application of cash and investments:</v>
      </c>
      <c r="B18" s="674"/>
      <c r="C18" s="675">
        <f>SUM(C11:C17)</f>
        <v>-99953014</v>
      </c>
      <c r="D18" s="675">
        <f t="shared" ref="D18:L18" si="3">SUM(D11:D17)</f>
        <v>-63303515</v>
      </c>
      <c r="E18" s="676">
        <f t="shared" si="3"/>
        <v>-71090578</v>
      </c>
      <c r="F18" s="677">
        <f t="shared" si="3"/>
        <v>-94078154.54975</v>
      </c>
      <c r="G18" s="675">
        <f t="shared" si="3"/>
        <v>-91867154.54975</v>
      </c>
      <c r="H18" s="676">
        <f t="shared" si="3"/>
        <v>-9188158.0372000001</v>
      </c>
      <c r="I18" s="678">
        <f t="shared" si="3"/>
        <v>-5850252.7399999984</v>
      </c>
      <c r="J18" s="940">
        <f t="shared" si="3"/>
        <v>-37672119.858799994</v>
      </c>
      <c r="K18" s="675">
        <f t="shared" si="3"/>
        <v>-31549858.932376001</v>
      </c>
      <c r="L18" s="1924">
        <f t="shared" si="3"/>
        <v>-26341843.365063518</v>
      </c>
      <c r="N18" s="228"/>
    </row>
    <row r="19" spans="1:14" ht="11.25" customHeight="1">
      <c r="A19" s="267" t="s">
        <v>244</v>
      </c>
      <c r="B19" s="268"/>
      <c r="C19" s="221">
        <f>C8-C18</f>
        <v>157678209.14999998</v>
      </c>
      <c r="D19" s="221">
        <f t="shared" ref="D19:L19" si="4">D8-D18</f>
        <v>98246983</v>
      </c>
      <c r="E19" s="941">
        <f t="shared" si="4"/>
        <v>145066193</v>
      </c>
      <c r="F19" s="942">
        <f t="shared" si="4"/>
        <v>137760093.31665009</v>
      </c>
      <c r="G19" s="221">
        <f t="shared" si="4"/>
        <v>205756385.87285</v>
      </c>
      <c r="H19" s="941">
        <f t="shared" si="4"/>
        <v>71217073.06720005</v>
      </c>
      <c r="I19" s="866">
        <f t="shared" si="4"/>
        <v>67879167.770000055</v>
      </c>
      <c r="J19" s="222">
        <f t="shared" si="4"/>
        <v>103668069.75995347</v>
      </c>
      <c r="K19" s="221">
        <f t="shared" si="4"/>
        <v>100745403.78283331</v>
      </c>
      <c r="L19" s="2550">
        <f t="shared" si="4"/>
        <v>98956943.205382437</v>
      </c>
      <c r="N19" s="228"/>
    </row>
    <row r="20" spans="1:14" ht="11.25" customHeight="1">
      <c r="A20" s="229" t="str">
        <f>head27a</f>
        <v>References</v>
      </c>
      <c r="B20" s="26"/>
      <c r="C20" s="183"/>
      <c r="D20" s="183"/>
      <c r="E20" s="183"/>
      <c r="F20" s="183"/>
      <c r="G20" s="183"/>
      <c r="H20" s="183"/>
      <c r="I20" s="183"/>
      <c r="J20" s="183"/>
      <c r="K20" s="183"/>
      <c r="L20" s="183"/>
    </row>
    <row r="21" spans="1:14" ht="11.25" customHeight="1">
      <c r="A21" s="230" t="s">
        <v>1303</v>
      </c>
      <c r="B21" s="26"/>
    </row>
    <row r="22" spans="1:14" ht="11.25" customHeight="1">
      <c r="A22" s="230" t="s">
        <v>990</v>
      </c>
      <c r="B22" s="26"/>
    </row>
    <row r="23" spans="1:14" ht="11.25" customHeight="1">
      <c r="A23" s="230" t="s">
        <v>250</v>
      </c>
      <c r="B23" s="26"/>
    </row>
    <row r="24" spans="1:14" ht="11.25" customHeight="1">
      <c r="A24" s="230" t="s">
        <v>253</v>
      </c>
      <c r="B24" s="26"/>
    </row>
    <row r="25" spans="1:14" ht="11.25" customHeight="1">
      <c r="A25" s="230" t="s">
        <v>252</v>
      </c>
      <c r="B25" s="26"/>
    </row>
    <row r="26" spans="1:14" ht="6" customHeight="1">
      <c r="B26" s="26"/>
    </row>
    <row r="27" spans="1:14" ht="11.25" customHeight="1">
      <c r="A27" s="231"/>
      <c r="B27" s="26"/>
      <c r="C27" s="266"/>
      <c r="D27" s="266"/>
      <c r="E27" s="266"/>
      <c r="F27" s="266"/>
      <c r="G27" s="266"/>
      <c r="H27" s="266"/>
      <c r="I27" s="266"/>
      <c r="J27" s="266"/>
      <c r="K27" s="266"/>
      <c r="L27" s="266"/>
    </row>
    <row r="28" spans="1:14" ht="11.25" customHeight="1">
      <c r="A28" s="232" t="s">
        <v>334</v>
      </c>
      <c r="B28" s="26"/>
      <c r="C28" s="266"/>
      <c r="D28" s="266"/>
      <c r="E28" s="266"/>
      <c r="F28" s="266"/>
      <c r="G28" s="266"/>
      <c r="H28" s="266"/>
      <c r="I28" s="266"/>
      <c r="J28" s="266"/>
      <c r="K28" s="266"/>
      <c r="L28" s="266"/>
    </row>
    <row r="29" spans="1:14" ht="11.25" customHeight="1">
      <c r="A29" s="233" t="s">
        <v>1964</v>
      </c>
      <c r="B29" s="26"/>
      <c r="C29" s="903">
        <f>IF(ISERROR(ROUND(C35*C36,-3)),0,(ROUND(C35*C36,-3)))</f>
        <v>361214000</v>
      </c>
      <c r="D29" s="903">
        <f t="shared" ref="D29:L29" si="5">IF(ISERROR(ROUND(D35*D36,-3)),0,(ROUND(D35*D36,-3)))</f>
        <v>345869000</v>
      </c>
      <c r="E29" s="903">
        <f t="shared" si="5"/>
        <v>386739000</v>
      </c>
      <c r="F29" s="903">
        <f t="shared" si="5"/>
        <v>375468000</v>
      </c>
      <c r="G29" s="903">
        <f t="shared" si="5"/>
        <v>373257000</v>
      </c>
      <c r="H29" s="903">
        <f t="shared" si="5"/>
        <v>299524000</v>
      </c>
      <c r="I29" s="903">
        <f t="shared" si="5"/>
        <v>299524000</v>
      </c>
      <c r="J29" s="903">
        <f t="shared" si="5"/>
        <v>336973000</v>
      </c>
      <c r="K29" s="903">
        <f t="shared" si="5"/>
        <v>337212000</v>
      </c>
      <c r="L29" s="903">
        <f t="shared" si="5"/>
        <v>337004000</v>
      </c>
    </row>
    <row r="30" spans="1:14" s="240" customFormat="1" ht="3" customHeight="1">
      <c r="A30" s="233"/>
      <c r="C30" s="903"/>
      <c r="D30" s="903"/>
      <c r="E30" s="903"/>
      <c r="F30" s="903"/>
      <c r="G30" s="903"/>
      <c r="H30" s="903"/>
      <c r="I30" s="903"/>
      <c r="J30" s="903"/>
      <c r="K30" s="903"/>
      <c r="L30" s="903"/>
    </row>
    <row r="31" spans="1:14" ht="11.25" customHeight="1">
      <c r="A31" s="2587" t="s">
        <v>1962</v>
      </c>
      <c r="B31" s="26"/>
      <c r="C31" s="903">
        <f>'SA3'!C35+'SA3'!C36</f>
        <v>181033348</v>
      </c>
      <c r="D31" s="903">
        <f>'SA3'!D35+'SA3'!D36</f>
        <v>209349461</v>
      </c>
      <c r="E31" s="903">
        <f>'SA3'!E35+'SA3'!E36</f>
        <v>232243301</v>
      </c>
      <c r="F31" s="903">
        <f>'SA3'!F35+'SA3'!F36</f>
        <v>209689475.61434999</v>
      </c>
      <c r="G31" s="903">
        <f>'SA3'!G35+'SA3'!G36</f>
        <v>209689475.61434999</v>
      </c>
      <c r="H31" s="903">
        <f>'SA3'!H35+'SA3'!H36</f>
        <v>232517777</v>
      </c>
      <c r="I31" s="903">
        <f>'SA3'!I35+'SA3'!I36</f>
        <v>232517777</v>
      </c>
      <c r="J31" s="903">
        <f>'SA3'!J35+'SA3'!J36</f>
        <v>235322085</v>
      </c>
      <c r="K31" s="903">
        <f>'SA3'!K35+'SA3'!K36</f>
        <v>238644094</v>
      </c>
      <c r="L31" s="903">
        <f>'SA3'!L35+'SA3'!L36</f>
        <v>240368105</v>
      </c>
    </row>
    <row r="32" spans="1:14" ht="11.25" customHeight="1">
      <c r="A32" s="233" t="s">
        <v>663</v>
      </c>
      <c r="B32" s="26"/>
      <c r="C32" s="1776">
        <f>C29-C31</f>
        <v>180180652</v>
      </c>
      <c r="D32" s="1776">
        <f t="shared" ref="D32:L32" si="6">D29-D31</f>
        <v>136519539</v>
      </c>
      <c r="E32" s="1776">
        <f t="shared" si="6"/>
        <v>154495699</v>
      </c>
      <c r="F32" s="1776">
        <f t="shared" si="6"/>
        <v>165778524.38565001</v>
      </c>
      <c r="G32" s="1776">
        <f t="shared" si="6"/>
        <v>163567524.38565001</v>
      </c>
      <c r="H32" s="1776">
        <f t="shared" si="6"/>
        <v>67006223</v>
      </c>
      <c r="I32" s="1776">
        <f t="shared" si="6"/>
        <v>67006223</v>
      </c>
      <c r="J32" s="1776">
        <f t="shared" si="6"/>
        <v>101650915</v>
      </c>
      <c r="K32" s="1776">
        <f t="shared" si="6"/>
        <v>98567906</v>
      </c>
      <c r="L32" s="1776">
        <f t="shared" si="6"/>
        <v>96635895</v>
      </c>
    </row>
    <row r="33" spans="1:12" ht="6" customHeight="1">
      <c r="B33" s="26"/>
      <c r="C33" s="87"/>
      <c r="D33" s="87"/>
      <c r="E33" s="87"/>
      <c r="F33" s="87"/>
      <c r="G33" s="87"/>
      <c r="H33" s="87"/>
      <c r="I33" s="87"/>
      <c r="J33" s="87"/>
      <c r="K33" s="87"/>
      <c r="L33" s="87"/>
    </row>
    <row r="34" spans="1:12" ht="11.25" customHeight="1">
      <c r="A34" s="232" t="s">
        <v>1957</v>
      </c>
      <c r="B34" s="26"/>
      <c r="C34" s="1756"/>
      <c r="D34" s="1756"/>
      <c r="E34" s="1756"/>
      <c r="F34" s="1756"/>
      <c r="G34" s="1756"/>
      <c r="H34" s="1756"/>
      <c r="I34" s="1756"/>
      <c r="J34" s="1756"/>
      <c r="K34" s="1756"/>
      <c r="L34" s="1756"/>
    </row>
    <row r="35" spans="1:12" ht="11.25" customHeight="1">
      <c r="A35" s="233" t="s">
        <v>1960</v>
      </c>
      <c r="B35" s="26"/>
      <c r="C35" s="87">
        <f>'A6-FinPos'!C8+'A6-FinPos'!C9+'A6-FinPos'!C15</f>
        <v>406547881</v>
      </c>
      <c r="D35" s="87">
        <f>'A6-FinPos'!D8+'A6-FinPos'!D9+'A6-FinPos'!D15</f>
        <v>415180361</v>
      </c>
      <c r="E35" s="87">
        <f>'A6-FinPos'!E8+'A6-FinPos'!E9+'A6-FinPos'!E15</f>
        <v>400868654</v>
      </c>
      <c r="F35" s="87">
        <f>'A6-FinPos'!F8+'A6-FinPos'!F9+'A6-FinPos'!F15</f>
        <v>437687017.1548</v>
      </c>
      <c r="G35" s="87">
        <f>'A6-FinPos'!G8+'A6-FinPos'!G9+'A6-FinPos'!G15</f>
        <v>437687412.63460004</v>
      </c>
      <c r="H35" s="87">
        <f>'A6-FinPos'!H8+'A6-FinPos'!H9+'A6-FinPos'!H15</f>
        <v>400979695.55000001</v>
      </c>
      <c r="I35" s="87">
        <f>'A6-FinPos'!I8+'A6-FinPos'!I9+'A6-FinPos'!I15</f>
        <v>400979695.55000001</v>
      </c>
      <c r="J35" s="87">
        <f>'A6-FinPos'!J8+'A6-FinPos'!J9+'A6-FinPos'!J15</f>
        <v>401755073.7899</v>
      </c>
      <c r="K35" s="87">
        <f>'A6-FinPos'!K8+'A6-FinPos'!K9+'A6-FinPos'!K15</f>
        <v>402022781.79898697</v>
      </c>
      <c r="L35" s="87">
        <f>'A6-FinPos'!L8+'A6-FinPos'!L9+'A6-FinPos'!L15</f>
        <v>401756840.13718987</v>
      </c>
    </row>
    <row r="36" spans="1:12" ht="11.25" customHeight="1">
      <c r="A36" s="233" t="s">
        <v>1961</v>
      </c>
      <c r="B36" s="26"/>
      <c r="C36" s="1930">
        <f>IF(ISERROR('SA10'!D10),0,('SA10'!D10))</f>
        <v>0.88849084164638492</v>
      </c>
      <c r="D36" s="1930">
        <f>IF(ISERROR('SA10'!E10),0,('SA10'!E10))</f>
        <v>0.83305714317881663</v>
      </c>
      <c r="E36" s="1930">
        <f>IF(ISERROR('SA10'!F10),0,('SA10'!F10))</f>
        <v>0.9647522798777467</v>
      </c>
      <c r="F36" s="1930">
        <f>IF(ISERROR('SA10'!G10),0,('SA10'!G10))</f>
        <v>0.85784558532599786</v>
      </c>
      <c r="G36" s="1930">
        <f>IF(ISERROR('SA10'!H10),0,('SA10'!H10))</f>
        <v>0.85279457217073884</v>
      </c>
      <c r="H36" s="1930">
        <f>IF(ISERROR('SA10'!I10),0,('SA10'!I10))</f>
        <v>0.74697986989296461</v>
      </c>
      <c r="I36" s="1930">
        <f>IF(ISERROR('SA10'!J10),0,('SA10'!J10))</f>
        <v>0.74697986989296461</v>
      </c>
      <c r="J36" s="1930">
        <f>IF(ISERROR('SA10'!K10),0,('SA10'!K10))</f>
        <v>0.83875240281958097</v>
      </c>
      <c r="K36" s="1930">
        <f>IF(ISERROR('SA10'!L10),0,('SA10'!L10))</f>
        <v>0.83878915668914311</v>
      </c>
      <c r="L36" s="1930">
        <f>IF(ISERROR('SA10'!M10),0,('SA10'!M10))</f>
        <v>0.83882618512027984</v>
      </c>
    </row>
    <row r="37" spans="1:12" s="240" customFormat="1" ht="3" customHeight="1">
      <c r="A37" s="233"/>
      <c r="C37" s="87"/>
      <c r="D37" s="87"/>
      <c r="E37" s="87"/>
      <c r="F37" s="87"/>
      <c r="G37" s="87"/>
      <c r="H37" s="87"/>
      <c r="I37" s="87"/>
      <c r="J37" s="87"/>
      <c r="K37" s="87"/>
      <c r="L37" s="87"/>
    </row>
    <row r="38" spans="1:12" s="240" customFormat="1" ht="3" customHeight="1">
      <c r="A38" s="233"/>
      <c r="C38" s="1758"/>
      <c r="D38" s="1757"/>
      <c r="E38" s="1757"/>
      <c r="F38" s="1757"/>
      <c r="G38" s="1757"/>
      <c r="H38" s="1757"/>
      <c r="I38" s="1757"/>
      <c r="J38" s="1757"/>
      <c r="K38" s="1757"/>
      <c r="L38" s="1757"/>
    </row>
    <row r="39" spans="1:12" ht="11.25" customHeight="1">
      <c r="B39" s="26"/>
      <c r="C39" s="240"/>
      <c r="D39" s="240"/>
      <c r="E39" s="240"/>
      <c r="F39" s="240"/>
      <c r="G39" s="240"/>
      <c r="H39" s="240"/>
      <c r="I39" s="240"/>
      <c r="J39" s="240"/>
      <c r="K39" s="240" t="s">
        <v>1959</v>
      </c>
      <c r="L39" s="240"/>
    </row>
    <row r="40" spans="1:12" ht="11.25" customHeight="1">
      <c r="A40" s="331" t="str">
        <f>A16</f>
        <v>Long term investments committed</v>
      </c>
      <c r="B40" s="26"/>
      <c r="I40" s="236"/>
    </row>
    <row r="41" spans="1:12" ht="11.25" customHeight="1">
      <c r="A41" s="1985" t="s">
        <v>824</v>
      </c>
      <c r="B41" s="26"/>
      <c r="C41" s="1962"/>
      <c r="D41" s="1962"/>
      <c r="E41" s="1962"/>
      <c r="F41" s="1962"/>
      <c r="G41" s="1962"/>
      <c r="H41" s="1962"/>
      <c r="I41" s="1962"/>
      <c r="J41" s="1962"/>
      <c r="K41" s="1962"/>
      <c r="L41" s="1962"/>
    </row>
    <row r="42" spans="1:12" ht="11.25" customHeight="1">
      <c r="A42" s="1986" t="s">
        <v>2914</v>
      </c>
      <c r="B42" s="26"/>
      <c r="C42" s="1962">
        <v>9635115</v>
      </c>
      <c r="D42" s="1962">
        <v>10762079</v>
      </c>
      <c r="E42" s="1962">
        <v>14136980</v>
      </c>
      <c r="F42" s="1962">
        <v>12552888.945600001</v>
      </c>
      <c r="G42" s="1962">
        <v>12552888.945600001</v>
      </c>
      <c r="H42" s="1962"/>
      <c r="I42" s="1962"/>
      <c r="J42" s="1962"/>
      <c r="K42" s="1962"/>
      <c r="L42" s="1962"/>
    </row>
    <row r="43" spans="1:12" ht="11.25" customHeight="1">
      <c r="A43" s="1986" t="s">
        <v>2915</v>
      </c>
      <c r="B43" s="26"/>
      <c r="C43" s="1962">
        <v>15539161</v>
      </c>
      <c r="D43" s="1962">
        <v>16125319</v>
      </c>
      <c r="E43" s="1962">
        <v>17388103</v>
      </c>
      <c r="F43" s="1962">
        <v>21325734.377500001</v>
      </c>
      <c r="G43" s="1962">
        <v>21325734.377500001</v>
      </c>
      <c r="H43" s="1962">
        <v>19996318.449999999</v>
      </c>
      <c r="I43" s="1962">
        <v>19996318.449999999</v>
      </c>
      <c r="J43" s="1962">
        <v>21995950.294999998</v>
      </c>
      <c r="K43" s="1962">
        <v>24195545.324499998</v>
      </c>
      <c r="L43" s="1962">
        <v>26615099.85695</v>
      </c>
    </row>
    <row r="44" spans="1:12" ht="11.25" customHeight="1">
      <c r="A44" s="1986" t="s">
        <v>2915</v>
      </c>
      <c r="B44" s="26"/>
      <c r="C44" s="1962"/>
      <c r="D44" s="1962"/>
      <c r="E44" s="1962"/>
      <c r="F44" s="1962"/>
      <c r="G44" s="1962"/>
      <c r="H44" s="1962"/>
      <c r="I44" s="1962"/>
      <c r="J44" s="1962"/>
      <c r="K44" s="1962"/>
      <c r="L44" s="1962"/>
    </row>
    <row r="45" spans="1:12" ht="11.25" customHeight="1">
      <c r="A45" s="1986"/>
      <c r="B45" s="26"/>
      <c r="C45" s="1962"/>
      <c r="D45" s="1962"/>
      <c r="E45" s="1962"/>
      <c r="F45" s="1962"/>
      <c r="G45" s="1962"/>
      <c r="H45" s="1962"/>
      <c r="I45" s="1962"/>
      <c r="J45" s="1962"/>
      <c r="K45" s="1962"/>
      <c r="L45" s="1962"/>
    </row>
    <row r="46" spans="1:12" ht="11.25" customHeight="1">
      <c r="A46" s="1986"/>
      <c r="B46" s="26"/>
      <c r="C46" s="1962"/>
      <c r="D46" s="1962"/>
      <c r="E46" s="1962"/>
      <c r="F46" s="1962"/>
      <c r="G46" s="1962"/>
      <c r="H46" s="1962"/>
      <c r="I46" s="1962"/>
      <c r="J46" s="1962"/>
      <c r="K46" s="1962"/>
      <c r="L46" s="1962"/>
    </row>
    <row r="47" spans="1:12" ht="11.25" customHeight="1">
      <c r="A47" s="1986"/>
      <c r="B47" s="26"/>
      <c r="C47" s="1962"/>
      <c r="D47" s="1962"/>
      <c r="E47" s="1962"/>
      <c r="F47" s="1962"/>
      <c r="G47" s="1962"/>
      <c r="H47" s="1962"/>
      <c r="I47" s="1962"/>
      <c r="J47" s="1962"/>
      <c r="K47" s="1962"/>
      <c r="L47" s="1962"/>
    </row>
    <row r="48" spans="1:12" ht="11.25" customHeight="1">
      <c r="A48" s="1986"/>
      <c r="B48" s="26"/>
      <c r="C48" s="1962"/>
      <c r="D48" s="1962"/>
      <c r="E48" s="1962"/>
      <c r="F48" s="1962"/>
      <c r="G48" s="1962"/>
      <c r="H48" s="1962"/>
      <c r="I48" s="1962"/>
      <c r="J48" s="1962"/>
      <c r="K48" s="1962"/>
      <c r="L48" s="1962"/>
    </row>
    <row r="49" spans="1:12" ht="11.25" customHeight="1">
      <c r="A49" s="1986"/>
      <c r="B49" s="26"/>
      <c r="C49" s="1962"/>
      <c r="D49" s="1962"/>
      <c r="E49" s="1962"/>
      <c r="F49" s="1962"/>
      <c r="G49" s="1962"/>
      <c r="H49" s="1962"/>
      <c r="I49" s="1962"/>
      <c r="J49" s="1962"/>
      <c r="K49" s="1962"/>
      <c r="L49" s="1962"/>
    </row>
    <row r="50" spans="1:12" ht="11.25" customHeight="1">
      <c r="A50" s="1986"/>
      <c r="B50" s="26"/>
      <c r="C50" s="1962"/>
      <c r="D50" s="1962"/>
      <c r="E50" s="1962"/>
      <c r="F50" s="1962"/>
      <c r="G50" s="1962"/>
      <c r="H50" s="1962"/>
      <c r="I50" s="1962"/>
      <c r="J50" s="1962"/>
      <c r="K50" s="1962"/>
      <c r="L50" s="1962"/>
    </row>
    <row r="51" spans="1:12" ht="11.25" customHeight="1">
      <c r="A51" s="1986"/>
      <c r="B51" s="26"/>
      <c r="C51" s="1962"/>
      <c r="D51" s="1962"/>
      <c r="E51" s="1962"/>
      <c r="F51" s="1962"/>
      <c r="G51" s="1962"/>
      <c r="H51" s="1962"/>
      <c r="I51" s="1962"/>
      <c r="J51" s="1962"/>
      <c r="K51" s="1962"/>
      <c r="L51" s="1962"/>
    </row>
    <row r="52" spans="1:12" ht="11.25" customHeight="1" thickBot="1">
      <c r="A52" s="331"/>
      <c r="B52" s="26"/>
      <c r="C52" s="234">
        <f>SUM(C41:C51)</f>
        <v>25174276</v>
      </c>
      <c r="D52" s="234">
        <f t="shared" ref="D52:L52" si="7">SUM(D41:D51)</f>
        <v>26887398</v>
      </c>
      <c r="E52" s="234">
        <f t="shared" si="7"/>
        <v>31525083</v>
      </c>
      <c r="F52" s="234">
        <f t="shared" si="7"/>
        <v>33878623.323100001</v>
      </c>
      <c r="G52" s="234">
        <f t="shared" si="7"/>
        <v>33878623.323100001</v>
      </c>
      <c r="H52" s="234">
        <f t="shared" si="7"/>
        <v>19996318.449999999</v>
      </c>
      <c r="I52" s="234">
        <f t="shared" si="7"/>
        <v>19996318.449999999</v>
      </c>
      <c r="J52" s="234">
        <f t="shared" si="7"/>
        <v>21995950.294999998</v>
      </c>
      <c r="K52" s="234">
        <f t="shared" si="7"/>
        <v>24195545.324499998</v>
      </c>
      <c r="L52" s="234">
        <f t="shared" si="7"/>
        <v>26615099.85695</v>
      </c>
    </row>
    <row r="53" spans="1:12" ht="11.25" customHeight="1" thickTop="1">
      <c r="A53" s="331" t="str">
        <f>A17</f>
        <v>Reserves to be backed by cash/investments</v>
      </c>
      <c r="B53" s="26"/>
      <c r="I53" s="236"/>
    </row>
    <row r="54" spans="1:12" ht="11.25" customHeight="1">
      <c r="A54" s="26" t="str">
        <f>'SA3'!A65</f>
        <v>Housing Development Fund</v>
      </c>
      <c r="B54" s="26"/>
      <c r="C54" s="87">
        <f>'SA3'!C65</f>
        <v>0</v>
      </c>
      <c r="D54" s="87">
        <f>'SA3'!D65</f>
        <v>0</v>
      </c>
      <c r="E54" s="87">
        <f>'SA3'!E65</f>
        <v>0</v>
      </c>
      <c r="F54" s="87">
        <f>'SA3'!F65</f>
        <v>0</v>
      </c>
      <c r="G54" s="87">
        <f>'SA3'!G65</f>
        <v>0</v>
      </c>
      <c r="H54" s="87">
        <f>'SA3'!H65</f>
        <v>0</v>
      </c>
      <c r="I54" s="87">
        <f>'SA3'!I65</f>
        <v>0</v>
      </c>
      <c r="J54" s="87">
        <f>'SA3'!J65</f>
        <v>0</v>
      </c>
      <c r="K54" s="87">
        <f>'SA3'!K65</f>
        <v>0</v>
      </c>
      <c r="L54" s="87">
        <f>'SA3'!L65</f>
        <v>0</v>
      </c>
    </row>
    <row r="55" spans="1:12" ht="11.25" customHeight="1">
      <c r="A55" s="26" t="str">
        <f>'SA3'!A66</f>
        <v>Capital replacement</v>
      </c>
      <c r="B55" s="26"/>
      <c r="C55" s="1962"/>
      <c r="D55" s="1962"/>
      <c r="E55" s="1962"/>
      <c r="F55" s="1962"/>
      <c r="G55" s="1962"/>
      <c r="H55" s="1962"/>
      <c r="I55" s="1962"/>
      <c r="J55" s="1962"/>
      <c r="K55" s="1962"/>
      <c r="L55" s="1962"/>
    </row>
    <row r="56" spans="1:12" ht="11.25" customHeight="1">
      <c r="A56" s="26" t="str">
        <f>'SA3'!A67</f>
        <v>Self-insurance</v>
      </c>
      <c r="B56" s="26"/>
      <c r="C56" s="1962"/>
      <c r="D56" s="1962"/>
      <c r="E56" s="1962"/>
      <c r="F56" s="1962"/>
      <c r="G56" s="1962"/>
      <c r="H56" s="1962"/>
      <c r="I56" s="1962"/>
      <c r="J56" s="1962"/>
      <c r="K56" s="1962"/>
      <c r="L56" s="1962"/>
    </row>
    <row r="57" spans="1:12" ht="11.25" customHeight="1">
      <c r="A57" s="1985" t="s">
        <v>1236</v>
      </c>
      <c r="B57" s="923"/>
      <c r="C57" s="1962"/>
      <c r="D57" s="1962"/>
      <c r="E57" s="1962"/>
      <c r="F57" s="1962"/>
      <c r="G57" s="1962"/>
      <c r="H57" s="1962"/>
      <c r="I57" s="1962"/>
      <c r="J57" s="1962"/>
      <c r="K57" s="1962"/>
      <c r="L57" s="1962"/>
    </row>
    <row r="58" spans="1:12" ht="11.25" customHeight="1">
      <c r="A58" s="1985"/>
      <c r="B58" s="240"/>
      <c r="C58" s="1962"/>
      <c r="D58" s="1962"/>
      <c r="E58" s="1962"/>
      <c r="F58" s="1962"/>
      <c r="G58" s="1962"/>
      <c r="H58" s="1962"/>
      <c r="I58" s="1962"/>
      <c r="J58" s="1962"/>
      <c r="K58" s="1962"/>
      <c r="L58" s="1962"/>
    </row>
    <row r="59" spans="1:12" ht="11.25" customHeight="1">
      <c r="A59" s="1985"/>
      <c r="B59" s="240"/>
      <c r="C59" s="1962"/>
      <c r="D59" s="1962"/>
      <c r="E59" s="1962"/>
      <c r="F59" s="1962"/>
      <c r="G59" s="1962"/>
      <c r="H59" s="1962"/>
      <c r="I59" s="1962"/>
      <c r="J59" s="1962"/>
      <c r="K59" s="1962"/>
      <c r="L59" s="1962"/>
    </row>
    <row r="60" spans="1:12" ht="11.25" customHeight="1">
      <c r="A60" s="1985"/>
      <c r="B60" s="240"/>
      <c r="C60" s="1962"/>
      <c r="D60" s="1962"/>
      <c r="E60" s="1962"/>
      <c r="F60" s="1962"/>
      <c r="G60" s="1962"/>
      <c r="H60" s="1962"/>
      <c r="I60" s="1962"/>
      <c r="J60" s="1962"/>
      <c r="K60" s="1962"/>
      <c r="L60" s="1962"/>
    </row>
    <row r="61" spans="1:12" ht="11.25" customHeight="1">
      <c r="A61" s="1985"/>
      <c r="B61" s="240"/>
      <c r="C61" s="1962"/>
      <c r="D61" s="1962"/>
      <c r="E61" s="1962"/>
      <c r="F61" s="1962"/>
      <c r="G61" s="1962"/>
      <c r="H61" s="1962"/>
      <c r="I61" s="1962"/>
      <c r="J61" s="1962"/>
      <c r="K61" s="1962"/>
      <c r="L61" s="1962"/>
    </row>
    <row r="62" spans="1:12" ht="11.25" customHeight="1">
      <c r="A62" s="1985"/>
      <c r="B62" s="240"/>
      <c r="C62" s="1962"/>
      <c r="D62" s="1962"/>
      <c r="E62" s="1962"/>
      <c r="F62" s="1962"/>
      <c r="G62" s="1962"/>
      <c r="H62" s="1962"/>
      <c r="I62" s="1962"/>
      <c r="J62" s="1962"/>
      <c r="K62" s="1962"/>
      <c r="L62" s="1962"/>
    </row>
    <row r="63" spans="1:12" ht="11.25" customHeight="1">
      <c r="A63" s="1985"/>
      <c r="B63" s="240"/>
      <c r="C63" s="1962"/>
      <c r="D63" s="1962"/>
      <c r="E63" s="1962"/>
      <c r="F63" s="1962"/>
      <c r="G63" s="1962"/>
      <c r="H63" s="1962"/>
      <c r="I63" s="1962"/>
      <c r="J63" s="1962"/>
      <c r="K63" s="1962"/>
      <c r="L63" s="1962"/>
    </row>
    <row r="64" spans="1:12" ht="11.25" customHeight="1">
      <c r="A64" s="1985"/>
      <c r="B64" s="240"/>
      <c r="C64" s="1962"/>
      <c r="D64" s="1962"/>
      <c r="E64" s="1962"/>
      <c r="F64" s="1962"/>
      <c r="G64" s="1962"/>
      <c r="H64" s="1962"/>
      <c r="I64" s="1962"/>
      <c r="J64" s="1962"/>
      <c r="K64" s="1962"/>
      <c r="L64" s="1962"/>
    </row>
    <row r="65" spans="1:12" ht="11.25" customHeight="1">
      <c r="A65" s="1985"/>
      <c r="B65" s="240"/>
      <c r="C65" s="1962"/>
      <c r="D65" s="1962"/>
      <c r="E65" s="1962"/>
      <c r="F65" s="1962"/>
      <c r="G65" s="1962"/>
      <c r="H65" s="1962"/>
      <c r="I65" s="1962"/>
      <c r="J65" s="1962"/>
      <c r="K65" s="1962"/>
      <c r="L65" s="1962"/>
    </row>
    <row r="67" spans="1:12" ht="11.25" customHeight="1" thickBot="1">
      <c r="B67" s="26"/>
      <c r="C67" s="234">
        <f t="shared" ref="C67:L67" si="8">SUM(C54:C65)</f>
        <v>0</v>
      </c>
      <c r="D67" s="234">
        <f t="shared" si="8"/>
        <v>0</v>
      </c>
      <c r="E67" s="234">
        <f t="shared" si="8"/>
        <v>0</v>
      </c>
      <c r="F67" s="234">
        <f t="shared" si="8"/>
        <v>0</v>
      </c>
      <c r="G67" s="234">
        <f t="shared" si="8"/>
        <v>0</v>
      </c>
      <c r="H67" s="234">
        <f t="shared" si="8"/>
        <v>0</v>
      </c>
      <c r="I67" s="234">
        <f t="shared" si="8"/>
        <v>0</v>
      </c>
      <c r="J67" s="234">
        <f t="shared" si="8"/>
        <v>0</v>
      </c>
      <c r="K67" s="234">
        <f t="shared" si="8"/>
        <v>0</v>
      </c>
      <c r="L67" s="234">
        <f t="shared" si="8"/>
        <v>0</v>
      </c>
    </row>
    <row r="68" spans="1:12" ht="11.25" customHeight="1" thickTop="1">
      <c r="B68" s="26"/>
    </row>
    <row r="69" spans="1:12" ht="11.25" customHeight="1">
      <c r="B69" s="26"/>
    </row>
    <row r="70" spans="1:12" ht="11.25" customHeight="1">
      <c r="B70" s="26"/>
    </row>
    <row r="71" spans="1:12" ht="11.25" customHeight="1">
      <c r="B71" s="26"/>
    </row>
    <row r="72" spans="1:12" ht="11.25" customHeight="1">
      <c r="B72" s="26"/>
    </row>
    <row r="73" spans="1:12" ht="11.25" customHeight="1">
      <c r="B73" s="26"/>
    </row>
    <row r="74" spans="1:12" ht="11.25" customHeight="1">
      <c r="B74" s="26"/>
    </row>
    <row r="75" spans="1:12" ht="11.25" customHeight="1">
      <c r="B75" s="26"/>
    </row>
    <row r="76" spans="1:12" ht="11.25" customHeight="1">
      <c r="B76" s="26"/>
    </row>
    <row r="77" spans="1:12" ht="11.25" customHeight="1"/>
    <row r="78" spans="1:12" ht="11.25" customHeight="1"/>
    <row r="79" spans="1:12" ht="11.25" customHeight="1"/>
    <row r="80" spans="1:1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sheetData>
  <mergeCells count="2">
    <mergeCell ref="J2:L2"/>
    <mergeCell ref="F2:I2"/>
  </mergeCells>
  <phoneticPr fontId="5"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205" activePane="bottomRight" state="frozen"/>
      <selection pane="topRight"/>
      <selection pane="bottomLeft"/>
      <selection pane="bottomRight" activeCell="N214" sqref="N214"/>
    </sheetView>
  </sheetViews>
  <sheetFormatPr defaultColWidth="9.140625" defaultRowHeight="12.75"/>
  <cols>
    <col min="1" max="1" width="37.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s="56" customFormat="1">
      <c r="A1" s="24" t="str">
        <f>muni&amp;" - "&amp;Approve9</f>
        <v>LIM333 Greater Tzaneen - Table A9 Consolidated Asset Management</v>
      </c>
      <c r="B1" s="24"/>
      <c r="C1" s="24"/>
      <c r="D1" s="24"/>
      <c r="E1" s="24"/>
      <c r="F1" s="24"/>
      <c r="G1" s="24"/>
      <c r="H1" s="24"/>
      <c r="I1" s="24"/>
      <c r="J1" s="24"/>
      <c r="K1" s="24"/>
    </row>
    <row r="2" spans="1:11" ht="28.5" customHeight="1">
      <c r="A2" s="831" t="str">
        <f>desc</f>
        <v>Description</v>
      </c>
      <c r="B2" s="288" t="str">
        <f>head27</f>
        <v>Ref</v>
      </c>
      <c r="C2" s="27" t="str">
        <f>head1b</f>
        <v>2016/17</v>
      </c>
      <c r="D2" s="27" t="str">
        <f>head1A</f>
        <v>2017/18</v>
      </c>
      <c r="E2" s="23" t="str">
        <f>Head1</f>
        <v>2018/19</v>
      </c>
      <c r="F2" s="2842" t="str">
        <f>Head2</f>
        <v>Current Year 2019/20</v>
      </c>
      <c r="G2" s="2843"/>
      <c r="H2" s="2847"/>
      <c r="I2" s="2839" t="str">
        <f>Head3</f>
        <v>2020/21 Medium Term Revenue &amp; Expenditure Framework</v>
      </c>
      <c r="J2" s="2840"/>
      <c r="K2" s="2841"/>
    </row>
    <row r="3" spans="1:11" ht="25.5">
      <c r="A3" s="1249" t="s">
        <v>569</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c r="A4" s="1346" t="s">
        <v>1258</v>
      </c>
      <c r="B4" s="59"/>
      <c r="C4" s="95"/>
      <c r="D4" s="95"/>
      <c r="E4" s="96"/>
      <c r="F4" s="97"/>
      <c r="G4" s="95"/>
      <c r="H4" s="94"/>
      <c r="I4" s="98"/>
      <c r="J4" s="95"/>
      <c r="K4" s="96"/>
    </row>
    <row r="5" spans="1:11" ht="11.25" customHeight="1">
      <c r="A5" s="1347" t="s">
        <v>933</v>
      </c>
      <c r="B5" s="59">
        <v>1</v>
      </c>
      <c r="C5" s="95">
        <f>C15+C18+C19+C22+C25+C26+SUM(C29:C35)</f>
        <v>49658185</v>
      </c>
      <c r="D5" s="95">
        <f t="shared" ref="D5:K5" si="0">D15+D18+D19+D22+D25+D26+SUM(D29:D35)</f>
        <v>27167630.559649125</v>
      </c>
      <c r="E5" s="96">
        <f t="shared" si="0"/>
        <v>85950829.608695656</v>
      </c>
      <c r="F5" s="97">
        <f t="shared" si="0"/>
        <v>97310386</v>
      </c>
      <c r="G5" s="95">
        <f t="shared" si="0"/>
        <v>79762981</v>
      </c>
      <c r="H5" s="94">
        <f t="shared" si="0"/>
        <v>79762981</v>
      </c>
      <c r="I5" s="98">
        <f t="shared" si="0"/>
        <v>24035000</v>
      </c>
      <c r="J5" s="95">
        <f t="shared" si="0"/>
        <v>9319000</v>
      </c>
      <c r="K5" s="96">
        <f t="shared" si="0"/>
        <v>9721438</v>
      </c>
    </row>
    <row r="6" spans="1:11" ht="11.25" customHeight="1">
      <c r="A6" s="2523" t="s">
        <v>2245</v>
      </c>
      <c r="B6" s="223"/>
      <c r="C6" s="900">
        <f>SA34a!C7</f>
        <v>39930586</v>
      </c>
      <c r="D6" s="900">
        <f>SA34a!D7</f>
        <v>6981726</v>
      </c>
      <c r="E6" s="901">
        <f>SA34a!E7</f>
        <v>53816542</v>
      </c>
      <c r="F6" s="902">
        <f>SA34a!F7</f>
        <v>48870486</v>
      </c>
      <c r="G6" s="900">
        <f>SA34a!G7</f>
        <v>42551349</v>
      </c>
      <c r="H6" s="903">
        <f>SA34a!H7</f>
        <v>42551349</v>
      </c>
      <c r="I6" s="904">
        <f>SA34a!I7</f>
        <v>1500000</v>
      </c>
      <c r="J6" s="900">
        <f>SA34a!J7</f>
        <v>0</v>
      </c>
      <c r="K6" s="901">
        <f>SA34a!K7</f>
        <v>0</v>
      </c>
    </row>
    <row r="7" spans="1:11" ht="11.25" customHeight="1">
      <c r="A7" s="2523" t="s">
        <v>2249</v>
      </c>
      <c r="B7" s="223"/>
      <c r="C7" s="900">
        <f>SA34a!C12</f>
        <v>0</v>
      </c>
      <c r="D7" s="900">
        <f>SA34a!D12</f>
        <v>0</v>
      </c>
      <c r="E7" s="901">
        <f>SA34a!E12</f>
        <v>0</v>
      </c>
      <c r="F7" s="902">
        <f>SA34a!F12</f>
        <v>0</v>
      </c>
      <c r="G7" s="900">
        <f>SA34a!G12</f>
        <v>561967</v>
      </c>
      <c r="H7" s="903">
        <f>SA34a!H12</f>
        <v>561967</v>
      </c>
      <c r="I7" s="904">
        <f>SA34a!I12</f>
        <v>0</v>
      </c>
      <c r="J7" s="900">
        <f>SA34a!J12</f>
        <v>0</v>
      </c>
      <c r="K7" s="901">
        <f>SA34a!K12</f>
        <v>0</v>
      </c>
    </row>
    <row r="8" spans="1:11" ht="11.25" customHeight="1">
      <c r="A8" s="2523" t="s">
        <v>2294</v>
      </c>
      <c r="B8" s="223"/>
      <c r="C8" s="900">
        <f>SA34a!C16</f>
        <v>9727599</v>
      </c>
      <c r="D8" s="900">
        <f>SA34a!D16</f>
        <v>12113986</v>
      </c>
      <c r="E8" s="901">
        <f>SA34a!E16</f>
        <v>16764784</v>
      </c>
      <c r="F8" s="902">
        <f>SA34a!F16</f>
        <v>15900000</v>
      </c>
      <c r="G8" s="900">
        <f>SA34a!G16</f>
        <v>19709764</v>
      </c>
      <c r="H8" s="903">
        <f>SA34a!H16</f>
        <v>19709764</v>
      </c>
      <c r="I8" s="904">
        <f>SA34a!I16</f>
        <v>12000000</v>
      </c>
      <c r="J8" s="900">
        <f>SA34a!J16</f>
        <v>8384000</v>
      </c>
      <c r="K8" s="901">
        <f>SA34a!K16</f>
        <v>8786438</v>
      </c>
    </row>
    <row r="9" spans="1:11" ht="11.25" customHeight="1">
      <c r="A9" s="2523" t="s">
        <v>2295</v>
      </c>
      <c r="B9" s="223"/>
      <c r="C9" s="900">
        <f>SA34a!C26</f>
        <v>0</v>
      </c>
      <c r="D9" s="900">
        <f>SA34a!D26</f>
        <v>0</v>
      </c>
      <c r="E9" s="901">
        <f>SA34a!E26</f>
        <v>0</v>
      </c>
      <c r="F9" s="902">
        <f>SA34a!F26</f>
        <v>0</v>
      </c>
      <c r="G9" s="900">
        <f>SA34a!G26</f>
        <v>0</v>
      </c>
      <c r="H9" s="903">
        <f>SA34a!H26</f>
        <v>0</v>
      </c>
      <c r="I9" s="904">
        <f>SA34a!I26</f>
        <v>0</v>
      </c>
      <c r="J9" s="900">
        <f>SA34a!J26</f>
        <v>0</v>
      </c>
      <c r="K9" s="901">
        <f>SA34a!K26</f>
        <v>0</v>
      </c>
    </row>
    <row r="10" spans="1:11" ht="11.25" customHeight="1">
      <c r="A10" s="2523" t="s">
        <v>2296</v>
      </c>
      <c r="B10" s="223"/>
      <c r="C10" s="900">
        <f>SA34a!C37</f>
        <v>0</v>
      </c>
      <c r="D10" s="900">
        <f>SA34a!D37</f>
        <v>0</v>
      </c>
      <c r="E10" s="901">
        <f>SA34a!E37</f>
        <v>0</v>
      </c>
      <c r="F10" s="902">
        <f>SA34a!F37</f>
        <v>0</v>
      </c>
      <c r="G10" s="900">
        <f>SA34a!G37</f>
        <v>0</v>
      </c>
      <c r="H10" s="903">
        <f>SA34a!H37</f>
        <v>0</v>
      </c>
      <c r="I10" s="904">
        <f>SA34a!I37</f>
        <v>0</v>
      </c>
      <c r="J10" s="900">
        <f>SA34a!J37</f>
        <v>0</v>
      </c>
      <c r="K10" s="901">
        <f>SA34a!K37</f>
        <v>0</v>
      </c>
    </row>
    <row r="11" spans="1:11" ht="11.25" customHeight="1">
      <c r="A11" s="2523" t="s">
        <v>2274</v>
      </c>
      <c r="B11" s="223"/>
      <c r="C11" s="900">
        <f>SA34a!C44</f>
        <v>0</v>
      </c>
      <c r="D11" s="900">
        <f>SA34a!D44</f>
        <v>0</v>
      </c>
      <c r="E11" s="901">
        <f>SA34a!E44</f>
        <v>1247321</v>
      </c>
      <c r="F11" s="902">
        <f>SA34a!F44</f>
        <v>0</v>
      </c>
      <c r="G11" s="900">
        <f>SA34a!G44</f>
        <v>0</v>
      </c>
      <c r="H11" s="903">
        <f>SA34a!H44</f>
        <v>0</v>
      </c>
      <c r="I11" s="904">
        <f>SA34a!I44</f>
        <v>0</v>
      </c>
      <c r="J11" s="900">
        <f>SA34a!J44</f>
        <v>0</v>
      </c>
      <c r="K11" s="901">
        <f>SA34a!K44</f>
        <v>0</v>
      </c>
    </row>
    <row r="12" spans="1:11" ht="11.25" customHeight="1">
      <c r="A12" s="2523" t="s">
        <v>2290</v>
      </c>
      <c r="B12" s="223"/>
      <c r="C12" s="900">
        <f>SA34a!C52</f>
        <v>0</v>
      </c>
      <c r="D12" s="900">
        <f>SA34a!D52</f>
        <v>0</v>
      </c>
      <c r="E12" s="901">
        <f>SA34a!E52</f>
        <v>0</v>
      </c>
      <c r="F12" s="902">
        <f>SA34a!F52</f>
        <v>8150000</v>
      </c>
      <c r="G12" s="900">
        <f>SA34a!G52</f>
        <v>8150000</v>
      </c>
      <c r="H12" s="903">
        <f>SA34a!H52</f>
        <v>8150000</v>
      </c>
      <c r="I12" s="904">
        <f>SA34a!I52</f>
        <v>0</v>
      </c>
      <c r="J12" s="900">
        <f>SA34a!J52</f>
        <v>0</v>
      </c>
      <c r="K12" s="901">
        <f>SA34a!K52</f>
        <v>0</v>
      </c>
    </row>
    <row r="13" spans="1:11" ht="11.25" customHeight="1">
      <c r="A13" s="2523" t="s">
        <v>2285</v>
      </c>
      <c r="B13" s="223"/>
      <c r="C13" s="900">
        <f>SA34a!C62</f>
        <v>0</v>
      </c>
      <c r="D13" s="900">
        <f>SA34a!D62</f>
        <v>0</v>
      </c>
      <c r="E13" s="901">
        <f>SA34a!E62</f>
        <v>0</v>
      </c>
      <c r="F13" s="902">
        <f>SA34a!F62</f>
        <v>0</v>
      </c>
      <c r="G13" s="900">
        <f>SA34a!G62</f>
        <v>0</v>
      </c>
      <c r="H13" s="903">
        <f>SA34a!H62</f>
        <v>0</v>
      </c>
      <c r="I13" s="904">
        <f>SA34a!I62</f>
        <v>0</v>
      </c>
      <c r="J13" s="900">
        <f>SA34a!J62</f>
        <v>0</v>
      </c>
      <c r="K13" s="901">
        <f>SA34a!K62</f>
        <v>0</v>
      </c>
    </row>
    <row r="14" spans="1:11" ht="11.25" customHeight="1">
      <c r="A14" s="2523" t="s">
        <v>2281</v>
      </c>
      <c r="B14" s="223"/>
      <c r="C14" s="900">
        <f>SA34a!C68</f>
        <v>0</v>
      </c>
      <c r="D14" s="900">
        <f>SA34a!D68</f>
        <v>0</v>
      </c>
      <c r="E14" s="901">
        <f>SA34a!E68</f>
        <v>0</v>
      </c>
      <c r="F14" s="902">
        <f>SA34a!F68</f>
        <v>0</v>
      </c>
      <c r="G14" s="900">
        <f>SA34a!G68</f>
        <v>0</v>
      </c>
      <c r="H14" s="903">
        <f>SA34a!H68</f>
        <v>0</v>
      </c>
      <c r="I14" s="904">
        <f>SA34a!I68</f>
        <v>0</v>
      </c>
      <c r="J14" s="900">
        <f>SA34a!J68</f>
        <v>0</v>
      </c>
      <c r="K14" s="901">
        <f>SA34a!K68</f>
        <v>0</v>
      </c>
    </row>
    <row r="15" spans="1:11" ht="11.25" customHeight="1">
      <c r="A15" s="2535" t="s">
        <v>845</v>
      </c>
      <c r="B15" s="463"/>
      <c r="C15" s="2541">
        <f>SUM(C6:C14)</f>
        <v>49658185</v>
      </c>
      <c r="D15" s="2541">
        <f t="shared" ref="D15:K15" si="1">SUM(D6:D14)</f>
        <v>19095712</v>
      </c>
      <c r="E15" s="2542">
        <f t="shared" si="1"/>
        <v>71828647</v>
      </c>
      <c r="F15" s="2543">
        <f t="shared" si="1"/>
        <v>72920486</v>
      </c>
      <c r="G15" s="2541">
        <f t="shared" si="1"/>
        <v>70973080</v>
      </c>
      <c r="H15" s="2544">
        <f t="shared" si="1"/>
        <v>70973080</v>
      </c>
      <c r="I15" s="2545">
        <f t="shared" si="1"/>
        <v>13500000</v>
      </c>
      <c r="J15" s="2541">
        <f t="shared" si="1"/>
        <v>8384000</v>
      </c>
      <c r="K15" s="2542">
        <f t="shared" si="1"/>
        <v>8786438</v>
      </c>
    </row>
    <row r="16" spans="1:11" ht="11.25" customHeight="1">
      <c r="A16" s="2524" t="s">
        <v>2298</v>
      </c>
      <c r="B16" s="59"/>
      <c r="C16" s="900">
        <f>SA34a!C75</f>
        <v>0</v>
      </c>
      <c r="D16" s="900">
        <f>SA34a!D75</f>
        <v>0</v>
      </c>
      <c r="E16" s="901">
        <f>SA34a!E75</f>
        <v>0</v>
      </c>
      <c r="F16" s="902">
        <f>SA34a!F75</f>
        <v>8269900</v>
      </c>
      <c r="G16" s="900">
        <f>SA34a!G75</f>
        <v>5269900</v>
      </c>
      <c r="H16" s="903">
        <f>SA34a!H75</f>
        <v>5269900</v>
      </c>
      <c r="I16" s="904">
        <f>SA34a!I75</f>
        <v>0</v>
      </c>
      <c r="J16" s="900">
        <f>SA34a!J75</f>
        <v>0</v>
      </c>
      <c r="K16" s="901">
        <f>SA34a!K75</f>
        <v>0</v>
      </c>
    </row>
    <row r="17" spans="1:11" ht="11.25" customHeight="1">
      <c r="A17" s="2524" t="s">
        <v>2316</v>
      </c>
      <c r="B17" s="59"/>
      <c r="C17" s="1279">
        <f>SA34a!C98</f>
        <v>0</v>
      </c>
      <c r="D17" s="1279">
        <f>SA34a!D98</f>
        <v>7522051.5596491229</v>
      </c>
      <c r="E17" s="1280">
        <f>SA34a!E98</f>
        <v>0</v>
      </c>
      <c r="F17" s="1281">
        <f>SA34a!F98</f>
        <v>0</v>
      </c>
      <c r="G17" s="1279">
        <f>SA34a!G98</f>
        <v>0</v>
      </c>
      <c r="H17" s="1282">
        <f>SA34a!H98</f>
        <v>0</v>
      </c>
      <c r="I17" s="1283">
        <f>SA34a!I98</f>
        <v>0</v>
      </c>
      <c r="J17" s="1279">
        <f>SA34a!J98</f>
        <v>0</v>
      </c>
      <c r="K17" s="1280">
        <f>SA34a!K98</f>
        <v>0</v>
      </c>
    </row>
    <row r="18" spans="1:11" ht="11.25" customHeight="1">
      <c r="A18" s="2535" t="s">
        <v>2297</v>
      </c>
      <c r="B18" s="463"/>
      <c r="C18" s="2541">
        <f>SUM(C16:C17)</f>
        <v>0</v>
      </c>
      <c r="D18" s="2541">
        <f t="shared" ref="D18:K18" si="2">SUM(D16:D17)</f>
        <v>7522051.5596491229</v>
      </c>
      <c r="E18" s="2542">
        <f t="shared" si="2"/>
        <v>0</v>
      </c>
      <c r="F18" s="2543">
        <f t="shared" si="2"/>
        <v>8269900</v>
      </c>
      <c r="G18" s="2541">
        <f t="shared" si="2"/>
        <v>5269900</v>
      </c>
      <c r="H18" s="2544">
        <f t="shared" si="2"/>
        <v>5269900</v>
      </c>
      <c r="I18" s="2545">
        <f t="shared" si="2"/>
        <v>0</v>
      </c>
      <c r="J18" s="2541">
        <f t="shared" si="2"/>
        <v>0</v>
      </c>
      <c r="K18" s="2542">
        <f t="shared" si="2"/>
        <v>0</v>
      </c>
    </row>
    <row r="19" spans="1:11" ht="11.25" customHeight="1">
      <c r="A19" s="2546" t="s">
        <v>1738</v>
      </c>
      <c r="B19" s="1343"/>
      <c r="C19" s="963">
        <f>SA34a!C103</f>
        <v>0</v>
      </c>
      <c r="D19" s="963">
        <f>SA34a!D103</f>
        <v>0</v>
      </c>
      <c r="E19" s="964">
        <f>SA34a!E103</f>
        <v>0</v>
      </c>
      <c r="F19" s="965">
        <f>SA34a!F103</f>
        <v>0</v>
      </c>
      <c r="G19" s="963">
        <f>SA34a!G103</f>
        <v>0</v>
      </c>
      <c r="H19" s="966">
        <f>SA34a!H103</f>
        <v>0</v>
      </c>
      <c r="I19" s="967">
        <f>SA34a!I103</f>
        <v>0</v>
      </c>
      <c r="J19" s="963">
        <f>SA34a!J103</f>
        <v>0</v>
      </c>
      <c r="K19" s="964">
        <f>SA34a!K103</f>
        <v>0</v>
      </c>
    </row>
    <row r="20" spans="1:11" ht="11.25" customHeight="1">
      <c r="A20" s="2524" t="s">
        <v>2353</v>
      </c>
      <c r="B20" s="59"/>
      <c r="C20" s="900">
        <f>SA34a!C111</f>
        <v>0</v>
      </c>
      <c r="D20" s="900">
        <f>SA34a!D111</f>
        <v>0</v>
      </c>
      <c r="E20" s="901">
        <f>SA34a!E111</f>
        <v>0</v>
      </c>
      <c r="F20" s="902">
        <f>SA34a!F111</f>
        <v>0</v>
      </c>
      <c r="G20" s="900">
        <f>SA34a!G111</f>
        <v>0</v>
      </c>
      <c r="H20" s="903">
        <f>SA34a!H111</f>
        <v>0</v>
      </c>
      <c r="I20" s="904">
        <f>SA34a!I111</f>
        <v>0</v>
      </c>
      <c r="J20" s="900">
        <f>SA34a!J111</f>
        <v>0</v>
      </c>
      <c r="K20" s="901">
        <f>SA34a!K111</f>
        <v>0</v>
      </c>
    </row>
    <row r="21" spans="1:11" ht="11.25" customHeight="1">
      <c r="A21" s="2524" t="s">
        <v>2356</v>
      </c>
      <c r="B21" s="59"/>
      <c r="C21" s="1279">
        <f>SA34a!C114</f>
        <v>0</v>
      </c>
      <c r="D21" s="1279">
        <f>SA34a!D114</f>
        <v>0</v>
      </c>
      <c r="E21" s="1280">
        <f>SA34a!E114</f>
        <v>0</v>
      </c>
      <c r="F21" s="1281">
        <f>SA34a!F114</f>
        <v>0</v>
      </c>
      <c r="G21" s="1279">
        <f>SA34a!G114</f>
        <v>0</v>
      </c>
      <c r="H21" s="1282">
        <f>SA34a!H114</f>
        <v>0</v>
      </c>
      <c r="I21" s="1283">
        <f>SA34a!I114</f>
        <v>0</v>
      </c>
      <c r="J21" s="1279">
        <f>SA34a!J114</f>
        <v>0</v>
      </c>
      <c r="K21" s="1280">
        <f>SA34a!K114</f>
        <v>0</v>
      </c>
    </row>
    <row r="22" spans="1:11" ht="11.25" customHeight="1">
      <c r="A22" s="2535" t="s">
        <v>836</v>
      </c>
      <c r="B22" s="463"/>
      <c r="C22" s="2541">
        <f>SUM(C20:C21)</f>
        <v>0</v>
      </c>
      <c r="D22" s="2541">
        <f t="shared" ref="D22:K22" si="3">SUM(D20:D21)</f>
        <v>0</v>
      </c>
      <c r="E22" s="2542">
        <f t="shared" si="3"/>
        <v>0</v>
      </c>
      <c r="F22" s="2543">
        <f t="shared" si="3"/>
        <v>0</v>
      </c>
      <c r="G22" s="2541">
        <f t="shared" si="3"/>
        <v>0</v>
      </c>
      <c r="H22" s="2544">
        <f t="shared" si="3"/>
        <v>0</v>
      </c>
      <c r="I22" s="2545">
        <f t="shared" si="3"/>
        <v>0</v>
      </c>
      <c r="J22" s="2541">
        <f t="shared" si="3"/>
        <v>0</v>
      </c>
      <c r="K22" s="2542">
        <f t="shared" si="3"/>
        <v>0</v>
      </c>
    </row>
    <row r="23" spans="1:11" ht="11.25" customHeight="1">
      <c r="A23" s="2524" t="s">
        <v>2324</v>
      </c>
      <c r="B23" s="59"/>
      <c r="C23" s="900">
        <f>SA34a!C119</f>
        <v>0</v>
      </c>
      <c r="D23" s="900">
        <f>SA34a!D119</f>
        <v>0</v>
      </c>
      <c r="E23" s="901">
        <f>SA34a!E119</f>
        <v>0</v>
      </c>
      <c r="F23" s="902">
        <f>SA34a!F119</f>
        <v>0</v>
      </c>
      <c r="G23" s="900">
        <f>SA34a!G119</f>
        <v>0</v>
      </c>
      <c r="H23" s="903">
        <f>SA34a!H119</f>
        <v>0</v>
      </c>
      <c r="I23" s="904">
        <f>SA34a!I119</f>
        <v>3800000</v>
      </c>
      <c r="J23" s="900">
        <f>SA34a!J119</f>
        <v>0</v>
      </c>
      <c r="K23" s="901">
        <f>SA34a!K119</f>
        <v>0</v>
      </c>
    </row>
    <row r="24" spans="1:11" ht="11.25" customHeight="1">
      <c r="A24" s="2524" t="s">
        <v>1493</v>
      </c>
      <c r="B24" s="59"/>
      <c r="C24" s="1279">
        <f>SA34a!C131</f>
        <v>0</v>
      </c>
      <c r="D24" s="1279">
        <f>SA34a!D131</f>
        <v>0</v>
      </c>
      <c r="E24" s="1280">
        <f>SA34a!E131</f>
        <v>0</v>
      </c>
      <c r="F24" s="1281">
        <f>SA34a!F131</f>
        <v>0</v>
      </c>
      <c r="G24" s="1279">
        <f>SA34a!G131</f>
        <v>0</v>
      </c>
      <c r="H24" s="1282">
        <f>SA34a!H131</f>
        <v>0</v>
      </c>
      <c r="I24" s="1283">
        <f>SA34a!I131</f>
        <v>0</v>
      </c>
      <c r="J24" s="1279">
        <f>SA34a!J131</f>
        <v>0</v>
      </c>
      <c r="K24" s="1280">
        <f>SA34a!K131</f>
        <v>0</v>
      </c>
    </row>
    <row r="25" spans="1:11" ht="11.25" customHeight="1">
      <c r="A25" s="2535" t="s">
        <v>1743</v>
      </c>
      <c r="B25" s="463"/>
      <c r="C25" s="2541">
        <f>SUM(C23:C24)</f>
        <v>0</v>
      </c>
      <c r="D25" s="2541">
        <f t="shared" ref="D25:K25" si="4">SUM(D23:D24)</f>
        <v>0</v>
      </c>
      <c r="E25" s="2542">
        <f t="shared" si="4"/>
        <v>0</v>
      </c>
      <c r="F25" s="2543">
        <f t="shared" si="4"/>
        <v>0</v>
      </c>
      <c r="G25" s="2541">
        <f t="shared" si="4"/>
        <v>0</v>
      </c>
      <c r="H25" s="2544">
        <f t="shared" si="4"/>
        <v>0</v>
      </c>
      <c r="I25" s="2545">
        <f t="shared" si="4"/>
        <v>3800000</v>
      </c>
      <c r="J25" s="2541">
        <f t="shared" si="4"/>
        <v>0</v>
      </c>
      <c r="K25" s="2542">
        <f t="shared" si="4"/>
        <v>0</v>
      </c>
    </row>
    <row r="26" spans="1:11" ht="11.25" customHeight="1">
      <c r="A26" s="2546" t="s">
        <v>2337</v>
      </c>
      <c r="B26" s="1343"/>
      <c r="C26" s="963">
        <f>SA34a!C136</f>
        <v>0</v>
      </c>
      <c r="D26" s="963">
        <f>SA34a!D136</f>
        <v>0</v>
      </c>
      <c r="E26" s="964">
        <f>SA34a!E136</f>
        <v>0</v>
      </c>
      <c r="F26" s="965">
        <f>SA34a!F136</f>
        <v>0</v>
      </c>
      <c r="G26" s="963">
        <f>SA34a!G136</f>
        <v>0</v>
      </c>
      <c r="H26" s="966">
        <f>SA34a!H136</f>
        <v>0</v>
      </c>
      <c r="I26" s="967">
        <f>SA34a!I136</f>
        <v>0</v>
      </c>
      <c r="J26" s="963">
        <f>SA34a!J136</f>
        <v>0</v>
      </c>
      <c r="K26" s="964">
        <f>SA34a!K136</f>
        <v>0</v>
      </c>
    </row>
    <row r="27" spans="1:11" ht="11.25" customHeight="1">
      <c r="A27" s="2524" t="s">
        <v>2338</v>
      </c>
      <c r="B27" s="59"/>
      <c r="C27" s="900">
        <f>SA34a!C140</f>
        <v>0</v>
      </c>
      <c r="D27" s="900">
        <f>SA34a!D140</f>
        <v>0</v>
      </c>
      <c r="E27" s="901">
        <f>SA34a!E140</f>
        <v>0</v>
      </c>
      <c r="F27" s="902">
        <f>SA34a!F140</f>
        <v>0</v>
      </c>
      <c r="G27" s="900">
        <f>SA34a!G140</f>
        <v>0</v>
      </c>
      <c r="H27" s="903">
        <f>SA34a!H140</f>
        <v>0</v>
      </c>
      <c r="I27" s="904">
        <f>SA34a!I140</f>
        <v>0</v>
      </c>
      <c r="J27" s="900">
        <f>SA34a!J140</f>
        <v>0</v>
      </c>
      <c r="K27" s="901">
        <f>SA34a!K140</f>
        <v>0</v>
      </c>
    </row>
    <row r="28" spans="1:11" ht="11.25" customHeight="1">
      <c r="A28" s="2524" t="s">
        <v>2339</v>
      </c>
      <c r="B28" s="59"/>
      <c r="C28" s="1279">
        <f>SA34a!C141</f>
        <v>0</v>
      </c>
      <c r="D28" s="1279">
        <f>SA34a!D141</f>
        <v>0</v>
      </c>
      <c r="E28" s="1280">
        <f>SA34a!E141</f>
        <v>0</v>
      </c>
      <c r="F28" s="1281">
        <f>SA34a!F141</f>
        <v>0</v>
      </c>
      <c r="G28" s="1279">
        <f>SA34a!G141</f>
        <v>0</v>
      </c>
      <c r="H28" s="1282">
        <f>SA34a!H141</f>
        <v>0</v>
      </c>
      <c r="I28" s="1283">
        <f>SA34a!I141</f>
        <v>0</v>
      </c>
      <c r="J28" s="1279">
        <f>SA34a!J141</f>
        <v>0</v>
      </c>
      <c r="K28" s="1280">
        <f>SA34a!K141</f>
        <v>0</v>
      </c>
    </row>
    <row r="29" spans="1:11" ht="11.25" customHeight="1">
      <c r="A29" s="2535" t="s">
        <v>2340</v>
      </c>
      <c r="B29" s="463"/>
      <c r="C29" s="2541">
        <f>SUM(C27:C28)</f>
        <v>0</v>
      </c>
      <c r="D29" s="2541">
        <f t="shared" ref="D29:K29" si="5">SUM(D27:D28)</f>
        <v>0</v>
      </c>
      <c r="E29" s="2542">
        <f t="shared" si="5"/>
        <v>0</v>
      </c>
      <c r="F29" s="2543">
        <f t="shared" si="5"/>
        <v>0</v>
      </c>
      <c r="G29" s="2541">
        <f t="shared" si="5"/>
        <v>0</v>
      </c>
      <c r="H29" s="2544">
        <f t="shared" si="5"/>
        <v>0</v>
      </c>
      <c r="I29" s="2545">
        <f t="shared" si="5"/>
        <v>0</v>
      </c>
      <c r="J29" s="2541">
        <f t="shared" si="5"/>
        <v>0</v>
      </c>
      <c r="K29" s="2542">
        <f t="shared" si="5"/>
        <v>0</v>
      </c>
    </row>
    <row r="30" spans="1:11">
      <c r="A30" s="2556" t="s">
        <v>2347</v>
      </c>
      <c r="B30" s="424"/>
      <c r="C30" s="963">
        <f>SA34a!C149</f>
        <v>0</v>
      </c>
      <c r="D30" s="963">
        <f>SA34a!D149</f>
        <v>0</v>
      </c>
      <c r="E30" s="964">
        <f>SA34a!E149</f>
        <v>0</v>
      </c>
      <c r="F30" s="965">
        <f>SA34a!F149</f>
        <v>0</v>
      </c>
      <c r="G30" s="963">
        <f>SA34a!G149</f>
        <v>0</v>
      </c>
      <c r="H30" s="966">
        <f>SA34a!H149</f>
        <v>0</v>
      </c>
      <c r="I30" s="967">
        <f>SA34a!I149</f>
        <v>0</v>
      </c>
      <c r="J30" s="963">
        <f>SA34a!J149</f>
        <v>0</v>
      </c>
      <c r="K30" s="964">
        <f>SA34a!K149</f>
        <v>0</v>
      </c>
    </row>
    <row r="31" spans="1:11" ht="11.25" customHeight="1">
      <c r="A31" s="2546" t="s">
        <v>2348</v>
      </c>
      <c r="B31" s="59"/>
      <c r="C31" s="963">
        <f>SA34a!C152</f>
        <v>0</v>
      </c>
      <c r="D31" s="963">
        <f>SA34a!D152</f>
        <v>549867</v>
      </c>
      <c r="E31" s="964">
        <f>SA34a!E152</f>
        <v>10276400</v>
      </c>
      <c r="F31" s="965">
        <f>SA34a!F152</f>
        <v>235000</v>
      </c>
      <c r="G31" s="963">
        <f>SA34a!G152</f>
        <v>235000</v>
      </c>
      <c r="H31" s="966">
        <f>SA34a!H152</f>
        <v>235000</v>
      </c>
      <c r="I31" s="967">
        <f>SA34a!I152</f>
        <v>735000</v>
      </c>
      <c r="J31" s="963">
        <f>SA34a!J152</f>
        <v>935000</v>
      </c>
      <c r="K31" s="964">
        <f>SA34a!K152</f>
        <v>935000</v>
      </c>
    </row>
    <row r="32" spans="1:11" ht="11.25" customHeight="1">
      <c r="A32" s="2546" t="s">
        <v>2349</v>
      </c>
      <c r="B32" s="59"/>
      <c r="C32" s="963">
        <f>SA34a!C155</f>
        <v>0</v>
      </c>
      <c r="D32" s="963">
        <f>SA34a!D155</f>
        <v>0</v>
      </c>
      <c r="E32" s="964">
        <f>SA34a!E155</f>
        <v>345882.60869565216</v>
      </c>
      <c r="F32" s="965">
        <f>SA34a!F155</f>
        <v>13985000</v>
      </c>
      <c r="G32" s="963">
        <f>SA34a!G155</f>
        <v>3285001</v>
      </c>
      <c r="H32" s="966">
        <f>SA34a!H155</f>
        <v>3285001</v>
      </c>
      <c r="I32" s="967">
        <f>SA34a!I155</f>
        <v>1000000</v>
      </c>
      <c r="J32" s="963">
        <f>SA34a!J155</f>
        <v>0</v>
      </c>
      <c r="K32" s="964">
        <f>SA34a!K155</f>
        <v>0</v>
      </c>
    </row>
    <row r="33" spans="1:11">
      <c r="A33" s="2556" t="s">
        <v>2350</v>
      </c>
      <c r="B33" s="424"/>
      <c r="C33" s="963">
        <f>SA34a!C158</f>
        <v>0</v>
      </c>
      <c r="D33" s="963">
        <f>SA34a!D158</f>
        <v>0</v>
      </c>
      <c r="E33" s="964">
        <f>SA34a!E158</f>
        <v>3499900</v>
      </c>
      <c r="F33" s="965">
        <f>SA34a!F158</f>
        <v>1900000</v>
      </c>
      <c r="G33" s="963">
        <f>SA34a!G158</f>
        <v>0</v>
      </c>
      <c r="H33" s="966">
        <f>SA34a!H158</f>
        <v>0</v>
      </c>
      <c r="I33" s="967">
        <f>SA34a!I158</f>
        <v>5000000</v>
      </c>
      <c r="J33" s="963">
        <f>SA34a!J158</f>
        <v>0</v>
      </c>
      <c r="K33" s="964">
        <f>SA34a!K158</f>
        <v>0</v>
      </c>
    </row>
    <row r="34" spans="1:11" ht="11.25" customHeight="1">
      <c r="A34" s="2546" t="s">
        <v>2485</v>
      </c>
      <c r="B34" s="59"/>
      <c r="C34" s="963">
        <f>SA34a!C161</f>
        <v>0</v>
      </c>
      <c r="D34" s="963">
        <f>SA34a!D161</f>
        <v>0</v>
      </c>
      <c r="E34" s="964">
        <f>SA34a!E161</f>
        <v>0</v>
      </c>
      <c r="F34" s="965">
        <f>SA34a!F161</f>
        <v>0</v>
      </c>
      <c r="G34" s="963">
        <f>SA34a!G161</f>
        <v>0</v>
      </c>
      <c r="H34" s="966">
        <f>SA34a!H161</f>
        <v>0</v>
      </c>
      <c r="I34" s="967">
        <f>SA34a!I161</f>
        <v>0</v>
      </c>
      <c r="J34" s="963">
        <f>SA34a!J161</f>
        <v>0</v>
      </c>
      <c r="K34" s="964">
        <f>SA34a!K161</f>
        <v>0</v>
      </c>
    </row>
    <row r="35" spans="1:11" ht="11.25" customHeight="1">
      <c r="A35" s="2546" t="s">
        <v>2351</v>
      </c>
      <c r="B35" s="59"/>
      <c r="C35" s="2557">
        <f>SA34a!C164</f>
        <v>0</v>
      </c>
      <c r="D35" s="2557">
        <f>SA34a!D164</f>
        <v>0</v>
      </c>
      <c r="E35" s="2558">
        <f>SA34a!E164</f>
        <v>0</v>
      </c>
      <c r="F35" s="2559">
        <f>SA34a!F164</f>
        <v>0</v>
      </c>
      <c r="G35" s="2557">
        <f>SA34a!G164</f>
        <v>0</v>
      </c>
      <c r="H35" s="2560">
        <f>SA34a!H164</f>
        <v>0</v>
      </c>
      <c r="I35" s="2561">
        <f>SA34a!I164</f>
        <v>0</v>
      </c>
      <c r="J35" s="2557">
        <f>SA34a!J164</f>
        <v>0</v>
      </c>
      <c r="K35" s="2558">
        <f>SA34a!K164</f>
        <v>0</v>
      </c>
    </row>
    <row r="36" spans="1:11" ht="4.9000000000000004" customHeight="1">
      <c r="A36" s="1250"/>
      <c r="B36" s="59"/>
      <c r="C36" s="84"/>
      <c r="D36" s="84"/>
      <c r="E36" s="139"/>
      <c r="F36" s="128"/>
      <c r="G36" s="84"/>
      <c r="H36" s="87"/>
      <c r="I36" s="88"/>
      <c r="J36" s="84"/>
      <c r="K36" s="139"/>
    </row>
    <row r="37" spans="1:11" ht="11.25" customHeight="1">
      <c r="A37" s="1347" t="s">
        <v>377</v>
      </c>
      <c r="B37" s="59">
        <v>2</v>
      </c>
      <c r="C37" s="95">
        <f>C47+C50+C51+C54+C57+C58+SUM(C61:C67)</f>
        <v>26759823.639298245</v>
      </c>
      <c r="D37" s="95">
        <f t="shared" ref="D37:K37" si="6">D47+D50+D51+D54+D57+D58+SUM(D61:D67)</f>
        <v>0</v>
      </c>
      <c r="E37" s="96">
        <f t="shared" si="6"/>
        <v>0</v>
      </c>
      <c r="F37" s="97">
        <f t="shared" si="6"/>
        <v>8000001</v>
      </c>
      <c r="G37" s="95">
        <f t="shared" si="6"/>
        <v>13254835</v>
      </c>
      <c r="H37" s="94">
        <f t="shared" si="6"/>
        <v>13254835</v>
      </c>
      <c r="I37" s="98">
        <f t="shared" si="6"/>
        <v>600000</v>
      </c>
      <c r="J37" s="95">
        <f t="shared" si="6"/>
        <v>0</v>
      </c>
      <c r="K37" s="96">
        <f t="shared" si="6"/>
        <v>0</v>
      </c>
    </row>
    <row r="38" spans="1:11" ht="11.25" customHeight="1">
      <c r="A38" s="2523" t="s">
        <v>2245</v>
      </c>
      <c r="B38" s="223"/>
      <c r="C38" s="900">
        <f>SA34b!C7</f>
        <v>468615.23</v>
      </c>
      <c r="D38" s="900">
        <f>SA34b!D7</f>
        <v>0</v>
      </c>
      <c r="E38" s="901">
        <f>SA34b!E7</f>
        <v>0</v>
      </c>
      <c r="F38" s="902">
        <f>SA34b!F7</f>
        <v>0</v>
      </c>
      <c r="G38" s="900">
        <f>SA34b!G7</f>
        <v>0</v>
      </c>
      <c r="H38" s="903">
        <f>SA34b!H7</f>
        <v>0</v>
      </c>
      <c r="I38" s="904">
        <f>SA34b!I7</f>
        <v>0</v>
      </c>
      <c r="J38" s="900">
        <f>SA34b!J7</f>
        <v>0</v>
      </c>
      <c r="K38" s="901">
        <f>SA34b!K7</f>
        <v>0</v>
      </c>
    </row>
    <row r="39" spans="1:11" ht="11.25" customHeight="1">
      <c r="A39" s="2523" t="s">
        <v>2249</v>
      </c>
      <c r="B39" s="223"/>
      <c r="C39" s="900">
        <f>SA34b!C12</f>
        <v>0</v>
      </c>
      <c r="D39" s="900">
        <f>SA34b!D12</f>
        <v>0</v>
      </c>
      <c r="E39" s="901">
        <f>SA34b!E12</f>
        <v>0</v>
      </c>
      <c r="F39" s="902">
        <f>SA34b!F12</f>
        <v>0</v>
      </c>
      <c r="G39" s="900">
        <f>SA34b!G12</f>
        <v>0</v>
      </c>
      <c r="H39" s="903">
        <f>SA34b!H12</f>
        <v>0</v>
      </c>
      <c r="I39" s="904">
        <f>SA34b!I12</f>
        <v>0</v>
      </c>
      <c r="J39" s="900">
        <f>SA34b!J12</f>
        <v>0</v>
      </c>
      <c r="K39" s="901">
        <f>SA34b!K12</f>
        <v>0</v>
      </c>
    </row>
    <row r="40" spans="1:11" ht="11.25" customHeight="1">
      <c r="A40" s="2523" t="s">
        <v>2294</v>
      </c>
      <c r="B40" s="223"/>
      <c r="C40" s="900">
        <f>SA34b!C16</f>
        <v>2561137</v>
      </c>
      <c r="D40" s="900">
        <f>SA34b!D16</f>
        <v>0</v>
      </c>
      <c r="E40" s="901">
        <f>SA34b!E16</f>
        <v>0</v>
      </c>
      <c r="F40" s="902">
        <f>SA34b!F16</f>
        <v>3000001</v>
      </c>
      <c r="G40" s="900">
        <f>SA34b!G16</f>
        <v>6404835</v>
      </c>
      <c r="H40" s="903">
        <f>SA34b!H16</f>
        <v>6404835</v>
      </c>
      <c r="I40" s="904">
        <f>SA34b!I16</f>
        <v>600000</v>
      </c>
      <c r="J40" s="900">
        <f>SA34b!J16</f>
        <v>0</v>
      </c>
      <c r="K40" s="901">
        <f>SA34b!K16</f>
        <v>0</v>
      </c>
    </row>
    <row r="41" spans="1:11" ht="11.25" customHeight="1">
      <c r="A41" s="2523" t="s">
        <v>2295</v>
      </c>
      <c r="B41" s="223"/>
      <c r="C41" s="900">
        <f>SA34b!C26</f>
        <v>80296.89</v>
      </c>
      <c r="D41" s="900">
        <f>SA34b!D26</f>
        <v>0</v>
      </c>
      <c r="E41" s="901">
        <f>SA34b!E26</f>
        <v>0</v>
      </c>
      <c r="F41" s="902">
        <f>SA34b!F26</f>
        <v>0</v>
      </c>
      <c r="G41" s="900">
        <f>SA34b!G26</f>
        <v>0</v>
      </c>
      <c r="H41" s="903">
        <f>SA34b!H26</f>
        <v>0</v>
      </c>
      <c r="I41" s="904">
        <f>SA34b!I26</f>
        <v>0</v>
      </c>
      <c r="J41" s="900">
        <f>SA34b!J26</f>
        <v>0</v>
      </c>
      <c r="K41" s="901">
        <f>SA34b!K26</f>
        <v>0</v>
      </c>
    </row>
    <row r="42" spans="1:11" ht="11.25" customHeight="1">
      <c r="A42" s="2523" t="s">
        <v>2296</v>
      </c>
      <c r="B42" s="223"/>
      <c r="C42" s="900">
        <f>SA34b!C37</f>
        <v>0</v>
      </c>
      <c r="D42" s="900">
        <f>SA34b!D37</f>
        <v>0</v>
      </c>
      <c r="E42" s="901">
        <f>SA34b!E37</f>
        <v>0</v>
      </c>
      <c r="F42" s="902">
        <f>SA34b!F37</f>
        <v>0</v>
      </c>
      <c r="G42" s="900">
        <f>SA34b!G37</f>
        <v>0</v>
      </c>
      <c r="H42" s="903">
        <f>SA34b!H37</f>
        <v>0</v>
      </c>
      <c r="I42" s="904">
        <f>SA34b!I37</f>
        <v>0</v>
      </c>
      <c r="J42" s="900">
        <f>SA34b!J37</f>
        <v>0</v>
      </c>
      <c r="K42" s="901">
        <f>SA34b!K37</f>
        <v>0</v>
      </c>
    </row>
    <row r="43" spans="1:11" ht="11.25" customHeight="1">
      <c r="A43" s="2523" t="s">
        <v>2274</v>
      </c>
      <c r="B43" s="223"/>
      <c r="C43" s="900">
        <f>SA34b!C44</f>
        <v>0</v>
      </c>
      <c r="D43" s="900">
        <f>SA34b!D44</f>
        <v>0</v>
      </c>
      <c r="E43" s="901">
        <f>SA34b!E44</f>
        <v>0</v>
      </c>
      <c r="F43" s="902">
        <f>SA34b!F44</f>
        <v>0</v>
      </c>
      <c r="G43" s="900">
        <f>SA34b!G44</f>
        <v>0</v>
      </c>
      <c r="H43" s="903">
        <f>SA34b!H44</f>
        <v>0</v>
      </c>
      <c r="I43" s="904">
        <f>SA34b!I44</f>
        <v>0</v>
      </c>
      <c r="J43" s="900">
        <f>SA34b!J44</f>
        <v>0</v>
      </c>
      <c r="K43" s="901">
        <f>SA34b!K44</f>
        <v>0</v>
      </c>
    </row>
    <row r="44" spans="1:11" ht="11.25" customHeight="1">
      <c r="A44" s="2523" t="s">
        <v>2290</v>
      </c>
      <c r="B44" s="223"/>
      <c r="C44" s="900">
        <f>SA34b!C52</f>
        <v>0</v>
      </c>
      <c r="D44" s="900">
        <f>SA34b!D52</f>
        <v>0</v>
      </c>
      <c r="E44" s="901">
        <f>SA34b!E52</f>
        <v>0</v>
      </c>
      <c r="F44" s="902">
        <f>SA34b!F52</f>
        <v>0</v>
      </c>
      <c r="G44" s="900">
        <f>SA34b!G52</f>
        <v>0</v>
      </c>
      <c r="H44" s="903">
        <f>SA34b!H52</f>
        <v>0</v>
      </c>
      <c r="I44" s="904">
        <f>SA34b!I52</f>
        <v>0</v>
      </c>
      <c r="J44" s="900">
        <f>SA34b!J52</f>
        <v>0</v>
      </c>
      <c r="K44" s="901">
        <f>SA34b!K52</f>
        <v>0</v>
      </c>
    </row>
    <row r="45" spans="1:11" ht="11.25" customHeight="1">
      <c r="A45" s="2523" t="s">
        <v>2285</v>
      </c>
      <c r="B45" s="223"/>
      <c r="C45" s="900">
        <f>SA34b!C62</f>
        <v>0</v>
      </c>
      <c r="D45" s="900">
        <f>SA34b!D62</f>
        <v>0</v>
      </c>
      <c r="E45" s="901">
        <f>SA34b!E62</f>
        <v>0</v>
      </c>
      <c r="F45" s="902">
        <f>SA34b!F62</f>
        <v>0</v>
      </c>
      <c r="G45" s="900">
        <f>SA34b!G62</f>
        <v>0</v>
      </c>
      <c r="H45" s="903">
        <f>SA34b!H62</f>
        <v>0</v>
      </c>
      <c r="I45" s="904">
        <f>SA34b!I62</f>
        <v>0</v>
      </c>
      <c r="J45" s="900">
        <f>SA34b!J62</f>
        <v>0</v>
      </c>
      <c r="K45" s="901">
        <f>SA34b!K62</f>
        <v>0</v>
      </c>
    </row>
    <row r="46" spans="1:11" ht="11.25" customHeight="1">
      <c r="A46" s="2523" t="s">
        <v>2281</v>
      </c>
      <c r="B46" s="223"/>
      <c r="C46" s="900">
        <f>SA34b!C68</f>
        <v>0</v>
      </c>
      <c r="D46" s="900">
        <f>SA34b!D68</f>
        <v>0</v>
      </c>
      <c r="E46" s="901">
        <f>SA34b!E68</f>
        <v>0</v>
      </c>
      <c r="F46" s="902">
        <f>SA34b!F68</f>
        <v>0</v>
      </c>
      <c r="G46" s="900">
        <f>SA34b!G68</f>
        <v>0</v>
      </c>
      <c r="H46" s="903">
        <f>SA34b!H68</f>
        <v>0</v>
      </c>
      <c r="I46" s="904">
        <f>SA34b!I68</f>
        <v>0</v>
      </c>
      <c r="J46" s="900">
        <f>SA34b!J68</f>
        <v>0</v>
      </c>
      <c r="K46" s="901">
        <f>SA34b!K68</f>
        <v>0</v>
      </c>
    </row>
    <row r="47" spans="1:11" ht="11.25" customHeight="1">
      <c r="A47" s="2535" t="s">
        <v>845</v>
      </c>
      <c r="B47" s="463"/>
      <c r="C47" s="2541">
        <f>SUM(C38:C46)</f>
        <v>3110049.12</v>
      </c>
      <c r="D47" s="2541">
        <f t="shared" ref="D47:K47" si="7">SUM(D38:D46)</f>
        <v>0</v>
      </c>
      <c r="E47" s="2542">
        <f t="shared" si="7"/>
        <v>0</v>
      </c>
      <c r="F47" s="2543">
        <f t="shared" si="7"/>
        <v>3000001</v>
      </c>
      <c r="G47" s="2541">
        <f t="shared" si="7"/>
        <v>6404835</v>
      </c>
      <c r="H47" s="2544">
        <f t="shared" si="7"/>
        <v>6404835</v>
      </c>
      <c r="I47" s="2545">
        <f t="shared" si="7"/>
        <v>600000</v>
      </c>
      <c r="J47" s="2541">
        <f t="shared" si="7"/>
        <v>0</v>
      </c>
      <c r="K47" s="2542">
        <f t="shared" si="7"/>
        <v>0</v>
      </c>
    </row>
    <row r="48" spans="1:11" ht="11.25" customHeight="1">
      <c r="A48" s="2524" t="s">
        <v>2298</v>
      </c>
      <c r="B48" s="59"/>
      <c r="C48" s="900">
        <f>SA34b!C75</f>
        <v>0</v>
      </c>
      <c r="D48" s="900">
        <f>SA34b!D75</f>
        <v>0</v>
      </c>
      <c r="E48" s="901">
        <f>SA34b!E75</f>
        <v>0</v>
      </c>
      <c r="F48" s="902">
        <f>SA34b!F75</f>
        <v>0</v>
      </c>
      <c r="G48" s="900">
        <f>SA34b!G75</f>
        <v>0</v>
      </c>
      <c r="H48" s="903">
        <f>SA34b!H75</f>
        <v>0</v>
      </c>
      <c r="I48" s="904">
        <f>SA34b!I75</f>
        <v>0</v>
      </c>
      <c r="J48" s="900">
        <f>SA34b!J75</f>
        <v>0</v>
      </c>
      <c r="K48" s="901">
        <f>SA34b!K75</f>
        <v>0</v>
      </c>
    </row>
    <row r="49" spans="1:11" ht="11.25" customHeight="1">
      <c r="A49" s="2524" t="s">
        <v>2316</v>
      </c>
      <c r="B49" s="59"/>
      <c r="C49" s="1279">
        <f>SA34b!C98</f>
        <v>5361114.28</v>
      </c>
      <c r="D49" s="1279">
        <f>SA34b!D98</f>
        <v>0</v>
      </c>
      <c r="E49" s="1280">
        <f>SA34b!E98</f>
        <v>0</v>
      </c>
      <c r="F49" s="1281">
        <f>SA34b!F98</f>
        <v>0</v>
      </c>
      <c r="G49" s="1279">
        <f>SA34b!G98</f>
        <v>0</v>
      </c>
      <c r="H49" s="1282">
        <f>SA34b!H98</f>
        <v>0</v>
      </c>
      <c r="I49" s="1283">
        <f>SA34b!I98</f>
        <v>0</v>
      </c>
      <c r="J49" s="1279">
        <f>SA34b!J98</f>
        <v>0</v>
      </c>
      <c r="K49" s="1280">
        <f>SA34b!K98</f>
        <v>0</v>
      </c>
    </row>
    <row r="50" spans="1:11" ht="11.25" customHeight="1">
      <c r="A50" s="2535" t="s">
        <v>2297</v>
      </c>
      <c r="B50" s="463"/>
      <c r="C50" s="2541">
        <f>SUM(C48:C49)</f>
        <v>5361114.28</v>
      </c>
      <c r="D50" s="2541">
        <f t="shared" ref="D50:K50" si="8">SUM(D48:D49)</f>
        <v>0</v>
      </c>
      <c r="E50" s="2542">
        <f t="shared" si="8"/>
        <v>0</v>
      </c>
      <c r="F50" s="2543">
        <f t="shared" si="8"/>
        <v>0</v>
      </c>
      <c r="G50" s="2541">
        <f t="shared" si="8"/>
        <v>0</v>
      </c>
      <c r="H50" s="2544">
        <f t="shared" si="8"/>
        <v>0</v>
      </c>
      <c r="I50" s="2545">
        <f t="shared" si="8"/>
        <v>0</v>
      </c>
      <c r="J50" s="2541">
        <f t="shared" si="8"/>
        <v>0</v>
      </c>
      <c r="K50" s="2542">
        <f t="shared" si="8"/>
        <v>0</v>
      </c>
    </row>
    <row r="51" spans="1:11" ht="11.25" customHeight="1">
      <c r="A51" s="2546" t="s">
        <v>1738</v>
      </c>
      <c r="B51" s="1343"/>
      <c r="C51" s="963">
        <f>SA34b!C103</f>
        <v>0</v>
      </c>
      <c r="D51" s="963">
        <f>SA34b!D103</f>
        <v>0</v>
      </c>
      <c r="E51" s="964">
        <f>SA34b!E103</f>
        <v>0</v>
      </c>
      <c r="F51" s="965">
        <f>SA34b!F103</f>
        <v>0</v>
      </c>
      <c r="G51" s="963">
        <f>SA34b!G103</f>
        <v>0</v>
      </c>
      <c r="H51" s="966">
        <f>SA34b!H103</f>
        <v>0</v>
      </c>
      <c r="I51" s="967">
        <f>SA34b!I103</f>
        <v>0</v>
      </c>
      <c r="J51" s="963">
        <f>SA34b!J103</f>
        <v>0</v>
      </c>
      <c r="K51" s="964">
        <f>SA34b!K103</f>
        <v>0</v>
      </c>
    </row>
    <row r="52" spans="1:11" ht="11.25" customHeight="1">
      <c r="A52" s="2524" t="s">
        <v>2353</v>
      </c>
      <c r="B52" s="59"/>
      <c r="C52" s="900">
        <f>SA34b!C111</f>
        <v>0</v>
      </c>
      <c r="D52" s="900">
        <f>SA34b!D111</f>
        <v>0</v>
      </c>
      <c r="E52" s="901">
        <f>SA34b!E111</f>
        <v>0</v>
      </c>
      <c r="F52" s="902">
        <f>SA34b!F111</f>
        <v>0</v>
      </c>
      <c r="G52" s="900">
        <f>SA34b!G111</f>
        <v>0</v>
      </c>
      <c r="H52" s="903">
        <f>SA34b!H111</f>
        <v>0</v>
      </c>
      <c r="I52" s="904">
        <f>SA34b!I111</f>
        <v>0</v>
      </c>
      <c r="J52" s="900">
        <f>SA34b!J111</f>
        <v>0</v>
      </c>
      <c r="K52" s="901">
        <f>SA34b!K111</f>
        <v>0</v>
      </c>
    </row>
    <row r="53" spans="1:11" ht="11.25" customHeight="1">
      <c r="A53" s="2524" t="s">
        <v>2356</v>
      </c>
      <c r="B53" s="59"/>
      <c r="C53" s="1279">
        <f>SA34b!C114</f>
        <v>0</v>
      </c>
      <c r="D53" s="1279">
        <f>SA34b!D114</f>
        <v>0</v>
      </c>
      <c r="E53" s="1280">
        <f>SA34b!E114</f>
        <v>0</v>
      </c>
      <c r="F53" s="1281">
        <f>SA34b!F114</f>
        <v>0</v>
      </c>
      <c r="G53" s="1279">
        <f>SA34b!G114</f>
        <v>0</v>
      </c>
      <c r="H53" s="1282">
        <f>SA34b!H114</f>
        <v>0</v>
      </c>
      <c r="I53" s="1283">
        <f>SA34b!I114</f>
        <v>0</v>
      </c>
      <c r="J53" s="1279">
        <f>SA34b!J114</f>
        <v>0</v>
      </c>
      <c r="K53" s="1280">
        <f>SA34b!K114</f>
        <v>0</v>
      </c>
    </row>
    <row r="54" spans="1:11" ht="11.25" customHeight="1">
      <c r="A54" s="2535" t="s">
        <v>836</v>
      </c>
      <c r="B54" s="463"/>
      <c r="C54" s="2541">
        <f>SUM(C52:C53)</f>
        <v>0</v>
      </c>
      <c r="D54" s="2541">
        <f t="shared" ref="D54:K54" si="9">SUM(D52:D53)</f>
        <v>0</v>
      </c>
      <c r="E54" s="2542">
        <f t="shared" si="9"/>
        <v>0</v>
      </c>
      <c r="F54" s="2543">
        <f t="shared" si="9"/>
        <v>0</v>
      </c>
      <c r="G54" s="2541">
        <f t="shared" si="9"/>
        <v>0</v>
      </c>
      <c r="H54" s="2544">
        <f t="shared" si="9"/>
        <v>0</v>
      </c>
      <c r="I54" s="2545">
        <f t="shared" si="9"/>
        <v>0</v>
      </c>
      <c r="J54" s="2541">
        <f t="shared" si="9"/>
        <v>0</v>
      </c>
      <c r="K54" s="2542">
        <f t="shared" si="9"/>
        <v>0</v>
      </c>
    </row>
    <row r="55" spans="1:11" ht="11.25" customHeight="1">
      <c r="A55" s="2524" t="s">
        <v>2324</v>
      </c>
      <c r="B55" s="59"/>
      <c r="C55" s="900">
        <f>SA34b!C119</f>
        <v>8579459.0999999996</v>
      </c>
      <c r="D55" s="900">
        <f>SA34b!D119</f>
        <v>0</v>
      </c>
      <c r="E55" s="901">
        <f>SA34b!E119</f>
        <v>0</v>
      </c>
      <c r="F55" s="902">
        <f>SA34b!F119</f>
        <v>0</v>
      </c>
      <c r="G55" s="900">
        <f>SA34b!G119</f>
        <v>0</v>
      </c>
      <c r="H55" s="903">
        <f>SA34b!H119</f>
        <v>0</v>
      </c>
      <c r="I55" s="904">
        <f>SA34b!I119</f>
        <v>0</v>
      </c>
      <c r="J55" s="900">
        <f>SA34b!J119</f>
        <v>0</v>
      </c>
      <c r="K55" s="901">
        <f>SA34b!K119</f>
        <v>0</v>
      </c>
    </row>
    <row r="56" spans="1:11" ht="11.25" customHeight="1">
      <c r="A56" s="2524" t="s">
        <v>1493</v>
      </c>
      <c r="B56" s="59"/>
      <c r="C56" s="1279">
        <f>SA34b!C131</f>
        <v>0</v>
      </c>
      <c r="D56" s="1279">
        <f>SA34b!D131</f>
        <v>0</v>
      </c>
      <c r="E56" s="1280">
        <f>SA34b!E131</f>
        <v>0</v>
      </c>
      <c r="F56" s="1281">
        <f>SA34b!F131</f>
        <v>0</v>
      </c>
      <c r="G56" s="1279">
        <f>SA34b!G131</f>
        <v>0</v>
      </c>
      <c r="H56" s="1282">
        <f>SA34b!H131</f>
        <v>0</v>
      </c>
      <c r="I56" s="1283">
        <f>SA34b!I131</f>
        <v>0</v>
      </c>
      <c r="J56" s="1279">
        <f>SA34b!J131</f>
        <v>0</v>
      </c>
      <c r="K56" s="1280">
        <f>SA34b!K131</f>
        <v>0</v>
      </c>
    </row>
    <row r="57" spans="1:11" ht="11.25" customHeight="1">
      <c r="A57" s="2535" t="s">
        <v>1743</v>
      </c>
      <c r="B57" s="463"/>
      <c r="C57" s="2541">
        <f>SUM(C55:C56)</f>
        <v>8579459.0999999996</v>
      </c>
      <c r="D57" s="2541">
        <f t="shared" ref="D57:K57" si="10">SUM(D55:D56)</f>
        <v>0</v>
      </c>
      <c r="E57" s="2542">
        <f t="shared" si="10"/>
        <v>0</v>
      </c>
      <c r="F57" s="2543">
        <f t="shared" si="10"/>
        <v>0</v>
      </c>
      <c r="G57" s="2541">
        <f t="shared" si="10"/>
        <v>0</v>
      </c>
      <c r="H57" s="2544">
        <f t="shared" si="10"/>
        <v>0</v>
      </c>
      <c r="I57" s="2545">
        <f t="shared" si="10"/>
        <v>0</v>
      </c>
      <c r="J57" s="2541">
        <f t="shared" si="10"/>
        <v>0</v>
      </c>
      <c r="K57" s="2542">
        <f t="shared" si="10"/>
        <v>0</v>
      </c>
    </row>
    <row r="58" spans="1:11" ht="11.25" customHeight="1">
      <c r="A58" s="2546" t="s">
        <v>2337</v>
      </c>
      <c r="B58" s="1343"/>
      <c r="C58" s="963">
        <f>SA34b!C136</f>
        <v>0</v>
      </c>
      <c r="D58" s="963">
        <f>SA34b!D136</f>
        <v>0</v>
      </c>
      <c r="E58" s="964">
        <f>SA34b!E136</f>
        <v>0</v>
      </c>
      <c r="F58" s="965">
        <f>SA34b!F136</f>
        <v>0</v>
      </c>
      <c r="G58" s="963">
        <f>SA34b!G136</f>
        <v>0</v>
      </c>
      <c r="H58" s="966">
        <f>SA34b!H136</f>
        <v>0</v>
      </c>
      <c r="I58" s="967">
        <f>SA34b!I136</f>
        <v>0</v>
      </c>
      <c r="J58" s="963">
        <f>SA34b!J136</f>
        <v>0</v>
      </c>
      <c r="K58" s="964">
        <f>SA34b!K136</f>
        <v>0</v>
      </c>
    </row>
    <row r="59" spans="1:11" ht="11.25" customHeight="1">
      <c r="A59" s="2524" t="s">
        <v>2338</v>
      </c>
      <c r="B59" s="59"/>
      <c r="C59" s="900">
        <f>SA34b!C140</f>
        <v>0</v>
      </c>
      <c r="D59" s="900">
        <f>SA34b!D140</f>
        <v>0</v>
      </c>
      <c r="E59" s="901">
        <f>SA34b!E140</f>
        <v>0</v>
      </c>
      <c r="F59" s="902">
        <f>SA34b!F140</f>
        <v>0</v>
      </c>
      <c r="G59" s="900">
        <f>SA34b!G140</f>
        <v>0</v>
      </c>
      <c r="H59" s="903">
        <f>SA34b!H140</f>
        <v>0</v>
      </c>
      <c r="I59" s="904">
        <f>SA34b!I140</f>
        <v>0</v>
      </c>
      <c r="J59" s="900">
        <f>SA34b!J140</f>
        <v>0</v>
      </c>
      <c r="K59" s="901">
        <f>SA34b!K140</f>
        <v>0</v>
      </c>
    </row>
    <row r="60" spans="1:11" ht="11.25" customHeight="1">
      <c r="A60" s="2524" t="s">
        <v>2339</v>
      </c>
      <c r="B60" s="59"/>
      <c r="C60" s="1279">
        <f>SA34b!C141</f>
        <v>631368</v>
      </c>
      <c r="D60" s="1279">
        <f>SA34b!D141</f>
        <v>0</v>
      </c>
      <c r="E60" s="1280">
        <f>SA34b!E141</f>
        <v>0</v>
      </c>
      <c r="F60" s="1281">
        <f>SA34b!F141</f>
        <v>0</v>
      </c>
      <c r="G60" s="1279">
        <f>SA34b!G141</f>
        <v>0</v>
      </c>
      <c r="H60" s="1282">
        <f>SA34b!H141</f>
        <v>0</v>
      </c>
      <c r="I60" s="1283">
        <f>SA34b!I141</f>
        <v>0</v>
      </c>
      <c r="J60" s="1279">
        <f>SA34b!J141</f>
        <v>0</v>
      </c>
      <c r="K60" s="1280">
        <f>SA34b!K141</f>
        <v>0</v>
      </c>
    </row>
    <row r="61" spans="1:11" ht="11.25" customHeight="1">
      <c r="A61" s="2535" t="s">
        <v>2340</v>
      </c>
      <c r="B61" s="463"/>
      <c r="C61" s="2541">
        <f>SUM(C59:C60)</f>
        <v>631368</v>
      </c>
      <c r="D61" s="2541">
        <f t="shared" ref="D61:K61" si="11">SUM(D59:D60)</f>
        <v>0</v>
      </c>
      <c r="E61" s="2542">
        <f t="shared" si="11"/>
        <v>0</v>
      </c>
      <c r="F61" s="2543">
        <f t="shared" si="11"/>
        <v>0</v>
      </c>
      <c r="G61" s="2541">
        <f t="shared" si="11"/>
        <v>0</v>
      </c>
      <c r="H61" s="2544">
        <f t="shared" si="11"/>
        <v>0</v>
      </c>
      <c r="I61" s="2545">
        <f t="shared" si="11"/>
        <v>0</v>
      </c>
      <c r="J61" s="2541">
        <f t="shared" si="11"/>
        <v>0</v>
      </c>
      <c r="K61" s="2542">
        <f t="shared" si="11"/>
        <v>0</v>
      </c>
    </row>
    <row r="62" spans="1:11">
      <c r="A62" s="2556" t="s">
        <v>2347</v>
      </c>
      <c r="B62" s="424"/>
      <c r="C62" s="963">
        <f>SA34b!C149</f>
        <v>0</v>
      </c>
      <c r="D62" s="963">
        <f>SA34b!D149</f>
        <v>0</v>
      </c>
      <c r="E62" s="964">
        <f>SA34b!E149</f>
        <v>0</v>
      </c>
      <c r="F62" s="965">
        <f>SA34b!F149</f>
        <v>0</v>
      </c>
      <c r="G62" s="963">
        <f>SA34b!G149</f>
        <v>0</v>
      </c>
      <c r="H62" s="966">
        <f>SA34b!H149</f>
        <v>0</v>
      </c>
      <c r="I62" s="967">
        <f>SA34b!I149</f>
        <v>0</v>
      </c>
      <c r="J62" s="963">
        <f>SA34b!J149</f>
        <v>0</v>
      </c>
      <c r="K62" s="964">
        <f>SA34b!K149</f>
        <v>0</v>
      </c>
    </row>
    <row r="63" spans="1:11" ht="11.25" customHeight="1">
      <c r="A63" s="2546" t="s">
        <v>2348</v>
      </c>
      <c r="B63" s="59"/>
      <c r="C63" s="963">
        <f>SA34b!C152</f>
        <v>7896933.1392982453</v>
      </c>
      <c r="D63" s="963">
        <f>SA34b!D152</f>
        <v>0</v>
      </c>
      <c r="E63" s="964">
        <f>SA34b!E152</f>
        <v>0</v>
      </c>
      <c r="F63" s="965">
        <f>SA34b!F152</f>
        <v>0</v>
      </c>
      <c r="G63" s="963">
        <f>SA34b!G152</f>
        <v>0</v>
      </c>
      <c r="H63" s="966">
        <f>SA34b!H152</f>
        <v>0</v>
      </c>
      <c r="I63" s="967">
        <f>SA34b!I152</f>
        <v>0</v>
      </c>
      <c r="J63" s="963">
        <f>SA34b!J152</f>
        <v>0</v>
      </c>
      <c r="K63" s="964">
        <f>SA34b!K152</f>
        <v>0</v>
      </c>
    </row>
    <row r="64" spans="1:11" ht="11.25" customHeight="1">
      <c r="A64" s="2546" t="s">
        <v>2349</v>
      </c>
      <c r="B64" s="59"/>
      <c r="C64" s="963">
        <f>SA34b!C155</f>
        <v>0</v>
      </c>
      <c r="D64" s="963">
        <f>SA34b!D155</f>
        <v>0</v>
      </c>
      <c r="E64" s="964">
        <f>SA34b!E155</f>
        <v>0</v>
      </c>
      <c r="F64" s="965">
        <f>SA34b!F155</f>
        <v>5000000</v>
      </c>
      <c r="G64" s="963">
        <f>SA34b!G155</f>
        <v>6850000</v>
      </c>
      <c r="H64" s="966">
        <f>SA34b!H155</f>
        <v>6850000</v>
      </c>
      <c r="I64" s="967">
        <f>SA34b!I155</f>
        <v>0</v>
      </c>
      <c r="J64" s="963">
        <f>SA34b!J155</f>
        <v>0</v>
      </c>
      <c r="K64" s="964">
        <f>SA34b!K155</f>
        <v>0</v>
      </c>
    </row>
    <row r="65" spans="1:11">
      <c r="A65" s="2556" t="s">
        <v>2350</v>
      </c>
      <c r="B65" s="424"/>
      <c r="C65" s="963">
        <f>SA34b!C158</f>
        <v>1180900</v>
      </c>
      <c r="D65" s="963">
        <f>SA34b!D158</f>
        <v>0</v>
      </c>
      <c r="E65" s="964">
        <f>SA34b!E158</f>
        <v>0</v>
      </c>
      <c r="F65" s="965">
        <f>SA34b!F158</f>
        <v>0</v>
      </c>
      <c r="G65" s="963">
        <f>SA34b!G158</f>
        <v>0</v>
      </c>
      <c r="H65" s="966">
        <f>SA34b!H158</f>
        <v>0</v>
      </c>
      <c r="I65" s="967">
        <f>SA34b!I158</f>
        <v>0</v>
      </c>
      <c r="J65" s="963">
        <f>SA34b!J158</f>
        <v>0</v>
      </c>
      <c r="K65" s="964">
        <f>SA34b!K158</f>
        <v>0</v>
      </c>
    </row>
    <row r="66" spans="1:11" ht="11.25" customHeight="1">
      <c r="A66" s="2546" t="s">
        <v>2485</v>
      </c>
      <c r="B66" s="59"/>
      <c r="C66" s="963">
        <f>SA34b!C161</f>
        <v>0</v>
      </c>
      <c r="D66" s="963">
        <f>SA34b!D161</f>
        <v>0</v>
      </c>
      <c r="E66" s="964">
        <f>SA34b!E161</f>
        <v>0</v>
      </c>
      <c r="F66" s="965">
        <f>SA34b!F161</f>
        <v>0</v>
      </c>
      <c r="G66" s="963">
        <f>SA34b!G161</f>
        <v>0</v>
      </c>
      <c r="H66" s="966">
        <f>SA34b!H161</f>
        <v>0</v>
      </c>
      <c r="I66" s="967">
        <f>SA34b!I161</f>
        <v>0</v>
      </c>
      <c r="J66" s="963">
        <f>SA34b!J161</f>
        <v>0</v>
      </c>
      <c r="K66" s="964">
        <f>SA34b!K161</f>
        <v>0</v>
      </c>
    </row>
    <row r="67" spans="1:11" ht="11.25" customHeight="1">
      <c r="A67" s="2546" t="s">
        <v>2351</v>
      </c>
      <c r="B67" s="59"/>
      <c r="C67" s="2557">
        <f>SA34b!C164</f>
        <v>0</v>
      </c>
      <c r="D67" s="2557">
        <f>SA34b!D164</f>
        <v>0</v>
      </c>
      <c r="E67" s="2558">
        <f>SA34b!E164</f>
        <v>0</v>
      </c>
      <c r="F67" s="2559">
        <f>SA34b!F164</f>
        <v>0</v>
      </c>
      <c r="G67" s="2557">
        <f>SA34b!G164</f>
        <v>0</v>
      </c>
      <c r="H67" s="2560">
        <f>SA34b!H164</f>
        <v>0</v>
      </c>
      <c r="I67" s="2561">
        <f>SA34b!I164</f>
        <v>0</v>
      </c>
      <c r="J67" s="2557">
        <f>SA34b!J164</f>
        <v>0</v>
      </c>
      <c r="K67" s="2558">
        <f>SA34b!K164</f>
        <v>0</v>
      </c>
    </row>
    <row r="68" spans="1:11" ht="4.9000000000000004" customHeight="1">
      <c r="A68" s="1250"/>
      <c r="B68" s="59"/>
      <c r="C68" s="84"/>
      <c r="D68" s="84"/>
      <c r="E68" s="139"/>
      <c r="F68" s="128"/>
      <c r="G68" s="84"/>
      <c r="H68" s="87"/>
      <c r="I68" s="88"/>
      <c r="J68" s="84"/>
      <c r="K68" s="139"/>
    </row>
    <row r="69" spans="1:11" ht="11.25" customHeight="1">
      <c r="A69" s="1347" t="s">
        <v>2371</v>
      </c>
      <c r="B69" s="59">
        <v>6</v>
      </c>
      <c r="C69" s="95">
        <f>C79+C82+C83+C86+C89+C90+SUM(C93:C99)</f>
        <v>0</v>
      </c>
      <c r="D69" s="95">
        <f t="shared" ref="D69:K69" si="12">D79+D82+D83+D86+D89+D90+SUM(D93:D99)</f>
        <v>21732907</v>
      </c>
      <c r="E69" s="96">
        <f t="shared" si="12"/>
        <v>17531610</v>
      </c>
      <c r="F69" s="97">
        <f t="shared" si="12"/>
        <v>37409466</v>
      </c>
      <c r="G69" s="95">
        <f t="shared" si="12"/>
        <v>61374952</v>
      </c>
      <c r="H69" s="94">
        <f t="shared" si="12"/>
        <v>61374952</v>
      </c>
      <c r="I69" s="98">
        <f t="shared" si="12"/>
        <v>106338050</v>
      </c>
      <c r="J69" s="95">
        <f t="shared" si="12"/>
        <v>96829700</v>
      </c>
      <c r="K69" s="96">
        <f t="shared" si="12"/>
        <v>102603794</v>
      </c>
    </row>
    <row r="70" spans="1:11" ht="11.25" customHeight="1">
      <c r="A70" s="2523" t="s">
        <v>2245</v>
      </c>
      <c r="B70" s="223"/>
      <c r="C70" s="900">
        <f>SA34e!C7</f>
        <v>0</v>
      </c>
      <c r="D70" s="900">
        <f>SA34e!D7</f>
        <v>0</v>
      </c>
      <c r="E70" s="901">
        <f>SA34e!E7</f>
        <v>0</v>
      </c>
      <c r="F70" s="902">
        <f>SA34e!F7</f>
        <v>32859464</v>
      </c>
      <c r="G70" s="900">
        <f>SA34e!G7</f>
        <v>44521032</v>
      </c>
      <c r="H70" s="903">
        <f>SA34e!H7</f>
        <v>44521032</v>
      </c>
      <c r="I70" s="904">
        <f>SA34e!I7</f>
        <v>88938034</v>
      </c>
      <c r="J70" s="900">
        <f>SA34e!J7</f>
        <v>93329700</v>
      </c>
      <c r="K70" s="901">
        <f>SA34e!K7</f>
        <v>102603794</v>
      </c>
    </row>
    <row r="71" spans="1:11" ht="11.25" customHeight="1">
      <c r="A71" s="2523" t="s">
        <v>2249</v>
      </c>
      <c r="B71" s="223"/>
      <c r="C71" s="900">
        <f>SA34e!C12</f>
        <v>0</v>
      </c>
      <c r="D71" s="900">
        <f>SA34e!D12</f>
        <v>0</v>
      </c>
      <c r="E71" s="901">
        <f>SA34e!E12</f>
        <v>0</v>
      </c>
      <c r="F71" s="902">
        <f>SA34e!F12</f>
        <v>0</v>
      </c>
      <c r="G71" s="900">
        <f>SA34e!G12</f>
        <v>0</v>
      </c>
      <c r="H71" s="903">
        <f>SA34e!H12</f>
        <v>0</v>
      </c>
      <c r="I71" s="904">
        <f>SA34e!I12</f>
        <v>0</v>
      </c>
      <c r="J71" s="900">
        <f>SA34e!J12</f>
        <v>3500000</v>
      </c>
      <c r="K71" s="901">
        <f>SA34e!K12</f>
        <v>0</v>
      </c>
    </row>
    <row r="72" spans="1:11" ht="11.25" customHeight="1">
      <c r="A72" s="2523" t="s">
        <v>2294</v>
      </c>
      <c r="B72" s="223"/>
      <c r="C72" s="900">
        <f>SA34e!C16</f>
        <v>0</v>
      </c>
      <c r="D72" s="900">
        <f>SA34e!D16</f>
        <v>1330092</v>
      </c>
      <c r="E72" s="901">
        <f>SA34e!E16</f>
        <v>17531610</v>
      </c>
      <c r="F72" s="902">
        <f>SA34e!F16</f>
        <v>300002</v>
      </c>
      <c r="G72" s="900">
        <f>SA34e!G16</f>
        <v>10153920</v>
      </c>
      <c r="H72" s="903">
        <f>SA34e!H16</f>
        <v>10153920</v>
      </c>
      <c r="I72" s="904">
        <f>SA34e!I16</f>
        <v>17400016</v>
      </c>
      <c r="J72" s="900">
        <f>SA34e!J16</f>
        <v>0</v>
      </c>
      <c r="K72" s="901">
        <f>SA34e!K16</f>
        <v>0</v>
      </c>
    </row>
    <row r="73" spans="1:11" ht="11.25" customHeight="1">
      <c r="A73" s="2523" t="s">
        <v>2295</v>
      </c>
      <c r="B73" s="223"/>
      <c r="C73" s="900">
        <f>SA34e!C26</f>
        <v>0</v>
      </c>
      <c r="D73" s="900">
        <f>SA34e!D26</f>
        <v>0</v>
      </c>
      <c r="E73" s="901">
        <f>SA34e!E26</f>
        <v>0</v>
      </c>
      <c r="F73" s="902">
        <f>SA34e!F26</f>
        <v>0</v>
      </c>
      <c r="G73" s="900">
        <f>SA34e!G26</f>
        <v>0</v>
      </c>
      <c r="H73" s="903">
        <f>SA34e!H26</f>
        <v>0</v>
      </c>
      <c r="I73" s="904">
        <f>SA34e!I26</f>
        <v>0</v>
      </c>
      <c r="J73" s="900">
        <f>SA34e!J26</f>
        <v>0</v>
      </c>
      <c r="K73" s="901">
        <f>SA34e!K26</f>
        <v>0</v>
      </c>
    </row>
    <row r="74" spans="1:11" ht="11.25" customHeight="1">
      <c r="A74" s="2523" t="s">
        <v>2296</v>
      </c>
      <c r="B74" s="223"/>
      <c r="C74" s="900">
        <f>SA34e!C37</f>
        <v>0</v>
      </c>
      <c r="D74" s="900">
        <f>SA34e!D37</f>
        <v>0</v>
      </c>
      <c r="E74" s="901">
        <f>SA34e!E37</f>
        <v>0</v>
      </c>
      <c r="F74" s="902">
        <f>SA34e!F37</f>
        <v>0</v>
      </c>
      <c r="G74" s="900">
        <f>SA34e!G37</f>
        <v>0</v>
      </c>
      <c r="H74" s="903">
        <f>SA34e!H37</f>
        <v>0</v>
      </c>
      <c r="I74" s="904">
        <f>SA34e!I37</f>
        <v>0</v>
      </c>
      <c r="J74" s="900">
        <f>SA34e!J37</f>
        <v>0</v>
      </c>
      <c r="K74" s="901">
        <f>SA34e!K37</f>
        <v>0</v>
      </c>
    </row>
    <row r="75" spans="1:11" ht="11.25" customHeight="1">
      <c r="A75" s="2523" t="s">
        <v>2274</v>
      </c>
      <c r="B75" s="223"/>
      <c r="C75" s="900">
        <f>SA34e!C44</f>
        <v>0</v>
      </c>
      <c r="D75" s="900">
        <f>SA34e!D44</f>
        <v>0</v>
      </c>
      <c r="E75" s="901">
        <f>SA34e!E44</f>
        <v>0</v>
      </c>
      <c r="F75" s="902">
        <f>SA34e!F44</f>
        <v>0</v>
      </c>
      <c r="G75" s="900">
        <f>SA34e!G44</f>
        <v>0</v>
      </c>
      <c r="H75" s="903">
        <f>SA34e!H44</f>
        <v>0</v>
      </c>
      <c r="I75" s="904">
        <f>SA34e!I44</f>
        <v>0</v>
      </c>
      <c r="J75" s="900">
        <f>SA34e!J44</f>
        <v>0</v>
      </c>
      <c r="K75" s="901">
        <f>SA34e!K44</f>
        <v>0</v>
      </c>
    </row>
    <row r="76" spans="1:11" ht="11.25" customHeight="1">
      <c r="A76" s="2523" t="s">
        <v>2290</v>
      </c>
      <c r="B76" s="223"/>
      <c r="C76" s="900">
        <f>SA34e!C52</f>
        <v>0</v>
      </c>
      <c r="D76" s="900">
        <f>SA34e!D52</f>
        <v>0</v>
      </c>
      <c r="E76" s="901">
        <f>SA34e!E52</f>
        <v>0</v>
      </c>
      <c r="F76" s="902">
        <f>SA34e!F52</f>
        <v>0</v>
      </c>
      <c r="G76" s="900">
        <f>SA34e!G52</f>
        <v>0</v>
      </c>
      <c r="H76" s="903">
        <f>SA34e!H52</f>
        <v>0</v>
      </c>
      <c r="I76" s="904">
        <f>SA34e!I52</f>
        <v>0</v>
      </c>
      <c r="J76" s="900">
        <f>SA34e!J52</f>
        <v>0</v>
      </c>
      <c r="K76" s="901">
        <f>SA34e!K52</f>
        <v>0</v>
      </c>
    </row>
    <row r="77" spans="1:11" ht="11.25" customHeight="1">
      <c r="A77" s="2523" t="s">
        <v>2285</v>
      </c>
      <c r="B77" s="223"/>
      <c r="C77" s="900">
        <f>SA34e!C62</f>
        <v>0</v>
      </c>
      <c r="D77" s="900">
        <f>SA34e!D62</f>
        <v>826160</v>
      </c>
      <c r="E77" s="901">
        <f>SA34e!E62</f>
        <v>0</v>
      </c>
      <c r="F77" s="902">
        <f>SA34e!F62</f>
        <v>0</v>
      </c>
      <c r="G77" s="900">
        <f>SA34e!G62</f>
        <v>0</v>
      </c>
      <c r="H77" s="903">
        <f>SA34e!H62</f>
        <v>0</v>
      </c>
      <c r="I77" s="904">
        <f>SA34e!I62</f>
        <v>0</v>
      </c>
      <c r="J77" s="900">
        <f>SA34e!J62</f>
        <v>0</v>
      </c>
      <c r="K77" s="901">
        <f>SA34e!K62</f>
        <v>0</v>
      </c>
    </row>
    <row r="78" spans="1:11" ht="11.25" customHeight="1">
      <c r="A78" s="2523" t="s">
        <v>2281</v>
      </c>
      <c r="B78" s="223"/>
      <c r="C78" s="900">
        <f>SA34e!C68</f>
        <v>0</v>
      </c>
      <c r="D78" s="900">
        <f>SA34e!D68</f>
        <v>0</v>
      </c>
      <c r="E78" s="901">
        <f>SA34e!E68</f>
        <v>0</v>
      </c>
      <c r="F78" s="902">
        <f>SA34e!F68</f>
        <v>0</v>
      </c>
      <c r="G78" s="900">
        <f>SA34e!G68</f>
        <v>0</v>
      </c>
      <c r="H78" s="903">
        <f>SA34e!H68</f>
        <v>0</v>
      </c>
      <c r="I78" s="904">
        <f>SA34e!I68</f>
        <v>0</v>
      </c>
      <c r="J78" s="900">
        <f>SA34e!J68</f>
        <v>0</v>
      </c>
      <c r="K78" s="901">
        <f>SA34e!K68</f>
        <v>0</v>
      </c>
    </row>
    <row r="79" spans="1:11" ht="11.25" customHeight="1">
      <c r="A79" s="2535" t="s">
        <v>845</v>
      </c>
      <c r="B79" s="463"/>
      <c r="C79" s="2541">
        <f t="shared" ref="C79:K79" si="13">SUM(C70:C78)</f>
        <v>0</v>
      </c>
      <c r="D79" s="2541">
        <f t="shared" si="13"/>
        <v>2156252</v>
      </c>
      <c r="E79" s="2542">
        <f t="shared" si="13"/>
        <v>17531610</v>
      </c>
      <c r="F79" s="2543">
        <f t="shared" si="13"/>
        <v>33159466</v>
      </c>
      <c r="G79" s="2541">
        <f t="shared" si="13"/>
        <v>54674952</v>
      </c>
      <c r="H79" s="2544">
        <f t="shared" si="13"/>
        <v>54674952</v>
      </c>
      <c r="I79" s="2545">
        <f t="shared" si="13"/>
        <v>106338050</v>
      </c>
      <c r="J79" s="2541">
        <f t="shared" si="13"/>
        <v>96829700</v>
      </c>
      <c r="K79" s="2542">
        <f t="shared" si="13"/>
        <v>102603794</v>
      </c>
    </row>
    <row r="80" spans="1:11" ht="11.25" customHeight="1">
      <c r="A80" s="2524" t="s">
        <v>2298</v>
      </c>
      <c r="B80" s="59"/>
      <c r="C80" s="900">
        <f>SA34e!C75</f>
        <v>0</v>
      </c>
      <c r="D80" s="900">
        <f>SA34e!D75</f>
        <v>0</v>
      </c>
      <c r="E80" s="901">
        <f>SA34e!E75</f>
        <v>0</v>
      </c>
      <c r="F80" s="902">
        <f>SA34e!F75</f>
        <v>850000</v>
      </c>
      <c r="G80" s="900">
        <f>SA34e!G75</f>
        <v>850000</v>
      </c>
      <c r="H80" s="903">
        <f>SA34e!H75</f>
        <v>850000</v>
      </c>
      <c r="I80" s="904">
        <f>SA34e!I75</f>
        <v>0</v>
      </c>
      <c r="J80" s="900">
        <f>SA34e!J75</f>
        <v>0</v>
      </c>
      <c r="K80" s="901">
        <f>SA34e!K75</f>
        <v>0</v>
      </c>
    </row>
    <row r="81" spans="1:11" ht="11.25" customHeight="1">
      <c r="A81" s="2524" t="s">
        <v>2316</v>
      </c>
      <c r="B81" s="59"/>
      <c r="C81" s="1279">
        <f>SA34e!C98</f>
        <v>0</v>
      </c>
      <c r="D81" s="1279">
        <f>SA34e!D98</f>
        <v>19576655</v>
      </c>
      <c r="E81" s="1280">
        <f>SA34e!E98</f>
        <v>0</v>
      </c>
      <c r="F81" s="1281">
        <f>SA34e!F98</f>
        <v>0</v>
      </c>
      <c r="G81" s="1279">
        <f>SA34e!G98</f>
        <v>0</v>
      </c>
      <c r="H81" s="1282">
        <f>SA34e!H98</f>
        <v>0</v>
      </c>
      <c r="I81" s="1283">
        <f>SA34e!I98</f>
        <v>0</v>
      </c>
      <c r="J81" s="1279">
        <f>SA34e!J98</f>
        <v>0</v>
      </c>
      <c r="K81" s="1280">
        <f>SA34e!K98</f>
        <v>0</v>
      </c>
    </row>
    <row r="82" spans="1:11" ht="11.25" customHeight="1">
      <c r="A82" s="2535" t="s">
        <v>2297</v>
      </c>
      <c r="B82" s="463"/>
      <c r="C82" s="2541">
        <f t="shared" ref="C82:K82" si="14">SUM(C80:C81)</f>
        <v>0</v>
      </c>
      <c r="D82" s="2541">
        <f t="shared" si="14"/>
        <v>19576655</v>
      </c>
      <c r="E82" s="2542">
        <f t="shared" si="14"/>
        <v>0</v>
      </c>
      <c r="F82" s="2543">
        <f t="shared" si="14"/>
        <v>850000</v>
      </c>
      <c r="G82" s="2541">
        <f t="shared" si="14"/>
        <v>850000</v>
      </c>
      <c r="H82" s="2544">
        <f t="shared" si="14"/>
        <v>850000</v>
      </c>
      <c r="I82" s="2545">
        <f t="shared" si="14"/>
        <v>0</v>
      </c>
      <c r="J82" s="2541">
        <f t="shared" si="14"/>
        <v>0</v>
      </c>
      <c r="K82" s="2542">
        <f t="shared" si="14"/>
        <v>0</v>
      </c>
    </row>
    <row r="83" spans="1:11" ht="11.25" customHeight="1">
      <c r="A83" s="2546" t="s">
        <v>1738</v>
      </c>
      <c r="B83" s="1343"/>
      <c r="C83" s="963">
        <f>SA34e!C103</f>
        <v>0</v>
      </c>
      <c r="D83" s="963">
        <f>SA34e!D103</f>
        <v>0</v>
      </c>
      <c r="E83" s="964">
        <f>SA34e!E103</f>
        <v>0</v>
      </c>
      <c r="F83" s="965">
        <f>SA34e!F103</f>
        <v>0</v>
      </c>
      <c r="G83" s="963">
        <f>SA34e!G103</f>
        <v>0</v>
      </c>
      <c r="H83" s="966">
        <f>SA34e!H103</f>
        <v>0</v>
      </c>
      <c r="I83" s="967">
        <f>SA34e!I103</f>
        <v>0</v>
      </c>
      <c r="J83" s="963">
        <f>SA34e!J103</f>
        <v>0</v>
      </c>
      <c r="K83" s="964">
        <f>SA34e!K103</f>
        <v>0</v>
      </c>
    </row>
    <row r="84" spans="1:11" ht="11.25" customHeight="1">
      <c r="A84" s="2524" t="s">
        <v>2353</v>
      </c>
      <c r="B84" s="59"/>
      <c r="C84" s="900">
        <f>SA34e!C111</f>
        <v>0</v>
      </c>
      <c r="D84" s="900">
        <f>SA34e!D111</f>
        <v>0</v>
      </c>
      <c r="E84" s="901">
        <f>SA34e!E111</f>
        <v>0</v>
      </c>
      <c r="F84" s="902">
        <f>SA34e!F111</f>
        <v>0</v>
      </c>
      <c r="G84" s="900">
        <f>SA34e!G111</f>
        <v>0</v>
      </c>
      <c r="H84" s="903">
        <f>SA34e!H111</f>
        <v>0</v>
      </c>
      <c r="I84" s="904">
        <f>SA34e!I111</f>
        <v>0</v>
      </c>
      <c r="J84" s="900">
        <f>SA34e!J111</f>
        <v>0</v>
      </c>
      <c r="K84" s="901">
        <f>SA34e!K111</f>
        <v>0</v>
      </c>
    </row>
    <row r="85" spans="1:11" ht="11.25" customHeight="1">
      <c r="A85" s="2524" t="s">
        <v>2356</v>
      </c>
      <c r="B85" s="59"/>
      <c r="C85" s="1279">
        <f>SA34e!C114</f>
        <v>0</v>
      </c>
      <c r="D85" s="1279">
        <f>SA34e!D114</f>
        <v>0</v>
      </c>
      <c r="E85" s="1280">
        <f>SA34e!E114</f>
        <v>0</v>
      </c>
      <c r="F85" s="1281">
        <f>SA34e!F114</f>
        <v>0</v>
      </c>
      <c r="G85" s="1279">
        <f>SA34e!G114</f>
        <v>0</v>
      </c>
      <c r="H85" s="1282">
        <f>SA34e!H114</f>
        <v>0</v>
      </c>
      <c r="I85" s="1283">
        <f>SA34e!I114</f>
        <v>0</v>
      </c>
      <c r="J85" s="1279">
        <f>SA34e!J114</f>
        <v>0</v>
      </c>
      <c r="K85" s="1280">
        <f>SA34e!K114</f>
        <v>0</v>
      </c>
    </row>
    <row r="86" spans="1:11" ht="11.25" customHeight="1">
      <c r="A86" s="2535" t="s">
        <v>836</v>
      </c>
      <c r="B86" s="463"/>
      <c r="C86" s="2541">
        <f t="shared" ref="C86:K86" si="15">SUM(C84:C85)</f>
        <v>0</v>
      </c>
      <c r="D86" s="2541">
        <f t="shared" si="15"/>
        <v>0</v>
      </c>
      <c r="E86" s="2542">
        <f t="shared" si="15"/>
        <v>0</v>
      </c>
      <c r="F86" s="2543">
        <f t="shared" si="15"/>
        <v>0</v>
      </c>
      <c r="G86" s="2541">
        <f t="shared" si="15"/>
        <v>0</v>
      </c>
      <c r="H86" s="2544">
        <f t="shared" si="15"/>
        <v>0</v>
      </c>
      <c r="I86" s="2545">
        <f t="shared" si="15"/>
        <v>0</v>
      </c>
      <c r="J86" s="2541">
        <f t="shared" si="15"/>
        <v>0</v>
      </c>
      <c r="K86" s="2542">
        <f t="shared" si="15"/>
        <v>0</v>
      </c>
    </row>
    <row r="87" spans="1:11" ht="11.25" customHeight="1">
      <c r="A87" s="2524" t="s">
        <v>2324</v>
      </c>
      <c r="B87" s="59"/>
      <c r="C87" s="900">
        <f>SA34e!C119</f>
        <v>0</v>
      </c>
      <c r="D87" s="900">
        <f>SA34e!D119</f>
        <v>0</v>
      </c>
      <c r="E87" s="901">
        <f>SA34e!E119</f>
        <v>0</v>
      </c>
      <c r="F87" s="902">
        <f>SA34e!F119</f>
        <v>3250000</v>
      </c>
      <c r="G87" s="900">
        <f>SA34e!G119</f>
        <v>5700000</v>
      </c>
      <c r="H87" s="903">
        <f>SA34e!H119</f>
        <v>5700000</v>
      </c>
      <c r="I87" s="904">
        <f>SA34e!I119</f>
        <v>0</v>
      </c>
      <c r="J87" s="900">
        <f>SA34e!J119</f>
        <v>0</v>
      </c>
      <c r="K87" s="901">
        <f>SA34e!K119</f>
        <v>0</v>
      </c>
    </row>
    <row r="88" spans="1:11" ht="11.25" customHeight="1">
      <c r="A88" s="2524" t="s">
        <v>1493</v>
      </c>
      <c r="B88" s="59"/>
      <c r="C88" s="1279">
        <f>SA34e!C131</f>
        <v>0</v>
      </c>
      <c r="D88" s="1279">
        <f>SA34e!D131</f>
        <v>0</v>
      </c>
      <c r="E88" s="1280">
        <f>SA34e!E131</f>
        <v>0</v>
      </c>
      <c r="F88" s="1281">
        <f>SA34e!F131</f>
        <v>0</v>
      </c>
      <c r="G88" s="1279">
        <f>SA34e!G131</f>
        <v>0</v>
      </c>
      <c r="H88" s="1282">
        <f>SA34e!H131</f>
        <v>0</v>
      </c>
      <c r="I88" s="1283">
        <f>SA34e!I131</f>
        <v>0</v>
      </c>
      <c r="J88" s="1279">
        <f>SA34e!J131</f>
        <v>0</v>
      </c>
      <c r="K88" s="1280">
        <f>SA34e!K131</f>
        <v>0</v>
      </c>
    </row>
    <row r="89" spans="1:11" ht="11.25" customHeight="1">
      <c r="A89" s="2535" t="s">
        <v>1743</v>
      </c>
      <c r="B89" s="463"/>
      <c r="C89" s="2541">
        <f t="shared" ref="C89:K89" si="16">SUM(C87:C88)</f>
        <v>0</v>
      </c>
      <c r="D89" s="2541">
        <f t="shared" si="16"/>
        <v>0</v>
      </c>
      <c r="E89" s="2542">
        <f t="shared" si="16"/>
        <v>0</v>
      </c>
      <c r="F89" s="2543">
        <f t="shared" si="16"/>
        <v>3250000</v>
      </c>
      <c r="G89" s="2541">
        <f t="shared" si="16"/>
        <v>5700000</v>
      </c>
      <c r="H89" s="2544">
        <f t="shared" si="16"/>
        <v>5700000</v>
      </c>
      <c r="I89" s="2545">
        <f t="shared" si="16"/>
        <v>0</v>
      </c>
      <c r="J89" s="2541">
        <f t="shared" si="16"/>
        <v>0</v>
      </c>
      <c r="K89" s="2542">
        <f t="shared" si="16"/>
        <v>0</v>
      </c>
    </row>
    <row r="90" spans="1:11" ht="11.25" customHeight="1">
      <c r="A90" s="2546" t="s">
        <v>2337</v>
      </c>
      <c r="B90" s="1343"/>
      <c r="C90" s="963">
        <f>SA34e!C136</f>
        <v>0</v>
      </c>
      <c r="D90" s="963">
        <f>SA34e!D136</f>
        <v>0</v>
      </c>
      <c r="E90" s="964">
        <f>SA34e!E136</f>
        <v>0</v>
      </c>
      <c r="F90" s="965">
        <f>SA34e!F136</f>
        <v>0</v>
      </c>
      <c r="G90" s="963">
        <f>SA34e!G136</f>
        <v>0</v>
      </c>
      <c r="H90" s="966">
        <f>SA34e!H136</f>
        <v>0</v>
      </c>
      <c r="I90" s="967">
        <f>SA34e!I136</f>
        <v>0</v>
      </c>
      <c r="J90" s="963">
        <f>SA34e!J136</f>
        <v>0</v>
      </c>
      <c r="K90" s="964">
        <f>SA34e!K136</f>
        <v>0</v>
      </c>
    </row>
    <row r="91" spans="1:11" ht="11.25" customHeight="1">
      <c r="A91" s="2524" t="s">
        <v>2338</v>
      </c>
      <c r="B91" s="59"/>
      <c r="C91" s="900">
        <f>SA34e!C140</f>
        <v>0</v>
      </c>
      <c r="D91" s="900">
        <f>SA34e!D140</f>
        <v>0</v>
      </c>
      <c r="E91" s="901">
        <f>SA34e!E140</f>
        <v>0</v>
      </c>
      <c r="F91" s="902">
        <f>SA34e!F140</f>
        <v>0</v>
      </c>
      <c r="G91" s="900">
        <f>SA34e!G140</f>
        <v>0</v>
      </c>
      <c r="H91" s="903">
        <f>SA34e!H140</f>
        <v>0</v>
      </c>
      <c r="I91" s="904">
        <f>SA34e!I140</f>
        <v>0</v>
      </c>
      <c r="J91" s="900">
        <f>SA34e!J140</f>
        <v>0</v>
      </c>
      <c r="K91" s="901">
        <f>SA34e!K140</f>
        <v>0</v>
      </c>
    </row>
    <row r="92" spans="1:11" ht="11.25" customHeight="1">
      <c r="A92" s="2524" t="s">
        <v>2339</v>
      </c>
      <c r="B92" s="59"/>
      <c r="C92" s="1279">
        <f>SA34e!C141</f>
        <v>0</v>
      </c>
      <c r="D92" s="1279">
        <f>SA34e!D141</f>
        <v>0</v>
      </c>
      <c r="E92" s="1280">
        <f>SA34e!E141</f>
        <v>0</v>
      </c>
      <c r="F92" s="1281">
        <f>SA34e!F141</f>
        <v>0</v>
      </c>
      <c r="G92" s="1279">
        <f>SA34e!G141</f>
        <v>0</v>
      </c>
      <c r="H92" s="1282">
        <f>SA34e!H141</f>
        <v>0</v>
      </c>
      <c r="I92" s="1283">
        <f>SA34e!I141</f>
        <v>0</v>
      </c>
      <c r="J92" s="1279">
        <f>SA34e!J141</f>
        <v>0</v>
      </c>
      <c r="K92" s="1280">
        <f>SA34e!K141</f>
        <v>0</v>
      </c>
    </row>
    <row r="93" spans="1:11" ht="11.25" customHeight="1">
      <c r="A93" s="2535" t="s">
        <v>2340</v>
      </c>
      <c r="B93" s="463"/>
      <c r="C93" s="2541">
        <f t="shared" ref="C93:K93" si="17">SUM(C91:C92)</f>
        <v>0</v>
      </c>
      <c r="D93" s="2541">
        <f t="shared" si="17"/>
        <v>0</v>
      </c>
      <c r="E93" s="2542">
        <f t="shared" si="17"/>
        <v>0</v>
      </c>
      <c r="F93" s="2543">
        <f t="shared" si="17"/>
        <v>0</v>
      </c>
      <c r="G93" s="2541">
        <f t="shared" si="17"/>
        <v>0</v>
      </c>
      <c r="H93" s="2544">
        <f t="shared" si="17"/>
        <v>0</v>
      </c>
      <c r="I93" s="2545">
        <f t="shared" si="17"/>
        <v>0</v>
      </c>
      <c r="J93" s="2541">
        <f t="shared" si="17"/>
        <v>0</v>
      </c>
      <c r="K93" s="2542">
        <f t="shared" si="17"/>
        <v>0</v>
      </c>
    </row>
    <row r="94" spans="1:11">
      <c r="A94" s="2556" t="s">
        <v>2347</v>
      </c>
      <c r="B94" s="424"/>
      <c r="C94" s="963">
        <f>SA34e!C149</f>
        <v>0</v>
      </c>
      <c r="D94" s="963">
        <f>SA34e!D149</f>
        <v>0</v>
      </c>
      <c r="E94" s="964">
        <f>SA34e!E149</f>
        <v>0</v>
      </c>
      <c r="F94" s="965">
        <f>SA34e!F149</f>
        <v>0</v>
      </c>
      <c r="G94" s="963">
        <f>SA34e!G149</f>
        <v>0</v>
      </c>
      <c r="H94" s="966">
        <f>SA34e!H149</f>
        <v>0</v>
      </c>
      <c r="I94" s="967">
        <f>SA34e!I149</f>
        <v>0</v>
      </c>
      <c r="J94" s="963">
        <f>SA34e!J149</f>
        <v>0</v>
      </c>
      <c r="K94" s="964">
        <f>SA34e!K149</f>
        <v>0</v>
      </c>
    </row>
    <row r="95" spans="1:11" ht="11.25" customHeight="1">
      <c r="A95" s="2546" t="s">
        <v>2348</v>
      </c>
      <c r="B95" s="59"/>
      <c r="C95" s="963">
        <f>SA34e!C152</f>
        <v>0</v>
      </c>
      <c r="D95" s="963">
        <f>SA34e!D152</f>
        <v>0</v>
      </c>
      <c r="E95" s="964">
        <f>SA34e!E152</f>
        <v>0</v>
      </c>
      <c r="F95" s="965">
        <f>SA34e!F152</f>
        <v>150000</v>
      </c>
      <c r="G95" s="963">
        <f>SA34e!G152</f>
        <v>150000</v>
      </c>
      <c r="H95" s="966">
        <f>SA34e!H152</f>
        <v>150000</v>
      </c>
      <c r="I95" s="967">
        <f>SA34e!I152</f>
        <v>0</v>
      </c>
      <c r="J95" s="963">
        <f>SA34e!J152</f>
        <v>0</v>
      </c>
      <c r="K95" s="964">
        <f>SA34e!K152</f>
        <v>0</v>
      </c>
    </row>
    <row r="96" spans="1:11" ht="11.25" customHeight="1">
      <c r="A96" s="2546" t="s">
        <v>2349</v>
      </c>
      <c r="B96" s="59"/>
      <c r="C96" s="963">
        <f>SA34e!C155</f>
        <v>0</v>
      </c>
      <c r="D96" s="963">
        <f>SA34e!D155</f>
        <v>0</v>
      </c>
      <c r="E96" s="964">
        <f>SA34e!E155</f>
        <v>0</v>
      </c>
      <c r="F96" s="965">
        <f>SA34e!F155</f>
        <v>0</v>
      </c>
      <c r="G96" s="963">
        <f>SA34e!G155</f>
        <v>0</v>
      </c>
      <c r="H96" s="966">
        <f>SA34e!H155</f>
        <v>0</v>
      </c>
      <c r="I96" s="967">
        <f>SA34e!I155</f>
        <v>0</v>
      </c>
      <c r="J96" s="963">
        <f>SA34e!J155</f>
        <v>0</v>
      </c>
      <c r="K96" s="964">
        <f>SA34e!K155</f>
        <v>0</v>
      </c>
    </row>
    <row r="97" spans="1:11">
      <c r="A97" s="2556" t="s">
        <v>2350</v>
      </c>
      <c r="B97" s="424"/>
      <c r="C97" s="963">
        <f>SA34e!C158</f>
        <v>0</v>
      </c>
      <c r="D97" s="963">
        <f>SA34e!D158</f>
        <v>0</v>
      </c>
      <c r="E97" s="964">
        <f>SA34e!E158</f>
        <v>0</v>
      </c>
      <c r="F97" s="965">
        <f>SA34e!F158</f>
        <v>0</v>
      </c>
      <c r="G97" s="963">
        <f>SA34e!G158</f>
        <v>0</v>
      </c>
      <c r="H97" s="966">
        <f>SA34e!H158</f>
        <v>0</v>
      </c>
      <c r="I97" s="967">
        <f>SA34e!I158</f>
        <v>0</v>
      </c>
      <c r="J97" s="963">
        <f>SA34e!J158</f>
        <v>0</v>
      </c>
      <c r="K97" s="964">
        <f>SA34e!K158</f>
        <v>0</v>
      </c>
    </row>
    <row r="98" spans="1:11" ht="11.25" customHeight="1">
      <c r="A98" s="2546" t="s">
        <v>2485</v>
      </c>
      <c r="B98" s="59"/>
      <c r="C98" s="963">
        <f>SA34e!C161</f>
        <v>0</v>
      </c>
      <c r="D98" s="963">
        <f>SA34e!D161</f>
        <v>0</v>
      </c>
      <c r="E98" s="964">
        <f>SA34e!E161</f>
        <v>0</v>
      </c>
      <c r="F98" s="965">
        <f>SA34e!F161</f>
        <v>0</v>
      </c>
      <c r="G98" s="963">
        <f>SA34e!G161</f>
        <v>0</v>
      </c>
      <c r="H98" s="966">
        <f>SA34e!H161</f>
        <v>0</v>
      </c>
      <c r="I98" s="967">
        <f>SA34e!I161</f>
        <v>0</v>
      </c>
      <c r="J98" s="963">
        <f>SA34e!J161</f>
        <v>0</v>
      </c>
      <c r="K98" s="964">
        <f>SA34e!K161</f>
        <v>0</v>
      </c>
    </row>
    <row r="99" spans="1:11" ht="11.25" customHeight="1">
      <c r="A99" s="2546" t="s">
        <v>2351</v>
      </c>
      <c r="B99" s="59"/>
      <c r="C99" s="2557">
        <f>SA34e!C164</f>
        <v>0</v>
      </c>
      <c r="D99" s="2557">
        <f>SA34e!D164</f>
        <v>0</v>
      </c>
      <c r="E99" s="2558">
        <f>SA34e!E164</f>
        <v>0</v>
      </c>
      <c r="F99" s="2559">
        <f>SA34e!F164</f>
        <v>0</v>
      </c>
      <c r="G99" s="2557">
        <f>SA34e!G164</f>
        <v>0</v>
      </c>
      <c r="H99" s="2560">
        <f>SA34e!H164</f>
        <v>0</v>
      </c>
      <c r="I99" s="2561">
        <f>SA34e!I164</f>
        <v>0</v>
      </c>
      <c r="J99" s="2557">
        <f>SA34e!J164</f>
        <v>0</v>
      </c>
      <c r="K99" s="2558">
        <f>SA34e!K164</f>
        <v>0</v>
      </c>
    </row>
    <row r="100" spans="1:11" ht="4.9000000000000004" customHeight="1">
      <c r="A100" s="1250"/>
      <c r="B100" s="59"/>
      <c r="C100" s="84"/>
      <c r="D100" s="84"/>
      <c r="E100" s="139"/>
      <c r="F100" s="128"/>
      <c r="G100" s="84"/>
      <c r="H100" s="87"/>
      <c r="I100" s="88"/>
      <c r="J100" s="84"/>
      <c r="K100" s="139"/>
    </row>
    <row r="101" spans="1:11" ht="11.25" customHeight="1">
      <c r="A101" s="1347" t="s">
        <v>524</v>
      </c>
      <c r="B101" s="59">
        <v>4</v>
      </c>
      <c r="C101" s="95">
        <f>+C5+C37+C69</f>
        <v>76418008.639298245</v>
      </c>
      <c r="D101" s="95">
        <f t="shared" ref="D101:K101" si="18">+D5+D37+D69</f>
        <v>48900537.559649125</v>
      </c>
      <c r="E101" s="96">
        <f t="shared" si="18"/>
        <v>103482439.60869566</v>
      </c>
      <c r="F101" s="97">
        <f t="shared" si="18"/>
        <v>142719853</v>
      </c>
      <c r="G101" s="95">
        <f t="shared" si="18"/>
        <v>154392768</v>
      </c>
      <c r="H101" s="94">
        <f t="shared" si="18"/>
        <v>154392768</v>
      </c>
      <c r="I101" s="98">
        <f t="shared" si="18"/>
        <v>130973050</v>
      </c>
      <c r="J101" s="95">
        <f t="shared" si="18"/>
        <v>106148700</v>
      </c>
      <c r="K101" s="96">
        <f t="shared" si="18"/>
        <v>112325232</v>
      </c>
    </row>
    <row r="102" spans="1:11" ht="11.25" customHeight="1">
      <c r="A102" s="2523" t="s">
        <v>2245</v>
      </c>
      <c r="B102" s="223"/>
      <c r="C102" s="900">
        <f>+C6+C38+C70</f>
        <v>40399201.229999997</v>
      </c>
      <c r="D102" s="900">
        <f t="shared" ref="D102:K102" si="19">+D6+D38+D70</f>
        <v>6981726</v>
      </c>
      <c r="E102" s="901">
        <f t="shared" si="19"/>
        <v>53816542</v>
      </c>
      <c r="F102" s="902">
        <f t="shared" si="19"/>
        <v>81729950</v>
      </c>
      <c r="G102" s="900">
        <f t="shared" si="19"/>
        <v>87072381</v>
      </c>
      <c r="H102" s="903">
        <f t="shared" si="19"/>
        <v>87072381</v>
      </c>
      <c r="I102" s="904">
        <f t="shared" si="19"/>
        <v>90438034</v>
      </c>
      <c r="J102" s="900">
        <f t="shared" si="19"/>
        <v>93329700</v>
      </c>
      <c r="K102" s="901">
        <f t="shared" si="19"/>
        <v>102603794</v>
      </c>
    </row>
    <row r="103" spans="1:11" ht="11.25" customHeight="1">
      <c r="A103" s="2523" t="s">
        <v>2249</v>
      </c>
      <c r="B103" s="223"/>
      <c r="C103" s="900">
        <f t="shared" ref="C103:K110" si="20">+C7+C39+C71</f>
        <v>0</v>
      </c>
      <c r="D103" s="900">
        <f t="shared" si="20"/>
        <v>0</v>
      </c>
      <c r="E103" s="901">
        <f t="shared" si="20"/>
        <v>0</v>
      </c>
      <c r="F103" s="902">
        <f t="shared" si="20"/>
        <v>0</v>
      </c>
      <c r="G103" s="900">
        <f t="shared" si="20"/>
        <v>561967</v>
      </c>
      <c r="H103" s="903">
        <f t="shared" si="20"/>
        <v>561967</v>
      </c>
      <c r="I103" s="904">
        <f t="shared" si="20"/>
        <v>0</v>
      </c>
      <c r="J103" s="900">
        <f t="shared" si="20"/>
        <v>3500000</v>
      </c>
      <c r="K103" s="901">
        <f t="shared" si="20"/>
        <v>0</v>
      </c>
    </row>
    <row r="104" spans="1:11" ht="11.25" customHeight="1">
      <c r="A104" s="2523" t="s">
        <v>2294</v>
      </c>
      <c r="B104" s="223"/>
      <c r="C104" s="900">
        <f t="shared" si="20"/>
        <v>12288736</v>
      </c>
      <c r="D104" s="900">
        <f t="shared" si="20"/>
        <v>13444078</v>
      </c>
      <c r="E104" s="901">
        <f t="shared" si="20"/>
        <v>34296394</v>
      </c>
      <c r="F104" s="902">
        <f t="shared" si="20"/>
        <v>19200003</v>
      </c>
      <c r="G104" s="900">
        <f t="shared" si="20"/>
        <v>36268519</v>
      </c>
      <c r="H104" s="903">
        <f t="shared" si="20"/>
        <v>36268519</v>
      </c>
      <c r="I104" s="904">
        <f t="shared" si="20"/>
        <v>30000016</v>
      </c>
      <c r="J104" s="900">
        <f t="shared" si="20"/>
        <v>8384000</v>
      </c>
      <c r="K104" s="901">
        <f t="shared" si="20"/>
        <v>8786438</v>
      </c>
    </row>
    <row r="105" spans="1:11" ht="11.25" customHeight="1">
      <c r="A105" s="2523" t="s">
        <v>2295</v>
      </c>
      <c r="B105" s="223"/>
      <c r="C105" s="900">
        <f t="shared" si="20"/>
        <v>80296.89</v>
      </c>
      <c r="D105" s="900">
        <f t="shared" si="20"/>
        <v>0</v>
      </c>
      <c r="E105" s="901">
        <f t="shared" si="20"/>
        <v>0</v>
      </c>
      <c r="F105" s="902">
        <f t="shared" si="20"/>
        <v>0</v>
      </c>
      <c r="G105" s="900">
        <f t="shared" si="20"/>
        <v>0</v>
      </c>
      <c r="H105" s="903">
        <f t="shared" si="20"/>
        <v>0</v>
      </c>
      <c r="I105" s="904">
        <f t="shared" si="20"/>
        <v>0</v>
      </c>
      <c r="J105" s="900">
        <f t="shared" si="20"/>
        <v>0</v>
      </c>
      <c r="K105" s="901">
        <f t="shared" si="20"/>
        <v>0</v>
      </c>
    </row>
    <row r="106" spans="1:11" ht="11.25" customHeight="1">
      <c r="A106" s="2523" t="s">
        <v>2296</v>
      </c>
      <c r="B106" s="223"/>
      <c r="C106" s="900">
        <f t="shared" si="20"/>
        <v>0</v>
      </c>
      <c r="D106" s="900">
        <f t="shared" si="20"/>
        <v>0</v>
      </c>
      <c r="E106" s="901">
        <f t="shared" si="20"/>
        <v>0</v>
      </c>
      <c r="F106" s="902">
        <f t="shared" si="20"/>
        <v>0</v>
      </c>
      <c r="G106" s="900">
        <f t="shared" si="20"/>
        <v>0</v>
      </c>
      <c r="H106" s="903">
        <f t="shared" si="20"/>
        <v>0</v>
      </c>
      <c r="I106" s="904">
        <f t="shared" si="20"/>
        <v>0</v>
      </c>
      <c r="J106" s="900">
        <f t="shared" si="20"/>
        <v>0</v>
      </c>
      <c r="K106" s="901">
        <f t="shared" si="20"/>
        <v>0</v>
      </c>
    </row>
    <row r="107" spans="1:11" ht="11.25" customHeight="1">
      <c r="A107" s="2523" t="s">
        <v>2274</v>
      </c>
      <c r="B107" s="223"/>
      <c r="C107" s="900">
        <f t="shared" si="20"/>
        <v>0</v>
      </c>
      <c r="D107" s="900">
        <f t="shared" si="20"/>
        <v>0</v>
      </c>
      <c r="E107" s="901">
        <f t="shared" si="20"/>
        <v>1247321</v>
      </c>
      <c r="F107" s="902">
        <f t="shared" si="20"/>
        <v>0</v>
      </c>
      <c r="G107" s="900">
        <f t="shared" si="20"/>
        <v>0</v>
      </c>
      <c r="H107" s="903">
        <f t="shared" si="20"/>
        <v>0</v>
      </c>
      <c r="I107" s="904">
        <f t="shared" si="20"/>
        <v>0</v>
      </c>
      <c r="J107" s="900">
        <f t="shared" si="20"/>
        <v>0</v>
      </c>
      <c r="K107" s="901">
        <f t="shared" si="20"/>
        <v>0</v>
      </c>
    </row>
    <row r="108" spans="1:11" ht="11.25" customHeight="1">
      <c r="A108" s="2523" t="s">
        <v>2290</v>
      </c>
      <c r="B108" s="223"/>
      <c r="C108" s="900">
        <f t="shared" si="20"/>
        <v>0</v>
      </c>
      <c r="D108" s="900">
        <f t="shared" si="20"/>
        <v>0</v>
      </c>
      <c r="E108" s="901">
        <f t="shared" si="20"/>
        <v>0</v>
      </c>
      <c r="F108" s="902">
        <f t="shared" si="20"/>
        <v>8150000</v>
      </c>
      <c r="G108" s="900">
        <f t="shared" si="20"/>
        <v>8150000</v>
      </c>
      <c r="H108" s="903">
        <f t="shared" si="20"/>
        <v>8150000</v>
      </c>
      <c r="I108" s="904">
        <f t="shared" si="20"/>
        <v>0</v>
      </c>
      <c r="J108" s="900">
        <f t="shared" si="20"/>
        <v>0</v>
      </c>
      <c r="K108" s="901">
        <f t="shared" si="20"/>
        <v>0</v>
      </c>
    </row>
    <row r="109" spans="1:11" ht="11.25" customHeight="1">
      <c r="A109" s="2523" t="s">
        <v>2285</v>
      </c>
      <c r="B109" s="223"/>
      <c r="C109" s="900">
        <f t="shared" si="20"/>
        <v>0</v>
      </c>
      <c r="D109" s="900">
        <f t="shared" si="20"/>
        <v>826160</v>
      </c>
      <c r="E109" s="901">
        <f t="shared" si="20"/>
        <v>0</v>
      </c>
      <c r="F109" s="902">
        <f t="shared" si="20"/>
        <v>0</v>
      </c>
      <c r="G109" s="900">
        <f t="shared" si="20"/>
        <v>0</v>
      </c>
      <c r="H109" s="903">
        <f t="shared" si="20"/>
        <v>0</v>
      </c>
      <c r="I109" s="904">
        <f t="shared" si="20"/>
        <v>0</v>
      </c>
      <c r="J109" s="900">
        <f t="shared" si="20"/>
        <v>0</v>
      </c>
      <c r="K109" s="901">
        <f t="shared" si="20"/>
        <v>0</v>
      </c>
    </row>
    <row r="110" spans="1:11" ht="11.25" customHeight="1">
      <c r="A110" s="2523" t="s">
        <v>2281</v>
      </c>
      <c r="B110" s="223"/>
      <c r="C110" s="900">
        <f t="shared" si="20"/>
        <v>0</v>
      </c>
      <c r="D110" s="900">
        <f t="shared" si="20"/>
        <v>0</v>
      </c>
      <c r="E110" s="901">
        <f t="shared" si="20"/>
        <v>0</v>
      </c>
      <c r="F110" s="902">
        <f t="shared" si="20"/>
        <v>0</v>
      </c>
      <c r="G110" s="900">
        <f t="shared" si="20"/>
        <v>0</v>
      </c>
      <c r="H110" s="903">
        <f t="shared" si="20"/>
        <v>0</v>
      </c>
      <c r="I110" s="904">
        <f t="shared" si="20"/>
        <v>0</v>
      </c>
      <c r="J110" s="900">
        <f t="shared" si="20"/>
        <v>0</v>
      </c>
      <c r="K110" s="901">
        <f t="shared" si="20"/>
        <v>0</v>
      </c>
    </row>
    <row r="111" spans="1:11" ht="11.25" customHeight="1">
      <c r="A111" s="2535" t="s">
        <v>845</v>
      </c>
      <c r="B111" s="463"/>
      <c r="C111" s="2541">
        <f>SUM(C102:C110)</f>
        <v>52768234.119999997</v>
      </c>
      <c r="D111" s="2541">
        <f t="shared" ref="D111:K111" si="21">SUM(D102:D110)</f>
        <v>21251964</v>
      </c>
      <c r="E111" s="2542">
        <f t="shared" si="21"/>
        <v>89360257</v>
      </c>
      <c r="F111" s="2543">
        <f t="shared" si="21"/>
        <v>109079953</v>
      </c>
      <c r="G111" s="2541">
        <f t="shared" si="21"/>
        <v>132052867</v>
      </c>
      <c r="H111" s="2544">
        <f t="shared" si="21"/>
        <v>132052867</v>
      </c>
      <c r="I111" s="2545">
        <f t="shared" si="21"/>
        <v>120438050</v>
      </c>
      <c r="J111" s="2541">
        <f t="shared" si="21"/>
        <v>105213700</v>
      </c>
      <c r="K111" s="2542">
        <f t="shared" si="21"/>
        <v>111390232</v>
      </c>
    </row>
    <row r="112" spans="1:11" ht="11.25" customHeight="1">
      <c r="A112" s="2524" t="s">
        <v>2298</v>
      </c>
      <c r="B112" s="59"/>
      <c r="C112" s="900">
        <f>+C16+C48+C80</f>
        <v>0</v>
      </c>
      <c r="D112" s="900">
        <f t="shared" ref="D112:K112" si="22">+D16+D48+D80</f>
        <v>0</v>
      </c>
      <c r="E112" s="901">
        <f t="shared" si="22"/>
        <v>0</v>
      </c>
      <c r="F112" s="902">
        <f t="shared" si="22"/>
        <v>9119900</v>
      </c>
      <c r="G112" s="900">
        <f t="shared" si="22"/>
        <v>6119900</v>
      </c>
      <c r="H112" s="903">
        <f t="shared" si="22"/>
        <v>6119900</v>
      </c>
      <c r="I112" s="904">
        <f t="shared" si="22"/>
        <v>0</v>
      </c>
      <c r="J112" s="900">
        <f t="shared" si="22"/>
        <v>0</v>
      </c>
      <c r="K112" s="901">
        <f t="shared" si="22"/>
        <v>0</v>
      </c>
    </row>
    <row r="113" spans="1:11" ht="11.25" customHeight="1">
      <c r="A113" s="2524" t="s">
        <v>2316</v>
      </c>
      <c r="B113" s="59"/>
      <c r="C113" s="1279">
        <f>+C17+C49+C81</f>
        <v>5361114.28</v>
      </c>
      <c r="D113" s="1279">
        <f t="shared" ref="D113:K113" si="23">+D17+D49+D81</f>
        <v>27098706.559649125</v>
      </c>
      <c r="E113" s="1280">
        <f t="shared" si="23"/>
        <v>0</v>
      </c>
      <c r="F113" s="1281">
        <f t="shared" si="23"/>
        <v>0</v>
      </c>
      <c r="G113" s="1279">
        <f t="shared" si="23"/>
        <v>0</v>
      </c>
      <c r="H113" s="1282">
        <f t="shared" si="23"/>
        <v>0</v>
      </c>
      <c r="I113" s="1283">
        <f t="shared" si="23"/>
        <v>0</v>
      </c>
      <c r="J113" s="1279">
        <f t="shared" si="23"/>
        <v>0</v>
      </c>
      <c r="K113" s="1280">
        <f t="shared" si="23"/>
        <v>0</v>
      </c>
    </row>
    <row r="114" spans="1:11" ht="11.25" customHeight="1">
      <c r="A114" s="2535" t="s">
        <v>2297</v>
      </c>
      <c r="B114" s="463"/>
      <c r="C114" s="2541">
        <f>SUM(C112:C113)</f>
        <v>5361114.28</v>
      </c>
      <c r="D114" s="2541">
        <f t="shared" ref="D114:K114" si="24">SUM(D112:D113)</f>
        <v>27098706.559649125</v>
      </c>
      <c r="E114" s="2542">
        <f t="shared" si="24"/>
        <v>0</v>
      </c>
      <c r="F114" s="2543">
        <f t="shared" si="24"/>
        <v>9119900</v>
      </c>
      <c r="G114" s="2541">
        <f t="shared" si="24"/>
        <v>6119900</v>
      </c>
      <c r="H114" s="2544">
        <f t="shared" si="24"/>
        <v>6119900</v>
      </c>
      <c r="I114" s="2545">
        <f t="shared" si="24"/>
        <v>0</v>
      </c>
      <c r="J114" s="2541">
        <f t="shared" si="24"/>
        <v>0</v>
      </c>
      <c r="K114" s="2542">
        <f t="shared" si="24"/>
        <v>0</v>
      </c>
    </row>
    <row r="115" spans="1:11" ht="11.25" customHeight="1">
      <c r="A115" s="2546" t="s">
        <v>1738</v>
      </c>
      <c r="B115" s="1343"/>
      <c r="C115" s="963">
        <f>+C19+C51+C83</f>
        <v>0</v>
      </c>
      <c r="D115" s="963">
        <f t="shared" ref="D115:K115" si="25">+D19+D51+D83</f>
        <v>0</v>
      </c>
      <c r="E115" s="964">
        <f t="shared" si="25"/>
        <v>0</v>
      </c>
      <c r="F115" s="965">
        <f t="shared" si="25"/>
        <v>0</v>
      </c>
      <c r="G115" s="963">
        <f t="shared" si="25"/>
        <v>0</v>
      </c>
      <c r="H115" s="966">
        <f t="shared" si="25"/>
        <v>0</v>
      </c>
      <c r="I115" s="967">
        <f t="shared" si="25"/>
        <v>0</v>
      </c>
      <c r="J115" s="963">
        <f t="shared" si="25"/>
        <v>0</v>
      </c>
      <c r="K115" s="964">
        <f t="shared" si="25"/>
        <v>0</v>
      </c>
    </row>
    <row r="116" spans="1:11" ht="11.25" customHeight="1">
      <c r="A116" s="2524" t="s">
        <v>2353</v>
      </c>
      <c r="B116" s="59"/>
      <c r="C116" s="900">
        <f>+C20+C52+C84</f>
        <v>0</v>
      </c>
      <c r="D116" s="900">
        <f t="shared" ref="D116:K116" si="26">+D20+D52+D84</f>
        <v>0</v>
      </c>
      <c r="E116" s="901">
        <f t="shared" si="26"/>
        <v>0</v>
      </c>
      <c r="F116" s="902">
        <f t="shared" si="26"/>
        <v>0</v>
      </c>
      <c r="G116" s="900">
        <f t="shared" si="26"/>
        <v>0</v>
      </c>
      <c r="H116" s="903">
        <f t="shared" si="26"/>
        <v>0</v>
      </c>
      <c r="I116" s="904">
        <f t="shared" si="26"/>
        <v>0</v>
      </c>
      <c r="J116" s="900">
        <f t="shared" si="26"/>
        <v>0</v>
      </c>
      <c r="K116" s="901">
        <f t="shared" si="26"/>
        <v>0</v>
      </c>
    </row>
    <row r="117" spans="1:11" ht="11.25" customHeight="1">
      <c r="A117" s="2524" t="s">
        <v>2356</v>
      </c>
      <c r="B117" s="59"/>
      <c r="C117" s="1279">
        <f>+C21+C53+C85</f>
        <v>0</v>
      </c>
      <c r="D117" s="1279">
        <f t="shared" ref="D117:K117" si="27">+D21+D53+D85</f>
        <v>0</v>
      </c>
      <c r="E117" s="1280">
        <f t="shared" si="27"/>
        <v>0</v>
      </c>
      <c r="F117" s="1281">
        <f t="shared" si="27"/>
        <v>0</v>
      </c>
      <c r="G117" s="1279">
        <f t="shared" si="27"/>
        <v>0</v>
      </c>
      <c r="H117" s="1282">
        <f t="shared" si="27"/>
        <v>0</v>
      </c>
      <c r="I117" s="1283">
        <f t="shared" si="27"/>
        <v>0</v>
      </c>
      <c r="J117" s="1279">
        <f t="shared" si="27"/>
        <v>0</v>
      </c>
      <c r="K117" s="1280">
        <f t="shared" si="27"/>
        <v>0</v>
      </c>
    </row>
    <row r="118" spans="1:11" ht="11.25" customHeight="1">
      <c r="A118" s="2535" t="s">
        <v>836</v>
      </c>
      <c r="B118" s="463"/>
      <c r="C118" s="2541">
        <f>SUM(C116:C117)</f>
        <v>0</v>
      </c>
      <c r="D118" s="2541">
        <f t="shared" ref="D118:K118" si="28">SUM(D116:D117)</f>
        <v>0</v>
      </c>
      <c r="E118" s="2542">
        <f t="shared" si="28"/>
        <v>0</v>
      </c>
      <c r="F118" s="2543">
        <f t="shared" si="28"/>
        <v>0</v>
      </c>
      <c r="G118" s="2541">
        <f t="shared" si="28"/>
        <v>0</v>
      </c>
      <c r="H118" s="2544">
        <f t="shared" si="28"/>
        <v>0</v>
      </c>
      <c r="I118" s="2545">
        <f t="shared" si="28"/>
        <v>0</v>
      </c>
      <c r="J118" s="2541">
        <f t="shared" si="28"/>
        <v>0</v>
      </c>
      <c r="K118" s="2542">
        <f t="shared" si="28"/>
        <v>0</v>
      </c>
    </row>
    <row r="119" spans="1:11" ht="11.25" customHeight="1">
      <c r="A119" s="2524" t="s">
        <v>2324</v>
      </c>
      <c r="B119" s="59"/>
      <c r="C119" s="900">
        <f>+C23+C55+C87</f>
        <v>8579459.0999999996</v>
      </c>
      <c r="D119" s="900">
        <f t="shared" ref="D119:K119" si="29">+D23+D55+D87</f>
        <v>0</v>
      </c>
      <c r="E119" s="901">
        <f t="shared" si="29"/>
        <v>0</v>
      </c>
      <c r="F119" s="902">
        <f t="shared" si="29"/>
        <v>3250000</v>
      </c>
      <c r="G119" s="900">
        <f t="shared" si="29"/>
        <v>5700000</v>
      </c>
      <c r="H119" s="903">
        <f t="shared" si="29"/>
        <v>5700000</v>
      </c>
      <c r="I119" s="904">
        <f t="shared" si="29"/>
        <v>3800000</v>
      </c>
      <c r="J119" s="900">
        <f t="shared" si="29"/>
        <v>0</v>
      </c>
      <c r="K119" s="901">
        <f t="shared" si="29"/>
        <v>0</v>
      </c>
    </row>
    <row r="120" spans="1:11" ht="11.25" customHeight="1">
      <c r="A120" s="2524" t="s">
        <v>1493</v>
      </c>
      <c r="B120" s="59"/>
      <c r="C120" s="1279">
        <f>+C24+C56+C88</f>
        <v>0</v>
      </c>
      <c r="D120" s="1279">
        <f t="shared" ref="D120:K120" si="30">+D24+D56+D88</f>
        <v>0</v>
      </c>
      <c r="E120" s="1280">
        <f t="shared" si="30"/>
        <v>0</v>
      </c>
      <c r="F120" s="1281">
        <f t="shared" si="30"/>
        <v>0</v>
      </c>
      <c r="G120" s="1279">
        <f t="shared" si="30"/>
        <v>0</v>
      </c>
      <c r="H120" s="1282">
        <f t="shared" si="30"/>
        <v>0</v>
      </c>
      <c r="I120" s="1283">
        <f t="shared" si="30"/>
        <v>0</v>
      </c>
      <c r="J120" s="1279">
        <f t="shared" si="30"/>
        <v>0</v>
      </c>
      <c r="K120" s="1280">
        <f t="shared" si="30"/>
        <v>0</v>
      </c>
    </row>
    <row r="121" spans="1:11" ht="11.25" customHeight="1">
      <c r="A121" s="2535" t="s">
        <v>1743</v>
      </c>
      <c r="B121" s="463"/>
      <c r="C121" s="2541">
        <f t="shared" ref="C121:K121" si="31">SUM(C119:C120)</f>
        <v>8579459.0999999996</v>
      </c>
      <c r="D121" s="2541">
        <f t="shared" si="31"/>
        <v>0</v>
      </c>
      <c r="E121" s="2542">
        <f t="shared" si="31"/>
        <v>0</v>
      </c>
      <c r="F121" s="2543">
        <f t="shared" si="31"/>
        <v>3250000</v>
      </c>
      <c r="G121" s="2541">
        <f t="shared" si="31"/>
        <v>5700000</v>
      </c>
      <c r="H121" s="2544">
        <f t="shared" si="31"/>
        <v>5700000</v>
      </c>
      <c r="I121" s="2545">
        <f t="shared" si="31"/>
        <v>3800000</v>
      </c>
      <c r="J121" s="2541">
        <f t="shared" si="31"/>
        <v>0</v>
      </c>
      <c r="K121" s="2542">
        <f t="shared" si="31"/>
        <v>0</v>
      </c>
    </row>
    <row r="122" spans="1:11" ht="11.25" customHeight="1">
      <c r="A122" s="2546" t="s">
        <v>2337</v>
      </c>
      <c r="B122" s="1343"/>
      <c r="C122" s="963">
        <f>+C26+C58+C90</f>
        <v>0</v>
      </c>
      <c r="D122" s="963">
        <f t="shared" ref="D122:K122" si="32">+D26+D58+D90</f>
        <v>0</v>
      </c>
      <c r="E122" s="964">
        <f t="shared" si="32"/>
        <v>0</v>
      </c>
      <c r="F122" s="965">
        <f t="shared" si="32"/>
        <v>0</v>
      </c>
      <c r="G122" s="963">
        <f t="shared" si="32"/>
        <v>0</v>
      </c>
      <c r="H122" s="966">
        <f t="shared" si="32"/>
        <v>0</v>
      </c>
      <c r="I122" s="967">
        <f t="shared" si="32"/>
        <v>0</v>
      </c>
      <c r="J122" s="963">
        <f t="shared" si="32"/>
        <v>0</v>
      </c>
      <c r="K122" s="964">
        <f t="shared" si="32"/>
        <v>0</v>
      </c>
    </row>
    <row r="123" spans="1:11" ht="11.25" customHeight="1">
      <c r="A123" s="2524" t="s">
        <v>2338</v>
      </c>
      <c r="B123" s="59"/>
      <c r="C123" s="900">
        <f>+C27+C59+C91</f>
        <v>0</v>
      </c>
      <c r="D123" s="900">
        <f t="shared" ref="D123:K123" si="33">+D27+D59+D91</f>
        <v>0</v>
      </c>
      <c r="E123" s="901">
        <f t="shared" si="33"/>
        <v>0</v>
      </c>
      <c r="F123" s="902">
        <f t="shared" si="33"/>
        <v>0</v>
      </c>
      <c r="G123" s="900">
        <f t="shared" si="33"/>
        <v>0</v>
      </c>
      <c r="H123" s="903">
        <f t="shared" si="33"/>
        <v>0</v>
      </c>
      <c r="I123" s="904">
        <f t="shared" si="33"/>
        <v>0</v>
      </c>
      <c r="J123" s="900">
        <f t="shared" si="33"/>
        <v>0</v>
      </c>
      <c r="K123" s="901">
        <f t="shared" si="33"/>
        <v>0</v>
      </c>
    </row>
    <row r="124" spans="1:11" ht="11.25" customHeight="1">
      <c r="A124" s="2524" t="s">
        <v>2339</v>
      </c>
      <c r="B124" s="59"/>
      <c r="C124" s="1279">
        <f>+C28+C60+C92</f>
        <v>631368</v>
      </c>
      <c r="D124" s="1279">
        <f t="shared" ref="D124:K124" si="34">+D28+D60+D92</f>
        <v>0</v>
      </c>
      <c r="E124" s="1280">
        <f t="shared" si="34"/>
        <v>0</v>
      </c>
      <c r="F124" s="1281">
        <f t="shared" si="34"/>
        <v>0</v>
      </c>
      <c r="G124" s="1279">
        <f t="shared" si="34"/>
        <v>0</v>
      </c>
      <c r="H124" s="1282">
        <f t="shared" si="34"/>
        <v>0</v>
      </c>
      <c r="I124" s="1283">
        <f t="shared" si="34"/>
        <v>0</v>
      </c>
      <c r="J124" s="1279">
        <f t="shared" si="34"/>
        <v>0</v>
      </c>
      <c r="K124" s="1280">
        <f t="shared" si="34"/>
        <v>0</v>
      </c>
    </row>
    <row r="125" spans="1:11" ht="11.25" customHeight="1">
      <c r="A125" s="2535" t="s">
        <v>2340</v>
      </c>
      <c r="B125" s="463"/>
      <c r="C125" s="2541">
        <f>SUM(C123:C124)</f>
        <v>631368</v>
      </c>
      <c r="D125" s="2541">
        <f t="shared" ref="D125:K125" si="35">SUM(D123:D124)</f>
        <v>0</v>
      </c>
      <c r="E125" s="2542">
        <f t="shared" si="35"/>
        <v>0</v>
      </c>
      <c r="F125" s="2543">
        <f t="shared" si="35"/>
        <v>0</v>
      </c>
      <c r="G125" s="2541">
        <f t="shared" si="35"/>
        <v>0</v>
      </c>
      <c r="H125" s="2544">
        <f t="shared" si="35"/>
        <v>0</v>
      </c>
      <c r="I125" s="2545">
        <f t="shared" si="35"/>
        <v>0</v>
      </c>
      <c r="J125" s="2541">
        <f t="shared" si="35"/>
        <v>0</v>
      </c>
      <c r="K125" s="2542">
        <f t="shared" si="35"/>
        <v>0</v>
      </c>
    </row>
    <row r="126" spans="1:11">
      <c r="A126" s="2556" t="s">
        <v>2347</v>
      </c>
      <c r="B126" s="424"/>
      <c r="C126" s="963">
        <f>+C30+C62+C94</f>
        <v>0</v>
      </c>
      <c r="D126" s="963">
        <f t="shared" ref="D126:K126" si="36">+D30+D62+D94</f>
        <v>0</v>
      </c>
      <c r="E126" s="964">
        <f t="shared" si="36"/>
        <v>0</v>
      </c>
      <c r="F126" s="965">
        <f t="shared" si="36"/>
        <v>0</v>
      </c>
      <c r="G126" s="963">
        <f t="shared" si="36"/>
        <v>0</v>
      </c>
      <c r="H126" s="966">
        <f t="shared" si="36"/>
        <v>0</v>
      </c>
      <c r="I126" s="967">
        <f t="shared" si="36"/>
        <v>0</v>
      </c>
      <c r="J126" s="963">
        <f t="shared" si="36"/>
        <v>0</v>
      </c>
      <c r="K126" s="964">
        <f t="shared" si="36"/>
        <v>0</v>
      </c>
    </row>
    <row r="127" spans="1:11" ht="11.25" customHeight="1">
      <c r="A127" s="2546" t="s">
        <v>2348</v>
      </c>
      <c r="B127" s="59"/>
      <c r="C127" s="963">
        <f t="shared" ref="C127:K131" si="37">+C31+C63+C95</f>
        <v>7896933.1392982453</v>
      </c>
      <c r="D127" s="963">
        <f t="shared" si="37"/>
        <v>549867</v>
      </c>
      <c r="E127" s="964">
        <f t="shared" si="37"/>
        <v>10276400</v>
      </c>
      <c r="F127" s="965">
        <f t="shared" si="37"/>
        <v>385000</v>
      </c>
      <c r="G127" s="963">
        <f t="shared" si="37"/>
        <v>385000</v>
      </c>
      <c r="H127" s="966">
        <f t="shared" si="37"/>
        <v>385000</v>
      </c>
      <c r="I127" s="967">
        <f t="shared" si="37"/>
        <v>735000</v>
      </c>
      <c r="J127" s="963">
        <f t="shared" si="37"/>
        <v>935000</v>
      </c>
      <c r="K127" s="964">
        <f t="shared" si="37"/>
        <v>935000</v>
      </c>
    </row>
    <row r="128" spans="1:11" ht="11.25" customHeight="1">
      <c r="A128" s="2546" t="s">
        <v>2349</v>
      </c>
      <c r="B128" s="59"/>
      <c r="C128" s="963">
        <f t="shared" si="37"/>
        <v>0</v>
      </c>
      <c r="D128" s="963">
        <f t="shared" si="37"/>
        <v>0</v>
      </c>
      <c r="E128" s="964">
        <f t="shared" si="37"/>
        <v>345882.60869565216</v>
      </c>
      <c r="F128" s="965">
        <f t="shared" si="37"/>
        <v>18985000</v>
      </c>
      <c r="G128" s="963">
        <f t="shared" si="37"/>
        <v>10135001</v>
      </c>
      <c r="H128" s="966">
        <f t="shared" si="37"/>
        <v>10135001</v>
      </c>
      <c r="I128" s="967">
        <f t="shared" si="37"/>
        <v>1000000</v>
      </c>
      <c r="J128" s="963">
        <f t="shared" si="37"/>
        <v>0</v>
      </c>
      <c r="K128" s="964">
        <f t="shared" si="37"/>
        <v>0</v>
      </c>
    </row>
    <row r="129" spans="1:11">
      <c r="A129" s="2556" t="s">
        <v>2350</v>
      </c>
      <c r="B129" s="424"/>
      <c r="C129" s="963">
        <f t="shared" si="37"/>
        <v>1180900</v>
      </c>
      <c r="D129" s="963">
        <f t="shared" si="37"/>
        <v>0</v>
      </c>
      <c r="E129" s="964">
        <f t="shared" si="37"/>
        <v>3499900</v>
      </c>
      <c r="F129" s="965">
        <f t="shared" si="37"/>
        <v>1900000</v>
      </c>
      <c r="G129" s="963">
        <f t="shared" si="37"/>
        <v>0</v>
      </c>
      <c r="H129" s="966">
        <f t="shared" si="37"/>
        <v>0</v>
      </c>
      <c r="I129" s="967">
        <f t="shared" si="37"/>
        <v>5000000</v>
      </c>
      <c r="J129" s="963">
        <f t="shared" si="37"/>
        <v>0</v>
      </c>
      <c r="K129" s="964">
        <f t="shared" si="37"/>
        <v>0</v>
      </c>
    </row>
    <row r="130" spans="1:11" ht="11.25" customHeight="1">
      <c r="A130" s="2546" t="s">
        <v>2485</v>
      </c>
      <c r="B130" s="59"/>
      <c r="C130" s="963">
        <f t="shared" si="37"/>
        <v>0</v>
      </c>
      <c r="D130" s="963">
        <f t="shared" si="37"/>
        <v>0</v>
      </c>
      <c r="E130" s="964">
        <f t="shared" si="37"/>
        <v>0</v>
      </c>
      <c r="F130" s="965">
        <f t="shared" si="37"/>
        <v>0</v>
      </c>
      <c r="G130" s="963">
        <f t="shared" si="37"/>
        <v>0</v>
      </c>
      <c r="H130" s="966">
        <f t="shared" si="37"/>
        <v>0</v>
      </c>
      <c r="I130" s="967">
        <f t="shared" si="37"/>
        <v>0</v>
      </c>
      <c r="J130" s="963">
        <f t="shared" si="37"/>
        <v>0</v>
      </c>
      <c r="K130" s="964">
        <f t="shared" si="37"/>
        <v>0</v>
      </c>
    </row>
    <row r="131" spans="1:11" ht="11.25" customHeight="1">
      <c r="A131" s="2546" t="s">
        <v>2351</v>
      </c>
      <c r="B131" s="59"/>
      <c r="C131" s="2557">
        <f t="shared" si="37"/>
        <v>0</v>
      </c>
      <c r="D131" s="2557">
        <f t="shared" si="37"/>
        <v>0</v>
      </c>
      <c r="E131" s="2558">
        <f t="shared" si="37"/>
        <v>0</v>
      </c>
      <c r="F131" s="2559">
        <f t="shared" si="37"/>
        <v>0</v>
      </c>
      <c r="G131" s="2557">
        <f t="shared" si="37"/>
        <v>0</v>
      </c>
      <c r="H131" s="2560">
        <f t="shared" si="37"/>
        <v>0</v>
      </c>
      <c r="I131" s="2561">
        <f t="shared" si="37"/>
        <v>0</v>
      </c>
      <c r="J131" s="2557">
        <f t="shared" si="37"/>
        <v>0</v>
      </c>
      <c r="K131" s="2558">
        <f t="shared" si="37"/>
        <v>0</v>
      </c>
    </row>
    <row r="132" spans="1:11">
      <c r="A132" s="1348" t="s">
        <v>1259</v>
      </c>
      <c r="B132" s="102"/>
      <c r="C132" s="107">
        <f>+C5+C37+C69</f>
        <v>76418008.639298245</v>
      </c>
      <c r="D132" s="107">
        <f t="shared" ref="D132:K132" si="38">+D5+D37+D69</f>
        <v>48900537.559649125</v>
      </c>
      <c r="E132" s="105">
        <f t="shared" si="38"/>
        <v>103482439.60869566</v>
      </c>
      <c r="F132" s="106">
        <f t="shared" si="38"/>
        <v>142719853</v>
      </c>
      <c r="G132" s="107">
        <f t="shared" si="38"/>
        <v>154392768</v>
      </c>
      <c r="H132" s="108">
        <f t="shared" si="38"/>
        <v>154392768</v>
      </c>
      <c r="I132" s="109">
        <f t="shared" si="38"/>
        <v>130973050</v>
      </c>
      <c r="J132" s="107">
        <f t="shared" si="38"/>
        <v>106148700</v>
      </c>
      <c r="K132" s="105">
        <f t="shared" si="38"/>
        <v>112325232</v>
      </c>
    </row>
    <row r="133" spans="1:11" ht="4.9000000000000004" customHeight="1">
      <c r="A133" s="127"/>
      <c r="B133" s="59"/>
      <c r="D133" s="80"/>
      <c r="E133" s="81"/>
      <c r="F133" s="82"/>
      <c r="G133" s="80"/>
      <c r="H133" s="79"/>
      <c r="I133" s="83"/>
      <c r="J133" s="80"/>
      <c r="K133" s="81"/>
    </row>
    <row r="134" spans="1:11" ht="11.25" customHeight="1">
      <c r="A134" s="199" t="s">
        <v>1263</v>
      </c>
      <c r="B134" s="59">
        <v>5</v>
      </c>
      <c r="C134" s="80">
        <f>C144+C147+C148+C151+C154+C155+C158+C159+C160+C161+C162+C163+C164</f>
        <v>1784919996</v>
      </c>
      <c r="D134" s="80">
        <f t="shared" ref="D134:K134" si="39">D144+D147+D148+D151+D154+D155+D158+D159+D160+D161+D162+D163+D164</f>
        <v>1669639150</v>
      </c>
      <c r="E134" s="81">
        <f t="shared" si="39"/>
        <v>1638050711</v>
      </c>
      <c r="F134" s="82">
        <f t="shared" si="39"/>
        <v>3048322623</v>
      </c>
      <c r="G134" s="80">
        <f t="shared" si="39"/>
        <v>2011367076</v>
      </c>
      <c r="H134" s="79">
        <f t="shared" si="39"/>
        <v>2011367076</v>
      </c>
      <c r="I134" s="83">
        <f t="shared" si="39"/>
        <v>1955535988</v>
      </c>
      <c r="J134" s="80">
        <f t="shared" si="39"/>
        <v>2095609824</v>
      </c>
      <c r="K134" s="81">
        <f t="shared" si="39"/>
        <v>2238496269</v>
      </c>
    </row>
    <row r="135" spans="1:11" ht="11.25" customHeight="1">
      <c r="A135" s="2523" t="s">
        <v>2245</v>
      </c>
      <c r="B135" s="223"/>
      <c r="C135" s="1951">
        <v>45760315</v>
      </c>
      <c r="D135" s="1951">
        <v>14503777</v>
      </c>
      <c r="E135" s="1960">
        <v>53816542</v>
      </c>
      <c r="F135" s="1961">
        <v>81729950</v>
      </c>
      <c r="G135" s="1951">
        <v>749698591</v>
      </c>
      <c r="H135" s="1962">
        <v>749698591</v>
      </c>
      <c r="I135" s="1953">
        <v>838381680</v>
      </c>
      <c r="J135" s="1951">
        <v>951657744</v>
      </c>
      <c r="K135" s="1960">
        <v>1068374605</v>
      </c>
    </row>
    <row r="136" spans="1:11" ht="11.25" customHeight="1">
      <c r="A136" s="2523" t="s">
        <v>2249</v>
      </c>
      <c r="B136" s="223"/>
      <c r="C136" s="1951">
        <v>0</v>
      </c>
      <c r="D136" s="1951">
        <v>0</v>
      </c>
      <c r="E136" s="1960">
        <v>0</v>
      </c>
      <c r="F136" s="1961">
        <v>0</v>
      </c>
      <c r="G136" s="1951">
        <v>5974339</v>
      </c>
      <c r="H136" s="1962">
        <v>5974339</v>
      </c>
      <c r="I136" s="1953">
        <v>0</v>
      </c>
      <c r="J136" s="1951">
        <v>0</v>
      </c>
      <c r="K136" s="1960">
        <v>1</v>
      </c>
    </row>
    <row r="137" spans="1:11" ht="11.25" customHeight="1">
      <c r="A137" s="2523" t="s">
        <v>2294</v>
      </c>
      <c r="B137" s="223"/>
      <c r="C137" s="1951">
        <v>12288736</v>
      </c>
      <c r="D137" s="1951">
        <v>13444078</v>
      </c>
      <c r="E137" s="1960">
        <v>34296394</v>
      </c>
      <c r="F137" s="1961">
        <v>2234471273</v>
      </c>
      <c r="G137" s="1951">
        <v>610540000</v>
      </c>
      <c r="H137" s="1962">
        <v>610540000</v>
      </c>
      <c r="I137" s="1953">
        <v>602282967</v>
      </c>
      <c r="J137" s="1951">
        <v>645961000</v>
      </c>
      <c r="K137" s="1960">
        <v>688412494</v>
      </c>
    </row>
    <row r="138" spans="1:11" ht="11.25" customHeight="1">
      <c r="A138" s="2523" t="s">
        <v>2295</v>
      </c>
      <c r="B138" s="223"/>
      <c r="C138" s="1951">
        <v>80297</v>
      </c>
      <c r="D138" s="1951">
        <v>0</v>
      </c>
      <c r="E138" s="1960">
        <v>0</v>
      </c>
      <c r="F138" s="1961">
        <v>0</v>
      </c>
      <c r="G138" s="1951">
        <v>0</v>
      </c>
      <c r="H138" s="1962">
        <v>0</v>
      </c>
      <c r="I138" s="1953">
        <v>0</v>
      </c>
      <c r="J138" s="1951">
        <v>0</v>
      </c>
      <c r="K138" s="1960">
        <v>0</v>
      </c>
    </row>
    <row r="139" spans="1:11" ht="11.25" customHeight="1">
      <c r="A139" s="2523" t="s">
        <v>2296</v>
      </c>
      <c r="B139" s="223"/>
      <c r="C139" s="1951">
        <v>0</v>
      </c>
      <c r="D139" s="1951">
        <v>0</v>
      </c>
      <c r="E139" s="1960">
        <v>0</v>
      </c>
      <c r="F139" s="1961">
        <v>0</v>
      </c>
      <c r="G139" s="1951">
        <v>0</v>
      </c>
      <c r="H139" s="1962">
        <v>0</v>
      </c>
      <c r="I139" s="1953">
        <v>0</v>
      </c>
      <c r="J139" s="1951">
        <v>0</v>
      </c>
      <c r="K139" s="1960">
        <v>0</v>
      </c>
    </row>
    <row r="140" spans="1:11" ht="11.25" customHeight="1">
      <c r="A140" s="2523" t="s">
        <v>2274</v>
      </c>
      <c r="B140" s="223"/>
      <c r="C140" s="1951">
        <v>0</v>
      </c>
      <c r="D140" s="1951">
        <v>0</v>
      </c>
      <c r="E140" s="1960">
        <v>1247321</v>
      </c>
      <c r="F140" s="1961">
        <v>46999</v>
      </c>
      <c r="G140" s="1951">
        <v>30324683</v>
      </c>
      <c r="H140" s="1962">
        <v>30324683</v>
      </c>
      <c r="I140" s="1953">
        <v>30034734</v>
      </c>
      <c r="J140" s="1951">
        <v>29132875</v>
      </c>
      <c r="K140" s="1960">
        <v>28165845</v>
      </c>
    </row>
    <row r="141" spans="1:11" ht="11.25" customHeight="1">
      <c r="A141" s="2523" t="s">
        <v>2290</v>
      </c>
      <c r="B141" s="223"/>
      <c r="C141" s="1951">
        <v>0</v>
      </c>
      <c r="D141" s="1951">
        <v>0</v>
      </c>
      <c r="E141" s="1960">
        <v>0</v>
      </c>
      <c r="F141" s="1961">
        <v>0</v>
      </c>
      <c r="G141" s="1951">
        <v>0</v>
      </c>
      <c r="H141" s="1962">
        <v>0</v>
      </c>
      <c r="I141" s="1953">
        <v>0</v>
      </c>
      <c r="J141" s="1951">
        <v>0</v>
      </c>
      <c r="K141" s="1960">
        <v>0</v>
      </c>
    </row>
    <row r="142" spans="1:11" ht="11.25" customHeight="1">
      <c r="A142" s="2523" t="s">
        <v>2285</v>
      </c>
      <c r="B142" s="223"/>
      <c r="C142" s="1951">
        <v>0</v>
      </c>
      <c r="D142" s="1951">
        <v>0</v>
      </c>
      <c r="E142" s="1960">
        <v>0</v>
      </c>
      <c r="F142" s="1961">
        <v>0</v>
      </c>
      <c r="G142" s="1951">
        <v>0</v>
      </c>
      <c r="H142" s="1962">
        <v>0</v>
      </c>
      <c r="I142" s="1953">
        <v>0</v>
      </c>
      <c r="J142" s="1951">
        <v>0</v>
      </c>
      <c r="K142" s="1960">
        <v>0</v>
      </c>
    </row>
    <row r="143" spans="1:11" ht="11.25" customHeight="1">
      <c r="A143" s="2523" t="s">
        <v>2281</v>
      </c>
      <c r="B143" s="223"/>
      <c r="C143" s="1951">
        <v>0</v>
      </c>
      <c r="D143" s="1951">
        <v>0</v>
      </c>
      <c r="E143" s="1960">
        <v>0</v>
      </c>
      <c r="F143" s="1961">
        <v>1000000</v>
      </c>
      <c r="G143" s="1951">
        <v>18563612</v>
      </c>
      <c r="H143" s="1962">
        <v>18563612</v>
      </c>
      <c r="I143" s="1953">
        <v>20282668</v>
      </c>
      <c r="J143" s="1951">
        <v>20230950</v>
      </c>
      <c r="K143" s="1960">
        <v>20176698</v>
      </c>
    </row>
    <row r="144" spans="1:11" ht="11.25" customHeight="1">
      <c r="A144" s="2535" t="s">
        <v>845</v>
      </c>
      <c r="B144" s="463"/>
      <c r="C144" s="2536">
        <f>SUM(C135:C143)</f>
        <v>58129348</v>
      </c>
      <c r="D144" s="2536">
        <f t="shared" ref="D144:K144" si="40">SUM(D135:D143)</f>
        <v>27947855</v>
      </c>
      <c r="E144" s="2537">
        <f t="shared" si="40"/>
        <v>89360257</v>
      </c>
      <c r="F144" s="2538">
        <f t="shared" si="40"/>
        <v>2317248222</v>
      </c>
      <c r="G144" s="2536">
        <f t="shared" si="40"/>
        <v>1415101225</v>
      </c>
      <c r="H144" s="2539">
        <f t="shared" si="40"/>
        <v>1415101225</v>
      </c>
      <c r="I144" s="2540">
        <f t="shared" si="40"/>
        <v>1490982049</v>
      </c>
      <c r="J144" s="2536">
        <f t="shared" si="40"/>
        <v>1646982569</v>
      </c>
      <c r="K144" s="2537">
        <f t="shared" si="40"/>
        <v>1805129643</v>
      </c>
    </row>
    <row r="145" spans="1:11" ht="1.1499999999999999" customHeight="1">
      <c r="A145" s="2524"/>
      <c r="B145" s="59"/>
      <c r="C145" s="900"/>
      <c r="D145" s="900"/>
      <c r="E145" s="901"/>
      <c r="F145" s="902"/>
      <c r="G145" s="900"/>
      <c r="H145" s="903"/>
      <c r="I145" s="904"/>
      <c r="J145" s="900"/>
      <c r="K145" s="901"/>
    </row>
    <row r="146" spans="1:11" ht="1.1499999999999999" customHeight="1">
      <c r="A146" s="2524"/>
      <c r="B146" s="59"/>
      <c r="C146" s="900"/>
      <c r="D146" s="900"/>
      <c r="E146" s="901"/>
      <c r="F146" s="902"/>
      <c r="G146" s="900"/>
      <c r="H146" s="903"/>
      <c r="I146" s="904"/>
      <c r="J146" s="900"/>
      <c r="K146" s="901"/>
    </row>
    <row r="147" spans="1:11" ht="11.25" customHeight="1">
      <c r="A147" s="2535" t="s">
        <v>2297</v>
      </c>
      <c r="B147" s="463"/>
      <c r="C147" s="1951">
        <v>0</v>
      </c>
      <c r="D147" s="1951">
        <v>0</v>
      </c>
      <c r="E147" s="1960">
        <v>0</v>
      </c>
      <c r="F147" s="1961">
        <v>165966540</v>
      </c>
      <c r="G147" s="1951">
        <v>67952999</v>
      </c>
      <c r="H147" s="1962">
        <v>67952999</v>
      </c>
      <c r="I147" s="1953">
        <v>148473115</v>
      </c>
      <c r="J147" s="1951">
        <v>144786601</v>
      </c>
      <c r="K147" s="1960">
        <v>140925316</v>
      </c>
    </row>
    <row r="148" spans="1:11" ht="11.25" customHeight="1">
      <c r="A148" s="2546" t="s">
        <v>1738</v>
      </c>
      <c r="B148" s="1343"/>
      <c r="C148" s="1975">
        <v>0</v>
      </c>
      <c r="D148" s="1975">
        <v>0</v>
      </c>
      <c r="E148" s="1976">
        <v>0</v>
      </c>
      <c r="F148" s="1977">
        <v>0</v>
      </c>
      <c r="G148" s="1975">
        <v>0</v>
      </c>
      <c r="H148" s="1405">
        <v>0</v>
      </c>
      <c r="I148" s="2006">
        <v>195000</v>
      </c>
      <c r="J148" s="1975">
        <v>195000</v>
      </c>
      <c r="K148" s="1976">
        <v>195000</v>
      </c>
    </row>
    <row r="149" spans="1:11" ht="1.1499999999999999" customHeight="1">
      <c r="A149" s="2524"/>
      <c r="B149" s="59"/>
      <c r="C149" s="1121"/>
      <c r="D149" s="1121"/>
      <c r="E149" s="1156"/>
      <c r="F149" s="1157"/>
      <c r="G149" s="1121"/>
      <c r="H149" s="1158"/>
      <c r="I149" s="1122"/>
      <c r="J149" s="1121"/>
      <c r="K149" s="1156"/>
    </row>
    <row r="150" spans="1:11" ht="1.1499999999999999" customHeight="1">
      <c r="A150" s="2524"/>
      <c r="B150" s="59"/>
      <c r="C150" s="1121"/>
      <c r="D150" s="1121"/>
      <c r="E150" s="1156"/>
      <c r="F150" s="1157"/>
      <c r="G150" s="1121"/>
      <c r="H150" s="1158"/>
      <c r="I150" s="1122"/>
      <c r="J150" s="1121"/>
      <c r="K150" s="1156"/>
    </row>
    <row r="151" spans="1:11" ht="11.25" customHeight="1">
      <c r="A151" s="2535" t="s">
        <v>836</v>
      </c>
      <c r="B151" s="463"/>
      <c r="C151" s="1975">
        <v>173182753</v>
      </c>
      <c r="D151" s="1975">
        <v>181377053</v>
      </c>
      <c r="E151" s="1976">
        <v>181377053</v>
      </c>
      <c r="F151" s="1977">
        <v>189057053</v>
      </c>
      <c r="G151" s="1975">
        <v>189057053</v>
      </c>
      <c r="H151" s="1405">
        <v>189057053</v>
      </c>
      <c r="I151" s="2006">
        <v>187377053</v>
      </c>
      <c r="J151" s="1975">
        <v>190377053</v>
      </c>
      <c r="K151" s="1976">
        <v>193377053</v>
      </c>
    </row>
    <row r="152" spans="1:11" ht="1.1499999999999999" customHeight="1">
      <c r="A152" s="2524"/>
      <c r="B152" s="59"/>
      <c r="C152" s="1121"/>
      <c r="D152" s="1121"/>
      <c r="E152" s="1156"/>
      <c r="F152" s="1157"/>
      <c r="G152" s="1121"/>
      <c r="H152" s="1158"/>
      <c r="I152" s="1122"/>
      <c r="J152" s="1121"/>
      <c r="K152" s="1156"/>
    </row>
    <row r="153" spans="1:11" ht="1.1499999999999999" customHeight="1">
      <c r="A153" s="2524"/>
      <c r="B153" s="59"/>
      <c r="C153" s="1121"/>
      <c r="D153" s="1121"/>
      <c r="E153" s="1156"/>
      <c r="F153" s="1157"/>
      <c r="G153" s="1121"/>
      <c r="H153" s="1158"/>
      <c r="I153" s="1122"/>
      <c r="J153" s="1121"/>
      <c r="K153" s="1156"/>
    </row>
    <row r="154" spans="1:11" ht="11.25" customHeight="1">
      <c r="A154" s="2535" t="s">
        <v>1743</v>
      </c>
      <c r="B154" s="463"/>
      <c r="C154" s="1951">
        <v>1543386957</v>
      </c>
      <c r="D154" s="1951">
        <v>1457136261</v>
      </c>
      <c r="E154" s="1960">
        <v>1351861082</v>
      </c>
      <c r="F154" s="1961">
        <v>106005437</v>
      </c>
      <c r="G154" s="1951">
        <v>189057053</v>
      </c>
      <c r="H154" s="1962">
        <v>189057053</v>
      </c>
      <c r="I154" s="1953">
        <v>1500000</v>
      </c>
      <c r="J154" s="1951">
        <v>0</v>
      </c>
      <c r="K154" s="1960">
        <v>19</v>
      </c>
    </row>
    <row r="155" spans="1:11" ht="11.25" customHeight="1">
      <c r="A155" s="2546" t="s">
        <v>2337</v>
      </c>
      <c r="B155" s="1343"/>
      <c r="C155" s="1975">
        <v>0</v>
      </c>
      <c r="D155" s="1975">
        <v>195000</v>
      </c>
      <c r="E155" s="1976">
        <v>195000</v>
      </c>
      <c r="F155" s="1977">
        <v>0</v>
      </c>
      <c r="G155" s="1975">
        <v>0</v>
      </c>
      <c r="H155" s="1405">
        <v>0</v>
      </c>
      <c r="I155" s="2006">
        <v>0</v>
      </c>
      <c r="J155" s="1975">
        <v>0</v>
      </c>
      <c r="K155" s="1976">
        <v>0</v>
      </c>
    </row>
    <row r="156" spans="1:11" ht="1.1499999999999999" customHeight="1">
      <c r="A156" s="2524"/>
      <c r="B156" s="59"/>
      <c r="C156" s="1121"/>
      <c r="D156" s="1121"/>
      <c r="E156" s="1156"/>
      <c r="F156" s="1157"/>
      <c r="G156" s="1121"/>
      <c r="H156" s="1158"/>
      <c r="I156" s="1122"/>
      <c r="J156" s="1121"/>
      <c r="K156" s="1156"/>
    </row>
    <row r="157" spans="1:11" ht="1.1499999999999999" customHeight="1">
      <c r="A157" s="2524"/>
      <c r="B157" s="59"/>
      <c r="C157" s="1121"/>
      <c r="D157" s="1121"/>
      <c r="E157" s="1156"/>
      <c r="F157" s="1157"/>
      <c r="G157" s="1121"/>
      <c r="H157" s="1158"/>
      <c r="I157" s="1122"/>
      <c r="J157" s="1121"/>
      <c r="K157" s="1156"/>
    </row>
    <row r="158" spans="1:11" ht="11.25" customHeight="1">
      <c r="A158" s="2535" t="s">
        <v>2340</v>
      </c>
      <c r="B158" s="463"/>
      <c r="C158" s="1951">
        <v>1143105</v>
      </c>
      <c r="D158" s="1951">
        <v>1606954</v>
      </c>
      <c r="E158" s="1960">
        <v>1135137</v>
      </c>
      <c r="F158" s="1961">
        <v>5527498</v>
      </c>
      <c r="G158" s="1951">
        <v>1416824</v>
      </c>
      <c r="H158" s="1962">
        <v>1416824</v>
      </c>
      <c r="I158" s="1953">
        <v>1003005</v>
      </c>
      <c r="J158" s="1951">
        <v>942825</v>
      </c>
      <c r="K158" s="1960">
        <v>886255</v>
      </c>
    </row>
    <row r="159" spans="1:11">
      <c r="A159" s="2556" t="s">
        <v>2347</v>
      </c>
      <c r="B159" s="424"/>
      <c r="C159" s="1975">
        <v>0</v>
      </c>
      <c r="D159" s="1975">
        <v>0</v>
      </c>
      <c r="E159" s="1976">
        <v>0</v>
      </c>
      <c r="F159" s="1977">
        <v>4600471</v>
      </c>
      <c r="G159" s="1975">
        <v>5447684</v>
      </c>
      <c r="H159" s="1405">
        <v>5447684</v>
      </c>
      <c r="I159" s="2006">
        <v>7494122</v>
      </c>
      <c r="J159" s="1975">
        <v>6586678</v>
      </c>
      <c r="K159" s="1976">
        <v>5642932</v>
      </c>
    </row>
    <row r="160" spans="1:11" ht="11.25" customHeight="1">
      <c r="A160" s="2546" t="s">
        <v>2348</v>
      </c>
      <c r="B160" s="59"/>
      <c r="C160" s="1975">
        <v>7896933</v>
      </c>
      <c r="D160" s="1975">
        <v>1376027</v>
      </c>
      <c r="E160" s="1976">
        <v>10276400</v>
      </c>
      <c r="F160" s="1977">
        <v>1711994</v>
      </c>
      <c r="G160" s="1975">
        <v>10404398</v>
      </c>
      <c r="H160" s="1405">
        <v>10404398</v>
      </c>
      <c r="I160" s="2006">
        <v>1583545</v>
      </c>
      <c r="J160" s="1975">
        <v>1646887</v>
      </c>
      <c r="K160" s="1976">
        <v>1696292</v>
      </c>
    </row>
    <row r="161" spans="1:11" ht="11.25" customHeight="1">
      <c r="A161" s="2546" t="s">
        <v>2349</v>
      </c>
      <c r="B161" s="59"/>
      <c r="C161" s="1975">
        <v>0</v>
      </c>
      <c r="D161" s="1975">
        <v>0</v>
      </c>
      <c r="E161" s="1976">
        <v>345882</v>
      </c>
      <c r="F161" s="1977">
        <v>42400444</v>
      </c>
      <c r="G161" s="1975">
        <v>121416830</v>
      </c>
      <c r="H161" s="1405">
        <v>121416830</v>
      </c>
      <c r="I161" s="2006">
        <v>113058457</v>
      </c>
      <c r="J161" s="1975">
        <v>101397175</v>
      </c>
      <c r="K161" s="1976">
        <v>89123330</v>
      </c>
    </row>
    <row r="162" spans="1:11">
      <c r="A162" s="2556" t="s">
        <v>2350</v>
      </c>
      <c r="B162" s="424"/>
      <c r="C162" s="1975">
        <v>1180900</v>
      </c>
      <c r="D162" s="1975">
        <v>0</v>
      </c>
      <c r="E162" s="1976">
        <v>3499900</v>
      </c>
      <c r="F162" s="1977">
        <v>118653771</v>
      </c>
      <c r="G162" s="1975">
        <v>11513010</v>
      </c>
      <c r="H162" s="1405">
        <v>11513010</v>
      </c>
      <c r="I162" s="2006">
        <v>3869642</v>
      </c>
      <c r="J162" s="1975">
        <v>2695036</v>
      </c>
      <c r="K162" s="1976">
        <v>1520428</v>
      </c>
    </row>
    <row r="163" spans="1:11" ht="11.25" customHeight="1">
      <c r="A163" s="2546" t="s">
        <v>2485</v>
      </c>
      <c r="B163" s="59"/>
      <c r="C163" s="1975">
        <v>0</v>
      </c>
      <c r="D163" s="1975">
        <v>0</v>
      </c>
      <c r="E163" s="1976">
        <v>0</v>
      </c>
      <c r="F163" s="1977">
        <v>97151193</v>
      </c>
      <c r="G163" s="1975">
        <v>0</v>
      </c>
      <c r="H163" s="1405">
        <v>0</v>
      </c>
      <c r="I163" s="2006">
        <v>0</v>
      </c>
      <c r="J163" s="1975">
        <v>0</v>
      </c>
      <c r="K163" s="1976">
        <v>1</v>
      </c>
    </row>
    <row r="164" spans="1:11" ht="11.25" customHeight="1">
      <c r="A164" s="2546" t="s">
        <v>2351</v>
      </c>
      <c r="B164" s="59"/>
      <c r="C164" s="1975"/>
      <c r="D164" s="1975"/>
      <c r="E164" s="1976"/>
      <c r="F164" s="1977">
        <v>0</v>
      </c>
      <c r="G164" s="1975">
        <v>0</v>
      </c>
      <c r="H164" s="1405">
        <v>0</v>
      </c>
      <c r="I164" s="2006">
        <v>0</v>
      </c>
      <c r="J164" s="1975">
        <v>0</v>
      </c>
      <c r="K164" s="1976">
        <v>0</v>
      </c>
    </row>
    <row r="165" spans="1:11" ht="11.25" customHeight="1">
      <c r="A165" s="1348" t="s">
        <v>1264</v>
      </c>
      <c r="B165" s="102">
        <v>5</v>
      </c>
      <c r="C165" s="107">
        <f>C144+C147+C148+C151+C154+C155+C158+C159+C160+C161+C162+C163+C164</f>
        <v>1784919996</v>
      </c>
      <c r="D165" s="107">
        <f t="shared" ref="D165:K165" si="41">D144+D147+D148+D151+D154+D155+D158+D159+D160+D161+D162+D163+D164</f>
        <v>1669639150</v>
      </c>
      <c r="E165" s="105">
        <f t="shared" si="41"/>
        <v>1638050711</v>
      </c>
      <c r="F165" s="106">
        <f t="shared" si="41"/>
        <v>3048322623</v>
      </c>
      <c r="G165" s="107">
        <f t="shared" si="41"/>
        <v>2011367076</v>
      </c>
      <c r="H165" s="108">
        <f t="shared" si="41"/>
        <v>2011367076</v>
      </c>
      <c r="I165" s="227">
        <f t="shared" si="41"/>
        <v>1955535988</v>
      </c>
      <c r="J165" s="107">
        <f t="shared" si="41"/>
        <v>2095609824</v>
      </c>
      <c r="K165" s="105">
        <f t="shared" si="41"/>
        <v>2238496269</v>
      </c>
    </row>
    <row r="166" spans="1:11" ht="4.9000000000000004" customHeight="1">
      <c r="A166" s="127"/>
      <c r="B166" s="59"/>
      <c r="C166" s="80"/>
      <c r="D166" s="80"/>
      <c r="E166" s="81"/>
      <c r="F166" s="82"/>
      <c r="G166" s="80"/>
      <c r="H166" s="79"/>
      <c r="I166" s="83"/>
      <c r="J166" s="80"/>
      <c r="K166" s="81"/>
    </row>
    <row r="167" spans="1:11" ht="11.25" customHeight="1">
      <c r="A167" s="242" t="s">
        <v>1260</v>
      </c>
      <c r="B167" s="59"/>
      <c r="C167" s="95">
        <f>SUM(C168:C169)</f>
        <v>159948080</v>
      </c>
      <c r="D167" s="95">
        <f t="shared" ref="D167:K167" si="42">SUM(D168:D169)</f>
        <v>173258618</v>
      </c>
      <c r="E167" s="96">
        <f t="shared" si="42"/>
        <v>163858691</v>
      </c>
      <c r="F167" s="97">
        <f t="shared" si="42"/>
        <v>183741934</v>
      </c>
      <c r="G167" s="95">
        <f t="shared" si="42"/>
        <v>167307812</v>
      </c>
      <c r="H167" s="94">
        <f t="shared" si="42"/>
        <v>167224812</v>
      </c>
      <c r="I167" s="98">
        <f t="shared" si="42"/>
        <v>189211891.88</v>
      </c>
      <c r="J167" s="95">
        <f t="shared" si="42"/>
        <v>189377224.24647999</v>
      </c>
      <c r="K167" s="96">
        <f t="shared" si="42"/>
        <v>198209987.2964181</v>
      </c>
    </row>
    <row r="168" spans="1:11" ht="11.25" customHeight="1">
      <c r="A168" s="1128" t="s">
        <v>2377</v>
      </c>
      <c r="B168" s="59">
        <v>7</v>
      </c>
      <c r="C168" s="80">
        <f>SA34d!C167</f>
        <v>130212940</v>
      </c>
      <c r="D168" s="80">
        <f>SA34d!D167</f>
        <v>129496184</v>
      </c>
      <c r="E168" s="670">
        <f>SA34d!E167</f>
        <v>127793108</v>
      </c>
      <c r="F168" s="1823">
        <f>SA34d!F167</f>
        <v>134196513</v>
      </c>
      <c r="G168" s="80">
        <f>SA34d!G167</f>
        <v>130083000</v>
      </c>
      <c r="H168" s="670">
        <f>SA34d!H167</f>
        <v>130000000</v>
      </c>
      <c r="I168" s="1823">
        <f>SA34d!I167</f>
        <v>132970807</v>
      </c>
      <c r="J168" s="80">
        <f>SA34d!J167</f>
        <v>130548742</v>
      </c>
      <c r="K168" s="670">
        <f>SA34d!K167</f>
        <v>136675059.75260001</v>
      </c>
    </row>
    <row r="169" spans="1:11" ht="11.25" customHeight="1">
      <c r="A169" s="1347" t="s">
        <v>331</v>
      </c>
      <c r="B169" s="59">
        <v>3</v>
      </c>
      <c r="C169" s="95">
        <f>C179+C182+C183+C186+C189+C190+SUM(C193:C199)</f>
        <v>29735140</v>
      </c>
      <c r="D169" s="95">
        <f t="shared" ref="D169:K169" si="43">D179+D182+D183+D186+D189+D190+SUM(D193:D199)</f>
        <v>43762434</v>
      </c>
      <c r="E169" s="96">
        <f t="shared" si="43"/>
        <v>36065583</v>
      </c>
      <c r="F169" s="97">
        <f t="shared" si="43"/>
        <v>49545421</v>
      </c>
      <c r="G169" s="95">
        <f t="shared" si="43"/>
        <v>37224812</v>
      </c>
      <c r="H169" s="94">
        <f t="shared" si="43"/>
        <v>37224812</v>
      </c>
      <c r="I169" s="98">
        <f t="shared" si="43"/>
        <v>56241084.879999995</v>
      </c>
      <c r="J169" s="95">
        <f t="shared" si="43"/>
        <v>58828482.246480003</v>
      </c>
      <c r="K169" s="96">
        <f t="shared" si="43"/>
        <v>61534927.543818086</v>
      </c>
    </row>
    <row r="170" spans="1:11" ht="11.25" customHeight="1">
      <c r="A170" s="2523" t="s">
        <v>2245</v>
      </c>
      <c r="B170" s="223"/>
      <c r="C170" s="900">
        <f>SA34c!C7</f>
        <v>1550161</v>
      </c>
      <c r="D170" s="900">
        <f>SA34c!D7</f>
        <v>1544771</v>
      </c>
      <c r="E170" s="901">
        <f>SA34c!E7</f>
        <v>857207</v>
      </c>
      <c r="F170" s="902">
        <f>SA34c!F7</f>
        <v>24256432</v>
      </c>
      <c r="G170" s="900">
        <f>SA34c!G7</f>
        <v>15037760</v>
      </c>
      <c r="H170" s="903">
        <f>SA34c!H7</f>
        <v>15037760</v>
      </c>
      <c r="I170" s="904">
        <f>SA34c!I7</f>
        <v>13750000</v>
      </c>
      <c r="J170" s="900">
        <f>SA34c!J7</f>
        <v>14382500</v>
      </c>
      <c r="K170" s="901">
        <f>SA34c!K7</f>
        <v>15044096</v>
      </c>
    </row>
    <row r="171" spans="1:11" ht="11.25" customHeight="1">
      <c r="A171" s="2523" t="s">
        <v>2249</v>
      </c>
      <c r="B171" s="223"/>
      <c r="C171" s="900">
        <f>SA34c!C12</f>
        <v>0</v>
      </c>
      <c r="D171" s="900">
        <f>SA34c!D12</f>
        <v>0</v>
      </c>
      <c r="E171" s="901">
        <f>SA34c!E12</f>
        <v>0</v>
      </c>
      <c r="F171" s="902">
        <f>SA34c!F12</f>
        <v>0</v>
      </c>
      <c r="G171" s="900">
        <f>SA34c!G12</f>
        <v>0</v>
      </c>
      <c r="H171" s="903">
        <f>SA34c!H12</f>
        <v>0</v>
      </c>
      <c r="I171" s="904">
        <f>SA34c!I12</f>
        <v>1500000</v>
      </c>
      <c r="J171" s="900">
        <f>SA34c!J12</f>
        <v>1569000</v>
      </c>
      <c r="K171" s="901">
        <f>SA34c!K12</f>
        <v>1641174</v>
      </c>
    </row>
    <row r="172" spans="1:11" ht="11.25" customHeight="1">
      <c r="A172" s="2523" t="s">
        <v>2294</v>
      </c>
      <c r="B172" s="223"/>
      <c r="C172" s="900">
        <f>SA34c!C16</f>
        <v>12132266</v>
      </c>
      <c r="D172" s="900">
        <f>SA34c!D16</f>
        <v>887639</v>
      </c>
      <c r="E172" s="901">
        <f>SA34c!E16</f>
        <v>10019092</v>
      </c>
      <c r="F172" s="902">
        <f>SA34c!F16</f>
        <v>21321981</v>
      </c>
      <c r="G172" s="900">
        <f>SA34c!G16</f>
        <v>20131981</v>
      </c>
      <c r="H172" s="903">
        <f>SA34c!H16</f>
        <v>20131981</v>
      </c>
      <c r="I172" s="904">
        <f>SA34c!I16</f>
        <v>16852640</v>
      </c>
      <c r="J172" s="900">
        <f>SA34c!J16</f>
        <v>17627865</v>
      </c>
      <c r="K172" s="901">
        <f>SA34c!K16</f>
        <v>18438751</v>
      </c>
    </row>
    <row r="173" spans="1:11" ht="11.25" customHeight="1">
      <c r="A173" s="2523" t="s">
        <v>2295</v>
      </c>
      <c r="B173" s="223"/>
      <c r="C173" s="900">
        <f>SA34c!C26</f>
        <v>0</v>
      </c>
      <c r="D173" s="900">
        <f>SA34c!D26</f>
        <v>0</v>
      </c>
      <c r="E173" s="901">
        <f>SA34c!E26</f>
        <v>0</v>
      </c>
      <c r="F173" s="902">
        <f>SA34c!F26</f>
        <v>0</v>
      </c>
      <c r="G173" s="900">
        <f>SA34c!G26</f>
        <v>0</v>
      </c>
      <c r="H173" s="903">
        <f>SA34c!H26</f>
        <v>0</v>
      </c>
      <c r="I173" s="904">
        <f>SA34c!I26</f>
        <v>0</v>
      </c>
      <c r="J173" s="900">
        <f>SA34c!J26</f>
        <v>0</v>
      </c>
      <c r="K173" s="901">
        <f>SA34c!K26</f>
        <v>0</v>
      </c>
    </row>
    <row r="174" spans="1:11" ht="11.25" customHeight="1">
      <c r="A174" s="2523" t="s">
        <v>2296</v>
      </c>
      <c r="B174" s="223"/>
      <c r="C174" s="900">
        <f>SA34c!C37</f>
        <v>0</v>
      </c>
      <c r="D174" s="900">
        <f>SA34c!D37</f>
        <v>0</v>
      </c>
      <c r="E174" s="901">
        <f>SA34c!E37</f>
        <v>0</v>
      </c>
      <c r="F174" s="902">
        <f>SA34c!F37</f>
        <v>0</v>
      </c>
      <c r="G174" s="900">
        <f>SA34c!G37</f>
        <v>0</v>
      </c>
      <c r="H174" s="903">
        <f>SA34c!H37</f>
        <v>0</v>
      </c>
      <c r="I174" s="904">
        <f>SA34c!I37</f>
        <v>0</v>
      </c>
      <c r="J174" s="900">
        <f>SA34c!J37</f>
        <v>0</v>
      </c>
      <c r="K174" s="901">
        <f>SA34c!K37</f>
        <v>0</v>
      </c>
    </row>
    <row r="175" spans="1:11" ht="11.25" customHeight="1">
      <c r="A175" s="2523" t="s">
        <v>2274</v>
      </c>
      <c r="B175" s="223"/>
      <c r="C175" s="900">
        <f>SA34c!C44</f>
        <v>42347</v>
      </c>
      <c r="D175" s="900">
        <f>SA34c!D44</f>
        <v>0</v>
      </c>
      <c r="E175" s="901">
        <f>SA34c!E44</f>
        <v>0</v>
      </c>
      <c r="F175" s="902">
        <f>SA34c!F44</f>
        <v>54900</v>
      </c>
      <c r="G175" s="900">
        <f>SA34c!G44</f>
        <v>9900</v>
      </c>
      <c r="H175" s="903">
        <f>SA34c!H44</f>
        <v>9900</v>
      </c>
      <c r="I175" s="904">
        <f>SA34c!I44</f>
        <v>9900</v>
      </c>
      <c r="J175" s="900">
        <f>SA34c!J44</f>
        <v>10356</v>
      </c>
      <c r="K175" s="901">
        <f>SA34c!K44</f>
        <v>10832</v>
      </c>
    </row>
    <row r="176" spans="1:11" ht="11.25" customHeight="1">
      <c r="A176" s="2523" t="s">
        <v>2290</v>
      </c>
      <c r="B176" s="223"/>
      <c r="C176" s="900">
        <f>SA34c!C52</f>
        <v>499999</v>
      </c>
      <c r="D176" s="900">
        <f>SA34c!D52</f>
        <v>256380</v>
      </c>
      <c r="E176" s="901">
        <f>SA34c!E52</f>
        <v>513360</v>
      </c>
      <c r="F176" s="902">
        <f>SA34c!F52</f>
        <v>592000</v>
      </c>
      <c r="G176" s="900">
        <f>SA34c!G52</f>
        <v>296000</v>
      </c>
      <c r="H176" s="903">
        <f>SA34c!H52</f>
        <v>296000</v>
      </c>
      <c r="I176" s="904">
        <f>SA34c!I52</f>
        <v>296000</v>
      </c>
      <c r="J176" s="900">
        <f>SA34c!J52</f>
        <v>309616</v>
      </c>
      <c r="K176" s="901">
        <f>SA34c!K52</f>
        <v>323859</v>
      </c>
    </row>
    <row r="177" spans="1:11" ht="11.25" customHeight="1">
      <c r="A177" s="2523" t="s">
        <v>2285</v>
      </c>
      <c r="B177" s="223"/>
      <c r="C177" s="900">
        <f>SA34c!C62</f>
        <v>0</v>
      </c>
      <c r="D177" s="900">
        <f>SA34c!D62</f>
        <v>0</v>
      </c>
      <c r="E177" s="901">
        <f>SA34c!E62</f>
        <v>0</v>
      </c>
      <c r="F177" s="902">
        <f>SA34c!F62</f>
        <v>0</v>
      </c>
      <c r="G177" s="900">
        <f>SA34c!G62</f>
        <v>0</v>
      </c>
      <c r="H177" s="903">
        <f>SA34c!H62</f>
        <v>0</v>
      </c>
      <c r="I177" s="904">
        <f>SA34c!I62</f>
        <v>0</v>
      </c>
      <c r="J177" s="900">
        <f>SA34c!J62</f>
        <v>0</v>
      </c>
      <c r="K177" s="901">
        <f>SA34c!K62</f>
        <v>0</v>
      </c>
    </row>
    <row r="178" spans="1:11" ht="11.25" customHeight="1">
      <c r="A178" s="2523" t="s">
        <v>2281</v>
      </c>
      <c r="B178" s="223"/>
      <c r="C178" s="900">
        <f>SA34c!C68</f>
        <v>0</v>
      </c>
      <c r="D178" s="900">
        <f>SA34c!D68</f>
        <v>0</v>
      </c>
      <c r="E178" s="901">
        <f>SA34c!E68</f>
        <v>0</v>
      </c>
      <c r="F178" s="902">
        <f>SA34c!F68</f>
        <v>0</v>
      </c>
      <c r="G178" s="900">
        <f>SA34c!G68</f>
        <v>0</v>
      </c>
      <c r="H178" s="903">
        <f>SA34c!H68</f>
        <v>0</v>
      </c>
      <c r="I178" s="904">
        <f>SA34c!I68</f>
        <v>0</v>
      </c>
      <c r="J178" s="900">
        <f>SA34c!J68</f>
        <v>0</v>
      </c>
      <c r="K178" s="901">
        <f>SA34c!K68</f>
        <v>0</v>
      </c>
    </row>
    <row r="179" spans="1:11" ht="11.25" customHeight="1">
      <c r="A179" s="2535" t="s">
        <v>845</v>
      </c>
      <c r="B179" s="463"/>
      <c r="C179" s="2541">
        <f>SUM(C170:C178)</f>
        <v>14224773</v>
      </c>
      <c r="D179" s="2541">
        <f t="shared" ref="D179:K179" si="44">SUM(D170:D178)</f>
        <v>2688790</v>
      </c>
      <c r="E179" s="2542">
        <f t="shared" si="44"/>
        <v>11389659</v>
      </c>
      <c r="F179" s="2543">
        <f t="shared" si="44"/>
        <v>46225313</v>
      </c>
      <c r="G179" s="2541">
        <f t="shared" si="44"/>
        <v>35475641</v>
      </c>
      <c r="H179" s="2544">
        <f t="shared" si="44"/>
        <v>35475641</v>
      </c>
      <c r="I179" s="2545">
        <f t="shared" si="44"/>
        <v>32408540</v>
      </c>
      <c r="J179" s="2541">
        <f t="shared" si="44"/>
        <v>33899337</v>
      </c>
      <c r="K179" s="2542">
        <f t="shared" si="44"/>
        <v>35458712</v>
      </c>
    </row>
    <row r="180" spans="1:11" ht="11.25" customHeight="1">
      <c r="A180" s="2524" t="s">
        <v>2298</v>
      </c>
      <c r="B180" s="59"/>
      <c r="C180" s="900">
        <f>SA34c!C75</f>
        <v>19518</v>
      </c>
      <c r="D180" s="900">
        <f>SA34c!D75</f>
        <v>0</v>
      </c>
      <c r="E180" s="901">
        <f>SA34c!E75</f>
        <v>14902</v>
      </c>
      <c r="F180" s="902">
        <f>SA34c!F75</f>
        <v>25000</v>
      </c>
      <c r="G180" s="900">
        <f>SA34c!G75</f>
        <v>25000</v>
      </c>
      <c r="H180" s="903">
        <f>SA34c!H75</f>
        <v>25000</v>
      </c>
      <c r="I180" s="904">
        <f>SA34c!I75</f>
        <v>0</v>
      </c>
      <c r="J180" s="900">
        <f>SA34c!J75</f>
        <v>0</v>
      </c>
      <c r="K180" s="901">
        <f>SA34c!K75</f>
        <v>0</v>
      </c>
    </row>
    <row r="181" spans="1:11" ht="11.25" customHeight="1">
      <c r="A181" s="2524" t="s">
        <v>2316</v>
      </c>
      <c r="B181" s="59"/>
      <c r="C181" s="1279">
        <f>SA34c!C98</f>
        <v>0</v>
      </c>
      <c r="D181" s="1279">
        <f>SA34c!D98</f>
        <v>0</v>
      </c>
      <c r="E181" s="1280">
        <f>SA34c!E98</f>
        <v>0</v>
      </c>
      <c r="F181" s="1281">
        <f>SA34c!F98</f>
        <v>0</v>
      </c>
      <c r="G181" s="1279">
        <f>SA34c!G98</f>
        <v>0</v>
      </c>
      <c r="H181" s="1282">
        <f>SA34c!H98</f>
        <v>0</v>
      </c>
      <c r="I181" s="1283">
        <f>SA34c!I98</f>
        <v>0</v>
      </c>
      <c r="J181" s="1279">
        <f>SA34c!J98</f>
        <v>0</v>
      </c>
      <c r="K181" s="1280">
        <f>SA34c!K98</f>
        <v>0</v>
      </c>
    </row>
    <row r="182" spans="1:11" ht="11.25" customHeight="1">
      <c r="A182" s="2535" t="s">
        <v>2297</v>
      </c>
      <c r="B182" s="463"/>
      <c r="C182" s="2541">
        <f t="shared" ref="C182:K182" si="45">SUM(C180:C181)</f>
        <v>19518</v>
      </c>
      <c r="D182" s="2541">
        <f t="shared" si="45"/>
        <v>0</v>
      </c>
      <c r="E182" s="2542">
        <f t="shared" si="45"/>
        <v>14902</v>
      </c>
      <c r="F182" s="2543">
        <f t="shared" si="45"/>
        <v>25000</v>
      </c>
      <c r="G182" s="2541">
        <f t="shared" si="45"/>
        <v>25000</v>
      </c>
      <c r="H182" s="2544">
        <f t="shared" si="45"/>
        <v>25000</v>
      </c>
      <c r="I182" s="2545">
        <f t="shared" si="45"/>
        <v>0</v>
      </c>
      <c r="J182" s="2541">
        <f t="shared" si="45"/>
        <v>0</v>
      </c>
      <c r="K182" s="2542">
        <f t="shared" si="45"/>
        <v>0</v>
      </c>
    </row>
    <row r="183" spans="1:11" ht="11.25" customHeight="1">
      <c r="A183" s="2546" t="s">
        <v>1738</v>
      </c>
      <c r="B183" s="1343"/>
      <c r="C183" s="963">
        <f>SA34c!C103</f>
        <v>0</v>
      </c>
      <c r="D183" s="963">
        <f>SA34c!D103</f>
        <v>0</v>
      </c>
      <c r="E183" s="964">
        <f>SA34c!E103</f>
        <v>0</v>
      </c>
      <c r="F183" s="965">
        <f>SA34c!F103</f>
        <v>0</v>
      </c>
      <c r="G183" s="963">
        <f>SA34c!G103</f>
        <v>0</v>
      </c>
      <c r="H183" s="966">
        <f>SA34c!H103</f>
        <v>0</v>
      </c>
      <c r="I183" s="967">
        <f>SA34c!I103</f>
        <v>0</v>
      </c>
      <c r="J183" s="963">
        <f>SA34c!J103</f>
        <v>0</v>
      </c>
      <c r="K183" s="964">
        <f>SA34c!K103</f>
        <v>0</v>
      </c>
    </row>
    <row r="184" spans="1:11" ht="11.25" customHeight="1">
      <c r="A184" s="2524" t="s">
        <v>2353</v>
      </c>
      <c r="B184" s="59"/>
      <c r="C184" s="900">
        <f>SA34c!C111</f>
        <v>0</v>
      </c>
      <c r="D184" s="900">
        <f>SA34c!D111</f>
        <v>0</v>
      </c>
      <c r="E184" s="901">
        <f>SA34c!E111</f>
        <v>0</v>
      </c>
      <c r="F184" s="902">
        <f>SA34c!F111</f>
        <v>0</v>
      </c>
      <c r="G184" s="900">
        <f>SA34c!G111</f>
        <v>0</v>
      </c>
      <c r="H184" s="903">
        <f>SA34c!H111</f>
        <v>0</v>
      </c>
      <c r="I184" s="904">
        <f>SA34c!I111</f>
        <v>0</v>
      </c>
      <c r="J184" s="900">
        <f>SA34c!J111</f>
        <v>0</v>
      </c>
      <c r="K184" s="901">
        <f>SA34c!K111</f>
        <v>0</v>
      </c>
    </row>
    <row r="185" spans="1:11" ht="11.25" customHeight="1">
      <c r="A185" s="2524" t="s">
        <v>2356</v>
      </c>
      <c r="B185" s="59"/>
      <c r="C185" s="1279">
        <f>SA34c!C114</f>
        <v>0</v>
      </c>
      <c r="D185" s="1279">
        <f>SA34c!D114</f>
        <v>0</v>
      </c>
      <c r="E185" s="1280">
        <f>SA34c!E114</f>
        <v>0</v>
      </c>
      <c r="F185" s="1281">
        <f>SA34c!F114</f>
        <v>0</v>
      </c>
      <c r="G185" s="1279">
        <f>SA34c!G114</f>
        <v>0</v>
      </c>
      <c r="H185" s="1282">
        <f>SA34c!H114</f>
        <v>0</v>
      </c>
      <c r="I185" s="1283">
        <f>SA34c!I114</f>
        <v>0</v>
      </c>
      <c r="J185" s="1279">
        <f>SA34c!J114</f>
        <v>0</v>
      </c>
      <c r="K185" s="1280">
        <f>SA34c!K114</f>
        <v>0</v>
      </c>
    </row>
    <row r="186" spans="1:11" ht="11.25" customHeight="1">
      <c r="A186" s="2535" t="s">
        <v>836</v>
      </c>
      <c r="B186" s="463"/>
      <c r="C186" s="2541">
        <f t="shared" ref="C186:K186" si="46">SUM(C184:C185)</f>
        <v>0</v>
      </c>
      <c r="D186" s="2541">
        <f t="shared" si="46"/>
        <v>0</v>
      </c>
      <c r="E186" s="2542">
        <f t="shared" si="46"/>
        <v>0</v>
      </c>
      <c r="F186" s="2543">
        <f t="shared" si="46"/>
        <v>0</v>
      </c>
      <c r="G186" s="2541">
        <f t="shared" si="46"/>
        <v>0</v>
      </c>
      <c r="H186" s="2544">
        <f t="shared" si="46"/>
        <v>0</v>
      </c>
      <c r="I186" s="2545">
        <f t="shared" si="46"/>
        <v>0</v>
      </c>
      <c r="J186" s="2541">
        <f t="shared" si="46"/>
        <v>0</v>
      </c>
      <c r="K186" s="2542">
        <f t="shared" si="46"/>
        <v>0</v>
      </c>
    </row>
    <row r="187" spans="1:11" ht="11.25" customHeight="1">
      <c r="A187" s="2524" t="s">
        <v>2324</v>
      </c>
      <c r="B187" s="59"/>
      <c r="C187" s="900">
        <f>SA34c!C119</f>
        <v>1885005</v>
      </c>
      <c r="D187" s="900">
        <f>SA34c!D119</f>
        <v>39420368</v>
      </c>
      <c r="E187" s="901">
        <f>SA34c!E119</f>
        <v>8517101</v>
      </c>
      <c r="F187" s="902">
        <f>SA34c!F119</f>
        <v>2322216</v>
      </c>
      <c r="G187" s="900">
        <f>SA34c!G119</f>
        <v>1244273</v>
      </c>
      <c r="H187" s="903">
        <f>SA34c!H119</f>
        <v>1244273</v>
      </c>
      <c r="I187" s="904">
        <f>SA34c!I119</f>
        <v>1363363</v>
      </c>
      <c r="J187" s="900">
        <f>SA34c!J119</f>
        <v>1426084</v>
      </c>
      <c r="K187" s="901">
        <f>SA34c!K119</f>
        <v>1491686</v>
      </c>
    </row>
    <row r="188" spans="1:11" ht="11.25" customHeight="1">
      <c r="A188" s="2524" t="s">
        <v>1493</v>
      </c>
      <c r="B188" s="59"/>
      <c r="C188" s="1279">
        <f>SA34c!C131</f>
        <v>0</v>
      </c>
      <c r="D188" s="1279">
        <f>SA34c!D131</f>
        <v>0</v>
      </c>
      <c r="E188" s="1280">
        <f>SA34c!E131</f>
        <v>0</v>
      </c>
      <c r="F188" s="1281">
        <f>SA34c!F131</f>
        <v>0</v>
      </c>
      <c r="G188" s="1279">
        <f>SA34c!G131</f>
        <v>0</v>
      </c>
      <c r="H188" s="1282">
        <f>SA34c!H131</f>
        <v>0</v>
      </c>
      <c r="I188" s="1283">
        <f>SA34c!I131</f>
        <v>0</v>
      </c>
      <c r="J188" s="1279">
        <f>SA34c!J131</f>
        <v>0</v>
      </c>
      <c r="K188" s="1280">
        <f>SA34c!K131</f>
        <v>0</v>
      </c>
    </row>
    <row r="189" spans="1:11" ht="11.25" customHeight="1">
      <c r="A189" s="2535" t="s">
        <v>1743</v>
      </c>
      <c r="B189" s="463"/>
      <c r="C189" s="2541">
        <f t="shared" ref="C189:K189" si="47">SUM(C187:C188)</f>
        <v>1885005</v>
      </c>
      <c r="D189" s="2541">
        <f t="shared" si="47"/>
        <v>39420368</v>
      </c>
      <c r="E189" s="2542">
        <f t="shared" si="47"/>
        <v>8517101</v>
      </c>
      <c r="F189" s="2543">
        <f t="shared" si="47"/>
        <v>2322216</v>
      </c>
      <c r="G189" s="2541">
        <f t="shared" si="47"/>
        <v>1244273</v>
      </c>
      <c r="H189" s="2544">
        <f t="shared" si="47"/>
        <v>1244273</v>
      </c>
      <c r="I189" s="2545">
        <f t="shared" si="47"/>
        <v>1363363</v>
      </c>
      <c r="J189" s="2541">
        <f t="shared" si="47"/>
        <v>1426084</v>
      </c>
      <c r="K189" s="2542">
        <f t="shared" si="47"/>
        <v>1491686</v>
      </c>
    </row>
    <row r="190" spans="1:11" ht="11.25" customHeight="1">
      <c r="A190" s="2546" t="s">
        <v>2337</v>
      </c>
      <c r="B190" s="1343"/>
      <c r="C190" s="963">
        <f>SA34c!C136</f>
        <v>0</v>
      </c>
      <c r="D190" s="963">
        <f>SA34c!D136</f>
        <v>0</v>
      </c>
      <c r="E190" s="964">
        <f>SA34c!E136</f>
        <v>0</v>
      </c>
      <c r="F190" s="965">
        <f>SA34c!F136</f>
        <v>0</v>
      </c>
      <c r="G190" s="963">
        <f>SA34c!G136</f>
        <v>0</v>
      </c>
      <c r="H190" s="966">
        <f>SA34c!H136</f>
        <v>0</v>
      </c>
      <c r="I190" s="967">
        <f>SA34c!I136</f>
        <v>0</v>
      </c>
      <c r="J190" s="963">
        <f>SA34c!J136</f>
        <v>0</v>
      </c>
      <c r="K190" s="964">
        <f>SA34c!K136</f>
        <v>0</v>
      </c>
    </row>
    <row r="191" spans="1:11" ht="11.25" customHeight="1">
      <c r="A191" s="2524" t="s">
        <v>2338</v>
      </c>
      <c r="B191" s="59"/>
      <c r="C191" s="900">
        <f>SA34c!C140</f>
        <v>0</v>
      </c>
      <c r="D191" s="900">
        <f>SA34c!D140</f>
        <v>0</v>
      </c>
      <c r="E191" s="901">
        <f>SA34c!E140</f>
        <v>0</v>
      </c>
      <c r="F191" s="902">
        <f>SA34c!F140</f>
        <v>0</v>
      </c>
      <c r="G191" s="900">
        <f>SA34c!G140</f>
        <v>0</v>
      </c>
      <c r="H191" s="903">
        <f>SA34c!H140</f>
        <v>0</v>
      </c>
      <c r="I191" s="904">
        <f>SA34c!I140</f>
        <v>0</v>
      </c>
      <c r="J191" s="900">
        <f>SA34c!J140</f>
        <v>0</v>
      </c>
      <c r="K191" s="901">
        <f>SA34c!K140</f>
        <v>0</v>
      </c>
    </row>
    <row r="192" spans="1:11" ht="11.25" customHeight="1">
      <c r="A192" s="2524" t="s">
        <v>2339</v>
      </c>
      <c r="B192" s="59"/>
      <c r="C192" s="1279">
        <f>SA34c!C141</f>
        <v>0</v>
      </c>
      <c r="D192" s="1279">
        <f>SA34c!D141</f>
        <v>0</v>
      </c>
      <c r="E192" s="1280">
        <f>SA34c!E141</f>
        <v>0</v>
      </c>
      <c r="F192" s="1281">
        <f>SA34c!F141</f>
        <v>0</v>
      </c>
      <c r="G192" s="1279">
        <f>SA34c!G141</f>
        <v>0</v>
      </c>
      <c r="H192" s="1282">
        <f>SA34c!H141</f>
        <v>0</v>
      </c>
      <c r="I192" s="1283">
        <f>SA34c!I141</f>
        <v>0</v>
      </c>
      <c r="J192" s="1279">
        <f>SA34c!J141</f>
        <v>0</v>
      </c>
      <c r="K192" s="1280">
        <f>SA34c!K141</f>
        <v>0</v>
      </c>
    </row>
    <row r="193" spans="1:11" ht="11.25" customHeight="1">
      <c r="A193" s="2535" t="s">
        <v>2340</v>
      </c>
      <c r="B193" s="463"/>
      <c r="C193" s="2541">
        <f t="shared" ref="C193:K193" si="48">SUM(C191:C192)</f>
        <v>0</v>
      </c>
      <c r="D193" s="2541">
        <f t="shared" si="48"/>
        <v>0</v>
      </c>
      <c r="E193" s="2542">
        <f t="shared" si="48"/>
        <v>0</v>
      </c>
      <c r="F193" s="2543">
        <f t="shared" si="48"/>
        <v>0</v>
      </c>
      <c r="G193" s="2541">
        <f t="shared" si="48"/>
        <v>0</v>
      </c>
      <c r="H193" s="2544">
        <f t="shared" si="48"/>
        <v>0</v>
      </c>
      <c r="I193" s="2545">
        <f t="shared" si="48"/>
        <v>0</v>
      </c>
      <c r="J193" s="2541">
        <f t="shared" si="48"/>
        <v>0</v>
      </c>
      <c r="K193" s="2542">
        <f t="shared" si="48"/>
        <v>0</v>
      </c>
    </row>
    <row r="194" spans="1:11">
      <c r="A194" s="2556" t="s">
        <v>2347</v>
      </c>
      <c r="B194" s="424"/>
      <c r="C194" s="963">
        <f>SA34c!C149</f>
        <v>420540</v>
      </c>
      <c r="D194" s="963">
        <f>SA34c!D149</f>
        <v>68793</v>
      </c>
      <c r="E194" s="964">
        <f>SA34c!E149</f>
        <v>207821</v>
      </c>
      <c r="F194" s="965">
        <f>SA34c!F149</f>
        <v>569000</v>
      </c>
      <c r="G194" s="963">
        <f>SA34c!G149</f>
        <v>205000</v>
      </c>
      <c r="H194" s="966">
        <f>SA34c!H149</f>
        <v>205000</v>
      </c>
      <c r="I194" s="967">
        <f>SA34c!I149</f>
        <v>45000</v>
      </c>
      <c r="J194" s="963">
        <f>SA34c!J149</f>
        <v>47070</v>
      </c>
      <c r="K194" s="964">
        <f>SA34c!K149</f>
        <v>49236</v>
      </c>
    </row>
    <row r="195" spans="1:11" ht="11.25" customHeight="1">
      <c r="A195" s="2546" t="s">
        <v>2348</v>
      </c>
      <c r="B195" s="59"/>
      <c r="C195" s="963">
        <f>SA34c!C152</f>
        <v>9422</v>
      </c>
      <c r="D195" s="963">
        <f>SA34c!D152</f>
        <v>149</v>
      </c>
      <c r="E195" s="964">
        <f>SA34c!E152</f>
        <v>79864</v>
      </c>
      <c r="F195" s="965">
        <f>SA34c!F152</f>
        <v>151599</v>
      </c>
      <c r="G195" s="963">
        <f>SA34c!G152</f>
        <v>142544</v>
      </c>
      <c r="H195" s="966">
        <f>SA34c!H152</f>
        <v>142544</v>
      </c>
      <c r="I195" s="967">
        <f>SA34c!I152</f>
        <v>1099449</v>
      </c>
      <c r="J195" s="963">
        <f>SA34c!J152</f>
        <v>1150320.6540000001</v>
      </c>
      <c r="K195" s="964">
        <f>SA34c!K152</f>
        <v>1203562.104084</v>
      </c>
    </row>
    <row r="196" spans="1:11" ht="11.25" customHeight="1">
      <c r="A196" s="2546" t="s">
        <v>2349</v>
      </c>
      <c r="B196" s="59"/>
      <c r="C196" s="963">
        <f>SA34c!C155</f>
        <v>65435</v>
      </c>
      <c r="D196" s="963">
        <f>SA34c!D155</f>
        <v>14209</v>
      </c>
      <c r="E196" s="964">
        <f>SA34c!E155</f>
        <v>76120</v>
      </c>
      <c r="F196" s="965">
        <f>SA34c!F155</f>
        <v>132244</v>
      </c>
      <c r="G196" s="963">
        <f>SA34c!G155</f>
        <v>92305</v>
      </c>
      <c r="H196" s="966">
        <f>SA34c!H155</f>
        <v>92305</v>
      </c>
      <c r="I196" s="967">
        <f>SA34c!I155</f>
        <v>705075</v>
      </c>
      <c r="J196" s="963">
        <f>SA34c!J155</f>
        <v>737508.45</v>
      </c>
      <c r="K196" s="964">
        <f>SA34c!K155</f>
        <v>771433.83869999985</v>
      </c>
    </row>
    <row r="197" spans="1:11">
      <c r="A197" s="2556" t="s">
        <v>2350</v>
      </c>
      <c r="B197" s="424"/>
      <c r="C197" s="963">
        <f>SA34c!C158</f>
        <v>13110447</v>
      </c>
      <c r="D197" s="963">
        <f>SA34c!D158</f>
        <v>1570125</v>
      </c>
      <c r="E197" s="964">
        <f>SA34c!E158</f>
        <v>15780116</v>
      </c>
      <c r="F197" s="965">
        <f>SA34c!F158</f>
        <v>120049</v>
      </c>
      <c r="G197" s="963">
        <f>SA34c!G158</f>
        <v>40049</v>
      </c>
      <c r="H197" s="966">
        <f>SA34c!H158</f>
        <v>40049</v>
      </c>
      <c r="I197" s="967">
        <f>SA34c!I158</f>
        <v>20619657.879999999</v>
      </c>
      <c r="J197" s="963">
        <f>SA34c!J158</f>
        <v>21568162.142480001</v>
      </c>
      <c r="K197" s="964">
        <f>SA34c!K158</f>
        <v>22560297.601034082</v>
      </c>
    </row>
    <row r="198" spans="1:11" ht="11.25" customHeight="1">
      <c r="A198" s="2546" t="s">
        <v>2485</v>
      </c>
      <c r="B198" s="59"/>
      <c r="C198" s="963">
        <f>SA34c!C161</f>
        <v>0</v>
      </c>
      <c r="D198" s="963">
        <f>SA34c!D161</f>
        <v>0</v>
      </c>
      <c r="E198" s="964">
        <f>SA34c!E161</f>
        <v>0</v>
      </c>
      <c r="F198" s="965">
        <f>SA34c!F161</f>
        <v>0</v>
      </c>
      <c r="G198" s="963">
        <f>SA34c!G161</f>
        <v>0</v>
      </c>
      <c r="H198" s="966">
        <f>SA34c!H161</f>
        <v>0</v>
      </c>
      <c r="I198" s="967">
        <f>SA34c!I161</f>
        <v>0</v>
      </c>
      <c r="J198" s="963">
        <f>SA34c!J161</f>
        <v>0</v>
      </c>
      <c r="K198" s="964">
        <f>SA34c!K161</f>
        <v>0</v>
      </c>
    </row>
    <row r="199" spans="1:11" ht="11.25" customHeight="1">
      <c r="A199" s="2546" t="s">
        <v>2351</v>
      </c>
      <c r="B199" s="59"/>
      <c r="C199" s="2557">
        <f>SA34c!C164</f>
        <v>0</v>
      </c>
      <c r="D199" s="2557">
        <f>SA34c!D164</f>
        <v>0</v>
      </c>
      <c r="E199" s="2558">
        <f>SA34c!E164</f>
        <v>0</v>
      </c>
      <c r="F199" s="2559">
        <f>SA34c!F164</f>
        <v>0</v>
      </c>
      <c r="G199" s="2557">
        <f>SA34c!G164</f>
        <v>0</v>
      </c>
      <c r="H199" s="2560">
        <f>SA34c!H164</f>
        <v>0</v>
      </c>
      <c r="I199" s="2561">
        <f>SA34c!I164</f>
        <v>0</v>
      </c>
      <c r="J199" s="2557">
        <f>SA34c!J164</f>
        <v>0</v>
      </c>
      <c r="K199" s="2558">
        <f>SA34c!K164</f>
        <v>0</v>
      </c>
    </row>
    <row r="200" spans="1:11" ht="4.9000000000000004" customHeight="1">
      <c r="A200" s="1250"/>
      <c r="B200" s="59"/>
      <c r="C200" s="84"/>
      <c r="D200" s="84"/>
      <c r="E200" s="139"/>
      <c r="F200" s="128"/>
      <c r="G200" s="84"/>
      <c r="H200" s="87"/>
      <c r="I200" s="88"/>
      <c r="J200" s="84"/>
      <c r="K200" s="139"/>
    </row>
    <row r="201" spans="1:11" ht="11.25" customHeight="1">
      <c r="A201" s="101" t="s">
        <v>1261</v>
      </c>
      <c r="B201" s="102"/>
      <c r="C201" s="90">
        <f t="shared" ref="C201:K201" si="49">SUM(C168:C169)</f>
        <v>159948080</v>
      </c>
      <c r="D201" s="90">
        <f t="shared" si="49"/>
        <v>173258618</v>
      </c>
      <c r="E201" s="91">
        <f t="shared" si="49"/>
        <v>163858691</v>
      </c>
      <c r="F201" s="92">
        <f t="shared" si="49"/>
        <v>183741934</v>
      </c>
      <c r="G201" s="90">
        <f t="shared" si="49"/>
        <v>167307812</v>
      </c>
      <c r="H201" s="89">
        <f t="shared" si="49"/>
        <v>167224812</v>
      </c>
      <c r="I201" s="93">
        <f t="shared" si="49"/>
        <v>189211891.88</v>
      </c>
      <c r="J201" s="90">
        <f t="shared" si="49"/>
        <v>189377224.24647999</v>
      </c>
      <c r="K201" s="91">
        <f t="shared" si="49"/>
        <v>198209987.2964181</v>
      </c>
    </row>
    <row r="202" spans="1:11" ht="6.75" customHeight="1">
      <c r="A202" s="1349"/>
      <c r="B202" s="612"/>
      <c r="C202" s="1123"/>
      <c r="D202" s="1123"/>
      <c r="E202" s="1124"/>
      <c r="F202" s="1125"/>
      <c r="G202" s="1123"/>
      <c r="H202" s="1126"/>
      <c r="I202" s="1127"/>
      <c r="J202" s="1123"/>
      <c r="K202" s="1124"/>
    </row>
    <row r="203" spans="1:11" ht="11.25" customHeight="1">
      <c r="A203" s="244" t="s">
        <v>2374</v>
      </c>
      <c r="B203" s="245"/>
      <c r="C203" s="246">
        <f>IF(ISERROR((C37+C69)/C132),0,((C37+C69)/C132))</f>
        <v>0.35017692970262648</v>
      </c>
      <c r="D203" s="246">
        <f t="shared" ref="D203:K203" si="50">IF(ISERROR((D37+D69)/D132),0,((D37+D69)/D132))</f>
        <v>0.44443084032542768</v>
      </c>
      <c r="E203" s="247">
        <f t="shared" si="50"/>
        <v>0.16941628034952913</v>
      </c>
      <c r="F203" s="248">
        <f t="shared" si="50"/>
        <v>0.31817204155892731</v>
      </c>
      <c r="G203" s="246">
        <f t="shared" si="50"/>
        <v>0.48337618378601777</v>
      </c>
      <c r="H203" s="249">
        <f t="shared" si="50"/>
        <v>0.48337618378601777</v>
      </c>
      <c r="I203" s="250">
        <f t="shared" si="50"/>
        <v>0.81648896471449661</v>
      </c>
      <c r="J203" s="246">
        <f t="shared" si="50"/>
        <v>0.91220806284014788</v>
      </c>
      <c r="K203" s="247">
        <f t="shared" si="50"/>
        <v>0.91345276722864899</v>
      </c>
    </row>
    <row r="204" spans="1:11" ht="11.25" customHeight="1">
      <c r="A204" s="244" t="s">
        <v>2375</v>
      </c>
      <c r="B204" s="245"/>
      <c r="C204" s="246">
        <f>IF(ISERROR((C37+C69)/C168),0,((C37+C69)/C168))</f>
        <v>0.2055081748349914</v>
      </c>
      <c r="D204" s="246">
        <f t="shared" ref="D204:K204" si="51">IF(ISERROR((D37+D69)/D168),0,((D37+D69)/D168))</f>
        <v>0.16782662105317328</v>
      </c>
      <c r="E204" s="247">
        <f t="shared" si="51"/>
        <v>0.13718744519461878</v>
      </c>
      <c r="F204" s="248">
        <f t="shared" si="51"/>
        <v>0.33838037952595684</v>
      </c>
      <c r="G204" s="246">
        <f t="shared" si="51"/>
        <v>0.57370899348877258</v>
      </c>
      <c r="H204" s="249">
        <f t="shared" si="51"/>
        <v>0.5740752846153846</v>
      </c>
      <c r="I204" s="250">
        <f t="shared" si="51"/>
        <v>0.80422201243014191</v>
      </c>
      <c r="J204" s="246">
        <f t="shared" si="51"/>
        <v>0.74171300708512378</v>
      </c>
      <c r="K204" s="247">
        <f t="shared" si="51"/>
        <v>0.75071336486500517</v>
      </c>
    </row>
    <row r="205" spans="1:11" ht="11.25" customHeight="1">
      <c r="A205" s="244" t="s">
        <v>800</v>
      </c>
      <c r="B205" s="245"/>
      <c r="C205" s="246">
        <f>IF(ISERROR(ROUND(C169/'A6-FinPos'!C19,3)),0,(ROUND(C169/'A6-FinPos'!C19,3)))</f>
        <v>1.7999999999999999E-2</v>
      </c>
      <c r="D205" s="246">
        <f>IF(ISERROR(ROUND(D169/'A6-FinPos'!D19,3)),0,(ROUND(D169/'A6-FinPos'!D19,3)))</f>
        <v>2.9000000000000001E-2</v>
      </c>
      <c r="E205" s="247">
        <f>IF(ISERROR(ROUND(E169/'A6-FinPos'!E19,3)),0,(ROUND(E169/'A6-FinPos'!E19,3)))</f>
        <v>2.5000000000000001E-2</v>
      </c>
      <c r="F205" s="248">
        <f>IF(ISERROR(ROUND(F169/'A6-FinPos'!F19,3)),0,(ROUND(F169/'A6-FinPos'!F19,3)))</f>
        <v>1.7000000000000001E-2</v>
      </c>
      <c r="G205" s="246">
        <f>IF(ISERROR(ROUND(G169/'A6-FinPos'!G19,3)),0,(ROUND(G169/'A6-FinPos'!G19,3)))</f>
        <v>0.02</v>
      </c>
      <c r="H205" s="249">
        <f>IF(ISERROR(ROUND(H169/'A6-FinPos'!H19,3)),0,(ROUND(H169/'A6-FinPos'!H19,3)))</f>
        <v>2.3E-2</v>
      </c>
      <c r="I205" s="250">
        <f>IF(ISERROR(ROUND(I169/'A6-FinPos'!J19,3)),0,(ROUND(I169/'A6-FinPos'!J19,3)))</f>
        <v>3.2000000000000001E-2</v>
      </c>
      <c r="J205" s="246">
        <f>IF(ISERROR(ROUND(J169/'A6-FinPos'!K19,3)),0,(ROUND(J169/'A6-FinPos'!K19,3)))</f>
        <v>3.1E-2</v>
      </c>
      <c r="K205" s="247">
        <f>IF(ISERROR(ROUND(K169/'A6-FinPos'!L19,3)),0,(ROUND(K169/'A6-FinPos'!L19,3)))</f>
        <v>0.03</v>
      </c>
    </row>
    <row r="206" spans="1:11" ht="11.25" customHeight="1">
      <c r="A206" s="244" t="s">
        <v>2373</v>
      </c>
      <c r="B206" s="245"/>
      <c r="C206" s="246">
        <f>IF(ISERROR(ROUND((C37+C69+C169)/C165,2)),0,(ROUND((C37+C69+C169)/C165,2)))</f>
        <v>0.03</v>
      </c>
      <c r="D206" s="246">
        <f t="shared" ref="D206:K206" si="52">IF(ISERROR(ROUND((D37+D69+D169)/D165,2)),0,(ROUND((D37+D69+D169)/D165,2)))</f>
        <v>0.04</v>
      </c>
      <c r="E206" s="247">
        <f t="shared" si="52"/>
        <v>0.03</v>
      </c>
      <c r="F206" s="248">
        <f t="shared" si="52"/>
        <v>0.03</v>
      </c>
      <c r="G206" s="246">
        <f t="shared" si="52"/>
        <v>0.06</v>
      </c>
      <c r="H206" s="249">
        <f t="shared" si="52"/>
        <v>0.06</v>
      </c>
      <c r="I206" s="250">
        <f t="shared" si="52"/>
        <v>0.08</v>
      </c>
      <c r="J206" s="246">
        <f t="shared" si="52"/>
        <v>7.0000000000000007E-2</v>
      </c>
      <c r="K206" s="247">
        <f t="shared" si="52"/>
        <v>7.0000000000000007E-2</v>
      </c>
    </row>
    <row r="207" spans="1:11" ht="4.9000000000000004" customHeight="1">
      <c r="A207" s="251"/>
      <c r="B207" s="252"/>
      <c r="C207" s="253"/>
      <c r="D207" s="253"/>
      <c r="E207" s="254"/>
      <c r="F207" s="255"/>
      <c r="G207" s="253"/>
      <c r="H207" s="256"/>
      <c r="I207" s="257"/>
      <c r="J207" s="253"/>
      <c r="K207" s="254"/>
    </row>
    <row r="208" spans="1:11" s="576" customFormat="1">
      <c r="A208" s="1063" t="str">
        <f>head27a</f>
        <v>References</v>
      </c>
      <c r="B208" s="1064"/>
      <c r="C208" s="1068"/>
      <c r="D208" s="1068"/>
      <c r="E208" s="1068"/>
      <c r="F208" s="1068"/>
      <c r="G208" s="1068"/>
      <c r="H208" s="1068"/>
      <c r="I208" s="1068"/>
      <c r="J208" s="1068"/>
      <c r="K208" s="1068"/>
    </row>
    <row r="209" spans="1:11" s="576" customFormat="1">
      <c r="A209" s="1028" t="s">
        <v>385</v>
      </c>
      <c r="B209" s="1064"/>
      <c r="C209" s="1068"/>
      <c r="D209" s="1068"/>
      <c r="E209" s="1068"/>
      <c r="F209" s="1068"/>
      <c r="G209" s="1068"/>
      <c r="H209" s="1068"/>
      <c r="I209" s="1068"/>
      <c r="J209" s="1068"/>
      <c r="K209" s="1068"/>
    </row>
    <row r="210" spans="1:11" s="576" customFormat="1">
      <c r="A210" s="1028" t="s">
        <v>386</v>
      </c>
      <c r="B210" s="1064"/>
      <c r="C210" s="1068"/>
      <c r="D210" s="1068"/>
      <c r="E210" s="1068"/>
      <c r="F210" s="1068"/>
      <c r="G210" s="1068"/>
      <c r="H210" s="1068"/>
      <c r="I210" s="1068"/>
      <c r="J210" s="1068"/>
      <c r="K210" s="1068"/>
    </row>
    <row r="211" spans="1:11" s="576" customFormat="1">
      <c r="A211" s="1028" t="s">
        <v>387</v>
      </c>
      <c r="B211" s="1064"/>
      <c r="C211" s="1068"/>
      <c r="D211" s="1068"/>
      <c r="E211" s="1068"/>
      <c r="F211" s="1068"/>
      <c r="G211" s="1068"/>
      <c r="H211" s="1068"/>
      <c r="I211" s="1068"/>
      <c r="J211" s="1068"/>
      <c r="K211" s="1068"/>
    </row>
    <row r="212" spans="1:11" s="576" customFormat="1">
      <c r="A212" s="1025" t="s">
        <v>388</v>
      </c>
      <c r="B212" s="1064"/>
      <c r="C212" s="1068"/>
      <c r="D212" s="1068"/>
      <c r="E212" s="1068"/>
      <c r="F212" s="1068"/>
      <c r="G212" s="1068"/>
      <c r="H212" s="1068"/>
      <c r="I212" s="1068"/>
      <c r="J212" s="1068"/>
      <c r="K212" s="1068"/>
    </row>
    <row r="213" spans="1:11" s="576" customFormat="1">
      <c r="A213" s="1028" t="s">
        <v>389</v>
      </c>
      <c r="B213" s="1064"/>
      <c r="C213" s="1068"/>
      <c r="D213" s="1068"/>
      <c r="E213" s="1068"/>
      <c r="F213" s="1068"/>
      <c r="G213" s="1068"/>
      <c r="H213" s="1068"/>
      <c r="I213" s="1068"/>
      <c r="J213" s="1068"/>
      <c r="K213" s="1068"/>
    </row>
    <row r="214" spans="1:11" s="576" customFormat="1">
      <c r="A214" s="1028" t="s">
        <v>2372</v>
      </c>
      <c r="B214" s="1064"/>
      <c r="C214" s="1068"/>
      <c r="D214" s="1068"/>
      <c r="E214" s="1068"/>
      <c r="F214" s="1068"/>
      <c r="G214" s="1068"/>
      <c r="H214" s="1068"/>
      <c r="I214" s="1068"/>
      <c r="J214" s="1068"/>
      <c r="K214" s="1068"/>
    </row>
    <row r="215" spans="1:11" s="576" customFormat="1">
      <c r="A215" s="1028" t="s">
        <v>2376</v>
      </c>
      <c r="B215" s="1064"/>
      <c r="C215" s="1068"/>
      <c r="D215" s="1068"/>
      <c r="E215" s="1068"/>
      <c r="F215" s="1068"/>
      <c r="G215" s="1068"/>
      <c r="H215" s="1068"/>
      <c r="I215" s="1068"/>
      <c r="J215" s="1068"/>
      <c r="K215" s="1068"/>
    </row>
    <row r="216" spans="1:11" ht="11.25" customHeight="1">
      <c r="A216" s="1095"/>
      <c r="B216" s="1064"/>
      <c r="C216" s="1095"/>
      <c r="D216" s="1095"/>
      <c r="E216" s="1095"/>
      <c r="F216" s="1095"/>
      <c r="G216" s="1095"/>
      <c r="H216" s="574"/>
      <c r="I216" s="574"/>
      <c r="J216" s="574"/>
      <c r="K216" s="574"/>
    </row>
    <row r="217" spans="1:11" ht="11.25" customHeight="1">
      <c r="A217" s="1100" t="s">
        <v>1816</v>
      </c>
      <c r="B217" s="1095"/>
      <c r="C217" s="1099">
        <f>C165-'A6-FinPos'!D17-'A6-FinPos'!D19-'A6-FinPos'!D20-'A6-FinPos'!D21-'A6-FinPos'!D22-C148</f>
        <v>115280846</v>
      </c>
      <c r="D217" s="1099">
        <f>D165-'A6-FinPos'!E17-'A6-FinPos'!E19-'A6-FinPos'!E20-'A6-FinPos'!E21-'A6-FinPos'!E22-D148</f>
        <v>31588439</v>
      </c>
      <c r="E217" s="1099">
        <f>E165-'A6-FinPos'!F17-'A6-FinPos'!F19-'A6-FinPos'!F20-'A6-FinPos'!F21-'A6-FinPos'!F22-E148</f>
        <v>-1434470732</v>
      </c>
      <c r="F217" s="1099">
        <f>F165-'A6-FinPos'!G17-'A6-FinPos'!G19-'A6-FinPos'!G20-'A6-FinPos'!G21-'A6-FinPos'!G22-F148</f>
        <v>1036955853.6752</v>
      </c>
      <c r="G217" s="1099">
        <f>G165-'A6-FinPos'!H17-'A6-FinPos'!H19-'A6-FinPos'!H20-'A6-FinPos'!H21-'A6-FinPos'!H22-G148</f>
        <v>199862839</v>
      </c>
      <c r="H217" s="1099">
        <f>H165-'A6-FinPos'!I17-'A6-FinPos'!I19-'A6-FinPos'!I20-'A6-FinPos'!I21-'A6-FinPos'!I22-H148</f>
        <v>200057839</v>
      </c>
      <c r="I217" s="1099">
        <f>I165-'A6-FinPos'!J17-'A6-FinPos'!J19-'A6-FinPos'!J20-'A6-FinPos'!J21-'A6-FinPos'!J22-I148</f>
        <v>90</v>
      </c>
      <c r="J217" s="1099">
        <f>J165-'A6-FinPos'!K17-'A6-FinPos'!K19-'A6-FinPos'!K20-'A6-FinPos'!K21-'A6-FinPos'!K22-J148</f>
        <v>116</v>
      </c>
      <c r="K217" s="1099">
        <f>K165-'A6-FinPos'!L17-'A6-FinPos'!L19-'A6-FinPos'!L20-'A6-FinPos'!L21-'A6-FinPos'!L22-K148</f>
        <v>-255</v>
      </c>
    </row>
    <row r="218" spans="1:11" ht="11.25" customHeight="1">
      <c r="A218" s="123"/>
      <c r="B218" s="123"/>
      <c r="C218" s="123"/>
      <c r="D218" s="123"/>
      <c r="E218" s="123"/>
      <c r="F218" s="123"/>
      <c r="G218" s="123"/>
    </row>
    <row r="219" spans="1:11" ht="11.25" customHeight="1">
      <c r="A219" s="123"/>
      <c r="B219" s="123"/>
      <c r="C219" s="123"/>
      <c r="D219" s="123"/>
      <c r="E219" s="123"/>
      <c r="F219" s="123"/>
      <c r="G219" s="123"/>
    </row>
    <row r="220" spans="1:11" ht="11.25" customHeight="1">
      <c r="A220" s="123"/>
      <c r="B220" s="123"/>
      <c r="C220" s="123"/>
      <c r="D220" s="123"/>
      <c r="E220" s="123"/>
      <c r="F220" s="123"/>
      <c r="G220" s="123"/>
    </row>
    <row r="221" spans="1:11" ht="11.25" customHeight="1">
      <c r="A221" s="123"/>
      <c r="B221" s="113"/>
      <c r="C221" s="123"/>
      <c r="D221" s="123"/>
      <c r="E221" s="123"/>
      <c r="F221" s="123"/>
      <c r="G221" s="123"/>
    </row>
    <row r="222" spans="1:11" ht="11.25" customHeight="1"/>
    <row r="223" spans="1:11" ht="11.25" customHeight="1"/>
    <row r="224" spans="1:11"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sheetData>
  <dataConsolidate/>
  <mergeCells count="2">
    <mergeCell ref="F2:H2"/>
    <mergeCell ref="I2:K2"/>
  </mergeCells>
  <phoneticPr fontId="5"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59" activePane="bottomRight" state="frozen"/>
      <selection pane="topRight"/>
      <selection pane="bottomLeft"/>
      <selection pane="bottomRight" activeCell="E63" sqref="E63:E67"/>
    </sheetView>
  </sheetViews>
  <sheetFormatPr defaultColWidth="9.140625" defaultRowHeight="12.75"/>
  <cols>
    <col min="1" max="1" width="54.7109375" style="574" customWidth="1"/>
    <col min="2" max="2" width="3" style="571" customWidth="1"/>
    <col min="3" max="8" width="9.28515625" style="574" customWidth="1"/>
    <col min="9" max="9" width="9.7109375" style="574" customWidth="1"/>
    <col min="10" max="11" width="9.28515625" style="574" customWidth="1"/>
    <col min="12" max="12" width="9.7109375" style="574" customWidth="1"/>
    <col min="13" max="13" width="9.42578125" style="574" customWidth="1"/>
    <col min="14" max="14" width="9.7109375" style="574" customWidth="1"/>
    <col min="15" max="17" width="9.42578125" style="574" customWidth="1"/>
    <col min="18" max="18" width="9.7109375" style="574" customWidth="1"/>
    <col min="19" max="21" width="9.42578125" style="574" customWidth="1"/>
    <col min="22" max="23" width="9.7109375" style="574" customWidth="1"/>
    <col min="24" max="16384" width="9.140625" style="574"/>
  </cols>
  <sheetData>
    <row r="1" spans="1:13" s="955" customFormat="1">
      <c r="A1" s="954" t="str">
        <f>muni&amp;" - "&amp;Approve10</f>
        <v>LIM333 Greater Tzaneen - Table A10 Consolidated basic service delivery measurement</v>
      </c>
      <c r="B1" s="954"/>
      <c r="C1" s="954"/>
      <c r="D1" s="954"/>
      <c r="E1" s="954"/>
      <c r="F1" s="954"/>
      <c r="G1" s="954"/>
      <c r="H1" s="954"/>
      <c r="I1" s="954"/>
      <c r="J1" s="954"/>
      <c r="K1" s="954"/>
    </row>
    <row r="2" spans="1:13" ht="28.5" customHeight="1">
      <c r="A2" s="2869" t="str">
        <f>desc</f>
        <v>Description</v>
      </c>
      <c r="B2" s="2871" t="str">
        <f>head27</f>
        <v>Ref</v>
      </c>
      <c r="C2" s="956" t="str">
        <f>head1b</f>
        <v>2016/17</v>
      </c>
      <c r="D2" s="956" t="str">
        <f>head1A</f>
        <v>2017/18</v>
      </c>
      <c r="E2" s="957" t="str">
        <f>Head1</f>
        <v>2018/19</v>
      </c>
      <c r="F2" s="2851" t="str">
        <f>Head2</f>
        <v>Current Year 2019/20</v>
      </c>
      <c r="G2" s="2852"/>
      <c r="H2" s="2868"/>
      <c r="I2" s="2853" t="str">
        <f>Head3</f>
        <v>2020/21 Medium Term Revenue &amp; Expenditure Framework</v>
      </c>
      <c r="J2" s="2854"/>
      <c r="K2" s="2855"/>
    </row>
    <row r="3" spans="1:13" ht="25.5">
      <c r="A3" s="2870"/>
      <c r="B3" s="2872"/>
      <c r="C3" s="958" t="str">
        <f>Head5A</f>
        <v>Outcome</v>
      </c>
      <c r="D3" s="958" t="str">
        <f>Head5A</f>
        <v>Outcome</v>
      </c>
      <c r="E3" s="959" t="str">
        <f>Head5A</f>
        <v>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row>
    <row r="4" spans="1:13" s="1808" customFormat="1" ht="11.25" customHeight="1">
      <c r="A4" s="961" t="s">
        <v>1963</v>
      </c>
      <c r="B4" s="962">
        <v>1</v>
      </c>
      <c r="C4" s="1809"/>
      <c r="D4" s="1809"/>
      <c r="E4" s="1810"/>
      <c r="F4" s="1811"/>
      <c r="G4" s="1809"/>
      <c r="H4" s="1812"/>
      <c r="I4" s="1813"/>
      <c r="J4" s="1809"/>
      <c r="K4" s="1810"/>
    </row>
    <row r="5" spans="1:13" s="1808" customFormat="1">
      <c r="A5" s="968" t="s">
        <v>1615</v>
      </c>
      <c r="B5" s="962"/>
      <c r="C5" s="1779"/>
      <c r="D5" s="1779"/>
      <c r="E5" s="1780"/>
      <c r="F5" s="1781"/>
      <c r="G5" s="1779"/>
      <c r="H5" s="1782"/>
      <c r="I5" s="1783"/>
      <c r="J5" s="1779"/>
      <c r="K5" s="1780"/>
    </row>
    <row r="6" spans="1:13" ht="11.25" customHeight="1">
      <c r="A6" s="969" t="s">
        <v>1448</v>
      </c>
      <c r="B6" s="962"/>
      <c r="C6" s="1800">
        <f>'SA9'!E67</f>
        <v>17723</v>
      </c>
      <c r="D6" s="1800">
        <f>'SA9'!F67</f>
        <v>17793</v>
      </c>
      <c r="E6" s="2403">
        <f>'SA9'!G67</f>
        <v>17793</v>
      </c>
      <c r="F6" s="1804">
        <f>'SA9'!H67</f>
        <v>17793</v>
      </c>
      <c r="G6" s="1800">
        <f>'SA9'!I67</f>
        <v>17793</v>
      </c>
      <c r="H6" s="2403">
        <f>'SA9'!J67</f>
        <v>17793</v>
      </c>
      <c r="I6" s="1804">
        <f>'SA9'!K67</f>
        <v>17793</v>
      </c>
      <c r="J6" s="1800">
        <f>'SA9'!L67</f>
        <v>17793</v>
      </c>
      <c r="K6" s="2403">
        <f>'SA9'!M67</f>
        <v>17793</v>
      </c>
      <c r="L6" s="1278"/>
      <c r="M6" s="1278"/>
    </row>
    <row r="7" spans="1:13" ht="11.25" customHeight="1">
      <c r="A7" s="969" t="s">
        <v>1614</v>
      </c>
      <c r="B7" s="962"/>
      <c r="C7" s="1800">
        <f>'SA9'!E68</f>
        <v>24969</v>
      </c>
      <c r="D7" s="1800">
        <f>'SA9'!F68</f>
        <v>34755</v>
      </c>
      <c r="E7" s="2403">
        <f>'SA9'!G68</f>
        <v>34755</v>
      </c>
      <c r="F7" s="1804">
        <f>'SA9'!H68</f>
        <v>34755</v>
      </c>
      <c r="G7" s="1800">
        <f>'SA9'!I68</f>
        <v>34755</v>
      </c>
      <c r="H7" s="2403">
        <f>'SA9'!J68</f>
        <v>34755</v>
      </c>
      <c r="I7" s="1804">
        <f>'SA9'!K68</f>
        <v>34755</v>
      </c>
      <c r="J7" s="1800">
        <f>'SA9'!L68</f>
        <v>34755</v>
      </c>
      <c r="K7" s="2403">
        <f>'SA9'!M68</f>
        <v>34755</v>
      </c>
      <c r="L7" s="1278"/>
      <c r="M7" s="1278"/>
    </row>
    <row r="8" spans="1:13" ht="11.25" customHeight="1">
      <c r="A8" s="969" t="s">
        <v>111</v>
      </c>
      <c r="B8" s="962">
        <v>2</v>
      </c>
      <c r="C8" s="1800">
        <f>'SA9'!E69</f>
        <v>17540</v>
      </c>
      <c r="D8" s="1800">
        <f>'SA9'!F69</f>
        <v>17540</v>
      </c>
      <c r="E8" s="2403">
        <f>'SA9'!G69</f>
        <v>17540</v>
      </c>
      <c r="F8" s="1804">
        <f>'SA9'!H69</f>
        <v>17540</v>
      </c>
      <c r="G8" s="1800">
        <f>'SA9'!I69</f>
        <v>17540</v>
      </c>
      <c r="H8" s="2403">
        <f>'SA9'!J69</f>
        <v>17540</v>
      </c>
      <c r="I8" s="1804">
        <f>'SA9'!K69</f>
        <v>17540</v>
      </c>
      <c r="J8" s="1800">
        <f>'SA9'!L69</f>
        <v>17540</v>
      </c>
      <c r="K8" s="2403">
        <f>'SA9'!M69</f>
        <v>17540</v>
      </c>
      <c r="L8" s="1278"/>
      <c r="M8" s="1278"/>
    </row>
    <row r="9" spans="1:13" ht="11.25" customHeight="1">
      <c r="A9" s="969" t="s">
        <v>112</v>
      </c>
      <c r="B9" s="962">
        <v>4</v>
      </c>
      <c r="C9" s="1800">
        <f>'SA9'!E70</f>
        <v>25183</v>
      </c>
      <c r="D9" s="1800">
        <f>'SA9'!F70</f>
        <v>25183</v>
      </c>
      <c r="E9" s="2403">
        <f>'SA9'!G70</f>
        <v>25183</v>
      </c>
      <c r="F9" s="1804">
        <f>'SA9'!H70</f>
        <v>25183</v>
      </c>
      <c r="G9" s="1800">
        <f>'SA9'!I70</f>
        <v>25183</v>
      </c>
      <c r="H9" s="2403">
        <f>'SA9'!J70</f>
        <v>25183</v>
      </c>
      <c r="I9" s="1804">
        <f>'SA9'!K70</f>
        <v>25183</v>
      </c>
      <c r="J9" s="1800">
        <f>'SA9'!L70</f>
        <v>25183</v>
      </c>
      <c r="K9" s="2403">
        <f>'SA9'!M70</f>
        <v>25183</v>
      </c>
      <c r="L9" s="1278"/>
      <c r="M9" s="1278"/>
    </row>
    <row r="10" spans="1:13" ht="11.25" customHeight="1">
      <c r="A10" s="1345" t="s">
        <v>323</v>
      </c>
      <c r="B10" s="962"/>
      <c r="C10" s="1785">
        <f>SUM(C6:C9)</f>
        <v>85415</v>
      </c>
      <c r="D10" s="1785">
        <f t="shared" ref="D10:K10" si="0">SUM(D6:D9)</f>
        <v>95271</v>
      </c>
      <c r="E10" s="1786">
        <f t="shared" si="0"/>
        <v>95271</v>
      </c>
      <c r="F10" s="1787">
        <f t="shared" si="0"/>
        <v>95271</v>
      </c>
      <c r="G10" s="1785">
        <f t="shared" si="0"/>
        <v>95271</v>
      </c>
      <c r="H10" s="1788">
        <f t="shared" si="0"/>
        <v>95271</v>
      </c>
      <c r="I10" s="1789">
        <f t="shared" si="0"/>
        <v>95271</v>
      </c>
      <c r="J10" s="1785">
        <f t="shared" si="0"/>
        <v>95271</v>
      </c>
      <c r="K10" s="1786">
        <f t="shared" si="0"/>
        <v>95271</v>
      </c>
      <c r="L10" s="1278"/>
      <c r="M10" s="1278"/>
    </row>
    <row r="11" spans="1:13" ht="11.25" customHeight="1">
      <c r="A11" s="969" t="s">
        <v>435</v>
      </c>
      <c r="B11" s="962">
        <v>3</v>
      </c>
      <c r="C11" s="1800">
        <f>'SA9'!E72</f>
        <v>23511</v>
      </c>
      <c r="D11" s="1800">
        <f>'SA9'!F72</f>
        <v>23511</v>
      </c>
      <c r="E11" s="2403">
        <f>'SA9'!G72</f>
        <v>23511</v>
      </c>
      <c r="F11" s="1804">
        <f>'SA9'!H72</f>
        <v>23511</v>
      </c>
      <c r="G11" s="1800">
        <f>'SA9'!I72</f>
        <v>23511</v>
      </c>
      <c r="H11" s="2403">
        <f>'SA9'!J72</f>
        <v>23511</v>
      </c>
      <c r="I11" s="1804">
        <f>'SA9'!K72</f>
        <v>23511</v>
      </c>
      <c r="J11" s="1800">
        <f>'SA9'!L72</f>
        <v>23511</v>
      </c>
      <c r="K11" s="2403">
        <f>'SA9'!M72</f>
        <v>23511</v>
      </c>
      <c r="L11" s="1278"/>
      <c r="M11" s="1278"/>
    </row>
    <row r="12" spans="1:13" ht="11.25" customHeight="1">
      <c r="A12" s="969" t="s">
        <v>436</v>
      </c>
      <c r="B12" s="962">
        <f>B9</f>
        <v>4</v>
      </c>
      <c r="C12" s="1800">
        <f>'SA9'!E73</f>
        <v>0</v>
      </c>
      <c r="D12" s="1800">
        <f>'SA9'!F73</f>
        <v>0</v>
      </c>
      <c r="E12" s="2403">
        <f>'SA9'!G73</f>
        <v>0</v>
      </c>
      <c r="F12" s="1804">
        <f>'SA9'!H73</f>
        <v>0</v>
      </c>
      <c r="G12" s="1800">
        <f>'SA9'!I73</f>
        <v>0</v>
      </c>
      <c r="H12" s="2403">
        <f>'SA9'!J73</f>
        <v>0</v>
      </c>
      <c r="I12" s="1804">
        <f>'SA9'!K73</f>
        <v>0</v>
      </c>
      <c r="J12" s="1800">
        <f>'SA9'!L73</f>
        <v>0</v>
      </c>
      <c r="K12" s="2403">
        <f>'SA9'!M73</f>
        <v>0</v>
      </c>
      <c r="L12" s="1278"/>
      <c r="M12" s="1278"/>
    </row>
    <row r="13" spans="1:13" ht="11.25" customHeight="1">
      <c r="A13" s="969" t="s">
        <v>842</v>
      </c>
      <c r="B13" s="962"/>
      <c r="C13" s="1800">
        <f>'SA9'!E74</f>
        <v>0</v>
      </c>
      <c r="D13" s="1800">
        <f>'SA9'!F74</f>
        <v>0</v>
      </c>
      <c r="E13" s="2403">
        <f>'SA9'!G74</f>
        <v>0</v>
      </c>
      <c r="F13" s="1804">
        <f>'SA9'!H74</f>
        <v>0</v>
      </c>
      <c r="G13" s="1800">
        <f>'SA9'!I74</f>
        <v>0</v>
      </c>
      <c r="H13" s="2403">
        <f>'SA9'!J74</f>
        <v>0</v>
      </c>
      <c r="I13" s="1804">
        <f>'SA9'!K74</f>
        <v>0</v>
      </c>
      <c r="J13" s="1800">
        <f>'SA9'!L74</f>
        <v>0</v>
      </c>
      <c r="K13" s="2403">
        <f>'SA9'!M74</f>
        <v>0</v>
      </c>
      <c r="L13" s="1278"/>
      <c r="M13" s="1278"/>
    </row>
    <row r="14" spans="1:13" ht="11.25" customHeight="1">
      <c r="A14" s="1345" t="s">
        <v>1131</v>
      </c>
      <c r="B14" s="962"/>
      <c r="C14" s="1790">
        <f>SUM(C11:C13)</f>
        <v>23511</v>
      </c>
      <c r="D14" s="1790">
        <f t="shared" ref="D14:K14" si="1">SUM(D11:D13)</f>
        <v>23511</v>
      </c>
      <c r="E14" s="1791">
        <f t="shared" si="1"/>
        <v>23511</v>
      </c>
      <c r="F14" s="1792">
        <f t="shared" si="1"/>
        <v>23511</v>
      </c>
      <c r="G14" s="1790">
        <f t="shared" si="1"/>
        <v>23511</v>
      </c>
      <c r="H14" s="1793">
        <f t="shared" si="1"/>
        <v>23511</v>
      </c>
      <c r="I14" s="1794">
        <f t="shared" si="1"/>
        <v>23511</v>
      </c>
      <c r="J14" s="1790">
        <f t="shared" si="1"/>
        <v>23511</v>
      </c>
      <c r="K14" s="1791">
        <f t="shared" si="1"/>
        <v>23511</v>
      </c>
      <c r="L14" s="1278"/>
      <c r="M14" s="1278"/>
    </row>
    <row r="15" spans="1:13" ht="11.25" customHeight="1">
      <c r="A15" s="970" t="s">
        <v>1167</v>
      </c>
      <c r="B15" s="962">
        <v>5</v>
      </c>
      <c r="C15" s="1795">
        <f>C10+C14</f>
        <v>108926</v>
      </c>
      <c r="D15" s="1795">
        <f t="shared" ref="D15:K15" si="2">D10+D14</f>
        <v>118782</v>
      </c>
      <c r="E15" s="1796">
        <f t="shared" si="2"/>
        <v>118782</v>
      </c>
      <c r="F15" s="1797">
        <f t="shared" si="2"/>
        <v>118782</v>
      </c>
      <c r="G15" s="1795">
        <f t="shared" si="2"/>
        <v>118782</v>
      </c>
      <c r="H15" s="1798">
        <f t="shared" si="2"/>
        <v>118782</v>
      </c>
      <c r="I15" s="1799">
        <f t="shared" si="2"/>
        <v>118782</v>
      </c>
      <c r="J15" s="1795">
        <f t="shared" si="2"/>
        <v>118782</v>
      </c>
      <c r="K15" s="1796">
        <f t="shared" si="2"/>
        <v>118782</v>
      </c>
      <c r="L15" s="1278"/>
      <c r="M15" s="1278"/>
    </row>
    <row r="16" spans="1:13" s="1808" customFormat="1" ht="15.75" customHeight="1">
      <c r="A16" s="968" t="s">
        <v>1168</v>
      </c>
      <c r="B16" s="962"/>
      <c r="C16" s="1779"/>
      <c r="D16" s="1779"/>
      <c r="E16" s="1780"/>
      <c r="F16" s="1781"/>
      <c r="G16" s="1779"/>
      <c r="H16" s="1782"/>
      <c r="I16" s="1783"/>
      <c r="J16" s="1779"/>
      <c r="K16" s="1780"/>
      <c r="L16" s="1807"/>
      <c r="M16" s="1807"/>
    </row>
    <row r="17" spans="1:13" ht="11.25" customHeight="1">
      <c r="A17" s="969" t="s">
        <v>1169</v>
      </c>
      <c r="B17" s="962"/>
      <c r="C17" s="1800">
        <f>'SA9'!E78</f>
        <v>14480</v>
      </c>
      <c r="D17" s="1800">
        <f>'SA9'!F78</f>
        <v>14480</v>
      </c>
      <c r="E17" s="2403">
        <f>'SA9'!G78</f>
        <v>14480</v>
      </c>
      <c r="F17" s="1804">
        <f>'SA9'!H78</f>
        <v>14480</v>
      </c>
      <c r="G17" s="1800">
        <f>'SA9'!I78</f>
        <v>14480</v>
      </c>
      <c r="H17" s="2403">
        <f>'SA9'!J78</f>
        <v>14480</v>
      </c>
      <c r="I17" s="1804">
        <f>'SA9'!K78</f>
        <v>14480</v>
      </c>
      <c r="J17" s="1800">
        <f>'SA9'!L78</f>
        <v>14480</v>
      </c>
      <c r="K17" s="2403">
        <f>'SA9'!M78</f>
        <v>14480</v>
      </c>
      <c r="L17" s="1278"/>
      <c r="M17" s="1278"/>
    </row>
    <row r="18" spans="1:13" ht="11.25" customHeight="1">
      <c r="A18" s="969" t="s">
        <v>1170</v>
      </c>
      <c r="B18" s="962"/>
      <c r="C18" s="1800">
        <f>'SA9'!E79</f>
        <v>284</v>
      </c>
      <c r="D18" s="1800">
        <f>'SA9'!F79</f>
        <v>284</v>
      </c>
      <c r="E18" s="2403">
        <f>'SA9'!G79</f>
        <v>284</v>
      </c>
      <c r="F18" s="1804">
        <f>'SA9'!H79</f>
        <v>284</v>
      </c>
      <c r="G18" s="1800">
        <f>'SA9'!I79</f>
        <v>284</v>
      </c>
      <c r="H18" s="2403">
        <f>'SA9'!J79</f>
        <v>284</v>
      </c>
      <c r="I18" s="1804">
        <f>'SA9'!K79</f>
        <v>284</v>
      </c>
      <c r="J18" s="1800">
        <f>'SA9'!L79</f>
        <v>284</v>
      </c>
      <c r="K18" s="2403">
        <f>'SA9'!M79</f>
        <v>284</v>
      </c>
      <c r="L18" s="1278"/>
      <c r="M18" s="1278"/>
    </row>
    <row r="19" spans="1:13" ht="11.25" customHeight="1">
      <c r="A19" s="969" t="s">
        <v>1235</v>
      </c>
      <c r="B19" s="962"/>
      <c r="C19" s="1800">
        <f>'SA9'!E80</f>
        <v>0</v>
      </c>
      <c r="D19" s="1800">
        <f>'SA9'!F80</f>
        <v>0</v>
      </c>
      <c r="E19" s="2403">
        <f>'SA9'!G80</f>
        <v>0</v>
      </c>
      <c r="F19" s="1804">
        <f>'SA9'!H80</f>
        <v>0</v>
      </c>
      <c r="G19" s="1800">
        <f>'SA9'!I80</f>
        <v>0</v>
      </c>
      <c r="H19" s="2403">
        <f>'SA9'!J80</f>
        <v>0</v>
      </c>
      <c r="I19" s="1804">
        <f>'SA9'!K80</f>
        <v>0</v>
      </c>
      <c r="J19" s="1800">
        <f>'SA9'!L80</f>
        <v>0</v>
      </c>
      <c r="K19" s="2403">
        <f>'SA9'!M80</f>
        <v>0</v>
      </c>
      <c r="L19" s="1278"/>
      <c r="M19" s="1278"/>
    </row>
    <row r="20" spans="1:13" ht="11.25" customHeight="1">
      <c r="A20" s="969" t="s">
        <v>211</v>
      </c>
      <c r="B20" s="962"/>
      <c r="C20" s="1800">
        <f>'SA9'!E81</f>
        <v>67104</v>
      </c>
      <c r="D20" s="1800">
        <f>'SA9'!F81</f>
        <v>67104</v>
      </c>
      <c r="E20" s="2403">
        <f>'SA9'!G81</f>
        <v>67104</v>
      </c>
      <c r="F20" s="1804">
        <f>'SA9'!H81</f>
        <v>67104</v>
      </c>
      <c r="G20" s="1800">
        <f>'SA9'!I81</f>
        <v>67104</v>
      </c>
      <c r="H20" s="2403">
        <f>'SA9'!J81</f>
        <v>67104</v>
      </c>
      <c r="I20" s="1804">
        <f>'SA9'!K81</f>
        <v>67104</v>
      </c>
      <c r="J20" s="1800">
        <f>'SA9'!L81</f>
        <v>67104</v>
      </c>
      <c r="K20" s="2403">
        <f>'SA9'!M81</f>
        <v>67104</v>
      </c>
      <c r="L20" s="1278"/>
      <c r="M20" s="1278"/>
    </row>
    <row r="21" spans="1:13" ht="11.25" customHeight="1">
      <c r="A21" s="969" t="s">
        <v>213</v>
      </c>
      <c r="B21" s="962"/>
      <c r="C21" s="1800">
        <f>'SA9'!E82</f>
        <v>0</v>
      </c>
      <c r="D21" s="1800">
        <f>'SA9'!F82</f>
        <v>0</v>
      </c>
      <c r="E21" s="2403">
        <f>'SA9'!G82</f>
        <v>0</v>
      </c>
      <c r="F21" s="1804">
        <f>'SA9'!H82</f>
        <v>0</v>
      </c>
      <c r="G21" s="1800">
        <f>'SA9'!I82</f>
        <v>0</v>
      </c>
      <c r="H21" s="2403">
        <f>'SA9'!J82</f>
        <v>0</v>
      </c>
      <c r="I21" s="1804">
        <f>'SA9'!K82</f>
        <v>0</v>
      </c>
      <c r="J21" s="1800">
        <f>'SA9'!L82</f>
        <v>0</v>
      </c>
      <c r="K21" s="2403">
        <f>'SA9'!M82</f>
        <v>0</v>
      </c>
      <c r="L21" s="1278"/>
      <c r="M21" s="1278"/>
    </row>
    <row r="22" spans="1:13" ht="11.25" customHeight="1">
      <c r="A22" s="1345" t="str">
        <f>$A$10</f>
        <v>Minimum Service Level and Above sub-total</v>
      </c>
      <c r="B22" s="962"/>
      <c r="C22" s="1785">
        <f>SUM(C17:C21)</f>
        <v>81868</v>
      </c>
      <c r="D22" s="1785">
        <f t="shared" ref="D22:K22" si="3">SUM(D17:D21)</f>
        <v>81868</v>
      </c>
      <c r="E22" s="1786">
        <f t="shared" si="3"/>
        <v>81868</v>
      </c>
      <c r="F22" s="1787">
        <f t="shared" si="3"/>
        <v>81868</v>
      </c>
      <c r="G22" s="1785">
        <f t="shared" si="3"/>
        <v>81868</v>
      </c>
      <c r="H22" s="1788">
        <f t="shared" si="3"/>
        <v>81868</v>
      </c>
      <c r="I22" s="1789">
        <f t="shared" si="3"/>
        <v>81868</v>
      </c>
      <c r="J22" s="1785">
        <f t="shared" si="3"/>
        <v>81868</v>
      </c>
      <c r="K22" s="1786">
        <f t="shared" si="3"/>
        <v>81868</v>
      </c>
      <c r="L22" s="1278"/>
      <c r="M22" s="1278"/>
    </row>
    <row r="23" spans="1:13" ht="11.25" customHeight="1">
      <c r="A23" s="969" t="s">
        <v>212</v>
      </c>
      <c r="B23" s="962"/>
      <c r="C23" s="1800">
        <f>'SA9'!E84</f>
        <v>0</v>
      </c>
      <c r="D23" s="1800">
        <f>'SA9'!F84</f>
        <v>0</v>
      </c>
      <c r="E23" s="2403">
        <f>'SA9'!G84</f>
        <v>0</v>
      </c>
      <c r="F23" s="1804">
        <f>'SA9'!H84</f>
        <v>0</v>
      </c>
      <c r="G23" s="1800">
        <f>'SA9'!I84</f>
        <v>0</v>
      </c>
      <c r="H23" s="2403">
        <f>'SA9'!J84</f>
        <v>0</v>
      </c>
      <c r="I23" s="1804">
        <f>'SA9'!K84</f>
        <v>0</v>
      </c>
      <c r="J23" s="1800">
        <f>'SA9'!L84</f>
        <v>0</v>
      </c>
      <c r="K23" s="2403">
        <f>'SA9'!M84</f>
        <v>0</v>
      </c>
      <c r="L23" s="1278"/>
      <c r="M23" s="1278"/>
    </row>
    <row r="24" spans="1:13" ht="11.25" customHeight="1">
      <c r="A24" s="969" t="s">
        <v>1079</v>
      </c>
      <c r="B24" s="962"/>
      <c r="C24" s="1800">
        <f>'SA9'!E85</f>
        <v>0</v>
      </c>
      <c r="D24" s="1800">
        <f>'SA9'!F85</f>
        <v>0</v>
      </c>
      <c r="E24" s="2403">
        <f>'SA9'!G85</f>
        <v>0</v>
      </c>
      <c r="F24" s="1804">
        <f>'SA9'!H85</f>
        <v>0</v>
      </c>
      <c r="G24" s="1800">
        <f>'SA9'!I85</f>
        <v>0</v>
      </c>
      <c r="H24" s="2403">
        <f>'SA9'!J85</f>
        <v>0</v>
      </c>
      <c r="I24" s="1804">
        <f>'SA9'!K85</f>
        <v>0</v>
      </c>
      <c r="J24" s="1800">
        <f>'SA9'!L85</f>
        <v>0</v>
      </c>
      <c r="K24" s="2403">
        <f>'SA9'!M85</f>
        <v>0</v>
      </c>
      <c r="L24" s="1278"/>
      <c r="M24" s="1278"/>
    </row>
    <row r="25" spans="1:13" ht="11.25" customHeight="1">
      <c r="A25" s="969" t="s">
        <v>1237</v>
      </c>
      <c r="B25" s="962"/>
      <c r="C25" s="1800">
        <f>'SA9'!E86</f>
        <v>27058</v>
      </c>
      <c r="D25" s="1800">
        <f>'SA9'!F86</f>
        <v>27058</v>
      </c>
      <c r="E25" s="2403">
        <f>'SA9'!G86</f>
        <v>27058</v>
      </c>
      <c r="F25" s="1804">
        <f>'SA9'!H86</f>
        <v>27058</v>
      </c>
      <c r="G25" s="1800">
        <f>'SA9'!I86</f>
        <v>27058</v>
      </c>
      <c r="H25" s="2403">
        <f>'SA9'!J86</f>
        <v>27058</v>
      </c>
      <c r="I25" s="1804">
        <f>'SA9'!K86</f>
        <v>27058</v>
      </c>
      <c r="J25" s="1800">
        <f>'SA9'!L86</f>
        <v>27058</v>
      </c>
      <c r="K25" s="2403">
        <f>'SA9'!M86</f>
        <v>27058</v>
      </c>
      <c r="L25" s="1278"/>
      <c r="M25" s="1278"/>
    </row>
    <row r="26" spans="1:13" ht="11.25" customHeight="1">
      <c r="A26" s="1345" t="str">
        <f>$A$14</f>
        <v>Below Minimum Service Level sub-total</v>
      </c>
      <c r="B26" s="962"/>
      <c r="C26" s="1790">
        <f>SUM(C23:C25)</f>
        <v>27058</v>
      </c>
      <c r="D26" s="1790">
        <f t="shared" ref="D26:K26" si="4">SUM(D23:D25)</f>
        <v>27058</v>
      </c>
      <c r="E26" s="1791">
        <f t="shared" si="4"/>
        <v>27058</v>
      </c>
      <c r="F26" s="1792">
        <f t="shared" si="4"/>
        <v>27058</v>
      </c>
      <c r="G26" s="1790">
        <f t="shared" si="4"/>
        <v>27058</v>
      </c>
      <c r="H26" s="1793">
        <f t="shared" si="4"/>
        <v>27058</v>
      </c>
      <c r="I26" s="1794">
        <f t="shared" si="4"/>
        <v>27058</v>
      </c>
      <c r="J26" s="1790">
        <f t="shared" si="4"/>
        <v>27058</v>
      </c>
      <c r="K26" s="1791">
        <f t="shared" si="4"/>
        <v>27058</v>
      </c>
      <c r="L26" s="1278"/>
      <c r="M26" s="1278"/>
    </row>
    <row r="27" spans="1:13" ht="11.25" customHeight="1">
      <c r="A27" s="970" t="str">
        <f>$A$15</f>
        <v>Total number of households</v>
      </c>
      <c r="B27" s="962">
        <f>$B$15</f>
        <v>5</v>
      </c>
      <c r="C27" s="1795">
        <f>C22+C26</f>
        <v>108926</v>
      </c>
      <c r="D27" s="1795">
        <f t="shared" ref="D27:K27" si="5">D22+D26</f>
        <v>108926</v>
      </c>
      <c r="E27" s="1796">
        <f t="shared" si="5"/>
        <v>108926</v>
      </c>
      <c r="F27" s="1797">
        <f t="shared" si="5"/>
        <v>108926</v>
      </c>
      <c r="G27" s="1795">
        <f t="shared" si="5"/>
        <v>108926</v>
      </c>
      <c r="H27" s="1798">
        <f t="shared" si="5"/>
        <v>108926</v>
      </c>
      <c r="I27" s="1799">
        <f t="shared" si="5"/>
        <v>108926</v>
      </c>
      <c r="J27" s="1795">
        <f t="shared" si="5"/>
        <v>108926</v>
      </c>
      <c r="K27" s="1796">
        <f t="shared" si="5"/>
        <v>108926</v>
      </c>
      <c r="L27" s="1278"/>
      <c r="M27" s="1278"/>
    </row>
    <row r="28" spans="1:13" s="1808" customFormat="1" ht="15.75" customHeight="1">
      <c r="A28" s="968" t="s">
        <v>590</v>
      </c>
      <c r="B28" s="962"/>
      <c r="C28" s="1779"/>
      <c r="D28" s="1779"/>
      <c r="E28" s="1780"/>
      <c r="F28" s="1781"/>
      <c r="G28" s="1779"/>
      <c r="H28" s="1782"/>
      <c r="I28" s="1783"/>
      <c r="J28" s="1779"/>
      <c r="K28" s="1780"/>
      <c r="L28" s="1807"/>
      <c r="M28" s="1807"/>
    </row>
    <row r="29" spans="1:13" ht="11.25" customHeight="1">
      <c r="A29" s="969" t="s">
        <v>1080</v>
      </c>
      <c r="B29" s="962"/>
      <c r="C29" s="1800">
        <f>'SA9'!E90</f>
        <v>12100</v>
      </c>
      <c r="D29" s="1800">
        <f>'SA9'!F90</f>
        <v>12900</v>
      </c>
      <c r="E29" s="2403">
        <f>'SA9'!G90</f>
        <v>13000</v>
      </c>
      <c r="F29" s="1804">
        <f>'SA9'!H90</f>
        <v>13200</v>
      </c>
      <c r="G29" s="1800">
        <f>'SA9'!I90</f>
        <v>13200</v>
      </c>
      <c r="H29" s="2403">
        <f>'SA9'!J90</f>
        <v>13200</v>
      </c>
      <c r="I29" s="1804">
        <f>'SA9'!K90</f>
        <v>13200</v>
      </c>
      <c r="J29" s="1800">
        <f>'SA9'!L90</f>
        <v>13500</v>
      </c>
      <c r="K29" s="2403">
        <f>'SA9'!M90</f>
        <v>13500</v>
      </c>
      <c r="L29" s="1278"/>
      <c r="M29" s="1278"/>
    </row>
    <row r="30" spans="1:13" ht="11.25" customHeight="1">
      <c r="A30" s="969" t="s">
        <v>437</v>
      </c>
      <c r="B30" s="962"/>
      <c r="C30" s="1800">
        <f>'SA9'!E91</f>
        <v>1010</v>
      </c>
      <c r="D30" s="1800">
        <f>'SA9'!F91</f>
        <v>1200</v>
      </c>
      <c r="E30" s="2403">
        <f>'SA9'!G91</f>
        <v>1350</v>
      </c>
      <c r="F30" s="1804">
        <f>'SA9'!H91</f>
        <v>1420</v>
      </c>
      <c r="G30" s="1800">
        <f>'SA9'!I91</f>
        <v>1420</v>
      </c>
      <c r="H30" s="2403">
        <f>'SA9'!J91</f>
        <v>1420</v>
      </c>
      <c r="I30" s="1804">
        <f>'SA9'!K91</f>
        <v>1420</v>
      </c>
      <c r="J30" s="1800">
        <f>'SA9'!L91</f>
        <v>1500</v>
      </c>
      <c r="K30" s="2403">
        <f>'SA9'!M91</f>
        <v>1500</v>
      </c>
      <c r="L30" s="1278"/>
      <c r="M30" s="1278"/>
    </row>
    <row r="31" spans="1:13" ht="11.25" customHeight="1">
      <c r="A31" s="1345" t="str">
        <f>$A$10</f>
        <v>Minimum Service Level and Above sub-total</v>
      </c>
      <c r="B31" s="962"/>
      <c r="C31" s="1785">
        <f>SUM(C29:C30)</f>
        <v>13110</v>
      </c>
      <c r="D31" s="1785">
        <f t="shared" ref="D31:K31" si="6">SUM(D29:D30)</f>
        <v>14100</v>
      </c>
      <c r="E31" s="1786">
        <f t="shared" si="6"/>
        <v>14350</v>
      </c>
      <c r="F31" s="1787">
        <f t="shared" si="6"/>
        <v>14620</v>
      </c>
      <c r="G31" s="1785">
        <f t="shared" si="6"/>
        <v>14620</v>
      </c>
      <c r="H31" s="1788">
        <f t="shared" si="6"/>
        <v>14620</v>
      </c>
      <c r="I31" s="1789">
        <f t="shared" si="6"/>
        <v>14620</v>
      </c>
      <c r="J31" s="1785">
        <f t="shared" si="6"/>
        <v>15000</v>
      </c>
      <c r="K31" s="1786">
        <f t="shared" si="6"/>
        <v>15000</v>
      </c>
      <c r="L31" s="1278"/>
      <c r="M31" s="1278"/>
    </row>
    <row r="32" spans="1:13" ht="11.25" customHeight="1">
      <c r="A32" s="969" t="s">
        <v>438</v>
      </c>
      <c r="B32" s="962"/>
      <c r="C32" s="1800">
        <f>'SA9'!E93</f>
        <v>0</v>
      </c>
      <c r="D32" s="1800">
        <f>'SA9'!F93</f>
        <v>0</v>
      </c>
      <c r="E32" s="2403">
        <f>'SA9'!G93</f>
        <v>0</v>
      </c>
      <c r="F32" s="1804">
        <f>'SA9'!H93</f>
        <v>0</v>
      </c>
      <c r="G32" s="1800">
        <f>'SA9'!I93</f>
        <v>0</v>
      </c>
      <c r="H32" s="2403">
        <f>'SA9'!J93</f>
        <v>0</v>
      </c>
      <c r="I32" s="1804">
        <f>'SA9'!K93</f>
        <v>0</v>
      </c>
      <c r="J32" s="1800">
        <f>'SA9'!L93</f>
        <v>0</v>
      </c>
      <c r="K32" s="2403">
        <f>'SA9'!M93</f>
        <v>0</v>
      </c>
      <c r="L32" s="1278"/>
      <c r="M32" s="1278"/>
    </row>
    <row r="33" spans="1:13" ht="11.25" customHeight="1">
      <c r="A33" s="969" t="s">
        <v>439</v>
      </c>
      <c r="B33" s="962"/>
      <c r="C33" s="1800">
        <f>'SA9'!E94</f>
        <v>0</v>
      </c>
      <c r="D33" s="1800">
        <f>'SA9'!F94</f>
        <v>0</v>
      </c>
      <c r="E33" s="2403">
        <f>'SA9'!G94</f>
        <v>0</v>
      </c>
      <c r="F33" s="1804">
        <f>'SA9'!H94</f>
        <v>0</v>
      </c>
      <c r="G33" s="1800">
        <f>'SA9'!I94</f>
        <v>0</v>
      </c>
      <c r="H33" s="2403">
        <f>'SA9'!J94</f>
        <v>0</v>
      </c>
      <c r="I33" s="1804">
        <f>'SA9'!K94</f>
        <v>0</v>
      </c>
      <c r="J33" s="1800">
        <f>'SA9'!L94</f>
        <v>0</v>
      </c>
      <c r="K33" s="2403">
        <f>'SA9'!M94</f>
        <v>0</v>
      </c>
      <c r="L33" s="1278"/>
      <c r="M33" s="1278"/>
    </row>
    <row r="34" spans="1:13" ht="11.25" customHeight="1">
      <c r="A34" s="969" t="s">
        <v>591</v>
      </c>
      <c r="B34" s="962"/>
      <c r="C34" s="1800">
        <f>'SA9'!E95</f>
        <v>0</v>
      </c>
      <c r="D34" s="1800">
        <f>'SA9'!F95</f>
        <v>0</v>
      </c>
      <c r="E34" s="2403">
        <f>'SA9'!G95</f>
        <v>0</v>
      </c>
      <c r="F34" s="1804">
        <f>'SA9'!H95</f>
        <v>0</v>
      </c>
      <c r="G34" s="1800">
        <f>'SA9'!I95</f>
        <v>0</v>
      </c>
      <c r="H34" s="2403">
        <f>'SA9'!J95</f>
        <v>0</v>
      </c>
      <c r="I34" s="1804">
        <f>'SA9'!K95</f>
        <v>0</v>
      </c>
      <c r="J34" s="1800">
        <f>'SA9'!L95</f>
        <v>0</v>
      </c>
      <c r="K34" s="2403">
        <f>'SA9'!M95</f>
        <v>0</v>
      </c>
      <c r="L34" s="1278"/>
      <c r="M34" s="1278"/>
    </row>
    <row r="35" spans="1:13" ht="11.25" customHeight="1">
      <c r="A35" s="1345" t="str">
        <f>$A$14</f>
        <v>Below Minimum Service Level sub-total</v>
      </c>
      <c r="B35" s="962"/>
      <c r="C35" s="1790">
        <f>SUM(C32:C34)</f>
        <v>0</v>
      </c>
      <c r="D35" s="1790">
        <f t="shared" ref="D35:K35" si="7">SUM(D32:D34)</f>
        <v>0</v>
      </c>
      <c r="E35" s="1791">
        <f t="shared" si="7"/>
        <v>0</v>
      </c>
      <c r="F35" s="1792">
        <f t="shared" si="7"/>
        <v>0</v>
      </c>
      <c r="G35" s="1790">
        <f t="shared" si="7"/>
        <v>0</v>
      </c>
      <c r="H35" s="1793">
        <f t="shared" si="7"/>
        <v>0</v>
      </c>
      <c r="I35" s="1794">
        <f t="shared" si="7"/>
        <v>0</v>
      </c>
      <c r="J35" s="1790">
        <f t="shared" si="7"/>
        <v>0</v>
      </c>
      <c r="K35" s="1791">
        <f t="shared" si="7"/>
        <v>0</v>
      </c>
      <c r="L35" s="1278"/>
      <c r="M35" s="1278"/>
    </row>
    <row r="36" spans="1:13" ht="11.25" customHeight="1">
      <c r="A36" s="970" t="str">
        <f>$A$15</f>
        <v>Total number of households</v>
      </c>
      <c r="B36" s="962">
        <f>$B$15</f>
        <v>5</v>
      </c>
      <c r="C36" s="1795">
        <f>C31+C35</f>
        <v>13110</v>
      </c>
      <c r="D36" s="1795">
        <f t="shared" ref="D36:K36" si="8">D31+D35</f>
        <v>14100</v>
      </c>
      <c r="E36" s="1796">
        <f t="shared" si="8"/>
        <v>14350</v>
      </c>
      <c r="F36" s="1797">
        <f t="shared" si="8"/>
        <v>14620</v>
      </c>
      <c r="G36" s="1795">
        <f t="shared" si="8"/>
        <v>14620</v>
      </c>
      <c r="H36" s="1798">
        <f t="shared" si="8"/>
        <v>14620</v>
      </c>
      <c r="I36" s="1799">
        <f t="shared" si="8"/>
        <v>14620</v>
      </c>
      <c r="J36" s="1795">
        <f t="shared" si="8"/>
        <v>15000</v>
      </c>
      <c r="K36" s="1796">
        <f t="shared" si="8"/>
        <v>15000</v>
      </c>
      <c r="L36" s="1278"/>
      <c r="M36" s="1278"/>
    </row>
    <row r="37" spans="1:13" s="1808" customFormat="1" ht="15.75" customHeight="1">
      <c r="A37" s="968" t="s">
        <v>593</v>
      </c>
      <c r="B37" s="962"/>
      <c r="C37" s="1779"/>
      <c r="D37" s="1779"/>
      <c r="E37" s="1780"/>
      <c r="F37" s="1781"/>
      <c r="G37" s="1779"/>
      <c r="H37" s="1782"/>
      <c r="I37" s="1783"/>
      <c r="J37" s="1779"/>
      <c r="K37" s="1780"/>
      <c r="L37" s="1807"/>
      <c r="M37" s="1807"/>
    </row>
    <row r="38" spans="1:13" ht="11.25" customHeight="1">
      <c r="A38" s="969" t="s">
        <v>636</v>
      </c>
      <c r="B38" s="962"/>
      <c r="C38" s="1800">
        <f>'SA9'!E99</f>
        <v>8537</v>
      </c>
      <c r="D38" s="1800">
        <f>'SA9'!F99</f>
        <v>8695</v>
      </c>
      <c r="E38" s="2403">
        <f>'SA9'!G99</f>
        <v>8695</v>
      </c>
      <c r="F38" s="1804">
        <f>'SA9'!H99</f>
        <v>8695</v>
      </c>
      <c r="G38" s="1800">
        <f>'SA9'!I99</f>
        <v>8695</v>
      </c>
      <c r="H38" s="2403">
        <f>'SA9'!J99</f>
        <v>8695</v>
      </c>
      <c r="I38" s="1804">
        <f>'SA9'!K99</f>
        <v>8695</v>
      </c>
      <c r="J38" s="1800">
        <f>'SA9'!L99</f>
        <v>8695</v>
      </c>
      <c r="K38" s="2403">
        <f>'SA9'!M99</f>
        <v>8695</v>
      </c>
      <c r="L38" s="1278"/>
      <c r="M38" s="1278"/>
    </row>
    <row r="39" spans="1:13" ht="11.25" customHeight="1">
      <c r="A39" s="1345" t="str">
        <f>$A$10</f>
        <v>Minimum Service Level and Above sub-total</v>
      </c>
      <c r="B39" s="962"/>
      <c r="C39" s="1800">
        <f>SUM(C38)</f>
        <v>8537</v>
      </c>
      <c r="D39" s="1800">
        <f t="shared" ref="D39:K39" si="9">SUM(D38)</f>
        <v>8695</v>
      </c>
      <c r="E39" s="1801">
        <f t="shared" si="9"/>
        <v>8695</v>
      </c>
      <c r="F39" s="1802">
        <f t="shared" si="9"/>
        <v>8695</v>
      </c>
      <c r="G39" s="1800">
        <f t="shared" si="9"/>
        <v>8695</v>
      </c>
      <c r="H39" s="1803">
        <f t="shared" si="9"/>
        <v>8695</v>
      </c>
      <c r="I39" s="1804">
        <f t="shared" si="9"/>
        <v>8695</v>
      </c>
      <c r="J39" s="1800">
        <f t="shared" si="9"/>
        <v>8695</v>
      </c>
      <c r="K39" s="1801">
        <f t="shared" si="9"/>
        <v>8695</v>
      </c>
      <c r="L39" s="1278"/>
      <c r="M39" s="1278"/>
    </row>
    <row r="40" spans="1:13" ht="11.25" customHeight="1">
      <c r="A40" s="969" t="s">
        <v>594</v>
      </c>
      <c r="B40" s="962"/>
      <c r="C40" s="1800">
        <f>'SA9'!E101</f>
        <v>36000</v>
      </c>
      <c r="D40" s="1800">
        <f>'SA9'!F101</f>
        <v>47822</v>
      </c>
      <c r="E40" s="2403">
        <f>'SA9'!G101</f>
        <v>47822</v>
      </c>
      <c r="F40" s="1804">
        <f>'SA9'!H101</f>
        <v>47822</v>
      </c>
      <c r="G40" s="1800">
        <f>'SA9'!I101</f>
        <v>47822</v>
      </c>
      <c r="H40" s="2403">
        <f>'SA9'!J101</f>
        <v>47822</v>
      </c>
      <c r="I40" s="1804">
        <f>'SA9'!K101</f>
        <v>52170</v>
      </c>
      <c r="J40" s="1800">
        <f>'SA9'!L101</f>
        <v>65000</v>
      </c>
      <c r="K40" s="2403">
        <f>'SA9'!M101</f>
        <v>65000</v>
      </c>
      <c r="L40" s="1278"/>
      <c r="M40" s="1278"/>
    </row>
    <row r="41" spans="1:13" ht="11.25" customHeight="1">
      <c r="A41" s="969" t="s">
        <v>595</v>
      </c>
      <c r="B41" s="962"/>
      <c r="C41" s="1800">
        <f>'SA9'!E102</f>
        <v>64150</v>
      </c>
      <c r="D41" s="1800">
        <f>'SA9'!F102</f>
        <v>52170</v>
      </c>
      <c r="E41" s="2403">
        <f>'SA9'!G102</f>
        <v>52170</v>
      </c>
      <c r="F41" s="1804">
        <f>'SA9'!H102</f>
        <v>52170</v>
      </c>
      <c r="G41" s="1800">
        <f>'SA9'!I102</f>
        <v>52170</v>
      </c>
      <c r="H41" s="2403">
        <f>'SA9'!J102</f>
        <v>52170</v>
      </c>
      <c r="I41" s="1804">
        <f>'SA9'!K102</f>
        <v>47822</v>
      </c>
      <c r="J41" s="1800">
        <f>'SA9'!L102</f>
        <v>34992</v>
      </c>
      <c r="K41" s="2403">
        <f>'SA9'!M102</f>
        <v>34992</v>
      </c>
      <c r="L41" s="1278"/>
      <c r="M41" s="1278"/>
    </row>
    <row r="42" spans="1:13" ht="11.25" customHeight="1">
      <c r="A42" s="969" t="s">
        <v>758</v>
      </c>
      <c r="B42" s="962"/>
      <c r="C42" s="1800">
        <f>'SA9'!E103</f>
        <v>0</v>
      </c>
      <c r="D42" s="1800">
        <f>'SA9'!F103</f>
        <v>0</v>
      </c>
      <c r="E42" s="2403">
        <f>'SA9'!G103</f>
        <v>0</v>
      </c>
      <c r="F42" s="1804">
        <f>'SA9'!H103</f>
        <v>0</v>
      </c>
      <c r="G42" s="1800">
        <f>'SA9'!I103</f>
        <v>0</v>
      </c>
      <c r="H42" s="2403">
        <f>'SA9'!J103</f>
        <v>0</v>
      </c>
      <c r="I42" s="1804">
        <f>'SA9'!K103</f>
        <v>0</v>
      </c>
      <c r="J42" s="1800">
        <f>'SA9'!L103</f>
        <v>0</v>
      </c>
      <c r="K42" s="2403">
        <f>'SA9'!M103</f>
        <v>0</v>
      </c>
      <c r="L42" s="1278"/>
      <c r="M42" s="1278"/>
    </row>
    <row r="43" spans="1:13" ht="11.25" customHeight="1">
      <c r="A43" s="969" t="s">
        <v>759</v>
      </c>
      <c r="B43" s="962"/>
      <c r="C43" s="1800">
        <f>'SA9'!E104</f>
        <v>0</v>
      </c>
      <c r="D43" s="1800">
        <f>'SA9'!F104</f>
        <v>0</v>
      </c>
      <c r="E43" s="2403">
        <f>'SA9'!G104</f>
        <v>0</v>
      </c>
      <c r="F43" s="1804">
        <f>'SA9'!H104</f>
        <v>0</v>
      </c>
      <c r="G43" s="1800">
        <f>'SA9'!I104</f>
        <v>0</v>
      </c>
      <c r="H43" s="2403">
        <f>'SA9'!J104</f>
        <v>0</v>
      </c>
      <c r="I43" s="1804">
        <f>'SA9'!K104</f>
        <v>0</v>
      </c>
      <c r="J43" s="1800">
        <f>'SA9'!L104</f>
        <v>0</v>
      </c>
      <c r="K43" s="2403">
        <f>'SA9'!M104</f>
        <v>0</v>
      </c>
      <c r="L43" s="1278"/>
      <c r="M43" s="1278"/>
    </row>
    <row r="44" spans="1:13" ht="11.25" customHeight="1">
      <c r="A44" s="969" t="s">
        <v>170</v>
      </c>
      <c r="B44" s="962"/>
      <c r="C44" s="1800">
        <f>'SA9'!E105</f>
        <v>0</v>
      </c>
      <c r="D44" s="1800">
        <f>'SA9'!F105</f>
        <v>0</v>
      </c>
      <c r="E44" s="2403">
        <f>'SA9'!G105</f>
        <v>0</v>
      </c>
      <c r="F44" s="1804">
        <f>'SA9'!H105</f>
        <v>0</v>
      </c>
      <c r="G44" s="1800">
        <f>'SA9'!I105</f>
        <v>0</v>
      </c>
      <c r="H44" s="2403">
        <f>'SA9'!J105</f>
        <v>0</v>
      </c>
      <c r="I44" s="1804">
        <f>'SA9'!K105</f>
        <v>0</v>
      </c>
      <c r="J44" s="1800">
        <f>'SA9'!L105</f>
        <v>0</v>
      </c>
      <c r="K44" s="2403">
        <f>'SA9'!M105</f>
        <v>0</v>
      </c>
      <c r="L44" s="1278"/>
      <c r="M44" s="1278"/>
    </row>
    <row r="45" spans="1:13" ht="11.25" customHeight="1">
      <c r="A45" s="1345" t="str">
        <f>$A$14</f>
        <v>Below Minimum Service Level sub-total</v>
      </c>
      <c r="B45" s="962"/>
      <c r="C45" s="1790">
        <f t="shared" ref="C45:K45" si="10">SUM(C40:C44)</f>
        <v>100150</v>
      </c>
      <c r="D45" s="1790">
        <f t="shared" si="10"/>
        <v>99992</v>
      </c>
      <c r="E45" s="1791">
        <f t="shared" si="10"/>
        <v>99992</v>
      </c>
      <c r="F45" s="1792">
        <f t="shared" si="10"/>
        <v>99992</v>
      </c>
      <c r="G45" s="1790">
        <f t="shared" si="10"/>
        <v>99992</v>
      </c>
      <c r="H45" s="1793">
        <f t="shared" si="10"/>
        <v>99992</v>
      </c>
      <c r="I45" s="1794">
        <f t="shared" si="10"/>
        <v>99992</v>
      </c>
      <c r="J45" s="1790">
        <f t="shared" si="10"/>
        <v>99992</v>
      </c>
      <c r="K45" s="1791">
        <f t="shared" si="10"/>
        <v>99992</v>
      </c>
      <c r="L45" s="1278"/>
      <c r="M45" s="1278"/>
    </row>
    <row r="46" spans="1:13" ht="11.25" customHeight="1">
      <c r="A46" s="970" t="str">
        <f>$A$15</f>
        <v>Total number of households</v>
      </c>
      <c r="B46" s="962">
        <f>$B$15</f>
        <v>5</v>
      </c>
      <c r="C46" s="1795">
        <f>C39+C45</f>
        <v>108687</v>
      </c>
      <c r="D46" s="1795">
        <f t="shared" ref="D46:K46" si="11">D39+D45</f>
        <v>108687</v>
      </c>
      <c r="E46" s="1796">
        <f t="shared" si="11"/>
        <v>108687</v>
      </c>
      <c r="F46" s="1797">
        <f t="shared" si="11"/>
        <v>108687</v>
      </c>
      <c r="G46" s="1795">
        <f t="shared" si="11"/>
        <v>108687</v>
      </c>
      <c r="H46" s="1798">
        <f t="shared" si="11"/>
        <v>108687</v>
      </c>
      <c r="I46" s="1799">
        <f t="shared" si="11"/>
        <v>108687</v>
      </c>
      <c r="J46" s="1795">
        <f t="shared" si="11"/>
        <v>108687</v>
      </c>
      <c r="K46" s="1796">
        <f t="shared" si="11"/>
        <v>108687</v>
      </c>
      <c r="L46" s="1278"/>
      <c r="M46" s="1278"/>
    </row>
    <row r="47" spans="1:13" ht="4.9000000000000004" customHeight="1">
      <c r="A47" s="973"/>
      <c r="B47" s="974"/>
      <c r="C47" s="975"/>
      <c r="D47" s="975"/>
      <c r="E47" s="976"/>
      <c r="F47" s="977"/>
      <c r="G47" s="975"/>
      <c r="H47" s="978"/>
      <c r="I47" s="979"/>
      <c r="J47" s="975"/>
      <c r="K47" s="976"/>
      <c r="L47" s="1278"/>
      <c r="M47" s="1278"/>
    </row>
    <row r="48" spans="1:13" ht="15.75" customHeight="1">
      <c r="A48" s="2395" t="s">
        <v>171</v>
      </c>
      <c r="B48" s="962">
        <v>7</v>
      </c>
      <c r="C48" s="900"/>
      <c r="D48" s="900"/>
      <c r="E48" s="980"/>
      <c r="F48" s="944"/>
      <c r="G48" s="900"/>
      <c r="H48" s="903"/>
      <c r="I48" s="904"/>
      <c r="J48" s="900"/>
      <c r="K48" s="901"/>
      <c r="L48" s="1278"/>
      <c r="M48" s="1278"/>
    </row>
    <row r="49" spans="1:13" ht="11.25" customHeight="1">
      <c r="A49" s="1005" t="s">
        <v>1152</v>
      </c>
      <c r="B49" s="962"/>
      <c r="C49" s="1800">
        <f>'SA9'!E263</f>
        <v>0</v>
      </c>
      <c r="D49" s="1800">
        <f>'SA9'!F263</f>
        <v>0</v>
      </c>
      <c r="E49" s="2403">
        <f>'SA9'!G263</f>
        <v>0</v>
      </c>
      <c r="F49" s="1804">
        <f>'SA9'!H263</f>
        <v>0</v>
      </c>
      <c r="G49" s="1800">
        <f>'SA9'!I263</f>
        <v>0</v>
      </c>
      <c r="H49" s="2403">
        <f>'SA9'!J263</f>
        <v>0</v>
      </c>
      <c r="I49" s="1804">
        <f>'SA9'!K263</f>
        <v>0</v>
      </c>
      <c r="J49" s="1800">
        <f>'SA9'!L263</f>
        <v>0</v>
      </c>
      <c r="K49" s="2403">
        <f>'SA9'!M263</f>
        <v>0</v>
      </c>
      <c r="L49" s="1278"/>
      <c r="M49" s="1278"/>
    </row>
    <row r="50" spans="1:13" ht="11.25" customHeight="1">
      <c r="A50" s="1005" t="s">
        <v>324</v>
      </c>
      <c r="B50" s="962"/>
      <c r="C50" s="1800">
        <f>'SA9'!E275</f>
        <v>0</v>
      </c>
      <c r="D50" s="1800">
        <f>'SA9'!F275</f>
        <v>0</v>
      </c>
      <c r="E50" s="2403">
        <f>'SA9'!G275</f>
        <v>0</v>
      </c>
      <c r="F50" s="1804">
        <f>'SA9'!H275</f>
        <v>0</v>
      </c>
      <c r="G50" s="1800">
        <f>'SA9'!I275</f>
        <v>0</v>
      </c>
      <c r="H50" s="2403">
        <f>'SA9'!J275</f>
        <v>0</v>
      </c>
      <c r="I50" s="1804">
        <f>'SA9'!K275</f>
        <v>0</v>
      </c>
      <c r="J50" s="1800">
        <f>'SA9'!L275</f>
        <v>0</v>
      </c>
      <c r="K50" s="2403">
        <f>'SA9'!M275</f>
        <v>0</v>
      </c>
      <c r="L50" s="1278"/>
      <c r="M50" s="1278"/>
    </row>
    <row r="51" spans="1:13" ht="11.25" customHeight="1">
      <c r="A51" s="1005" t="s">
        <v>1153</v>
      </c>
      <c r="B51" s="962"/>
      <c r="C51" s="1800">
        <f>'SA9'!E251</f>
        <v>8000</v>
      </c>
      <c r="D51" s="1800">
        <f>'SA9'!F251</f>
        <v>8000</v>
      </c>
      <c r="E51" s="2403">
        <f>'SA9'!G251</f>
        <v>8000</v>
      </c>
      <c r="F51" s="1804">
        <f>'SA9'!H251</f>
        <v>6000</v>
      </c>
      <c r="G51" s="1800">
        <f>'SA9'!I251</f>
        <v>6000</v>
      </c>
      <c r="H51" s="2403">
        <f>'SA9'!J251</f>
        <v>6000</v>
      </c>
      <c r="I51" s="1804">
        <f>'SA9'!K251</f>
        <v>6000</v>
      </c>
      <c r="J51" s="1800">
        <f>'SA9'!L251</f>
        <v>6000</v>
      </c>
      <c r="K51" s="2403">
        <f>'SA9'!M251</f>
        <v>6000</v>
      </c>
      <c r="L51" s="1278"/>
      <c r="M51" s="1278"/>
    </row>
    <row r="52" spans="1:13" ht="11.25" customHeight="1">
      <c r="A52" s="2396" t="s">
        <v>325</v>
      </c>
      <c r="B52" s="974"/>
      <c r="C52" s="2404">
        <f>'SA9'!E287</f>
        <v>1218</v>
      </c>
      <c r="D52" s="2404">
        <f>'SA9'!F287</f>
        <v>1201</v>
      </c>
      <c r="E52" s="2405">
        <f>'SA9'!G287</f>
        <v>1201</v>
      </c>
      <c r="F52" s="2406">
        <f>'SA9'!H287</f>
        <v>1218</v>
      </c>
      <c r="G52" s="2404">
        <f>'SA9'!I287</f>
        <v>1218</v>
      </c>
      <c r="H52" s="2405">
        <f>'SA9'!J287</f>
        <v>1218</v>
      </c>
      <c r="I52" s="2406">
        <f>'SA9'!K287</f>
        <v>1218</v>
      </c>
      <c r="J52" s="2404">
        <f>'SA9'!L287</f>
        <v>1218</v>
      </c>
      <c r="K52" s="2405">
        <f>'SA9'!M287</f>
        <v>1218</v>
      </c>
      <c r="L52" s="1278"/>
      <c r="M52" s="1278"/>
    </row>
    <row r="53" spans="1:13" ht="4.5" customHeight="1">
      <c r="A53" s="981"/>
      <c r="B53" s="962"/>
      <c r="C53" s="900"/>
      <c r="D53" s="900"/>
      <c r="E53" s="982"/>
      <c r="F53" s="904"/>
      <c r="G53" s="900"/>
      <c r="H53" s="903"/>
      <c r="I53" s="904"/>
      <c r="J53" s="900"/>
      <c r="K53" s="982"/>
      <c r="L53" s="1278"/>
      <c r="M53" s="1278"/>
    </row>
    <row r="54" spans="1:13" ht="11.25" customHeight="1">
      <c r="A54" s="2413" t="s">
        <v>2041</v>
      </c>
      <c r="B54" s="962">
        <v>8</v>
      </c>
      <c r="C54" s="1121"/>
      <c r="D54" s="1121"/>
      <c r="E54" s="1156"/>
      <c r="F54" s="1157"/>
      <c r="G54" s="1121"/>
      <c r="H54" s="1158"/>
      <c r="I54" s="1122"/>
      <c r="J54" s="1121"/>
      <c r="K54" s="1156"/>
      <c r="L54" s="1278"/>
      <c r="M54" s="1278"/>
    </row>
    <row r="55" spans="1:13" ht="11.25" customHeight="1">
      <c r="A55" s="969" t="s">
        <v>2042</v>
      </c>
      <c r="B55" s="962"/>
      <c r="C55" s="900">
        <f>'SA1'!C20</f>
        <v>0</v>
      </c>
      <c r="D55" s="900">
        <f>'SA1'!D20</f>
        <v>0</v>
      </c>
      <c r="E55" s="901">
        <f>'SA1'!E20</f>
        <v>0</v>
      </c>
      <c r="F55" s="902">
        <f>'SA1'!F20</f>
        <v>0</v>
      </c>
      <c r="G55" s="900">
        <f>'SA1'!G20</f>
        <v>0</v>
      </c>
      <c r="H55" s="903">
        <f>'SA1'!H20</f>
        <v>0</v>
      </c>
      <c r="I55" s="904">
        <f>'SA1'!J20</f>
        <v>0</v>
      </c>
      <c r="J55" s="900">
        <f>'SA1'!K20</f>
        <v>0</v>
      </c>
      <c r="K55" s="901">
        <f>'SA1'!L20</f>
        <v>0</v>
      </c>
      <c r="L55" s="1278"/>
      <c r="M55" s="1278"/>
    </row>
    <row r="56" spans="1:13" ht="11.25" customHeight="1">
      <c r="A56" s="969" t="s">
        <v>2043</v>
      </c>
      <c r="B56" s="962"/>
      <c r="C56" s="900">
        <f>'SA1'!C26</f>
        <v>0</v>
      </c>
      <c r="D56" s="900">
        <f>'SA1'!D26</f>
        <v>0</v>
      </c>
      <c r="E56" s="901">
        <f>'SA1'!E26</f>
        <v>0</v>
      </c>
      <c r="F56" s="902">
        <f>'SA1'!F26</f>
        <v>0</v>
      </c>
      <c r="G56" s="900">
        <f>'SA1'!G26</f>
        <v>0</v>
      </c>
      <c r="H56" s="903">
        <f>'SA1'!H26</f>
        <v>0</v>
      </c>
      <c r="I56" s="904">
        <f>'SA1'!J26</f>
        <v>0</v>
      </c>
      <c r="J56" s="900">
        <f>'SA1'!K26</f>
        <v>0</v>
      </c>
      <c r="K56" s="901">
        <f>'SA1'!L26</f>
        <v>0</v>
      </c>
      <c r="L56" s="1278"/>
      <c r="M56" s="1278"/>
    </row>
    <row r="57" spans="1:13" ht="11.25" customHeight="1">
      <c r="A57" s="969" t="s">
        <v>2044</v>
      </c>
      <c r="B57" s="962"/>
      <c r="C57" s="900">
        <f>'SA1'!C14</f>
        <v>3500000</v>
      </c>
      <c r="D57" s="900">
        <f>'SA1'!D14</f>
        <v>3500000</v>
      </c>
      <c r="E57" s="901">
        <f>'SA1'!E14</f>
        <v>3500000</v>
      </c>
      <c r="F57" s="902">
        <f>'SA1'!F14</f>
        <v>4000000</v>
      </c>
      <c r="G57" s="900">
        <f>'SA1'!G14</f>
        <v>4000000</v>
      </c>
      <c r="H57" s="903">
        <f>'SA1'!H14</f>
        <v>4000000</v>
      </c>
      <c r="I57" s="904">
        <f>'SA1'!J14</f>
        <v>4000000</v>
      </c>
      <c r="J57" s="900">
        <f>'SA1'!K14</f>
        <v>4000000</v>
      </c>
      <c r="K57" s="901">
        <f>'SA1'!L14</f>
        <v>4000000</v>
      </c>
      <c r="L57" s="1278"/>
      <c r="M57" s="1278"/>
    </row>
    <row r="58" spans="1:13" ht="11.25" customHeight="1">
      <c r="A58" s="969" t="s">
        <v>2045</v>
      </c>
      <c r="B58" s="962"/>
      <c r="C58" s="900">
        <f>'SA1'!C33</f>
        <v>1343000</v>
      </c>
      <c r="D58" s="900">
        <f>'SA1'!D33</f>
        <v>1511000</v>
      </c>
      <c r="E58" s="901">
        <f>'SA1'!E33</f>
        <v>1511000</v>
      </c>
      <c r="F58" s="902">
        <f>'SA1'!F33</f>
        <v>1300000</v>
      </c>
      <c r="G58" s="900">
        <f>'SA1'!G33</f>
        <v>1300000</v>
      </c>
      <c r="H58" s="903">
        <f>'SA1'!H33</f>
        <v>1300000</v>
      </c>
      <c r="I58" s="904">
        <f>'SA1'!J33</f>
        <v>1300000</v>
      </c>
      <c r="J58" s="900">
        <f>'SA1'!K33</f>
        <v>1300000</v>
      </c>
      <c r="K58" s="901">
        <f>'SA1'!L33</f>
        <v>0</v>
      </c>
      <c r="L58" s="1278"/>
      <c r="M58" s="1278"/>
    </row>
    <row r="59" spans="1:13" ht="11.25" customHeight="1">
      <c r="A59" s="2413" t="s">
        <v>2028</v>
      </c>
      <c r="B59" s="962"/>
      <c r="C59" s="900">
        <f>'SA9'!E260+'SA9'!E272+'SA9'!E284+'SA9'!E296</f>
        <v>0</v>
      </c>
      <c r="D59" s="900">
        <f>'SA9'!F260+'SA9'!F272+'SA9'!F284+'SA9'!F296</f>
        <v>0</v>
      </c>
      <c r="E59" s="901">
        <f>'SA9'!G260+'SA9'!G272+'SA9'!G284+'SA9'!G296</f>
        <v>0</v>
      </c>
      <c r="F59" s="902">
        <f>'SA9'!H260+'SA9'!H272+'SA9'!H284+'SA9'!H296</f>
        <v>0</v>
      </c>
      <c r="G59" s="900">
        <f>'SA9'!I260+'SA9'!I272+'SA9'!I284+'SA9'!I296</f>
        <v>0</v>
      </c>
      <c r="H59" s="903">
        <f>'SA9'!J260+'SA9'!J272+'SA9'!J284+'SA9'!J296</f>
        <v>0</v>
      </c>
      <c r="I59" s="904">
        <f>'SA9'!K260+'SA9'!K272+'SA9'!K284+'SA9'!K296</f>
        <v>0</v>
      </c>
      <c r="J59" s="900">
        <f>'SA9'!L260+'SA9'!L272+'SA9'!L284+'SA9'!L296</f>
        <v>0</v>
      </c>
      <c r="K59" s="901">
        <f>'SA9'!M260+'SA9'!M272+'SA9'!M284+'SA9'!M296</f>
        <v>0</v>
      </c>
      <c r="L59" s="1278"/>
      <c r="M59" s="1278"/>
    </row>
    <row r="60" spans="1:13" ht="11.25" customHeight="1">
      <c r="A60" s="1159" t="s">
        <v>2046</v>
      </c>
      <c r="B60" s="974"/>
      <c r="C60" s="1160">
        <f t="shared" ref="C60:K60" si="12">SUM(C55:C59)</f>
        <v>4843000</v>
      </c>
      <c r="D60" s="1160">
        <f t="shared" si="12"/>
        <v>5011000</v>
      </c>
      <c r="E60" s="2407">
        <f t="shared" si="12"/>
        <v>5011000</v>
      </c>
      <c r="F60" s="2408">
        <f t="shared" si="12"/>
        <v>5300000</v>
      </c>
      <c r="G60" s="1160">
        <f t="shared" si="12"/>
        <v>5300000</v>
      </c>
      <c r="H60" s="2409">
        <f t="shared" si="12"/>
        <v>5300000</v>
      </c>
      <c r="I60" s="1161">
        <f t="shared" si="12"/>
        <v>5300000</v>
      </c>
      <c r="J60" s="1160">
        <f t="shared" si="12"/>
        <v>5300000</v>
      </c>
      <c r="K60" s="2407">
        <f t="shared" si="12"/>
        <v>4000000</v>
      </c>
      <c r="L60" s="1278"/>
      <c r="M60" s="1278"/>
    </row>
    <row r="61" spans="1:13" ht="3.75" customHeight="1">
      <c r="A61" s="1019"/>
      <c r="B61" s="962"/>
      <c r="C61" s="963"/>
      <c r="D61" s="963"/>
      <c r="E61" s="964"/>
      <c r="F61" s="965"/>
      <c r="G61" s="963"/>
      <c r="H61" s="966"/>
      <c r="I61" s="967"/>
      <c r="J61" s="963"/>
      <c r="K61" s="964"/>
      <c r="L61" s="1278"/>
      <c r="M61" s="1278"/>
    </row>
    <row r="62" spans="1:13" ht="11.25" customHeight="1">
      <c r="A62" s="2395" t="s">
        <v>2040</v>
      </c>
      <c r="B62" s="962"/>
      <c r="C62" s="900"/>
      <c r="D62" s="900"/>
      <c r="E62" s="901"/>
      <c r="F62" s="902"/>
      <c r="G62" s="900"/>
      <c r="H62" s="903"/>
      <c r="I62" s="904"/>
      <c r="J62" s="900"/>
      <c r="K62" s="901"/>
      <c r="L62" s="1278"/>
      <c r="M62" s="1278"/>
    </row>
    <row r="63" spans="1:13" ht="11.25" customHeight="1">
      <c r="A63" s="1005" t="s">
        <v>1663</v>
      </c>
      <c r="B63" s="962"/>
      <c r="C63" s="1406">
        <v>15000</v>
      </c>
      <c r="D63" s="1406">
        <v>15000</v>
      </c>
      <c r="E63" s="1407">
        <v>15000</v>
      </c>
      <c r="F63" s="1988">
        <v>15000</v>
      </c>
      <c r="G63" s="1406">
        <v>15000</v>
      </c>
      <c r="H63" s="1408">
        <v>15000</v>
      </c>
      <c r="I63" s="1409">
        <v>15000</v>
      </c>
      <c r="J63" s="1406">
        <v>15000</v>
      </c>
      <c r="K63" s="1407">
        <v>15000</v>
      </c>
      <c r="L63" s="1278"/>
      <c r="M63" s="1278"/>
    </row>
    <row r="64" spans="1:13" ht="11.25" customHeight="1">
      <c r="A64" s="1005" t="s">
        <v>1238</v>
      </c>
      <c r="B64" s="962"/>
      <c r="C64" s="1406">
        <v>6</v>
      </c>
      <c r="D64" s="1989">
        <v>6</v>
      </c>
      <c r="E64" s="1990">
        <v>6</v>
      </c>
      <c r="F64" s="1988">
        <v>6</v>
      </c>
      <c r="G64" s="1989">
        <v>6</v>
      </c>
      <c r="H64" s="1991">
        <v>6</v>
      </c>
      <c r="I64" s="1992">
        <v>6</v>
      </c>
      <c r="J64" s="1406">
        <v>6</v>
      </c>
      <c r="K64" s="1407">
        <v>6</v>
      </c>
      <c r="L64" s="1278"/>
      <c r="M64" s="1278"/>
    </row>
    <row r="65" spans="1:13" ht="11.25" customHeight="1">
      <c r="A65" s="1005" t="s">
        <v>1239</v>
      </c>
      <c r="B65" s="962"/>
      <c r="C65" s="1406">
        <v>6</v>
      </c>
      <c r="D65" s="1406">
        <v>6</v>
      </c>
      <c r="E65" s="1407">
        <v>6</v>
      </c>
      <c r="F65" s="1988">
        <v>6</v>
      </c>
      <c r="G65" s="1989">
        <v>6</v>
      </c>
      <c r="H65" s="1991">
        <v>6</v>
      </c>
      <c r="I65" s="1409">
        <v>6</v>
      </c>
      <c r="J65" s="1406">
        <v>6</v>
      </c>
      <c r="K65" s="1407">
        <v>6</v>
      </c>
      <c r="L65" s="1278"/>
      <c r="M65" s="1278"/>
    </row>
    <row r="66" spans="1:13" ht="11.25" customHeight="1">
      <c r="A66" s="1005" t="s">
        <v>589</v>
      </c>
      <c r="B66" s="962"/>
      <c r="C66" s="1406"/>
      <c r="D66" s="1406"/>
      <c r="E66" s="1407"/>
      <c r="F66" s="1988"/>
      <c r="G66" s="1989">
        <v>0</v>
      </c>
      <c r="H66" s="1991">
        <v>0</v>
      </c>
      <c r="I66" s="1409">
        <v>0</v>
      </c>
      <c r="J66" s="1406">
        <v>0</v>
      </c>
      <c r="K66" s="1407">
        <v>0</v>
      </c>
      <c r="L66" s="1278"/>
      <c r="M66" s="1278"/>
    </row>
    <row r="67" spans="1:13" ht="11.25" customHeight="1">
      <c r="A67" s="1005" t="s">
        <v>326</v>
      </c>
      <c r="B67" s="962"/>
      <c r="C67" s="1406">
        <v>50</v>
      </c>
      <c r="D67" s="1989">
        <v>50</v>
      </c>
      <c r="E67" s="1990">
        <v>50</v>
      </c>
      <c r="F67" s="1988">
        <v>50</v>
      </c>
      <c r="G67" s="1989">
        <v>50</v>
      </c>
      <c r="H67" s="1991">
        <v>50</v>
      </c>
      <c r="I67" s="1992">
        <v>50</v>
      </c>
      <c r="J67" s="1406">
        <v>50</v>
      </c>
      <c r="K67" s="1407">
        <v>50</v>
      </c>
      <c r="L67" s="1278"/>
      <c r="M67" s="1278"/>
    </row>
    <row r="68" spans="1:13" ht="11.25" customHeight="1">
      <c r="A68" s="2397" t="s">
        <v>592</v>
      </c>
      <c r="B68" s="974"/>
      <c r="C68" s="1410"/>
      <c r="D68" s="1410"/>
      <c r="E68" s="1411"/>
      <c r="F68" s="1993"/>
      <c r="G68" s="1994"/>
      <c r="H68" s="1995"/>
      <c r="I68" s="1412"/>
      <c r="J68" s="1410"/>
      <c r="K68" s="1411"/>
      <c r="L68" s="1278"/>
      <c r="M68" s="1278"/>
    </row>
    <row r="69" spans="1:13" ht="15.75" customHeight="1">
      <c r="A69" s="961" t="s">
        <v>2047</v>
      </c>
      <c r="B69" s="962">
        <v>9</v>
      </c>
      <c r="C69" s="900"/>
      <c r="D69" s="900"/>
      <c r="E69" s="901"/>
      <c r="F69" s="902"/>
      <c r="G69" s="900"/>
      <c r="H69" s="903"/>
      <c r="I69" s="904"/>
      <c r="J69" s="900"/>
      <c r="K69" s="901"/>
      <c r="L69" s="1278"/>
      <c r="M69" s="1278"/>
    </row>
    <row r="70" spans="1:13" ht="25.5">
      <c r="A70" s="1814" t="s">
        <v>2052</v>
      </c>
      <c r="B70" s="962"/>
      <c r="C70" s="1951"/>
      <c r="D70" s="1951"/>
      <c r="E70" s="1960"/>
      <c r="F70" s="1961"/>
      <c r="G70" s="1951"/>
      <c r="H70" s="1962"/>
      <c r="I70" s="1953"/>
      <c r="J70" s="1951"/>
      <c r="K70" s="1960"/>
      <c r="L70" s="1278"/>
      <c r="M70" s="1278"/>
    </row>
    <row r="71" spans="1:13" ht="24" customHeight="1">
      <c r="A71" s="1814" t="s">
        <v>2053</v>
      </c>
      <c r="B71" s="962"/>
      <c r="C71" s="900">
        <f>'SA1'!C8</f>
        <v>21658904.640000001</v>
      </c>
      <c r="D71" s="900">
        <f>'SA1'!D8</f>
        <v>38501208.270000003</v>
      </c>
      <c r="E71" s="901">
        <f>'SA1'!E8</f>
        <v>37975510.420000002</v>
      </c>
      <c r="F71" s="902">
        <f>'SA1'!F8</f>
        <v>36000000</v>
      </c>
      <c r="G71" s="900">
        <f>'SA1'!G8</f>
        <v>36000000</v>
      </c>
      <c r="H71" s="903">
        <f>'SA1'!H8</f>
        <v>0</v>
      </c>
      <c r="I71" s="904">
        <f>'SA1'!J8</f>
        <v>35000000</v>
      </c>
      <c r="J71" s="900">
        <f>'SA1'!K8</f>
        <v>36610000</v>
      </c>
      <c r="K71" s="901">
        <f>'SA1'!L8</f>
        <v>38294060</v>
      </c>
      <c r="L71" s="1278"/>
      <c r="M71" s="1278"/>
    </row>
    <row r="72" spans="1:13" ht="11.25" customHeight="1">
      <c r="A72" s="969" t="s">
        <v>2048</v>
      </c>
      <c r="B72" s="962"/>
      <c r="C72" s="900">
        <f>'SA1'!C19</f>
        <v>0</v>
      </c>
      <c r="D72" s="900">
        <f>'SA1'!D19</f>
        <v>0</v>
      </c>
      <c r="E72" s="901">
        <f>'SA1'!E19</f>
        <v>0</v>
      </c>
      <c r="F72" s="902">
        <f>'SA1'!F19</f>
        <v>0</v>
      </c>
      <c r="G72" s="900">
        <f>'SA1'!G19</f>
        <v>0</v>
      </c>
      <c r="H72" s="903">
        <f>'SA1'!H19</f>
        <v>0</v>
      </c>
      <c r="I72" s="904">
        <f>'SA1'!J19</f>
        <v>0</v>
      </c>
      <c r="J72" s="900">
        <f>'SA1'!K19</f>
        <v>0</v>
      </c>
      <c r="K72" s="901">
        <f>'SA1'!L19</f>
        <v>0</v>
      </c>
      <c r="L72" s="1278"/>
      <c r="M72" s="1278"/>
    </row>
    <row r="73" spans="1:13" ht="11.25" customHeight="1">
      <c r="A73" s="969" t="s">
        <v>2049</v>
      </c>
      <c r="B73" s="962"/>
      <c r="C73" s="900">
        <f>'SA1'!C25</f>
        <v>0</v>
      </c>
      <c r="D73" s="900">
        <f>'SA1'!D25</f>
        <v>0</v>
      </c>
      <c r="E73" s="901">
        <f>'SA1'!E25</f>
        <v>0</v>
      </c>
      <c r="F73" s="902">
        <f>'SA1'!F25</f>
        <v>0</v>
      </c>
      <c r="G73" s="900">
        <f>'SA1'!G25</f>
        <v>0</v>
      </c>
      <c r="H73" s="903">
        <f>'SA1'!H25</f>
        <v>0</v>
      </c>
      <c r="I73" s="904">
        <f>'SA1'!J25</f>
        <v>0</v>
      </c>
      <c r="J73" s="900">
        <f>'SA1'!K25</f>
        <v>0</v>
      </c>
      <c r="K73" s="901">
        <f>'SA1'!L25</f>
        <v>0</v>
      </c>
      <c r="L73" s="1278"/>
      <c r="M73" s="1278"/>
    </row>
    <row r="74" spans="1:13" ht="11.25" customHeight="1">
      <c r="A74" s="969" t="s">
        <v>2050</v>
      </c>
      <c r="B74" s="962"/>
      <c r="C74" s="900">
        <f>'SA1'!C13</f>
        <v>0</v>
      </c>
      <c r="D74" s="900">
        <f>'SA1'!D13</f>
        <v>0</v>
      </c>
      <c r="E74" s="901">
        <f>'SA1'!E13</f>
        <v>0</v>
      </c>
      <c r="F74" s="902">
        <f>'SA1'!F13</f>
        <v>170000</v>
      </c>
      <c r="G74" s="900">
        <f>'SA1'!G13</f>
        <v>170000</v>
      </c>
      <c r="H74" s="903">
        <f>'SA1'!H13</f>
        <v>0</v>
      </c>
      <c r="I74" s="904">
        <f>'SA1'!J13</f>
        <v>200000</v>
      </c>
      <c r="J74" s="900">
        <f>'SA1'!K13</f>
        <v>209200</v>
      </c>
      <c r="K74" s="901">
        <f>'SA1'!L13</f>
        <v>218823.2</v>
      </c>
      <c r="L74" s="1278"/>
      <c r="M74" s="1278"/>
    </row>
    <row r="75" spans="1:13" ht="11.25" customHeight="1">
      <c r="A75" s="969" t="s">
        <v>2051</v>
      </c>
      <c r="B75" s="962"/>
      <c r="C75" s="900">
        <f>'SA1'!C32</f>
        <v>167611.76</v>
      </c>
      <c r="D75" s="900">
        <f>'SA1'!D32</f>
        <v>987407.03</v>
      </c>
      <c r="E75" s="901">
        <f>'SA1'!E32</f>
        <v>1162662.7</v>
      </c>
      <c r="F75" s="902">
        <f>'SA1'!F32</f>
        <v>0</v>
      </c>
      <c r="G75" s="900">
        <f>'SA1'!G32</f>
        <v>0</v>
      </c>
      <c r="H75" s="903">
        <f>'SA1'!H32</f>
        <v>1011978.0199999999</v>
      </c>
      <c r="I75" s="904">
        <f>'SA1'!J32</f>
        <v>1200000</v>
      </c>
      <c r="J75" s="900">
        <f>'SA1'!K32</f>
        <v>1255200</v>
      </c>
      <c r="K75" s="901">
        <f>'SA1'!L32</f>
        <v>1312939.2</v>
      </c>
      <c r="L75" s="1278"/>
      <c r="M75" s="1278"/>
    </row>
    <row r="76" spans="1:13" ht="11.25" customHeight="1">
      <c r="A76" s="969" t="s">
        <v>327</v>
      </c>
      <c r="B76" s="962"/>
      <c r="C76" s="1951"/>
      <c r="D76" s="1951"/>
      <c r="E76" s="1960"/>
      <c r="F76" s="1961"/>
      <c r="G76" s="1951"/>
      <c r="H76" s="1962"/>
      <c r="I76" s="1953"/>
      <c r="J76" s="1951"/>
      <c r="K76" s="1960"/>
      <c r="L76" s="1278"/>
      <c r="M76" s="1278"/>
    </row>
    <row r="77" spans="1:13" ht="11.25" customHeight="1">
      <c r="A77" s="969" t="s">
        <v>328</v>
      </c>
      <c r="B77" s="962">
        <v>6</v>
      </c>
      <c r="C77" s="1951"/>
      <c r="D77" s="1951"/>
      <c r="E77" s="1960"/>
      <c r="F77" s="1961"/>
      <c r="G77" s="1951"/>
      <c r="H77" s="1962"/>
      <c r="I77" s="1953"/>
      <c r="J77" s="1951"/>
      <c r="K77" s="1960"/>
      <c r="L77" s="1278"/>
      <c r="M77" s="1278"/>
    </row>
    <row r="78" spans="1:13" ht="11.25" customHeight="1">
      <c r="A78" s="969" t="s">
        <v>245</v>
      </c>
      <c r="B78" s="962"/>
      <c r="C78" s="1951"/>
      <c r="D78" s="1951"/>
      <c r="E78" s="1960"/>
      <c r="F78" s="1961"/>
      <c r="G78" s="1951"/>
      <c r="H78" s="1962"/>
      <c r="I78" s="1953"/>
      <c r="J78" s="1951"/>
      <c r="K78" s="1960"/>
      <c r="L78" s="1278"/>
      <c r="M78" s="1278"/>
    </row>
    <row r="79" spans="1:13">
      <c r="A79" s="1251" t="s">
        <v>2054</v>
      </c>
      <c r="B79" s="983"/>
      <c r="C79" s="984">
        <f>SUM(C70:C78)</f>
        <v>21826516.400000002</v>
      </c>
      <c r="D79" s="984">
        <f t="shared" ref="D79:I79" si="13">SUM(D70:D78)</f>
        <v>39488615.300000004</v>
      </c>
      <c r="E79" s="985">
        <f t="shared" si="13"/>
        <v>39138173.120000005</v>
      </c>
      <c r="F79" s="986">
        <f t="shared" si="13"/>
        <v>36170000</v>
      </c>
      <c r="G79" s="984">
        <f t="shared" si="13"/>
        <v>36170000</v>
      </c>
      <c r="H79" s="987">
        <f t="shared" si="13"/>
        <v>1011978.0199999999</v>
      </c>
      <c r="I79" s="988">
        <f t="shared" si="13"/>
        <v>36400000</v>
      </c>
      <c r="J79" s="984">
        <f>SUM(J70:J78)</f>
        <v>38074400</v>
      </c>
      <c r="K79" s="985">
        <f>SUM(K70:K78)</f>
        <v>39825822.400000006</v>
      </c>
      <c r="L79" s="1278"/>
      <c r="M79" s="1278"/>
    </row>
    <row r="80" spans="1:13" ht="11.25" customHeight="1">
      <c r="A80" s="989" t="str">
        <f>head27a</f>
        <v>References</v>
      </c>
      <c r="B80" s="574"/>
      <c r="L80" s="1278"/>
      <c r="M80" s="1278"/>
    </row>
    <row r="81" spans="1:11" ht="11.25" customHeight="1">
      <c r="A81" s="990" t="s">
        <v>440</v>
      </c>
      <c r="B81" s="574"/>
    </row>
    <row r="82" spans="1:11" ht="11.25" customHeight="1">
      <c r="A82" s="990" t="s">
        <v>441</v>
      </c>
      <c r="B82" s="574"/>
    </row>
    <row r="83" spans="1:11" ht="11.25" customHeight="1">
      <c r="A83" s="990" t="s">
        <v>442</v>
      </c>
      <c r="B83" s="574"/>
    </row>
    <row r="84" spans="1:11" ht="11.25" customHeight="1">
      <c r="A84" s="990" t="s">
        <v>443</v>
      </c>
      <c r="B84" s="991"/>
      <c r="C84" s="991"/>
      <c r="D84" s="991"/>
      <c r="E84" s="991"/>
      <c r="F84" s="991"/>
      <c r="G84" s="991"/>
      <c r="H84" s="991"/>
      <c r="I84" s="991"/>
      <c r="J84" s="991"/>
      <c r="K84" s="991"/>
    </row>
    <row r="85" spans="1:11" ht="11.25" customHeight="1">
      <c r="A85" s="990" t="s">
        <v>2022</v>
      </c>
      <c r="B85" s="991"/>
      <c r="C85" s="991"/>
      <c r="D85" s="991"/>
      <c r="E85" s="991"/>
      <c r="F85" s="991"/>
      <c r="G85" s="991"/>
      <c r="H85" s="991"/>
      <c r="I85" s="991"/>
      <c r="J85" s="991"/>
      <c r="K85" s="991"/>
    </row>
    <row r="86" spans="1:11" ht="11.25" customHeight="1">
      <c r="A86" s="990" t="s">
        <v>444</v>
      </c>
      <c r="B86" s="991"/>
      <c r="C86" s="991"/>
      <c r="D86" s="991"/>
      <c r="E86" s="991"/>
      <c r="F86" s="991"/>
      <c r="G86" s="991"/>
      <c r="H86" s="991"/>
      <c r="I86" s="991"/>
      <c r="J86" s="991"/>
      <c r="K86" s="991"/>
    </row>
    <row r="87" spans="1:11" ht="11.25" customHeight="1">
      <c r="A87" s="990" t="s">
        <v>2021</v>
      </c>
      <c r="B87" s="991"/>
      <c r="C87" s="991"/>
      <c r="D87" s="991"/>
      <c r="E87" s="991"/>
      <c r="F87" s="991"/>
      <c r="G87" s="991"/>
      <c r="H87" s="991"/>
      <c r="I87" s="991"/>
      <c r="J87" s="991"/>
      <c r="K87" s="991"/>
    </row>
    <row r="88" spans="1:11" ht="11.25" customHeight="1">
      <c r="A88" s="990" t="s">
        <v>704</v>
      </c>
      <c r="B88" s="991"/>
      <c r="C88" s="991"/>
      <c r="D88" s="991"/>
      <c r="E88" s="991"/>
      <c r="F88" s="991"/>
      <c r="G88" s="991"/>
      <c r="H88" s="991"/>
      <c r="I88" s="991"/>
      <c r="J88" s="991"/>
      <c r="K88" s="991"/>
    </row>
    <row r="89" spans="1:11" ht="11.25" customHeight="1">
      <c r="A89" s="990" t="s">
        <v>1357</v>
      </c>
      <c r="B89" s="990"/>
      <c r="C89" s="991"/>
      <c r="D89" s="991"/>
      <c r="E89" s="991"/>
      <c r="F89" s="991"/>
      <c r="G89" s="991"/>
      <c r="H89" s="991"/>
      <c r="I89" s="991"/>
      <c r="J89" s="991"/>
      <c r="K89" s="991"/>
    </row>
    <row r="90" spans="1:11" ht="11.25" customHeight="1">
      <c r="A90" s="991"/>
      <c r="B90" s="991"/>
      <c r="C90" s="991"/>
      <c r="D90" s="991"/>
      <c r="E90" s="991"/>
      <c r="F90" s="991"/>
      <c r="G90" s="991"/>
      <c r="H90" s="991"/>
      <c r="I90" s="991"/>
      <c r="J90" s="991"/>
      <c r="K90" s="991"/>
    </row>
    <row r="91" spans="1:11" ht="11.25" customHeight="1">
      <c r="A91" s="991"/>
      <c r="B91" s="991"/>
      <c r="C91" s="991"/>
      <c r="D91" s="991"/>
      <c r="E91" s="991"/>
      <c r="F91" s="991"/>
      <c r="G91" s="991"/>
      <c r="H91" s="991"/>
      <c r="I91" s="991"/>
      <c r="J91" s="991"/>
      <c r="K91" s="991"/>
    </row>
    <row r="92" spans="1:11" ht="11.25" customHeight="1">
      <c r="A92" s="1815"/>
      <c r="B92" s="991"/>
      <c r="D92" s="991"/>
      <c r="E92" s="991"/>
      <c r="F92" s="991"/>
      <c r="G92" s="991"/>
      <c r="H92" s="991"/>
      <c r="I92" s="991"/>
      <c r="J92" s="991"/>
      <c r="K92" s="991"/>
    </row>
    <row r="93" spans="1:11" ht="11.25" customHeight="1">
      <c r="A93" s="1816"/>
      <c r="B93" s="991"/>
      <c r="C93" s="1803"/>
      <c r="D93" s="1803"/>
      <c r="E93" s="1803"/>
      <c r="F93" s="1803"/>
      <c r="G93" s="1803"/>
      <c r="H93" s="1803"/>
      <c r="I93" s="1803"/>
      <c r="J93" s="1803"/>
      <c r="K93" s="1803"/>
    </row>
    <row r="94" spans="1:11" ht="11.25" customHeight="1">
      <c r="A94" s="1816"/>
      <c r="B94" s="991"/>
      <c r="C94" s="1803"/>
      <c r="D94" s="1803"/>
      <c r="E94" s="1803"/>
      <c r="F94" s="1803"/>
      <c r="G94" s="1803"/>
      <c r="H94" s="1803"/>
      <c r="I94" s="1803"/>
      <c r="J94" s="1803"/>
      <c r="K94" s="1803"/>
    </row>
    <row r="95" spans="1:11" ht="11.25" customHeight="1">
      <c r="A95" s="1816"/>
      <c r="B95" s="991"/>
      <c r="C95" s="1803"/>
      <c r="D95" s="1803"/>
      <c r="E95" s="1803"/>
      <c r="F95" s="1803"/>
      <c r="G95" s="1803"/>
      <c r="H95" s="1803"/>
      <c r="I95" s="1803"/>
      <c r="J95" s="1803"/>
      <c r="K95" s="1803"/>
    </row>
    <row r="96" spans="1:11" ht="11.25" customHeight="1">
      <c r="A96" s="1816"/>
      <c r="B96" s="991"/>
      <c r="C96" s="1803"/>
      <c r="D96" s="1803"/>
      <c r="E96" s="1803"/>
      <c r="F96" s="1803"/>
      <c r="G96" s="1803"/>
      <c r="H96" s="1803"/>
      <c r="I96" s="1803"/>
      <c r="J96" s="1803"/>
      <c r="K96" s="1803"/>
    </row>
    <row r="97" spans="1:11" ht="11.25" customHeight="1">
      <c r="A97" s="991"/>
      <c r="B97" s="991"/>
      <c r="C97" s="991"/>
      <c r="D97" s="991"/>
      <c r="E97" s="991"/>
      <c r="F97" s="991"/>
      <c r="G97" s="991"/>
      <c r="H97" s="991"/>
      <c r="I97" s="991"/>
      <c r="J97" s="991"/>
      <c r="K97" s="991"/>
    </row>
    <row r="98" spans="1:11" ht="11.25" customHeight="1">
      <c r="A98" s="991"/>
      <c r="B98" s="991"/>
      <c r="C98" s="991"/>
      <c r="D98" s="991"/>
      <c r="E98" s="991"/>
      <c r="F98" s="991"/>
      <c r="G98" s="991"/>
      <c r="H98" s="991"/>
      <c r="I98" s="991"/>
      <c r="J98" s="991"/>
      <c r="K98" s="991"/>
    </row>
    <row r="99" spans="1:11" ht="11.25" customHeight="1">
      <c r="A99" s="991"/>
      <c r="B99" s="991"/>
      <c r="C99" s="991"/>
      <c r="D99" s="991"/>
      <c r="E99" s="991"/>
      <c r="F99" s="991"/>
      <c r="G99" s="991"/>
      <c r="H99" s="991"/>
      <c r="I99" s="991"/>
      <c r="J99" s="991"/>
      <c r="K99" s="991"/>
    </row>
    <row r="100" spans="1:11" ht="11.25" customHeight="1">
      <c r="B100" s="574"/>
    </row>
    <row r="101" spans="1:11" ht="11.25" customHeight="1">
      <c r="B101" s="574"/>
    </row>
    <row r="102" spans="1:11" ht="11.25" customHeight="1">
      <c r="B102" s="574"/>
    </row>
    <row r="103" spans="1:11" ht="11.25" customHeight="1">
      <c r="B103" s="574"/>
    </row>
    <row r="104" spans="1:11" ht="11.25" customHeight="1">
      <c r="B104" s="574"/>
    </row>
    <row r="105" spans="1:11" ht="11.25" customHeight="1">
      <c r="B105" s="574"/>
    </row>
    <row r="106" spans="1:11" ht="11.25" customHeight="1">
      <c r="B106" s="574"/>
    </row>
    <row r="107" spans="1:11" ht="11.25" customHeight="1">
      <c r="B107" s="574"/>
    </row>
    <row r="108" spans="1:11" ht="11.25" customHeight="1">
      <c r="B108" s="574"/>
    </row>
    <row r="109" spans="1:11" ht="11.25" customHeight="1">
      <c r="B109" s="574"/>
    </row>
    <row r="110" spans="1:11" ht="11.25" customHeight="1">
      <c r="B110" s="574"/>
    </row>
    <row r="111" spans="1:11" ht="11.25" customHeight="1">
      <c r="B111" s="574"/>
    </row>
    <row r="112" spans="1:11" ht="11.25" customHeight="1">
      <c r="B112" s="574"/>
    </row>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sheetData>
  <mergeCells count="4">
    <mergeCell ref="F2:H2"/>
    <mergeCell ref="I2:K2"/>
    <mergeCell ref="A2:A3"/>
    <mergeCell ref="B2:B3"/>
  </mergeCells>
  <phoneticPr fontId="5"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34"/>
  <sheetViews>
    <sheetView showGridLines="0" zoomScale="120" zoomScaleNormal="120" workbookViewId="0">
      <pane xSplit="1" ySplit="4" topLeftCell="B218" activePane="bottomRight" state="frozen"/>
      <selection pane="topRight"/>
      <selection pane="bottomLeft"/>
      <selection pane="bottomRight" activeCell="H218" sqref="H218"/>
    </sheetView>
  </sheetViews>
  <sheetFormatPr defaultColWidth="9.140625" defaultRowHeight="12.75"/>
  <cols>
    <col min="1" max="1" width="38.14062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6" s="56" customFormat="1">
      <c r="A1" s="24" t="str">
        <f>muni&amp;" - "&amp;TableA1</f>
        <v>LIM333 Greater Tzaneen - Supporting Table SA1 Supportinging detail to 'Budgeted Financial Performance'</v>
      </c>
      <c r="B1" s="24"/>
      <c r="C1" s="24"/>
      <c r="D1" s="24"/>
      <c r="E1" s="24"/>
      <c r="F1" s="24"/>
      <c r="G1" s="24"/>
      <c r="H1" s="24"/>
      <c r="I1" s="24"/>
      <c r="J1" s="24"/>
      <c r="K1" s="24"/>
      <c r="L1" s="24"/>
    </row>
    <row r="2" spans="1:16" ht="28.5" customHeight="1">
      <c r="A2" s="2873" t="str">
        <f>desc</f>
        <v>Description</v>
      </c>
      <c r="B2" s="2875" t="str">
        <f>head27</f>
        <v>Ref</v>
      </c>
      <c r="C2" s="27" t="str">
        <f>head1b</f>
        <v>2016/17</v>
      </c>
      <c r="D2" s="27" t="str">
        <f>head1A</f>
        <v>2017/18</v>
      </c>
      <c r="E2" s="23" t="str">
        <f>Head1</f>
        <v>2018/19</v>
      </c>
      <c r="F2" s="2842" t="str">
        <f>Head2</f>
        <v>Current Year 2019/20</v>
      </c>
      <c r="G2" s="2843"/>
      <c r="H2" s="2843"/>
      <c r="I2" s="2843"/>
      <c r="J2" s="2839" t="str">
        <f>Head3</f>
        <v>2020/21 Medium Term Revenue &amp; Expenditure Framework</v>
      </c>
      <c r="K2" s="2840"/>
      <c r="L2" s="2841"/>
    </row>
    <row r="3" spans="1:16" ht="25.5">
      <c r="A3" s="2874"/>
      <c r="B3" s="2876"/>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6">
      <c r="A4" s="57" t="s">
        <v>569</v>
      </c>
      <c r="B4" s="164"/>
      <c r="C4" s="16"/>
      <c r="D4" s="16"/>
      <c r="E4" s="33"/>
      <c r="F4" s="32"/>
      <c r="G4" s="16"/>
      <c r="H4" s="33"/>
      <c r="I4" s="34"/>
      <c r="J4" s="32"/>
      <c r="K4" s="16"/>
      <c r="L4" s="33"/>
    </row>
    <row r="5" spans="1:16">
      <c r="A5" s="206" t="s">
        <v>467</v>
      </c>
      <c r="B5" s="165"/>
      <c r="C5" s="269"/>
      <c r="D5" s="269"/>
      <c r="E5" s="72"/>
      <c r="F5" s="270"/>
      <c r="G5" s="269"/>
      <c r="H5" s="72"/>
      <c r="I5" s="182"/>
      <c r="J5" s="271"/>
      <c r="K5" s="269"/>
      <c r="L5" s="72"/>
    </row>
    <row r="6" spans="1:16">
      <c r="A6" s="272" t="str">
        <f>'A4-FinPerf RE'!A5</f>
        <v>Property rates</v>
      </c>
      <c r="B6" s="167">
        <v>6</v>
      </c>
      <c r="C6" s="273"/>
      <c r="D6" s="273"/>
      <c r="E6" s="72"/>
      <c r="F6" s="270"/>
      <c r="G6" s="273"/>
      <c r="H6" s="72"/>
      <c r="I6" s="182"/>
      <c r="J6" s="274"/>
      <c r="K6" s="273"/>
      <c r="L6" s="72"/>
      <c r="M6" s="240"/>
      <c r="N6" s="240"/>
      <c r="O6" s="240"/>
      <c r="P6" s="240"/>
    </row>
    <row r="7" spans="1:16">
      <c r="A7" s="1111" t="s">
        <v>378</v>
      </c>
      <c r="B7" s="167"/>
      <c r="C7" s="1996">
        <v>110604635.7</v>
      </c>
      <c r="D7" s="1996">
        <v>145994346.40000001</v>
      </c>
      <c r="E7" s="1997">
        <v>157158731.28999999</v>
      </c>
      <c r="F7" s="1998">
        <v>148400000</v>
      </c>
      <c r="G7" s="1996">
        <v>148400000</v>
      </c>
      <c r="H7" s="1997">
        <v>112933467.73999999</v>
      </c>
      <c r="I7" s="1997">
        <v>112933467.73999999</v>
      </c>
      <c r="J7" s="2000">
        <v>167500000</v>
      </c>
      <c r="K7" s="1996">
        <v>175205000</v>
      </c>
      <c r="L7" s="1997">
        <v>183264430</v>
      </c>
      <c r="M7" s="240"/>
      <c r="N7" s="240"/>
      <c r="O7" s="240"/>
      <c r="P7" s="240"/>
    </row>
    <row r="8" spans="1:16" ht="38.25">
      <c r="A8" s="2364" t="s">
        <v>2055</v>
      </c>
      <c r="B8" s="167"/>
      <c r="C8" s="1951">
        <v>21658904.640000001</v>
      </c>
      <c r="D8" s="1951">
        <v>38501208.270000003</v>
      </c>
      <c r="E8" s="1960">
        <v>37975510.420000002</v>
      </c>
      <c r="F8" s="1961">
        <v>36000000</v>
      </c>
      <c r="G8" s="1951">
        <v>36000000</v>
      </c>
      <c r="H8" s="1960"/>
      <c r="I8" s="1962"/>
      <c r="J8" s="1953">
        <v>35000000</v>
      </c>
      <c r="K8" s="1951">
        <v>36610000</v>
      </c>
      <c r="L8" s="1960">
        <v>38294060</v>
      </c>
      <c r="M8" s="240"/>
      <c r="N8" s="240"/>
      <c r="O8" s="240"/>
      <c r="P8" s="240"/>
    </row>
    <row r="9" spans="1:16">
      <c r="A9" s="286" t="s">
        <v>379</v>
      </c>
      <c r="B9" s="167"/>
      <c r="C9" s="142">
        <f>C7-C8</f>
        <v>88945731.060000002</v>
      </c>
      <c r="D9" s="142">
        <f t="shared" ref="D9:L9" si="0">D7-D8</f>
        <v>107493138.13</v>
      </c>
      <c r="E9" s="143">
        <f t="shared" si="0"/>
        <v>119183220.86999999</v>
      </c>
      <c r="F9" s="144">
        <f t="shared" si="0"/>
        <v>112400000</v>
      </c>
      <c r="G9" s="142">
        <f t="shared" si="0"/>
        <v>112400000</v>
      </c>
      <c r="H9" s="143">
        <f t="shared" si="0"/>
        <v>112933467.73999999</v>
      </c>
      <c r="I9" s="141">
        <f t="shared" si="0"/>
        <v>112933467.73999999</v>
      </c>
      <c r="J9" s="145">
        <f t="shared" si="0"/>
        <v>132500000</v>
      </c>
      <c r="K9" s="142">
        <f t="shared" si="0"/>
        <v>138595000</v>
      </c>
      <c r="L9" s="143">
        <f t="shared" si="0"/>
        <v>144970370</v>
      </c>
      <c r="M9" s="240"/>
      <c r="N9" s="240"/>
      <c r="O9" s="240"/>
      <c r="P9" s="240"/>
    </row>
    <row r="10" spans="1:16" ht="4.9000000000000004" customHeight="1">
      <c r="A10" s="198"/>
      <c r="B10" s="167"/>
      <c r="C10" s="273"/>
      <c r="D10" s="273"/>
      <c r="E10" s="72"/>
      <c r="F10" s="270"/>
      <c r="G10" s="273"/>
      <c r="H10" s="72"/>
      <c r="I10" s="182"/>
      <c r="J10" s="274"/>
      <c r="K10" s="273"/>
      <c r="L10" s="72"/>
      <c r="M10" s="240"/>
      <c r="N10" s="240"/>
      <c r="O10" s="240"/>
      <c r="P10" s="240"/>
    </row>
    <row r="11" spans="1:16">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c r="A12" s="1111" t="str">
        <f>"Total "&amp;A11</f>
        <v>Total Service charges - electricity revenue</v>
      </c>
      <c r="B12" s="167"/>
      <c r="C12" s="1996">
        <v>421328866.57999998</v>
      </c>
      <c r="D12" s="1996">
        <v>455523273.68000001</v>
      </c>
      <c r="E12" s="1997">
        <f>449863850.96+3500000</f>
        <v>453363850.95999998</v>
      </c>
      <c r="F12" s="1998">
        <v>581501000</v>
      </c>
      <c r="G12" s="1996">
        <v>574501000</v>
      </c>
      <c r="H12" s="1997">
        <f>588015608.98+303376</f>
        <v>588318984.98000002</v>
      </c>
      <c r="I12" s="1997">
        <f>588015608.98+303376</f>
        <v>588318984.98000002</v>
      </c>
      <c r="J12" s="2000">
        <f>571401000+J14</f>
        <v>575401000</v>
      </c>
      <c r="K12" s="1996">
        <f>597701446+K14</f>
        <v>601701446</v>
      </c>
      <c r="L12" s="1997">
        <f>625212480.516+L14</f>
        <v>629212480.51600003</v>
      </c>
      <c r="M12" s="240"/>
      <c r="N12" s="240"/>
      <c r="O12" s="240"/>
      <c r="P12" s="240"/>
    </row>
    <row r="13" spans="1:16" ht="25.5">
      <c r="A13" s="2364" t="s">
        <v>2056</v>
      </c>
      <c r="B13" s="167"/>
      <c r="C13" s="1996"/>
      <c r="D13" s="1996"/>
      <c r="E13" s="1997"/>
      <c r="F13" s="1998">
        <v>170000</v>
      </c>
      <c r="G13" s="1996">
        <v>170000</v>
      </c>
      <c r="H13" s="1997"/>
      <c r="I13" s="1999"/>
      <c r="J13" s="2000">
        <v>200000</v>
      </c>
      <c r="K13" s="1996">
        <v>209200</v>
      </c>
      <c r="L13" s="1997">
        <v>218823.2</v>
      </c>
      <c r="M13" s="240"/>
      <c r="N13" s="240"/>
      <c r="O13" s="240"/>
      <c r="P13" s="240"/>
    </row>
    <row r="14" spans="1:16" ht="25.5">
      <c r="A14" s="2398" t="s">
        <v>2030</v>
      </c>
      <c r="B14" s="167"/>
      <c r="C14" s="2399">
        <f>'SA9'!E250</f>
        <v>3500000</v>
      </c>
      <c r="D14" s="2399">
        <f>'SA9'!F250</f>
        <v>3500000</v>
      </c>
      <c r="E14" s="2400">
        <f>'SA9'!G250</f>
        <v>3500000</v>
      </c>
      <c r="F14" s="2401">
        <f>'SA9'!H250</f>
        <v>4000000</v>
      </c>
      <c r="G14" s="2399">
        <f>'SA9'!I250</f>
        <v>4000000</v>
      </c>
      <c r="H14" s="2400">
        <f>'SA9'!J250</f>
        <v>4000000</v>
      </c>
      <c r="I14" s="1999">
        <v>4000000</v>
      </c>
      <c r="J14" s="2402">
        <f>'SA9'!K250</f>
        <v>4000000</v>
      </c>
      <c r="K14" s="2399">
        <f>'SA9'!L250</f>
        <v>4000000</v>
      </c>
      <c r="L14" s="2400">
        <f>'SA9'!M250</f>
        <v>4000000</v>
      </c>
      <c r="M14" s="240"/>
      <c r="N14" s="240"/>
      <c r="O14" s="240"/>
      <c r="P14" s="240"/>
    </row>
    <row r="15" spans="1:16" ht="12.75" customHeight="1">
      <c r="A15" s="286" t="str">
        <f>"Net "&amp; A11</f>
        <v>Net Service charges - electricity revenue</v>
      </c>
      <c r="B15" s="167"/>
      <c r="C15" s="2359">
        <f>C12-C13-C14</f>
        <v>417828866.57999998</v>
      </c>
      <c r="D15" s="2359">
        <f t="shared" ref="D15:L15" si="1">D12-D13-D14</f>
        <v>452023273.68000001</v>
      </c>
      <c r="E15" s="2360">
        <f t="shared" si="1"/>
        <v>449863850.95999998</v>
      </c>
      <c r="F15" s="2361">
        <f t="shared" si="1"/>
        <v>577331000</v>
      </c>
      <c r="G15" s="2359">
        <f t="shared" si="1"/>
        <v>570331000</v>
      </c>
      <c r="H15" s="2360">
        <f t="shared" si="1"/>
        <v>584318984.98000002</v>
      </c>
      <c r="I15" s="2362">
        <f t="shared" si="1"/>
        <v>584318984.98000002</v>
      </c>
      <c r="J15" s="2363">
        <f t="shared" si="1"/>
        <v>571201000</v>
      </c>
      <c r="K15" s="2359">
        <f t="shared" si="1"/>
        <v>597492246</v>
      </c>
      <c r="L15" s="2360">
        <f t="shared" si="1"/>
        <v>624993657.31599998</v>
      </c>
      <c r="M15" s="240"/>
      <c r="N15" s="240"/>
      <c r="O15" s="240"/>
      <c r="P15" s="240"/>
    </row>
    <row r="16" spans="1:16" ht="4.9000000000000004" customHeight="1">
      <c r="B16" s="167"/>
      <c r="C16" s="1012"/>
      <c r="D16" s="1012"/>
      <c r="E16" s="99"/>
      <c r="F16" s="462"/>
      <c r="G16" s="1012"/>
      <c r="H16" s="99"/>
      <c r="I16" s="118"/>
      <c r="J16" s="1013"/>
      <c r="K16" s="1012"/>
      <c r="L16" s="99"/>
      <c r="M16" s="240"/>
      <c r="N16" s="240"/>
      <c r="O16" s="240"/>
      <c r="P16" s="240"/>
    </row>
    <row r="17" spans="1:16">
      <c r="A17" s="1014" t="str">
        <f>'A4-FinPerf RE'!A7</f>
        <v>Service charges - water revenue</v>
      </c>
      <c r="B17" s="167">
        <v>6</v>
      </c>
      <c r="C17" s="1012"/>
      <c r="D17" s="1012"/>
      <c r="E17" s="99"/>
      <c r="F17" s="462"/>
      <c r="G17" s="1012"/>
      <c r="H17" s="99"/>
      <c r="I17" s="118"/>
      <c r="J17" s="1013"/>
      <c r="K17" s="1012"/>
      <c r="L17" s="99"/>
      <c r="M17" s="240"/>
      <c r="N17" s="240"/>
      <c r="O17" s="240"/>
      <c r="P17" s="240"/>
    </row>
    <row r="18" spans="1:16">
      <c r="A18" s="1111" t="str">
        <f>"Total "&amp;A17</f>
        <v>Total Service charges - water revenue</v>
      </c>
      <c r="B18" s="167"/>
      <c r="C18" s="2001"/>
      <c r="D18" s="2001"/>
      <c r="E18" s="2002"/>
      <c r="F18" s="2003"/>
      <c r="G18" s="2001"/>
      <c r="H18" s="2002"/>
      <c r="I18" s="2004"/>
      <c r="J18" s="2005"/>
      <c r="K18" s="2001"/>
      <c r="L18" s="2002"/>
      <c r="M18" s="240"/>
      <c r="N18" s="240"/>
      <c r="O18" s="240"/>
      <c r="P18" s="240"/>
    </row>
    <row r="19" spans="1:16" ht="25.5">
      <c r="A19" s="2364" t="s">
        <v>2057</v>
      </c>
      <c r="B19" s="167"/>
      <c r="C19" s="2001"/>
      <c r="D19" s="2001"/>
      <c r="E19" s="2002"/>
      <c r="F19" s="2003"/>
      <c r="G19" s="2001"/>
      <c r="H19" s="2002"/>
      <c r="I19" s="2004"/>
      <c r="J19" s="2000"/>
      <c r="K19" s="1996"/>
      <c r="L19" s="1997"/>
      <c r="M19" s="240"/>
      <c r="N19" s="240"/>
      <c r="O19" s="240"/>
      <c r="P19" s="240"/>
    </row>
    <row r="20" spans="1:16" ht="25.5">
      <c r="A20" s="2398" t="s">
        <v>2029</v>
      </c>
      <c r="B20" s="167"/>
      <c r="C20" s="2399">
        <f>'SA9'!E262</f>
        <v>0</v>
      </c>
      <c r="D20" s="2399">
        <f>'SA9'!F262</f>
        <v>0</v>
      </c>
      <c r="E20" s="2400">
        <f>'SA9'!G262</f>
        <v>0</v>
      </c>
      <c r="F20" s="2401">
        <f>'SA9'!H262</f>
        <v>0</v>
      </c>
      <c r="G20" s="2399">
        <f>'SA9'!I262</f>
        <v>0</v>
      </c>
      <c r="H20" s="2400">
        <f>'SA9'!J262</f>
        <v>0</v>
      </c>
      <c r="I20" s="1999"/>
      <c r="J20" s="2402">
        <f>'SA9'!K262</f>
        <v>0</v>
      </c>
      <c r="K20" s="2399">
        <f>'SA9'!L262</f>
        <v>0</v>
      </c>
      <c r="L20" s="2400">
        <f>'SA9'!M262</f>
        <v>0</v>
      </c>
      <c r="M20" s="240"/>
      <c r="N20" s="240"/>
      <c r="O20" s="240"/>
      <c r="P20" s="240"/>
    </row>
    <row r="21" spans="1:16">
      <c r="A21" s="286" t="str">
        <f>"Net "&amp; A17</f>
        <v>Net Service charges - water revenue</v>
      </c>
      <c r="B21" s="167"/>
      <c r="C21" s="2359">
        <f>C18-C19-C20</f>
        <v>0</v>
      </c>
      <c r="D21" s="2359">
        <f t="shared" ref="D21:L21" si="2">D18-D19-D20</f>
        <v>0</v>
      </c>
      <c r="E21" s="2360">
        <f t="shared" si="2"/>
        <v>0</v>
      </c>
      <c r="F21" s="2361">
        <f t="shared" si="2"/>
        <v>0</v>
      </c>
      <c r="G21" s="2359">
        <f t="shared" si="2"/>
        <v>0</v>
      </c>
      <c r="H21" s="2360">
        <f t="shared" si="2"/>
        <v>0</v>
      </c>
      <c r="I21" s="2362">
        <f t="shared" si="2"/>
        <v>0</v>
      </c>
      <c r="J21" s="2363">
        <f t="shared" si="2"/>
        <v>0</v>
      </c>
      <c r="K21" s="2359">
        <f t="shared" si="2"/>
        <v>0</v>
      </c>
      <c r="L21" s="2360">
        <f t="shared" si="2"/>
        <v>0</v>
      </c>
      <c r="M21" s="240"/>
      <c r="N21" s="240"/>
      <c r="O21" s="240"/>
      <c r="P21" s="240"/>
    </row>
    <row r="22" spans="1:16" ht="4.5" customHeight="1">
      <c r="A22" s="286"/>
      <c r="B22" s="167"/>
      <c r="C22" s="1012"/>
      <c r="D22" s="1012"/>
      <c r="E22" s="99"/>
      <c r="F22" s="462"/>
      <c r="G22" s="1012"/>
      <c r="H22" s="99"/>
      <c r="I22" s="118"/>
      <c r="J22" s="1013"/>
      <c r="K22" s="1012"/>
      <c r="L22" s="99"/>
      <c r="M22" s="240"/>
      <c r="N22" s="240"/>
      <c r="O22" s="240"/>
      <c r="P22" s="240"/>
    </row>
    <row r="23" spans="1:16">
      <c r="A23" s="1014" t="str">
        <f>'A4-FinPerf RE'!A8</f>
        <v>Service charges - sanitation revenue</v>
      </c>
      <c r="B23" s="167"/>
      <c r="C23" s="1012"/>
      <c r="D23" s="1012"/>
      <c r="E23" s="99"/>
      <c r="F23" s="462"/>
      <c r="G23" s="1012"/>
      <c r="H23" s="99"/>
      <c r="I23" s="118"/>
      <c r="J23" s="1013"/>
      <c r="K23" s="1012"/>
      <c r="L23" s="99"/>
      <c r="M23" s="240"/>
      <c r="N23" s="240"/>
      <c r="O23" s="240"/>
      <c r="P23" s="240"/>
    </row>
    <row r="24" spans="1:16">
      <c r="A24" s="1111" t="str">
        <f>"Total "&amp;A23</f>
        <v>Total Service charges - sanitation revenue</v>
      </c>
      <c r="B24" s="167"/>
      <c r="C24" s="2001"/>
      <c r="D24" s="2001"/>
      <c r="E24" s="2002"/>
      <c r="F24" s="2003"/>
      <c r="G24" s="2001"/>
      <c r="H24" s="2002"/>
      <c r="I24" s="2004"/>
      <c r="J24" s="2005"/>
      <c r="K24" s="2001"/>
      <c r="L24" s="2002"/>
      <c r="M24" s="240"/>
      <c r="N24" s="240"/>
      <c r="O24" s="240"/>
      <c r="P24" s="240"/>
    </row>
    <row r="25" spans="1:16" ht="25.5">
      <c r="A25" s="2364" t="s">
        <v>2058</v>
      </c>
      <c r="B25" s="167"/>
      <c r="C25" s="2001"/>
      <c r="D25" s="2001"/>
      <c r="E25" s="2002"/>
      <c r="F25" s="2003"/>
      <c r="G25" s="2001"/>
      <c r="H25" s="2002"/>
      <c r="I25" s="2004"/>
      <c r="J25" s="2005"/>
      <c r="K25" s="2001"/>
      <c r="L25" s="2002"/>
      <c r="M25" s="240"/>
      <c r="N25" s="240"/>
      <c r="O25" s="240"/>
      <c r="P25" s="240"/>
    </row>
    <row r="26" spans="1:16" ht="25.5">
      <c r="A26" s="2398" t="s">
        <v>2031</v>
      </c>
      <c r="B26" s="167"/>
      <c r="C26" s="2399">
        <f>'SA9'!E274</f>
        <v>0</v>
      </c>
      <c r="D26" s="2399">
        <f>'SA9'!F274</f>
        <v>0</v>
      </c>
      <c r="E26" s="2400">
        <f>'SA9'!G274</f>
        <v>0</v>
      </c>
      <c r="F26" s="2401">
        <f>'SA9'!H274</f>
        <v>0</v>
      </c>
      <c r="G26" s="2399">
        <f>'SA9'!I274</f>
        <v>0</v>
      </c>
      <c r="H26" s="2400">
        <f>'SA9'!J274</f>
        <v>0</v>
      </c>
      <c r="I26" s="1999"/>
      <c r="J26" s="2402">
        <f>'SA9'!K274</f>
        <v>0</v>
      </c>
      <c r="K26" s="2399">
        <f>'SA9'!L274</f>
        <v>0</v>
      </c>
      <c r="L26" s="2399">
        <f>'SA9'!M274</f>
        <v>0</v>
      </c>
      <c r="M26" s="240"/>
      <c r="N26" s="240"/>
      <c r="O26" s="240"/>
      <c r="P26" s="240"/>
    </row>
    <row r="27" spans="1:16">
      <c r="A27" s="286" t="str">
        <f>"Net "&amp; A23</f>
        <v>Net Service charges - sanitation revenue</v>
      </c>
      <c r="B27" s="167"/>
      <c r="C27" s="142">
        <f>C24-C25-C26</f>
        <v>0</v>
      </c>
      <c r="D27" s="142">
        <f t="shared" ref="D27:L27" si="3">D24-D25-D26</f>
        <v>0</v>
      </c>
      <c r="E27" s="143">
        <f t="shared" si="3"/>
        <v>0</v>
      </c>
      <c r="F27" s="144">
        <f t="shared" si="3"/>
        <v>0</v>
      </c>
      <c r="G27" s="142">
        <f t="shared" si="3"/>
        <v>0</v>
      </c>
      <c r="H27" s="143">
        <f t="shared" si="3"/>
        <v>0</v>
      </c>
      <c r="I27" s="141">
        <f t="shared" si="3"/>
        <v>0</v>
      </c>
      <c r="J27" s="145">
        <f t="shared" si="3"/>
        <v>0</v>
      </c>
      <c r="K27" s="142">
        <f t="shared" si="3"/>
        <v>0</v>
      </c>
      <c r="L27" s="143">
        <f t="shared" si="3"/>
        <v>0</v>
      </c>
      <c r="M27" s="240"/>
      <c r="N27" s="240"/>
      <c r="O27" s="240"/>
      <c r="P27" s="240"/>
    </row>
    <row r="28" spans="1:16" ht="4.5" customHeight="1">
      <c r="A28" s="286"/>
      <c r="B28" s="167"/>
      <c r="C28" s="1012"/>
      <c r="D28" s="1012"/>
      <c r="E28" s="99"/>
      <c r="F28" s="462"/>
      <c r="G28" s="1012"/>
      <c r="H28" s="99"/>
      <c r="I28" s="118"/>
      <c r="J28" s="1013"/>
      <c r="K28" s="1012"/>
      <c r="L28" s="99"/>
      <c r="M28" s="240"/>
      <c r="N28" s="240"/>
      <c r="O28" s="240"/>
      <c r="P28" s="240"/>
    </row>
    <row r="29" spans="1:16">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c r="A30" s="1111" t="s">
        <v>1373</v>
      </c>
      <c r="B30" s="167"/>
      <c r="C30" s="1951">
        <v>25941807.359999999</v>
      </c>
      <c r="D30" s="1951">
        <v>29337822</v>
      </c>
      <c r="E30" s="1960">
        <f>28341076.07+1511000</f>
        <v>29852076.07</v>
      </c>
      <c r="F30" s="1961">
        <v>35021657</v>
      </c>
      <c r="G30" s="1951">
        <v>35021657</v>
      </c>
      <c r="H30" s="1960">
        <v>35153881.359999999</v>
      </c>
      <c r="I30" s="1960">
        <v>35153881.359999999</v>
      </c>
      <c r="J30" s="1953">
        <f>36616132+J33</f>
        <v>37916132</v>
      </c>
      <c r="K30" s="1951">
        <f>38300474.072+K33</f>
        <v>39600474.071999997</v>
      </c>
      <c r="L30" s="1960">
        <f>40062295.879312+L33</f>
        <v>40062295.879312001</v>
      </c>
      <c r="M30" s="240"/>
      <c r="N30" s="240"/>
      <c r="O30" s="240"/>
      <c r="P30" s="240"/>
    </row>
    <row r="31" spans="1:16" ht="11.25" customHeight="1">
      <c r="A31" s="1111" t="s">
        <v>1374</v>
      </c>
      <c r="B31" s="167"/>
      <c r="C31" s="1951">
        <v>3095023.42</v>
      </c>
      <c r="D31" s="1951">
        <v>4150899.45</v>
      </c>
      <c r="E31" s="1960">
        <v>5873909.0499999998</v>
      </c>
      <c r="F31" s="1961"/>
      <c r="G31" s="1951"/>
      <c r="H31" s="1960"/>
      <c r="I31" s="1962"/>
      <c r="J31" s="1953"/>
      <c r="K31" s="1951"/>
      <c r="L31" s="1960"/>
      <c r="M31" s="240"/>
      <c r="N31" s="240"/>
      <c r="O31" s="240"/>
      <c r="P31" s="240"/>
    </row>
    <row r="32" spans="1:16" ht="25.5">
      <c r="A32" s="2364" t="s">
        <v>2059</v>
      </c>
      <c r="B32" s="167"/>
      <c r="C32" s="1951">
        <v>167611.76</v>
      </c>
      <c r="D32" s="1951">
        <v>987407.03</v>
      </c>
      <c r="E32" s="1960">
        <v>1162662.7</v>
      </c>
      <c r="F32" s="1961"/>
      <c r="G32" s="1951"/>
      <c r="H32" s="1960">
        <v>1011978.0199999999</v>
      </c>
      <c r="I32" s="1962">
        <v>1011978.0199999999</v>
      </c>
      <c r="J32" s="1953">
        <v>1200000</v>
      </c>
      <c r="K32" s="1951">
        <v>1255200</v>
      </c>
      <c r="L32" s="1960">
        <v>1312939.2</v>
      </c>
      <c r="M32" s="240"/>
      <c r="N32" s="240"/>
      <c r="O32" s="240"/>
      <c r="P32" s="240"/>
    </row>
    <row r="33" spans="1:16" ht="25.5">
      <c r="A33" s="2398" t="s">
        <v>2032</v>
      </c>
      <c r="B33" s="167"/>
      <c r="C33" s="2399">
        <f>'SA9'!E286</f>
        <v>1343000</v>
      </c>
      <c r="D33" s="2399">
        <f>'SA9'!F286</f>
        <v>1511000</v>
      </c>
      <c r="E33" s="2400">
        <f>'SA9'!G286</f>
        <v>1511000</v>
      </c>
      <c r="F33" s="2401">
        <f>'SA9'!H286</f>
        <v>1300000</v>
      </c>
      <c r="G33" s="2399">
        <f>'SA9'!I286</f>
        <v>1300000</v>
      </c>
      <c r="H33" s="2400">
        <f>'SA9'!J286</f>
        <v>1300000</v>
      </c>
      <c r="I33" s="1999">
        <v>1300000</v>
      </c>
      <c r="J33" s="2402">
        <f>'SA9'!L286</f>
        <v>1300000</v>
      </c>
      <c r="K33" s="2399">
        <f>'SA9'!M286</f>
        <v>1300000</v>
      </c>
      <c r="L33" s="2399">
        <f>'SA9'!N286</f>
        <v>0</v>
      </c>
      <c r="M33" s="240"/>
      <c r="N33" s="240"/>
      <c r="O33" s="240"/>
      <c r="P33" s="240"/>
    </row>
    <row r="34" spans="1:16">
      <c r="A34" s="286" t="str">
        <f>"Net "&amp; A29</f>
        <v>Net Service charges - refuse revenue</v>
      </c>
      <c r="B34" s="167"/>
      <c r="C34" s="142">
        <f>SUM(C30:C31)-C32-C33</f>
        <v>27526219.02</v>
      </c>
      <c r="D34" s="142">
        <f t="shared" ref="D34:L34" si="4">SUM(D30:D31)-D32-D33</f>
        <v>30990314.419999998</v>
      </c>
      <c r="E34" s="143">
        <f t="shared" si="4"/>
        <v>33052322.419999994</v>
      </c>
      <c r="F34" s="144">
        <f t="shared" si="4"/>
        <v>33721657</v>
      </c>
      <c r="G34" s="142">
        <f t="shared" si="4"/>
        <v>33721657</v>
      </c>
      <c r="H34" s="143">
        <f t="shared" si="4"/>
        <v>32841903.339999996</v>
      </c>
      <c r="I34" s="141">
        <f t="shared" si="4"/>
        <v>32841903.339999996</v>
      </c>
      <c r="J34" s="145">
        <f t="shared" si="4"/>
        <v>35416132</v>
      </c>
      <c r="K34" s="142">
        <f t="shared" si="4"/>
        <v>37045274.071999997</v>
      </c>
      <c r="L34" s="143">
        <f t="shared" si="4"/>
        <v>38749356.679311998</v>
      </c>
      <c r="M34" s="240"/>
      <c r="N34" s="240"/>
      <c r="O34" s="240"/>
      <c r="P34" s="240"/>
    </row>
    <row r="35" spans="1:16" ht="4.9000000000000004" customHeight="1">
      <c r="A35" s="275"/>
      <c r="B35" s="167"/>
      <c r="C35" s="80"/>
      <c r="D35" s="80"/>
      <c r="E35" s="81"/>
      <c r="F35" s="82"/>
      <c r="G35" s="80"/>
      <c r="H35" s="81"/>
      <c r="I35" s="79"/>
      <c r="J35" s="83"/>
      <c r="K35" s="80"/>
      <c r="L35" s="81"/>
      <c r="M35" s="240"/>
      <c r="N35" s="240"/>
      <c r="O35" s="240"/>
      <c r="P35" s="240"/>
    </row>
    <row r="36" spans="1:16" ht="11.25" customHeight="1">
      <c r="A36" s="272" t="s">
        <v>322</v>
      </c>
      <c r="B36" s="167"/>
      <c r="C36" s="188"/>
      <c r="D36" s="188"/>
      <c r="E36" s="191"/>
      <c r="F36" s="190"/>
      <c r="G36" s="188"/>
      <c r="H36" s="191"/>
      <c r="I36" s="189"/>
      <c r="J36" s="276"/>
      <c r="K36" s="188"/>
      <c r="L36" s="191"/>
      <c r="M36" s="240"/>
      <c r="N36" s="240"/>
      <c r="O36" s="240"/>
      <c r="P36" s="240"/>
    </row>
    <row r="37" spans="1:16" ht="12" customHeight="1">
      <c r="A37" s="2709" t="s">
        <v>2881</v>
      </c>
      <c r="B37" s="167"/>
      <c r="C37" s="1951">
        <v>10199.5</v>
      </c>
      <c r="D37" s="1951">
        <v>7753</v>
      </c>
      <c r="E37" s="1960">
        <v>7412.5</v>
      </c>
      <c r="F37" s="1961">
        <v>5507</v>
      </c>
      <c r="G37" s="1951">
        <v>5507</v>
      </c>
      <c r="H37" s="1960">
        <v>14592</v>
      </c>
      <c r="I37" s="1960">
        <v>14592</v>
      </c>
      <c r="J37" s="1953">
        <v>5507</v>
      </c>
      <c r="K37" s="1951">
        <v>5760.3220000000001</v>
      </c>
      <c r="L37" s="1960">
        <v>6025.2968119999996</v>
      </c>
      <c r="M37" s="240"/>
      <c r="N37" s="240"/>
      <c r="O37" s="240"/>
      <c r="P37" s="240"/>
    </row>
    <row r="38" spans="1:16" ht="12" customHeight="1">
      <c r="A38" s="2709" t="s">
        <v>407</v>
      </c>
      <c r="B38" s="167"/>
      <c r="C38" s="1951">
        <v>0</v>
      </c>
      <c r="D38" s="1951">
        <v>0</v>
      </c>
      <c r="E38" s="1960"/>
      <c r="F38" s="1961">
        <v>2500000</v>
      </c>
      <c r="G38" s="1951">
        <v>2500000</v>
      </c>
      <c r="H38" s="1960">
        <v>2500000</v>
      </c>
      <c r="I38" s="1960">
        <v>2500000</v>
      </c>
      <c r="J38" s="1953">
        <v>1500000</v>
      </c>
      <c r="K38" s="1951">
        <v>1569000</v>
      </c>
      <c r="L38" s="1960">
        <v>1641174</v>
      </c>
      <c r="M38" s="240"/>
      <c r="N38" s="240"/>
      <c r="O38" s="240"/>
      <c r="P38" s="240"/>
    </row>
    <row r="39" spans="1:16" ht="12" customHeight="1">
      <c r="A39" s="2709" t="s">
        <v>2882</v>
      </c>
      <c r="B39" s="167"/>
      <c r="C39" s="1951">
        <v>0</v>
      </c>
      <c r="D39" s="1951">
        <v>2801</v>
      </c>
      <c r="E39" s="1960">
        <v>2272</v>
      </c>
      <c r="F39" s="1961">
        <v>2000</v>
      </c>
      <c r="G39" s="1951">
        <v>2000</v>
      </c>
      <c r="H39" s="1960">
        <v>1096</v>
      </c>
      <c r="I39" s="1960">
        <v>1096</v>
      </c>
      <c r="J39" s="1953">
        <v>2000</v>
      </c>
      <c r="K39" s="1951">
        <v>2092</v>
      </c>
      <c r="L39" s="1960">
        <v>2188.232</v>
      </c>
      <c r="M39" s="240"/>
      <c r="N39" s="240"/>
      <c r="O39" s="240"/>
      <c r="P39" s="240"/>
    </row>
    <row r="40" spans="1:16" ht="12" customHeight="1">
      <c r="A40" s="2710" t="s">
        <v>2883</v>
      </c>
      <c r="B40" s="167"/>
      <c r="C40" s="1951">
        <v>4752152.2300000004</v>
      </c>
      <c r="D40" s="1951">
        <v>8399.4</v>
      </c>
      <c r="E40" s="1960"/>
      <c r="F40" s="1961">
        <v>500000</v>
      </c>
      <c r="G40" s="1951">
        <v>500000</v>
      </c>
      <c r="H40" s="1960"/>
      <c r="I40" s="1960"/>
      <c r="J40" s="1953">
        <v>500000</v>
      </c>
      <c r="K40" s="1951">
        <v>523000</v>
      </c>
      <c r="L40" s="1960">
        <v>547058</v>
      </c>
      <c r="M40" s="240"/>
      <c r="N40" s="240"/>
      <c r="O40" s="240"/>
      <c r="P40" s="240"/>
    </row>
    <row r="41" spans="1:16" ht="12" customHeight="1">
      <c r="A41" s="2710" t="s">
        <v>2884</v>
      </c>
      <c r="B41" s="167"/>
      <c r="C41" s="1951">
        <v>81610</v>
      </c>
      <c r="D41" s="1951">
        <v>110100</v>
      </c>
      <c r="E41" s="1960">
        <v>82565</v>
      </c>
      <c r="F41" s="1961">
        <v>50000</v>
      </c>
      <c r="G41" s="1951">
        <v>50000</v>
      </c>
      <c r="H41" s="1960">
        <v>68750</v>
      </c>
      <c r="I41" s="1960">
        <v>68750</v>
      </c>
      <c r="J41" s="1953">
        <v>50000</v>
      </c>
      <c r="K41" s="1951">
        <v>52300</v>
      </c>
      <c r="L41" s="1960">
        <v>54705.8</v>
      </c>
      <c r="M41" s="240"/>
      <c r="N41" s="240"/>
      <c r="O41" s="240"/>
      <c r="P41" s="240"/>
    </row>
    <row r="42" spans="1:16" ht="12" customHeight="1">
      <c r="A42" s="2710" t="s">
        <v>2885</v>
      </c>
      <c r="B42" s="167"/>
      <c r="C42" s="1951">
        <v>46061.2</v>
      </c>
      <c r="D42" s="1951">
        <v>23856.37</v>
      </c>
      <c r="E42" s="1960">
        <v>19773.919999999998</v>
      </c>
      <c r="F42" s="1961">
        <v>14000</v>
      </c>
      <c r="G42" s="1951">
        <v>14000</v>
      </c>
      <c r="H42" s="1960">
        <v>12802.2</v>
      </c>
      <c r="I42" s="1960">
        <v>12802.2</v>
      </c>
      <c r="J42" s="1953">
        <v>14000</v>
      </c>
      <c r="K42" s="1951">
        <v>14644</v>
      </c>
      <c r="L42" s="1960">
        <v>15317.624</v>
      </c>
      <c r="M42" s="240"/>
      <c r="N42" s="240"/>
      <c r="O42" s="240"/>
      <c r="P42" s="240"/>
    </row>
    <row r="43" spans="1:16" ht="12" customHeight="1">
      <c r="A43" s="2710" t="s">
        <v>2886</v>
      </c>
      <c r="B43" s="167"/>
      <c r="C43" s="1951"/>
      <c r="D43" s="1951"/>
      <c r="E43" s="1960"/>
      <c r="F43" s="1961"/>
      <c r="G43" s="1951">
        <v>0</v>
      </c>
      <c r="H43" s="1960"/>
      <c r="I43" s="1960"/>
      <c r="J43" s="1953"/>
      <c r="K43" s="1951"/>
      <c r="L43" s="1960"/>
      <c r="M43" s="240"/>
      <c r="N43" s="240"/>
      <c r="O43" s="240"/>
      <c r="P43" s="240"/>
    </row>
    <row r="44" spans="1:16" ht="12" customHeight="1">
      <c r="A44" s="2710" t="s">
        <v>2887</v>
      </c>
      <c r="B44" s="167"/>
      <c r="C44" s="1951">
        <v>0</v>
      </c>
      <c r="D44" s="1951">
        <v>3842.98</v>
      </c>
      <c r="E44" s="1960">
        <v>7441.4</v>
      </c>
      <c r="F44" s="1961">
        <v>100</v>
      </c>
      <c r="G44" s="1951">
        <v>100</v>
      </c>
      <c r="H44" s="1960">
        <v>36440.58</v>
      </c>
      <c r="I44" s="1960">
        <v>36440.58</v>
      </c>
      <c r="J44" s="1953">
        <v>100</v>
      </c>
      <c r="K44" s="1951">
        <v>104.6</v>
      </c>
      <c r="L44" s="1960">
        <v>109.41160000000001</v>
      </c>
      <c r="M44" s="240"/>
      <c r="N44" s="240"/>
      <c r="O44" s="240"/>
      <c r="P44" s="240"/>
    </row>
    <row r="45" spans="1:16" ht="12" customHeight="1">
      <c r="A45" s="2710" t="s">
        <v>2888</v>
      </c>
      <c r="B45" s="167"/>
      <c r="C45" s="1951">
        <v>90812</v>
      </c>
      <c r="D45" s="1951">
        <v>1040188.35</v>
      </c>
      <c r="E45" s="1960">
        <v>154709</v>
      </c>
      <c r="F45" s="1961">
        <v>1000000</v>
      </c>
      <c r="G45" s="1951">
        <v>1000000</v>
      </c>
      <c r="H45" s="1960">
        <v>770202</v>
      </c>
      <c r="I45" s="1960">
        <v>770202</v>
      </c>
      <c r="J45" s="1953">
        <v>1000000</v>
      </c>
      <c r="K45" s="1951">
        <v>1046000</v>
      </c>
      <c r="L45" s="1960">
        <v>1094116</v>
      </c>
      <c r="M45" s="240"/>
      <c r="N45" s="240"/>
      <c r="O45" s="240"/>
      <c r="P45" s="240"/>
    </row>
    <row r="46" spans="1:16" ht="12" customHeight="1">
      <c r="A46" s="2710" t="s">
        <v>2889</v>
      </c>
      <c r="B46" s="167"/>
      <c r="C46" s="1951"/>
      <c r="D46" s="1951"/>
      <c r="E46" s="1960"/>
      <c r="F46" s="1961">
        <v>100</v>
      </c>
      <c r="G46" s="1951">
        <v>100</v>
      </c>
      <c r="H46" s="1960"/>
      <c r="I46" s="1960"/>
      <c r="J46" s="1953">
        <v>100</v>
      </c>
      <c r="K46" s="1951">
        <v>104.6</v>
      </c>
      <c r="L46" s="1960">
        <v>109.41160000000001</v>
      </c>
      <c r="M46" s="240"/>
      <c r="N46" s="240"/>
      <c r="O46" s="240"/>
      <c r="P46" s="240"/>
    </row>
    <row r="47" spans="1:16" ht="12" customHeight="1">
      <c r="A47" s="2710" t="s">
        <v>2890</v>
      </c>
      <c r="B47" s="167"/>
      <c r="C47" s="1951">
        <v>39703242</v>
      </c>
      <c r="D47" s="1951">
        <v>25675998.030000001</v>
      </c>
      <c r="E47" s="1960">
        <v>26966138.27</v>
      </c>
      <c r="F47" s="1961">
        <v>5396316</v>
      </c>
      <c r="G47" s="1951">
        <v>5396316</v>
      </c>
      <c r="H47" s="1960">
        <v>4966378.0199999996</v>
      </c>
      <c r="I47" s="1960">
        <v>4966378.0199999996</v>
      </c>
      <c r="J47" s="1953">
        <v>650766</v>
      </c>
      <c r="K47" s="1951">
        <v>680701.23600000003</v>
      </c>
      <c r="L47" s="1960">
        <v>712013.49285599997</v>
      </c>
      <c r="M47" s="240"/>
      <c r="N47" s="240"/>
      <c r="O47" s="240"/>
      <c r="P47" s="240"/>
    </row>
    <row r="48" spans="1:16" ht="11.25" customHeight="1">
      <c r="A48" s="2710" t="s">
        <v>1368</v>
      </c>
      <c r="B48" s="167"/>
      <c r="C48" s="1951">
        <v>3704013.92</v>
      </c>
      <c r="D48" s="1951">
        <v>19719985</v>
      </c>
      <c r="E48" s="1960">
        <f>361493.75+3390235+217388</f>
        <v>3969116.75</v>
      </c>
      <c r="F48" s="1961">
        <v>4150100</v>
      </c>
      <c r="G48" s="1951">
        <v>4150100</v>
      </c>
      <c r="H48" s="1960">
        <v>13830509.18</v>
      </c>
      <c r="I48" s="1960">
        <v>13830509.18</v>
      </c>
      <c r="J48" s="1953">
        <v>2750100</v>
      </c>
      <c r="K48" s="1951">
        <v>2876604.6</v>
      </c>
      <c r="L48" s="1960">
        <v>3008928.4116000002</v>
      </c>
      <c r="M48" s="240"/>
      <c r="N48" s="240"/>
      <c r="O48" s="240"/>
      <c r="P48" s="240"/>
    </row>
    <row r="49" spans="1:16" ht="11.25" hidden="1" customHeight="1">
      <c r="A49" s="2600"/>
      <c r="B49" s="167"/>
      <c r="C49" s="900"/>
      <c r="D49" s="900"/>
      <c r="E49" s="901"/>
      <c r="F49" s="902"/>
      <c r="G49" s="900"/>
      <c r="H49" s="901"/>
      <c r="I49" s="903"/>
      <c r="J49" s="904"/>
      <c r="K49" s="900"/>
      <c r="L49" s="901"/>
      <c r="M49" s="240"/>
      <c r="N49" s="240"/>
      <c r="O49" s="240"/>
      <c r="P49" s="240"/>
    </row>
    <row r="50" spans="1:16" ht="11.25" hidden="1" customHeight="1">
      <c r="A50" s="1001"/>
      <c r="B50" s="167"/>
      <c r="C50" s="900"/>
      <c r="D50" s="900"/>
      <c r="E50" s="901"/>
      <c r="F50" s="902"/>
      <c r="G50" s="900"/>
      <c r="H50" s="901"/>
      <c r="I50" s="903"/>
      <c r="J50" s="904"/>
      <c r="K50" s="900"/>
      <c r="L50" s="901"/>
      <c r="M50" s="240"/>
      <c r="N50" s="240"/>
      <c r="O50" s="240"/>
      <c r="P50" s="240"/>
    </row>
    <row r="51" spans="1:16" ht="11.25" hidden="1" customHeight="1">
      <c r="A51" s="1001"/>
      <c r="B51" s="167"/>
      <c r="C51" s="900"/>
      <c r="D51" s="900"/>
      <c r="E51" s="901"/>
      <c r="F51" s="902"/>
      <c r="G51" s="900"/>
      <c r="H51" s="901"/>
      <c r="I51" s="903"/>
      <c r="J51" s="904"/>
      <c r="K51" s="900"/>
      <c r="L51" s="901"/>
      <c r="M51" s="240"/>
      <c r="N51" s="240"/>
      <c r="O51" s="240"/>
      <c r="P51" s="240"/>
    </row>
    <row r="52" spans="1:16" ht="11.25" hidden="1" customHeight="1">
      <c r="A52" s="1001"/>
      <c r="B52" s="167"/>
      <c r="C52" s="900"/>
      <c r="D52" s="900"/>
      <c r="E52" s="901"/>
      <c r="F52" s="902"/>
      <c r="G52" s="900"/>
      <c r="H52" s="901"/>
      <c r="I52" s="903"/>
      <c r="J52" s="904"/>
      <c r="K52" s="900"/>
      <c r="L52" s="901"/>
      <c r="M52" s="240"/>
      <c r="N52" s="240"/>
      <c r="O52" s="240"/>
      <c r="P52" s="240"/>
    </row>
    <row r="53" spans="1:16" ht="11.25" hidden="1" customHeight="1">
      <c r="A53" s="1001"/>
      <c r="B53" s="167"/>
      <c r="C53" s="900"/>
      <c r="D53" s="900"/>
      <c r="E53" s="901"/>
      <c r="F53" s="902"/>
      <c r="G53" s="900"/>
      <c r="H53" s="901"/>
      <c r="I53" s="903"/>
      <c r="J53" s="904"/>
      <c r="K53" s="900"/>
      <c r="L53" s="901"/>
      <c r="M53" s="240"/>
      <c r="N53" s="240"/>
      <c r="O53" s="240"/>
      <c r="P53" s="240"/>
    </row>
    <row r="54" spans="1:16" ht="11.25" hidden="1" customHeight="1">
      <c r="A54" s="1001"/>
      <c r="B54" s="167"/>
      <c r="C54" s="900"/>
      <c r="D54" s="900"/>
      <c r="E54" s="901"/>
      <c r="F54" s="902"/>
      <c r="G54" s="900"/>
      <c r="H54" s="901"/>
      <c r="I54" s="903"/>
      <c r="J54" s="904"/>
      <c r="K54" s="900"/>
      <c r="L54" s="901"/>
      <c r="M54" s="240"/>
      <c r="N54" s="240"/>
      <c r="O54" s="240"/>
      <c r="P54" s="240"/>
    </row>
    <row r="55" spans="1:16" ht="11.25" hidden="1" customHeight="1">
      <c r="A55" s="1001"/>
      <c r="B55" s="167"/>
      <c r="C55" s="900"/>
      <c r="D55" s="900"/>
      <c r="E55" s="901"/>
      <c r="F55" s="902"/>
      <c r="G55" s="900"/>
      <c r="H55" s="901"/>
      <c r="I55" s="903"/>
      <c r="J55" s="904"/>
      <c r="K55" s="900"/>
      <c r="L55" s="901"/>
      <c r="M55" s="240"/>
      <c r="N55" s="240"/>
      <c r="O55" s="240"/>
      <c r="P55" s="240"/>
    </row>
    <row r="56" spans="1:16" ht="11.25" hidden="1" customHeight="1">
      <c r="A56" s="1001"/>
      <c r="B56" s="167"/>
      <c r="C56" s="900"/>
      <c r="D56" s="900"/>
      <c r="E56" s="901"/>
      <c r="F56" s="902"/>
      <c r="G56" s="900"/>
      <c r="H56" s="901"/>
      <c r="I56" s="903"/>
      <c r="J56" s="904"/>
      <c r="K56" s="900"/>
      <c r="L56" s="901"/>
      <c r="M56" s="240"/>
      <c r="N56" s="240"/>
      <c r="O56" s="240"/>
      <c r="P56" s="240"/>
    </row>
    <row r="57" spans="1:16" ht="11.25" hidden="1" customHeight="1">
      <c r="A57" s="1001"/>
      <c r="B57" s="167"/>
      <c r="C57" s="900"/>
      <c r="D57" s="900"/>
      <c r="E57" s="901"/>
      <c r="F57" s="902"/>
      <c r="G57" s="900"/>
      <c r="H57" s="901"/>
      <c r="I57" s="903"/>
      <c r="J57" s="904"/>
      <c r="K57" s="900"/>
      <c r="L57" s="901"/>
      <c r="M57" s="240"/>
      <c r="N57" s="240"/>
      <c r="O57" s="240"/>
      <c r="P57" s="240"/>
    </row>
    <row r="58" spans="1:16">
      <c r="A58" s="1001"/>
      <c r="B58" s="167"/>
      <c r="C58" s="900"/>
      <c r="D58" s="900"/>
      <c r="E58" s="901"/>
      <c r="F58" s="902"/>
      <c r="G58" s="900"/>
      <c r="H58" s="901"/>
      <c r="I58" s="903"/>
      <c r="J58" s="904"/>
      <c r="K58" s="900"/>
      <c r="L58" s="901"/>
      <c r="M58" s="240"/>
      <c r="N58" s="240"/>
      <c r="O58" s="240"/>
      <c r="P58" s="240"/>
    </row>
    <row r="59" spans="1:16" ht="11.25" customHeight="1">
      <c r="A59" s="286" t="s">
        <v>1056</v>
      </c>
      <c r="B59" s="167">
        <v>1</v>
      </c>
      <c r="C59" s="90">
        <f>SUM(C37:C48)</f>
        <v>48388090.850000001</v>
      </c>
      <c r="D59" s="90">
        <f>SUM(D37:D48)</f>
        <v>46592924.130000003</v>
      </c>
      <c r="E59" s="91">
        <f t="shared" ref="E59:L59" si="5">SUM(E37:E48)</f>
        <v>31209428.84</v>
      </c>
      <c r="F59" s="92">
        <f t="shared" si="5"/>
        <v>13618123</v>
      </c>
      <c r="G59" s="90">
        <f t="shared" si="5"/>
        <v>13618123</v>
      </c>
      <c r="H59" s="91">
        <f t="shared" si="5"/>
        <v>22200769.98</v>
      </c>
      <c r="I59" s="89">
        <f t="shared" si="5"/>
        <v>22200769.98</v>
      </c>
      <c r="J59" s="93">
        <f t="shared" si="5"/>
        <v>6472573</v>
      </c>
      <c r="K59" s="90">
        <f t="shared" si="5"/>
        <v>6770311.358</v>
      </c>
      <c r="L59" s="91">
        <f t="shared" si="5"/>
        <v>7081745.6804680005</v>
      </c>
      <c r="M59" s="240"/>
      <c r="N59" s="240"/>
      <c r="O59" s="240"/>
      <c r="P59" s="240"/>
    </row>
    <row r="60" spans="1:16" ht="4.9000000000000004" customHeight="1">
      <c r="A60" s="78"/>
      <c r="B60" s="167"/>
      <c r="C60" s="80"/>
      <c r="D60" s="80"/>
      <c r="E60" s="81"/>
      <c r="F60" s="82"/>
      <c r="G60" s="80"/>
      <c r="H60" s="81"/>
      <c r="I60" s="79"/>
      <c r="J60" s="83"/>
      <c r="K60" s="80"/>
      <c r="L60" s="81"/>
      <c r="M60" s="240"/>
      <c r="N60" s="240"/>
      <c r="O60" s="240"/>
      <c r="P60" s="240"/>
    </row>
    <row r="61" spans="1:16" ht="15.75" customHeight="1">
      <c r="A61" s="277" t="s">
        <v>466</v>
      </c>
      <c r="B61" s="278"/>
      <c r="C61" s="279"/>
      <c r="D61" s="279"/>
      <c r="E61" s="280"/>
      <c r="F61" s="281"/>
      <c r="G61" s="279"/>
      <c r="H61" s="280"/>
      <c r="I61" s="282"/>
      <c r="J61" s="283"/>
      <c r="K61" s="279"/>
      <c r="L61" s="280"/>
      <c r="M61" s="240"/>
      <c r="N61" s="240"/>
      <c r="O61" s="240"/>
      <c r="P61" s="240"/>
    </row>
    <row r="62" spans="1:16" ht="11.25" customHeight="1">
      <c r="A62" s="58" t="str">
        <f>'A4-FinPerf RE'!A24</f>
        <v>Employee related costs</v>
      </c>
      <c r="B62" s="167"/>
      <c r="C62" s="80"/>
      <c r="D62" s="80"/>
      <c r="E62" s="81"/>
      <c r="F62" s="82"/>
      <c r="G62" s="80"/>
      <c r="H62" s="81"/>
      <c r="I62" s="79"/>
      <c r="J62" s="83"/>
      <c r="K62" s="80"/>
      <c r="L62" s="81"/>
      <c r="M62" s="240"/>
      <c r="N62" s="240"/>
      <c r="O62" s="240"/>
      <c r="P62" s="240"/>
    </row>
    <row r="63" spans="1:16" ht="11.25" customHeight="1">
      <c r="A63" s="67" t="s">
        <v>1142</v>
      </c>
      <c r="B63" s="168">
        <v>2</v>
      </c>
      <c r="C63" s="1951">
        <v>165175564.68000001</v>
      </c>
      <c r="D63" s="1951">
        <v>172025858.77000001</v>
      </c>
      <c r="E63" s="1960">
        <f>187645263.25+3791618</f>
        <v>191436881.25</v>
      </c>
      <c r="F63" s="1961">
        <v>209126464.28</v>
      </c>
      <c r="G63" s="1951">
        <v>205779237.46000001</v>
      </c>
      <c r="H63" s="1960">
        <v>203104566.50999996</v>
      </c>
      <c r="I63" s="1960">
        <v>203104566.50999996</v>
      </c>
      <c r="J63" s="1953">
        <f>212879882+2841436</f>
        <v>215721318</v>
      </c>
      <c r="K63" s="1951">
        <f>222672356.572+3125579.71</f>
        <v>225797936.28200001</v>
      </c>
      <c r="L63" s="1960">
        <f>232915284.974312+3438137.68</f>
        <v>236353422.65431201</v>
      </c>
      <c r="M63" s="240"/>
      <c r="N63" s="240"/>
      <c r="O63" s="240"/>
      <c r="P63" s="240"/>
    </row>
    <row r="64" spans="1:16" ht="11.25" customHeight="1">
      <c r="A64" s="67" t="s">
        <v>1799</v>
      </c>
      <c r="B64" s="167"/>
      <c r="C64" s="1951">
        <v>26625377</v>
      </c>
      <c r="D64" s="1951">
        <v>28938422.719999995</v>
      </c>
      <c r="E64" s="1960">
        <v>30465325.089999992</v>
      </c>
      <c r="F64" s="1961">
        <v>38313524.350000001</v>
      </c>
      <c r="G64" s="1951">
        <v>37691906.260000005</v>
      </c>
      <c r="H64" s="1960">
        <v>33587046.730000004</v>
      </c>
      <c r="I64" s="1960">
        <v>33587046.730000004</v>
      </c>
      <c r="J64" s="1953">
        <f>39132493+1192751</f>
        <v>40325244</v>
      </c>
      <c r="K64" s="1951">
        <f>40932587.678+1312026</f>
        <v>42244613.678000003</v>
      </c>
      <c r="L64" s="1960">
        <f>42815486.711188+1443229</f>
        <v>44258715.711188003</v>
      </c>
      <c r="M64" s="240"/>
      <c r="N64" s="240"/>
      <c r="O64" s="240"/>
      <c r="P64" s="240"/>
    </row>
    <row r="65" spans="1:16" ht="11.25" customHeight="1">
      <c r="A65" s="67" t="s">
        <v>653</v>
      </c>
      <c r="B65" s="167"/>
      <c r="C65" s="1951">
        <v>9333731.120000001</v>
      </c>
      <c r="D65" s="1951">
        <v>10417908.51</v>
      </c>
      <c r="E65" s="1960">
        <v>7221630.6199999992</v>
      </c>
      <c r="F65" s="1961">
        <v>18242071</v>
      </c>
      <c r="G65" s="1951">
        <v>17699951.800000001</v>
      </c>
      <c r="H65" s="1960">
        <v>19550714.839999996</v>
      </c>
      <c r="I65" s="1960">
        <v>19550714.839999996</v>
      </c>
      <c r="J65" s="1953">
        <v>16881173.129999999</v>
      </c>
      <c r="K65" s="1951">
        <v>17657707.093979999</v>
      </c>
      <c r="L65" s="1960">
        <v>18469961.620303083</v>
      </c>
      <c r="M65" s="240"/>
      <c r="N65" s="240"/>
      <c r="O65" s="240"/>
      <c r="P65" s="240"/>
    </row>
    <row r="66" spans="1:16" ht="11.25" customHeight="1">
      <c r="A66" s="67" t="s">
        <v>953</v>
      </c>
      <c r="B66" s="167"/>
      <c r="C66" s="1951">
        <v>26110171</v>
      </c>
      <c r="D66" s="1951">
        <v>25484377</v>
      </c>
      <c r="E66" s="1960">
        <v>24754783.300000001</v>
      </c>
      <c r="F66" s="1961">
        <v>41111954</v>
      </c>
      <c r="G66" s="1951">
        <f>20560976.5+640000</f>
        <v>21200976.5</v>
      </c>
      <c r="H66" s="1960">
        <v>21279111.760000002</v>
      </c>
      <c r="I66" s="1960">
        <v>21279111.760000002</v>
      </c>
      <c r="J66" s="1953">
        <f>18093992+22719</f>
        <v>18116711</v>
      </c>
      <c r="K66" s="1951">
        <f>18926315.632+24992</f>
        <v>18951307.631999999</v>
      </c>
      <c r="L66" s="1960">
        <f>19796926.151072+27491</f>
        <v>19824417.151071999</v>
      </c>
      <c r="M66" s="240"/>
      <c r="N66" s="240"/>
      <c r="O66" s="240"/>
      <c r="P66" s="240"/>
    </row>
    <row r="67" spans="1:16" ht="11.25" customHeight="1">
      <c r="A67" s="67" t="s">
        <v>655</v>
      </c>
      <c r="B67" s="167"/>
      <c r="C67" s="1951">
        <v>46604.66</v>
      </c>
      <c r="D67" s="1951">
        <v>37431</v>
      </c>
      <c r="E67" s="1960">
        <v>633745.52999999991</v>
      </c>
      <c r="F67" s="1961">
        <v>1124025</v>
      </c>
      <c r="G67" s="1951">
        <v>108000</v>
      </c>
      <c r="H67" s="1960">
        <v>249712.82</v>
      </c>
      <c r="I67" s="1960">
        <v>249712.82</v>
      </c>
      <c r="J67" s="1953">
        <f>1011426+59463</f>
        <v>1070889</v>
      </c>
      <c r="K67" s="1951">
        <f>1057951.596+65409</f>
        <v>1123360.5959999999</v>
      </c>
      <c r="L67" s="1960">
        <f>1106617.369416+71950</f>
        <v>1178567.3694160001</v>
      </c>
      <c r="M67" s="240"/>
      <c r="N67" s="240"/>
      <c r="O67" s="240"/>
      <c r="P67" s="240"/>
    </row>
    <row r="68" spans="1:16" ht="11.25" customHeight="1">
      <c r="A68" s="67" t="s">
        <v>1947</v>
      </c>
      <c r="B68" s="167"/>
      <c r="C68" s="1951">
        <v>11139562</v>
      </c>
      <c r="D68" s="1951">
        <v>11912410</v>
      </c>
      <c r="E68" s="1960">
        <v>12767199.93</v>
      </c>
      <c r="F68" s="1961">
        <v>16369685</v>
      </c>
      <c r="G68" s="1951">
        <v>16369685</v>
      </c>
      <c r="H68" s="1960">
        <v>12581055.180000002</v>
      </c>
      <c r="I68" s="1960">
        <v>12581055.180000002</v>
      </c>
      <c r="J68" s="1953">
        <v>16774895</v>
      </c>
      <c r="K68" s="1951">
        <v>17546540.169999998</v>
      </c>
      <c r="L68" s="1960">
        <v>18353681.017819997</v>
      </c>
      <c r="M68" s="240"/>
      <c r="N68" s="240"/>
      <c r="O68" s="240"/>
      <c r="P68" s="240"/>
    </row>
    <row r="69" spans="1:16" ht="11.25" customHeight="1">
      <c r="A69" s="67" t="s">
        <v>1800</v>
      </c>
      <c r="B69" s="167"/>
      <c r="C69" s="1951"/>
      <c r="D69" s="1951"/>
      <c r="E69" s="1960"/>
      <c r="F69" s="1961"/>
      <c r="G69" s="1951">
        <v>0</v>
      </c>
      <c r="H69" s="1960">
        <v>0</v>
      </c>
      <c r="I69" s="1960">
        <v>0</v>
      </c>
      <c r="J69" s="1953"/>
      <c r="K69" s="1951"/>
      <c r="L69" s="1960"/>
      <c r="M69" s="240"/>
      <c r="N69" s="240"/>
      <c r="O69" s="240"/>
      <c r="P69" s="240"/>
    </row>
    <row r="70" spans="1:16" ht="11.25" customHeight="1">
      <c r="A70" s="67" t="s">
        <v>1948</v>
      </c>
      <c r="B70" s="167"/>
      <c r="C70" s="1951">
        <v>3200597</v>
      </c>
      <c r="D70" s="1951">
        <v>3609018</v>
      </c>
      <c r="E70" s="1960">
        <v>1886397.5999999996</v>
      </c>
      <c r="F70" s="1961">
        <v>2077981</v>
      </c>
      <c r="G70" s="1951">
        <v>2077981</v>
      </c>
      <c r="H70" s="1960">
        <v>1773313.5799999996</v>
      </c>
      <c r="I70" s="1960">
        <v>1773313.5799999996</v>
      </c>
      <c r="J70" s="1953">
        <v>1841142</v>
      </c>
      <c r="K70" s="1951">
        <v>1925834.5320000001</v>
      </c>
      <c r="L70" s="1960">
        <v>2014422.920472</v>
      </c>
      <c r="M70" s="240"/>
      <c r="N70" s="240"/>
      <c r="O70" s="240"/>
      <c r="P70" s="240"/>
    </row>
    <row r="71" spans="1:16" ht="11.25" customHeight="1">
      <c r="A71" s="67" t="s">
        <v>1348</v>
      </c>
      <c r="B71" s="167"/>
      <c r="C71" s="1951">
        <v>18215217.879999999</v>
      </c>
      <c r="D71" s="1951">
        <v>21021580</v>
      </c>
      <c r="E71" s="1960">
        <v>22507400.959999997</v>
      </c>
      <c r="F71" s="1961">
        <v>23073664.329999998</v>
      </c>
      <c r="G71" s="1951">
        <v>22726659.329999998</v>
      </c>
      <c r="H71" s="1960">
        <v>18604467.18</v>
      </c>
      <c r="I71" s="1960">
        <v>18604467.18</v>
      </c>
      <c r="J71" s="1953">
        <f>22493532+132000</f>
        <v>22625532</v>
      </c>
      <c r="K71" s="1951">
        <f>23528234.472+145200</f>
        <v>23673434.471999999</v>
      </c>
      <c r="L71" s="1960">
        <f>24610533.257712+159720</f>
        <v>24770253.257711999</v>
      </c>
      <c r="M71" s="240"/>
      <c r="N71" s="240"/>
      <c r="O71" s="240"/>
      <c r="P71" s="240"/>
    </row>
    <row r="72" spans="1:16" ht="11.25" customHeight="1">
      <c r="A72" s="67" t="s">
        <v>1459</v>
      </c>
      <c r="B72" s="167"/>
      <c r="C72" s="1951">
        <v>10256778.289999999</v>
      </c>
      <c r="D72" s="1951">
        <v>11610083</v>
      </c>
      <c r="E72" s="1960">
        <v>7350724.7200000007</v>
      </c>
      <c r="F72" s="1961">
        <v>8118022</v>
      </c>
      <c r="G72" s="1951">
        <v>8118022</v>
      </c>
      <c r="H72" s="1960">
        <v>9713371.1399999987</v>
      </c>
      <c r="I72" s="1960">
        <v>9713371.1399999987</v>
      </c>
      <c r="J72" s="1953">
        <f>12094185+113029</f>
        <v>12207214</v>
      </c>
      <c r="K72" s="1951">
        <f>12650517.51+124331</f>
        <v>12774848.51</v>
      </c>
      <c r="L72" s="1960">
        <f>13232441.31546+136765</f>
        <v>13369206.31546</v>
      </c>
      <c r="M72" s="240"/>
      <c r="N72" s="240"/>
      <c r="O72" s="240"/>
      <c r="P72" s="240"/>
    </row>
    <row r="73" spans="1:16" ht="11.25" customHeight="1">
      <c r="A73" s="67" t="s">
        <v>954</v>
      </c>
      <c r="B73" s="167"/>
      <c r="C73" s="1951"/>
      <c r="D73" s="1951"/>
      <c r="E73" s="1960"/>
      <c r="F73" s="1961"/>
      <c r="G73" s="1951">
        <v>0</v>
      </c>
      <c r="H73" s="1960"/>
      <c r="I73" s="1962"/>
      <c r="J73" s="1953"/>
      <c r="K73" s="1951"/>
      <c r="L73" s="1960"/>
      <c r="M73" s="240"/>
      <c r="N73" s="240"/>
      <c r="O73" s="240"/>
      <c r="P73" s="240"/>
    </row>
    <row r="74" spans="1:16" ht="11.25" customHeight="1">
      <c r="A74" s="67" t="s">
        <v>1460</v>
      </c>
      <c r="B74" s="167">
        <v>4</v>
      </c>
      <c r="C74" s="1951"/>
      <c r="D74" s="1951"/>
      <c r="E74" s="1960"/>
      <c r="F74" s="1961">
        <v>0</v>
      </c>
      <c r="G74" s="1951">
        <v>0</v>
      </c>
      <c r="H74" s="1960"/>
      <c r="I74" s="1962"/>
      <c r="J74" s="1953"/>
      <c r="K74" s="1951"/>
      <c r="L74" s="1960"/>
      <c r="M74" s="240"/>
      <c r="N74" s="240"/>
      <c r="O74" s="240"/>
      <c r="P74" s="240"/>
    </row>
    <row r="75" spans="1:16" ht="11.25" customHeight="1">
      <c r="A75" s="284" t="s">
        <v>117</v>
      </c>
      <c r="B75" s="167">
        <v>5</v>
      </c>
      <c r="C75" s="142">
        <f>SUM(C63:C74)</f>
        <v>270103603.63</v>
      </c>
      <c r="D75" s="142">
        <f t="shared" ref="D75:L75" si="6">SUM(D63:D74)</f>
        <v>285057089</v>
      </c>
      <c r="E75" s="143">
        <f t="shared" si="6"/>
        <v>299024089.00000006</v>
      </c>
      <c r="F75" s="144">
        <f t="shared" si="6"/>
        <v>357557390.95999998</v>
      </c>
      <c r="G75" s="142">
        <f t="shared" si="6"/>
        <v>331772419.35000002</v>
      </c>
      <c r="H75" s="143">
        <f t="shared" si="6"/>
        <v>320443359.73999995</v>
      </c>
      <c r="I75" s="141">
        <f t="shared" si="6"/>
        <v>320443359.73999995</v>
      </c>
      <c r="J75" s="145">
        <f t="shared" si="6"/>
        <v>345564118.13</v>
      </c>
      <c r="K75" s="142">
        <f t="shared" si="6"/>
        <v>361695582.96597999</v>
      </c>
      <c r="L75" s="143">
        <f t="shared" si="6"/>
        <v>378592648.01775521</v>
      </c>
      <c r="M75" s="240"/>
      <c r="N75" s="240"/>
      <c r="O75" s="240"/>
      <c r="P75" s="240"/>
    </row>
    <row r="76" spans="1:16" ht="11.25" customHeight="1">
      <c r="A76" s="285" t="s">
        <v>429</v>
      </c>
      <c r="B76" s="167"/>
      <c r="C76" s="1951"/>
      <c r="D76" s="1951"/>
      <c r="E76" s="1960"/>
      <c r="F76" s="1961"/>
      <c r="G76" s="1951"/>
      <c r="H76" s="1960"/>
      <c r="I76" s="1962"/>
      <c r="J76" s="1953"/>
      <c r="K76" s="1951"/>
      <c r="L76" s="1960"/>
      <c r="M76" s="240"/>
      <c r="N76" s="240"/>
      <c r="O76" s="240"/>
      <c r="P76" s="240"/>
    </row>
    <row r="77" spans="1:16" ht="11.25" customHeight="1">
      <c r="A77" s="199" t="str">
        <f>"Total "&amp;A62</f>
        <v>Total Employee related costs</v>
      </c>
      <c r="B77" s="167">
        <v>1</v>
      </c>
      <c r="C77" s="142">
        <f>C75-C76</f>
        <v>270103603.63</v>
      </c>
      <c r="D77" s="142">
        <f t="shared" ref="D77:L77" si="7">D75-D76</f>
        <v>285057089</v>
      </c>
      <c r="E77" s="143">
        <f t="shared" si="7"/>
        <v>299024089.00000006</v>
      </c>
      <c r="F77" s="144">
        <f t="shared" si="7"/>
        <v>357557390.95999998</v>
      </c>
      <c r="G77" s="142">
        <f t="shared" si="7"/>
        <v>331772419.35000002</v>
      </c>
      <c r="H77" s="143">
        <f t="shared" si="7"/>
        <v>320443359.73999995</v>
      </c>
      <c r="I77" s="141">
        <f t="shared" si="7"/>
        <v>320443359.73999995</v>
      </c>
      <c r="J77" s="145">
        <f t="shared" si="7"/>
        <v>345564118.13</v>
      </c>
      <c r="K77" s="142">
        <f t="shared" si="7"/>
        <v>361695582.96597999</v>
      </c>
      <c r="L77" s="143">
        <f t="shared" si="7"/>
        <v>378592648.01775521</v>
      </c>
      <c r="M77" s="240"/>
      <c r="N77" s="240"/>
      <c r="O77" s="240"/>
      <c r="P77" s="240"/>
    </row>
    <row r="78" spans="1:16">
      <c r="A78" s="1051"/>
      <c r="B78" s="167"/>
      <c r="C78" s="80"/>
      <c r="D78" s="80"/>
      <c r="E78" s="81"/>
      <c r="F78" s="82"/>
      <c r="G78" s="80"/>
      <c r="H78" s="81"/>
      <c r="I78" s="79"/>
      <c r="J78" s="83"/>
      <c r="K78" s="80"/>
      <c r="L78" s="81"/>
      <c r="M78" s="240"/>
      <c r="N78" s="240"/>
      <c r="O78" s="240"/>
      <c r="P78" s="240"/>
    </row>
    <row r="79" spans="1:16" ht="1.5" customHeight="1">
      <c r="A79" s="1033"/>
      <c r="B79" s="167"/>
      <c r="C79" s="900"/>
      <c r="D79" s="900"/>
      <c r="E79" s="901"/>
      <c r="F79" s="902"/>
      <c r="G79" s="900"/>
      <c r="H79" s="901"/>
      <c r="I79" s="903"/>
      <c r="J79" s="904"/>
      <c r="K79" s="900"/>
      <c r="L79" s="901"/>
      <c r="M79" s="240"/>
      <c r="N79" s="240"/>
      <c r="O79" s="240"/>
      <c r="P79" s="240"/>
    </row>
    <row r="80" spans="1:16" hidden="1">
      <c r="A80" s="2600"/>
      <c r="B80" s="167"/>
      <c r="C80" s="900"/>
      <c r="D80" s="900"/>
      <c r="E80" s="901"/>
      <c r="F80" s="902"/>
      <c r="G80" s="900"/>
      <c r="H80" s="901"/>
      <c r="I80" s="903"/>
      <c r="J80" s="904"/>
      <c r="K80" s="900"/>
      <c r="L80" s="901"/>
      <c r="M80" s="240"/>
      <c r="N80" s="240"/>
      <c r="O80" s="240"/>
      <c r="P80" s="240"/>
    </row>
    <row r="81" spans="1:16" hidden="1">
      <c r="A81" s="2600"/>
      <c r="B81" s="167"/>
      <c r="C81" s="900"/>
      <c r="D81" s="900"/>
      <c r="E81" s="901"/>
      <c r="F81" s="902"/>
      <c r="G81" s="900"/>
      <c r="H81" s="901"/>
      <c r="I81" s="903"/>
      <c r="J81" s="904"/>
      <c r="K81" s="900"/>
      <c r="L81" s="901"/>
      <c r="M81" s="240"/>
      <c r="N81" s="240"/>
      <c r="O81" s="240"/>
      <c r="P81" s="240"/>
    </row>
    <row r="82" spans="1:16" hidden="1">
      <c r="A82" s="2600"/>
      <c r="B82" s="167"/>
      <c r="C82" s="900"/>
      <c r="D82" s="900"/>
      <c r="E82" s="901"/>
      <c r="F82" s="902"/>
      <c r="G82" s="900"/>
      <c r="H82" s="901"/>
      <c r="I82" s="903"/>
      <c r="J82" s="904"/>
      <c r="K82" s="900"/>
      <c r="L82" s="901"/>
      <c r="M82" s="240"/>
      <c r="N82" s="240"/>
      <c r="O82" s="240"/>
      <c r="P82" s="240"/>
    </row>
    <row r="83" spans="1:16" hidden="1">
      <c r="A83" s="2600"/>
      <c r="B83" s="167"/>
      <c r="C83" s="900"/>
      <c r="D83" s="900"/>
      <c r="E83" s="901"/>
      <c r="F83" s="902"/>
      <c r="G83" s="900"/>
      <c r="H83" s="901"/>
      <c r="I83" s="903"/>
      <c r="J83" s="904"/>
      <c r="K83" s="900"/>
      <c r="L83" s="901"/>
      <c r="M83" s="240"/>
      <c r="N83" s="240"/>
      <c r="O83" s="240"/>
      <c r="P83" s="240"/>
    </row>
    <row r="84" spans="1:16" ht="9" hidden="1" customHeight="1">
      <c r="A84" s="2600"/>
      <c r="B84" s="167"/>
      <c r="C84" s="900"/>
      <c r="D84" s="900"/>
      <c r="E84" s="901"/>
      <c r="F84" s="902"/>
      <c r="G84" s="900"/>
      <c r="H84" s="901"/>
      <c r="I84" s="903"/>
      <c r="J84" s="904"/>
      <c r="K84" s="900"/>
      <c r="L84" s="901"/>
      <c r="M84" s="240"/>
      <c r="N84" s="240"/>
      <c r="O84" s="240"/>
      <c r="P84" s="240"/>
    </row>
    <row r="85" spans="1:16" ht="7.5" hidden="1" customHeight="1">
      <c r="A85" s="2600"/>
      <c r="B85" s="167"/>
      <c r="C85" s="900"/>
      <c r="D85" s="900"/>
      <c r="E85" s="901"/>
      <c r="F85" s="902"/>
      <c r="G85" s="900"/>
      <c r="H85" s="901"/>
      <c r="I85" s="903"/>
      <c r="J85" s="904"/>
      <c r="K85" s="900"/>
      <c r="L85" s="901"/>
      <c r="M85" s="240"/>
      <c r="N85" s="240"/>
      <c r="O85" s="240"/>
      <c r="P85" s="240"/>
    </row>
    <row r="86" spans="1:16" ht="47.25" customHeight="1">
      <c r="A86" s="2530" t="s">
        <v>2360</v>
      </c>
      <c r="B86" s="167"/>
      <c r="C86" s="1951"/>
      <c r="D86" s="1951">
        <v>49272</v>
      </c>
      <c r="E86" s="1960"/>
      <c r="F86" s="1961"/>
      <c r="G86" s="1951">
        <v>10000000</v>
      </c>
      <c r="H86" s="1960">
        <v>10000000</v>
      </c>
      <c r="I86" s="1962">
        <v>10000000</v>
      </c>
      <c r="J86" s="1953"/>
      <c r="K86" s="1951"/>
      <c r="L86" s="1960"/>
      <c r="M86" s="240"/>
      <c r="N86" s="240"/>
      <c r="O86" s="240"/>
      <c r="P86" s="240"/>
    </row>
    <row r="87" spans="1:16">
      <c r="A87" s="1051"/>
      <c r="B87" s="167"/>
      <c r="C87" s="80"/>
      <c r="D87" s="80"/>
      <c r="E87" s="81"/>
      <c r="F87" s="82"/>
      <c r="G87" s="80"/>
      <c r="H87" s="81"/>
      <c r="I87" s="79"/>
      <c r="J87" s="83"/>
      <c r="K87" s="80"/>
      <c r="L87" s="81"/>
      <c r="M87" s="240"/>
      <c r="N87" s="240"/>
      <c r="O87" s="240"/>
      <c r="P87" s="240"/>
    </row>
    <row r="88" spans="1:16">
      <c r="A88" s="58" t="str">
        <f>'A4-FinPerf RE'!A27</f>
        <v>Depreciation &amp; asset impairment</v>
      </c>
      <c r="B88" s="167"/>
      <c r="C88" s="80"/>
      <c r="D88" s="80"/>
      <c r="E88" s="81"/>
      <c r="F88" s="82"/>
      <c r="G88" s="80"/>
      <c r="H88" s="81"/>
      <c r="I88" s="79"/>
      <c r="J88" s="83"/>
      <c r="K88" s="80"/>
      <c r="L88" s="81"/>
      <c r="M88" s="240"/>
      <c r="N88" s="240"/>
      <c r="O88" s="240"/>
      <c r="P88" s="240"/>
    </row>
    <row r="89" spans="1:16" ht="11.25" customHeight="1">
      <c r="A89" s="198" t="s">
        <v>1394</v>
      </c>
      <c r="B89" s="167"/>
      <c r="C89" s="1951">
        <v>130212939.95999999</v>
      </c>
      <c r="D89" s="1951">
        <v>129496184</v>
      </c>
      <c r="E89" s="1960">
        <f>127724087.62+69021</f>
        <v>127793108.62</v>
      </c>
      <c r="F89" s="1961">
        <v>134196513</v>
      </c>
      <c r="G89" s="1951">
        <v>130083000</v>
      </c>
      <c r="H89" s="1960">
        <v>130000000</v>
      </c>
      <c r="I89" s="1960">
        <v>130000000</v>
      </c>
      <c r="J89" s="1953">
        <f>132883252+87555</f>
        <v>132970807</v>
      </c>
      <c r="K89" s="1951">
        <f>130452432+96310</f>
        <v>130548742</v>
      </c>
      <c r="L89" s="1960">
        <f>136569581.82+105941</f>
        <v>136675522.81999999</v>
      </c>
      <c r="M89" s="240"/>
      <c r="N89" s="240"/>
      <c r="O89" s="240"/>
      <c r="P89" s="240"/>
    </row>
    <row r="90" spans="1:16" ht="11.25" customHeight="1">
      <c r="A90" s="198" t="s">
        <v>830</v>
      </c>
      <c r="B90" s="167"/>
      <c r="C90" s="1951"/>
      <c r="D90" s="1951"/>
      <c r="E90" s="1960"/>
      <c r="F90" s="1961"/>
      <c r="G90" s="1951"/>
      <c r="H90" s="1960"/>
      <c r="I90" s="1962"/>
      <c r="J90" s="1953"/>
      <c r="K90" s="1951"/>
      <c r="L90" s="1960"/>
      <c r="M90" s="240"/>
      <c r="N90" s="240"/>
      <c r="O90" s="240"/>
      <c r="P90" s="240"/>
    </row>
    <row r="91" spans="1:16" ht="11.25" customHeight="1">
      <c r="A91" s="198" t="s">
        <v>1288</v>
      </c>
      <c r="B91" s="167"/>
      <c r="C91" s="1951"/>
      <c r="D91" s="1951"/>
      <c r="E91" s="1960"/>
      <c r="F91" s="1961"/>
      <c r="G91" s="1951"/>
      <c r="H91" s="1960"/>
      <c r="I91" s="1962"/>
      <c r="J91" s="1953"/>
      <c r="K91" s="1951"/>
      <c r="L91" s="1960"/>
      <c r="M91" s="240"/>
      <c r="N91" s="240"/>
      <c r="O91" s="240"/>
      <c r="P91" s="240"/>
    </row>
    <row r="92" spans="1:16" ht="11.25" customHeight="1">
      <c r="A92" s="198"/>
      <c r="B92" s="167"/>
      <c r="C92" s="900"/>
      <c r="D92" s="900"/>
      <c r="E92" s="901"/>
      <c r="F92" s="902"/>
      <c r="G92" s="900"/>
      <c r="H92" s="901"/>
      <c r="I92" s="903"/>
      <c r="J92" s="904"/>
      <c r="K92" s="900"/>
      <c r="L92" s="901"/>
      <c r="M92" s="240"/>
      <c r="N92" s="240"/>
      <c r="O92" s="240"/>
      <c r="P92" s="240"/>
    </row>
    <row r="93" spans="1:16">
      <c r="A93" s="199" t="str">
        <f>"Total "&amp;LEFT(A88,35)</f>
        <v>Total Depreciation &amp; asset impairment</v>
      </c>
      <c r="B93" s="167">
        <v>1</v>
      </c>
      <c r="C93" s="90">
        <f>SUM(C89:C91)</f>
        <v>130212939.95999999</v>
      </c>
      <c r="D93" s="90">
        <f t="shared" ref="D93:L93" si="8">SUM(D89:D91)</f>
        <v>129496184</v>
      </c>
      <c r="E93" s="91">
        <f t="shared" si="8"/>
        <v>127793108.62</v>
      </c>
      <c r="F93" s="92">
        <f t="shared" si="8"/>
        <v>134196513</v>
      </c>
      <c r="G93" s="90">
        <f t="shared" si="8"/>
        <v>130083000</v>
      </c>
      <c r="H93" s="91">
        <f t="shared" si="8"/>
        <v>130000000</v>
      </c>
      <c r="I93" s="89">
        <f t="shared" si="8"/>
        <v>130000000</v>
      </c>
      <c r="J93" s="93">
        <f t="shared" si="8"/>
        <v>132970807</v>
      </c>
      <c r="K93" s="90">
        <f t="shared" si="8"/>
        <v>130548742</v>
      </c>
      <c r="L93" s="91">
        <f t="shared" si="8"/>
        <v>136675522.81999999</v>
      </c>
      <c r="M93" s="240"/>
      <c r="N93" s="240"/>
      <c r="O93" s="240"/>
      <c r="P93" s="240"/>
    </row>
    <row r="94" spans="1:16">
      <c r="A94" s="199"/>
      <c r="B94" s="167"/>
      <c r="C94" s="95"/>
      <c r="D94" s="95"/>
      <c r="E94" s="96"/>
      <c r="F94" s="97"/>
      <c r="G94" s="95"/>
      <c r="H94" s="96"/>
      <c r="I94" s="94"/>
      <c r="J94" s="98"/>
      <c r="K94" s="95"/>
      <c r="L94" s="96"/>
      <c r="M94" s="240"/>
      <c r="N94" s="240"/>
      <c r="O94" s="240"/>
      <c r="P94" s="240"/>
    </row>
    <row r="95" spans="1:16">
      <c r="A95" s="58" t="str">
        <f>'A4-FinPerf RE'!A29</f>
        <v>Bulk purchases</v>
      </c>
      <c r="B95" s="167"/>
      <c r="C95" s="95"/>
      <c r="D95" s="95"/>
      <c r="E95" s="96"/>
      <c r="F95" s="97"/>
      <c r="G95" s="95"/>
      <c r="H95" s="96"/>
      <c r="I95" s="94"/>
      <c r="J95" s="98"/>
      <c r="K95" s="95"/>
      <c r="L95" s="96"/>
      <c r="M95" s="240"/>
      <c r="N95" s="240"/>
      <c r="O95" s="240"/>
      <c r="P95" s="240"/>
    </row>
    <row r="96" spans="1:16" ht="11.25" customHeight="1">
      <c r="A96" s="67" t="s">
        <v>1057</v>
      </c>
      <c r="B96" s="167"/>
      <c r="C96" s="1951">
        <v>321519584</v>
      </c>
      <c r="D96" s="1951">
        <v>325455992</v>
      </c>
      <c r="E96" s="1960">
        <v>348443869.84000003</v>
      </c>
      <c r="F96" s="1961">
        <v>403000000</v>
      </c>
      <c r="G96" s="1951">
        <v>403000000</v>
      </c>
      <c r="H96" s="1960">
        <v>412754258.24000001</v>
      </c>
      <c r="I96" s="1960">
        <v>412754258.24000001</v>
      </c>
      <c r="J96" s="1953">
        <f>410000000-2859375-953125</f>
        <v>406187500</v>
      </c>
      <c r="K96" s="1951">
        <v>428860000</v>
      </c>
      <c r="L96" s="1960">
        <v>448587560</v>
      </c>
      <c r="M96" s="240"/>
      <c r="N96" s="240"/>
      <c r="O96" s="240"/>
      <c r="P96" s="240"/>
    </row>
    <row r="97" spans="1:16" ht="11.25" customHeight="1">
      <c r="A97" s="67" t="s">
        <v>1058</v>
      </c>
      <c r="B97" s="167"/>
      <c r="C97" s="1951"/>
      <c r="D97" s="1951"/>
      <c r="E97" s="1960"/>
      <c r="F97" s="1961"/>
      <c r="G97" s="1951"/>
      <c r="H97" s="1960"/>
      <c r="I97" s="1962"/>
      <c r="J97" s="1953"/>
      <c r="K97" s="1951"/>
      <c r="L97" s="1960"/>
      <c r="M97" s="240"/>
      <c r="N97" s="240"/>
      <c r="O97" s="240"/>
      <c r="P97" s="240"/>
    </row>
    <row r="98" spans="1:16">
      <c r="A98" s="199" t="s">
        <v>1059</v>
      </c>
      <c r="B98" s="167">
        <v>1</v>
      </c>
      <c r="C98" s="90">
        <f>SUM(C96:C97)</f>
        <v>321519584</v>
      </c>
      <c r="D98" s="90">
        <f t="shared" ref="D98:L98" si="9">SUM(D96:D97)</f>
        <v>325455992</v>
      </c>
      <c r="E98" s="91">
        <f t="shared" si="9"/>
        <v>348443869.84000003</v>
      </c>
      <c r="F98" s="92">
        <f t="shared" si="9"/>
        <v>403000000</v>
      </c>
      <c r="G98" s="90">
        <f t="shared" si="9"/>
        <v>403000000</v>
      </c>
      <c r="H98" s="91">
        <f t="shared" si="9"/>
        <v>412754258.24000001</v>
      </c>
      <c r="I98" s="89">
        <f t="shared" si="9"/>
        <v>412754258.24000001</v>
      </c>
      <c r="J98" s="93">
        <f t="shared" si="9"/>
        <v>406187500</v>
      </c>
      <c r="K98" s="90">
        <f t="shared" si="9"/>
        <v>428860000</v>
      </c>
      <c r="L98" s="91">
        <f t="shared" si="9"/>
        <v>448587560</v>
      </c>
      <c r="M98" s="240"/>
      <c r="N98" s="240"/>
      <c r="O98" s="240"/>
      <c r="P98" s="240"/>
    </row>
    <row r="99" spans="1:16">
      <c r="A99" s="199"/>
      <c r="B99" s="167"/>
      <c r="C99" s="95"/>
      <c r="D99" s="95"/>
      <c r="E99" s="96"/>
      <c r="F99" s="97"/>
      <c r="G99" s="95"/>
      <c r="H99" s="96"/>
      <c r="I99" s="94"/>
      <c r="J99" s="98"/>
      <c r="K99" s="95"/>
      <c r="L99" s="96"/>
      <c r="M99" s="240"/>
      <c r="N99" s="240"/>
      <c r="O99" s="240"/>
      <c r="P99" s="240"/>
    </row>
    <row r="100" spans="1:16" ht="12.75" customHeight="1">
      <c r="A100" s="58" t="s">
        <v>676</v>
      </c>
      <c r="B100" s="167"/>
      <c r="C100" s="95"/>
      <c r="D100" s="95"/>
      <c r="E100" s="96"/>
      <c r="F100" s="97"/>
      <c r="G100" s="95"/>
      <c r="H100" s="96"/>
      <c r="I100" s="94"/>
      <c r="J100" s="98"/>
      <c r="K100" s="95"/>
      <c r="L100" s="96"/>
      <c r="M100" s="240"/>
      <c r="N100" s="240"/>
      <c r="O100" s="240"/>
      <c r="P100" s="240"/>
    </row>
    <row r="101" spans="1:16" ht="12.75" customHeight="1">
      <c r="A101" s="67" t="s">
        <v>1940</v>
      </c>
      <c r="B101" s="167"/>
      <c r="C101" s="900">
        <f>'SA21'!C33</f>
        <v>123608708.13</v>
      </c>
      <c r="D101" s="900">
        <f>'SA21'!D33</f>
        <v>113263619.28</v>
      </c>
      <c r="E101" s="901">
        <f>'SA21'!E33</f>
        <v>50297362.430000007</v>
      </c>
      <c r="F101" s="902">
        <f>'SA21'!F33</f>
        <v>36021812</v>
      </c>
      <c r="G101" s="900">
        <f>'SA21'!G33</f>
        <v>39961030.020000003</v>
      </c>
      <c r="H101" s="901">
        <f>'SA21'!H33</f>
        <v>33763216.920000002</v>
      </c>
      <c r="I101" s="903">
        <f>'SA21'!I33</f>
        <v>33763216.920000002</v>
      </c>
      <c r="J101" s="904">
        <f>'SA21'!J33</f>
        <v>30919000</v>
      </c>
      <c r="K101" s="900">
        <f>'SA21'!K33</f>
        <v>24197110</v>
      </c>
      <c r="L101" s="901">
        <f>'SA21'!L33</f>
        <v>24523577.060000002</v>
      </c>
      <c r="M101" s="240"/>
      <c r="N101" s="240"/>
      <c r="O101" s="240"/>
      <c r="P101" s="240"/>
    </row>
    <row r="102" spans="1:16" ht="12.75" customHeight="1">
      <c r="A102" s="67" t="s">
        <v>1941</v>
      </c>
      <c r="B102" s="167"/>
      <c r="C102" s="900">
        <f>'SA21'!C64</f>
        <v>0</v>
      </c>
      <c r="D102" s="900">
        <f>'SA21'!D64</f>
        <v>0</v>
      </c>
      <c r="E102" s="901">
        <f>'SA21'!E64</f>
        <v>0</v>
      </c>
      <c r="F102" s="902">
        <f>'SA21'!F64</f>
        <v>0</v>
      </c>
      <c r="G102" s="900">
        <f>'SA21'!G64</f>
        <v>0</v>
      </c>
      <c r="H102" s="901">
        <f>'SA21'!H64</f>
        <v>0</v>
      </c>
      <c r="I102" s="903">
        <f>'SA21'!I64</f>
        <v>0</v>
      </c>
      <c r="J102" s="904">
        <f>'SA21'!J64</f>
        <v>0</v>
      </c>
      <c r="K102" s="900">
        <f>'SA21'!K64</f>
        <v>0</v>
      </c>
      <c r="L102" s="901">
        <f>'SA21'!L64</f>
        <v>0</v>
      </c>
      <c r="M102" s="240"/>
      <c r="N102" s="240"/>
      <c r="O102" s="240"/>
      <c r="P102" s="240"/>
    </row>
    <row r="103" spans="1:16" ht="12.75" customHeight="1">
      <c r="A103" s="199" t="s">
        <v>1942</v>
      </c>
      <c r="B103" s="167">
        <v>1</v>
      </c>
      <c r="C103" s="90">
        <f>SUM(C101:C102)</f>
        <v>123608708.13</v>
      </c>
      <c r="D103" s="90">
        <f t="shared" ref="D103:L103" si="10">SUM(D101:D102)</f>
        <v>113263619.28</v>
      </c>
      <c r="E103" s="91">
        <f t="shared" si="10"/>
        <v>50297362.430000007</v>
      </c>
      <c r="F103" s="92">
        <f t="shared" si="10"/>
        <v>36021812</v>
      </c>
      <c r="G103" s="90">
        <f t="shared" si="10"/>
        <v>39961030.020000003</v>
      </c>
      <c r="H103" s="91">
        <f t="shared" si="10"/>
        <v>33763216.920000002</v>
      </c>
      <c r="I103" s="89">
        <f t="shared" si="10"/>
        <v>33763216.920000002</v>
      </c>
      <c r="J103" s="93">
        <f t="shared" si="10"/>
        <v>30919000</v>
      </c>
      <c r="K103" s="90">
        <f t="shared" si="10"/>
        <v>24197110</v>
      </c>
      <c r="L103" s="91">
        <f t="shared" si="10"/>
        <v>24523577.060000002</v>
      </c>
      <c r="M103" s="240"/>
      <c r="N103" s="240"/>
      <c r="O103" s="240"/>
      <c r="P103" s="240"/>
    </row>
    <row r="104" spans="1:16" ht="4.5" customHeight="1">
      <c r="A104" s="199"/>
      <c r="B104" s="167"/>
      <c r="C104" s="95"/>
      <c r="D104" s="95"/>
      <c r="E104" s="96"/>
      <c r="F104" s="97"/>
      <c r="G104" s="95"/>
      <c r="H104" s="96"/>
      <c r="I104" s="94"/>
      <c r="J104" s="98"/>
      <c r="K104" s="95"/>
      <c r="L104" s="96"/>
      <c r="M104" s="240"/>
      <c r="N104" s="240"/>
      <c r="O104" s="240"/>
      <c r="P104" s="240"/>
    </row>
    <row r="105" spans="1:16" ht="11.25" customHeight="1">
      <c r="A105" s="2611" t="str">
        <f>'A4-FinPerf RE'!A31</f>
        <v>Contracted services</v>
      </c>
      <c r="B105" s="167"/>
      <c r="C105" s="80"/>
      <c r="D105" s="80"/>
      <c r="E105" s="81"/>
      <c r="F105" s="82"/>
      <c r="G105" s="80"/>
      <c r="H105" s="81"/>
      <c r="I105" s="79"/>
      <c r="J105" s="83"/>
      <c r="K105" s="80"/>
      <c r="L105" s="81"/>
      <c r="M105" s="240"/>
      <c r="N105" s="240"/>
      <c r="O105" s="240"/>
      <c r="P105" s="240"/>
    </row>
    <row r="106" spans="1:16" ht="11.25" customHeight="1">
      <c r="A106" s="2612" t="s">
        <v>286</v>
      </c>
      <c r="B106" s="167"/>
      <c r="C106" s="1951">
        <v>915718.79</v>
      </c>
      <c r="D106" s="1951">
        <v>933933.12</v>
      </c>
      <c r="E106" s="1960">
        <v>1176364.7</v>
      </c>
      <c r="F106" s="1961">
        <v>3900000</v>
      </c>
      <c r="G106" s="1951">
        <v>3000000</v>
      </c>
      <c r="H106" s="1960">
        <v>1745067.34</v>
      </c>
      <c r="I106" s="1960">
        <v>1745067.34</v>
      </c>
      <c r="J106" s="1953">
        <f>3000000+66121+181931</f>
        <v>3248052</v>
      </c>
      <c r="K106" s="1951">
        <f>3138000+72734+200124</f>
        <v>3410858</v>
      </c>
      <c r="L106" s="1960">
        <f>3282348+80007+220136</f>
        <v>3582491</v>
      </c>
      <c r="M106" s="240"/>
      <c r="N106" s="240"/>
      <c r="O106" s="240"/>
      <c r="P106" s="240"/>
    </row>
    <row r="107" spans="1:16" ht="11.25" customHeight="1">
      <c r="A107" s="2612" t="s">
        <v>2891</v>
      </c>
      <c r="B107" s="167"/>
      <c r="C107" s="1951">
        <v>1506019.71</v>
      </c>
      <c r="D107" s="1951">
        <v>1348489.91</v>
      </c>
      <c r="E107" s="1960">
        <v>842497.69</v>
      </c>
      <c r="F107" s="1961">
        <v>2500001</v>
      </c>
      <c r="G107" s="1951">
        <v>2500000</v>
      </c>
      <c r="H107" s="1960">
        <v>11578838</v>
      </c>
      <c r="I107" s="1960">
        <v>11578838</v>
      </c>
      <c r="J107" s="1953">
        <v>2500000</v>
      </c>
      <c r="K107" s="1951">
        <v>2615000</v>
      </c>
      <c r="L107" s="1960">
        <v>2735290</v>
      </c>
      <c r="M107" s="240"/>
      <c r="N107" s="240"/>
      <c r="O107" s="240"/>
      <c r="P107" s="240"/>
    </row>
    <row r="108" spans="1:16" ht="11.25" customHeight="1">
      <c r="A108" s="2612" t="s">
        <v>2391</v>
      </c>
      <c r="B108" s="167"/>
      <c r="C108" s="1951">
        <v>11836969.01</v>
      </c>
      <c r="D108" s="1951">
        <v>7199864.9400000004</v>
      </c>
      <c r="E108" s="1960">
        <v>14956693.85</v>
      </c>
      <c r="F108" s="1961">
        <v>18008383</v>
      </c>
      <c r="G108" s="1951">
        <f>23000000-720000</f>
        <v>22280000</v>
      </c>
      <c r="H108" s="1960">
        <v>24321376.66</v>
      </c>
      <c r="I108" s="1960">
        <v>24321376.66</v>
      </c>
      <c r="J108" s="1953">
        <f>18000000+6831</f>
        <v>18006831</v>
      </c>
      <c r="K108" s="1951">
        <f>18828000+7514</f>
        <v>18835514</v>
      </c>
      <c r="L108" s="1960">
        <f>19694088+8265</f>
        <v>19702353</v>
      </c>
      <c r="M108" s="240"/>
      <c r="N108" s="240"/>
      <c r="O108" s="240"/>
      <c r="P108" s="240"/>
    </row>
    <row r="109" spans="1:16" ht="11.25" customHeight="1">
      <c r="A109" s="2612" t="s">
        <v>2037</v>
      </c>
      <c r="B109" s="167"/>
      <c r="C109" s="1951">
        <v>10973042.99</v>
      </c>
      <c r="D109" s="1951">
        <v>11993587.710000001</v>
      </c>
      <c r="E109" s="1960">
        <v>12875846.27</v>
      </c>
      <c r="F109" s="1961">
        <v>15400000</v>
      </c>
      <c r="G109" s="1951">
        <v>15000000</v>
      </c>
      <c r="H109" s="1960">
        <v>12611310.239999998</v>
      </c>
      <c r="I109" s="1960">
        <v>12611310.239999998</v>
      </c>
      <c r="J109" s="1953">
        <v>16500000</v>
      </c>
      <c r="K109" s="1951">
        <v>17259000</v>
      </c>
      <c r="L109" s="1960">
        <v>18052914</v>
      </c>
      <c r="M109" s="240"/>
      <c r="N109" s="240"/>
      <c r="O109" s="240"/>
      <c r="P109" s="240"/>
    </row>
    <row r="110" spans="1:16" ht="11.25" customHeight="1">
      <c r="A110" s="2612" t="s">
        <v>2892</v>
      </c>
      <c r="B110" s="167"/>
      <c r="C110" s="1951">
        <v>10588008.23</v>
      </c>
      <c r="D110" s="1951">
        <v>11064628.02</v>
      </c>
      <c r="E110" s="1960">
        <v>12606749.07</v>
      </c>
      <c r="F110" s="1961">
        <v>15200118</v>
      </c>
      <c r="G110" s="1951">
        <v>14080118</v>
      </c>
      <c r="H110" s="1960">
        <v>14241479.559999999</v>
      </c>
      <c r="I110" s="1960">
        <v>14241479.559999999</v>
      </c>
      <c r="J110" s="1953">
        <v>15400000</v>
      </c>
      <c r="K110" s="1951">
        <v>16108400</v>
      </c>
      <c r="L110" s="1960">
        <v>16849386.400000002</v>
      </c>
      <c r="M110" s="240"/>
      <c r="N110" s="240"/>
      <c r="O110" s="240"/>
      <c r="P110" s="240"/>
    </row>
    <row r="111" spans="1:16" ht="11.25" customHeight="1">
      <c r="A111" s="2612" t="s">
        <v>2893</v>
      </c>
      <c r="B111" s="167"/>
      <c r="C111" s="1951">
        <v>3701622.82</v>
      </c>
      <c r="D111" s="1951">
        <v>674096.52</v>
      </c>
      <c r="E111" s="1960">
        <v>437341.79</v>
      </c>
      <c r="F111" s="1961">
        <v>2100000</v>
      </c>
      <c r="G111" s="1951">
        <v>800000</v>
      </c>
      <c r="H111" s="1960">
        <v>156535.35999999999</v>
      </c>
      <c r="I111" s="1960">
        <v>156535.35999999999</v>
      </c>
      <c r="J111" s="1953">
        <v>800000</v>
      </c>
      <c r="K111" s="1951">
        <v>836800</v>
      </c>
      <c r="L111" s="1960">
        <v>875292.8</v>
      </c>
      <c r="M111" s="240"/>
      <c r="N111" s="240"/>
      <c r="O111" s="240"/>
      <c r="P111" s="240"/>
    </row>
    <row r="112" spans="1:16" ht="11.25" customHeight="1">
      <c r="A112" s="2612" t="s">
        <v>2894</v>
      </c>
      <c r="B112" s="167"/>
      <c r="C112" s="1951">
        <v>802928.51</v>
      </c>
      <c r="D112" s="1951">
        <v>250758.23</v>
      </c>
      <c r="E112" s="1960">
        <v>496951.54</v>
      </c>
      <c r="F112" s="1961">
        <v>1389150</v>
      </c>
      <c r="G112" s="1951">
        <f>889150-80000</f>
        <v>809150</v>
      </c>
      <c r="H112" s="1960">
        <v>388111.95999999996</v>
      </c>
      <c r="I112" s="1960">
        <v>388111.95999999996</v>
      </c>
      <c r="J112" s="1953">
        <v>889150</v>
      </c>
      <c r="K112" s="1951">
        <v>930050.9</v>
      </c>
      <c r="L112" s="1960">
        <v>972833.24140000006</v>
      </c>
      <c r="M112" s="240"/>
      <c r="N112" s="240"/>
      <c r="O112" s="240"/>
      <c r="P112" s="240"/>
    </row>
    <row r="113" spans="1:16" ht="11.25" customHeight="1">
      <c r="A113" s="2612" t="s">
        <v>2895</v>
      </c>
      <c r="B113" s="167"/>
      <c r="C113" s="1951">
        <v>0</v>
      </c>
      <c r="D113" s="1951">
        <v>0</v>
      </c>
      <c r="E113" s="1960">
        <v>28059.5</v>
      </c>
      <c r="F113" s="1961">
        <v>1331642</v>
      </c>
      <c r="G113" s="1951">
        <v>326642</v>
      </c>
      <c r="H113" s="1960">
        <v>0</v>
      </c>
      <c r="I113" s="1960">
        <v>0</v>
      </c>
      <c r="J113" s="1953">
        <v>621642</v>
      </c>
      <c r="K113" s="1951">
        <v>650237.53200000001</v>
      </c>
      <c r="L113" s="1960">
        <v>680148.45847199997</v>
      </c>
      <c r="M113" s="240"/>
      <c r="N113" s="240"/>
      <c r="O113" s="240"/>
      <c r="P113" s="240"/>
    </row>
    <row r="114" spans="1:16" ht="11.25" customHeight="1">
      <c r="A114" s="2612" t="s">
        <v>2896</v>
      </c>
      <c r="B114" s="167"/>
      <c r="C114" s="1951">
        <v>0</v>
      </c>
      <c r="D114" s="1951">
        <v>0</v>
      </c>
      <c r="E114" s="1960"/>
      <c r="F114" s="1961">
        <f>953000-5000</f>
        <v>948000</v>
      </c>
      <c r="G114" s="1951">
        <f>853000-80000-5000</f>
        <v>768000</v>
      </c>
      <c r="H114" s="1960">
        <v>0</v>
      </c>
      <c r="I114" s="1960">
        <v>0</v>
      </c>
      <c r="J114" s="1953">
        <f>300000+159500</f>
        <v>459500</v>
      </c>
      <c r="K114" s="1951">
        <f>313800+175450</f>
        <v>489250</v>
      </c>
      <c r="L114" s="1960">
        <f>328234.8+192995</f>
        <v>521229.8</v>
      </c>
      <c r="M114" s="240"/>
      <c r="N114" s="240"/>
      <c r="O114" s="240"/>
      <c r="P114" s="240"/>
    </row>
    <row r="115" spans="1:16" ht="11.25" customHeight="1">
      <c r="A115" s="2612" t="s">
        <v>2897</v>
      </c>
      <c r="B115" s="167"/>
      <c r="C115" s="1951">
        <v>2273305.09</v>
      </c>
      <c r="D115" s="1951">
        <v>2500000</v>
      </c>
      <c r="E115" s="1960">
        <v>2992638.1</v>
      </c>
      <c r="F115" s="1961">
        <v>5000000</v>
      </c>
      <c r="G115" s="1951">
        <v>5000000</v>
      </c>
      <c r="H115" s="1960">
        <v>5293417.5</v>
      </c>
      <c r="I115" s="1960">
        <v>5293417.5</v>
      </c>
      <c r="J115" s="1953">
        <f>5000000+1000000</f>
        <v>6000000</v>
      </c>
      <c r="K115" s="1951">
        <v>5230000</v>
      </c>
      <c r="L115" s="1960">
        <v>5470580</v>
      </c>
      <c r="M115" s="240"/>
      <c r="N115" s="240"/>
      <c r="O115" s="240"/>
      <c r="P115" s="240"/>
    </row>
    <row r="116" spans="1:16" ht="11.25" customHeight="1">
      <c r="A116" s="2612" t="s">
        <v>2898</v>
      </c>
      <c r="B116" s="167"/>
      <c r="C116" s="1951">
        <v>1806685.59</v>
      </c>
      <c r="D116" s="1951">
        <v>2525324.64</v>
      </c>
      <c r="E116" s="1960">
        <v>980331.6</v>
      </c>
      <c r="F116" s="1961">
        <v>2142979</v>
      </c>
      <c r="G116" s="1951">
        <v>1350000</v>
      </c>
      <c r="H116" s="1960">
        <v>839920.92</v>
      </c>
      <c r="I116" s="1960">
        <v>839920.92</v>
      </c>
      <c r="J116" s="1953">
        <v>1300000</v>
      </c>
      <c r="K116" s="1951">
        <v>1359800</v>
      </c>
      <c r="L116" s="1960">
        <v>1422350.8</v>
      </c>
      <c r="M116" s="240"/>
      <c r="N116" s="240"/>
      <c r="O116" s="240"/>
      <c r="P116" s="240"/>
    </row>
    <row r="117" spans="1:16" ht="11.25" customHeight="1">
      <c r="A117" s="2612" t="s">
        <v>2899</v>
      </c>
      <c r="B117" s="167"/>
      <c r="C117" s="1951">
        <v>2500000</v>
      </c>
      <c r="D117" s="1951">
        <v>1963315.82</v>
      </c>
      <c r="E117" s="1960">
        <v>4033010.3099999996</v>
      </c>
      <c r="F117" s="1961">
        <v>4900000</v>
      </c>
      <c r="G117" s="1951">
        <v>2900000</v>
      </c>
      <c r="H117" s="1960">
        <v>5416121.2200000007</v>
      </c>
      <c r="I117" s="1960">
        <v>5416121.2200000007</v>
      </c>
      <c r="J117" s="1953">
        <v>3900000</v>
      </c>
      <c r="K117" s="1951">
        <v>4079400</v>
      </c>
      <c r="L117" s="1960">
        <v>4267052.4000000004</v>
      </c>
      <c r="M117" s="240"/>
      <c r="N117" s="240"/>
      <c r="O117" s="240"/>
      <c r="P117" s="240"/>
    </row>
    <row r="118" spans="1:16" ht="11.25" customHeight="1">
      <c r="A118" s="2612" t="s">
        <v>2900</v>
      </c>
      <c r="B118" s="167"/>
      <c r="C118" s="1951"/>
      <c r="D118" s="1951">
        <v>7596547.7800000003</v>
      </c>
      <c r="E118" s="1960">
        <v>8957.39</v>
      </c>
      <c r="F118" s="1961">
        <v>1419609</v>
      </c>
      <c r="G118" s="1951">
        <v>1419609</v>
      </c>
      <c r="H118" s="1960"/>
      <c r="I118" s="1962"/>
      <c r="J118" s="1953">
        <v>1419609</v>
      </c>
      <c r="K118" s="1951">
        <v>1484911.014</v>
      </c>
      <c r="L118" s="1960">
        <v>1553216.9206439999</v>
      </c>
      <c r="M118" s="240"/>
      <c r="N118" s="240"/>
      <c r="O118" s="240"/>
      <c r="P118" s="240"/>
    </row>
    <row r="119" spans="1:16" ht="11.25" customHeight="1">
      <c r="A119" s="2612" t="s">
        <v>2901</v>
      </c>
      <c r="B119" s="167"/>
      <c r="C119" s="1951"/>
      <c r="D119" s="1951"/>
      <c r="E119" s="1960"/>
      <c r="F119" s="1961"/>
      <c r="G119" s="1951">
        <v>0</v>
      </c>
      <c r="H119" s="1960"/>
      <c r="I119" s="1962"/>
      <c r="J119" s="1953">
        <v>480425</v>
      </c>
      <c r="K119" s="1951">
        <v>528467</v>
      </c>
      <c r="L119" s="1960">
        <v>581314</v>
      </c>
      <c r="M119" s="240"/>
      <c r="N119" s="240"/>
      <c r="O119" s="240"/>
      <c r="P119" s="240"/>
    </row>
    <row r="120" spans="1:16" ht="11.25" customHeight="1">
      <c r="A120" s="2612"/>
      <c r="B120" s="167"/>
      <c r="C120" s="1951"/>
      <c r="D120" s="1951"/>
      <c r="E120" s="1960"/>
      <c r="F120" s="1961"/>
      <c r="G120" s="1951"/>
      <c r="H120" s="1960"/>
      <c r="I120" s="1962"/>
      <c r="J120" s="1953"/>
      <c r="K120" s="1951"/>
      <c r="L120" s="1960"/>
      <c r="M120" s="240"/>
      <c r="N120" s="240"/>
      <c r="O120" s="240"/>
      <c r="P120" s="240"/>
    </row>
    <row r="121" spans="1:16" ht="11.25" hidden="1" customHeight="1">
      <c r="A121" s="2612"/>
      <c r="B121" s="167"/>
      <c r="C121" s="1121"/>
      <c r="D121" s="1121"/>
      <c r="E121" s="1156"/>
      <c r="F121" s="1157"/>
      <c r="G121" s="1121"/>
      <c r="H121" s="1156"/>
      <c r="I121" s="1158"/>
      <c r="J121" s="1122"/>
      <c r="K121" s="1121"/>
      <c r="L121" s="1156"/>
      <c r="M121" s="240"/>
      <c r="N121" s="240"/>
      <c r="O121" s="240"/>
      <c r="P121" s="240"/>
    </row>
    <row r="122" spans="1:16" ht="11.25" hidden="1" customHeight="1">
      <c r="A122" s="2612"/>
      <c r="B122" s="167"/>
      <c r="C122" s="1121"/>
      <c r="D122" s="1121"/>
      <c r="E122" s="1156"/>
      <c r="F122" s="1157"/>
      <c r="G122" s="1121"/>
      <c r="H122" s="1156"/>
      <c r="I122" s="1158"/>
      <c r="J122" s="1122"/>
      <c r="K122" s="1121"/>
      <c r="L122" s="1156"/>
      <c r="M122" s="240"/>
      <c r="N122" s="240"/>
      <c r="O122" s="240"/>
      <c r="P122" s="240"/>
    </row>
    <row r="123" spans="1:16" ht="11.25" hidden="1" customHeight="1">
      <c r="A123" s="2612"/>
      <c r="B123" s="167"/>
      <c r="C123" s="1121"/>
      <c r="D123" s="1121"/>
      <c r="E123" s="1156"/>
      <c r="F123" s="1157"/>
      <c r="G123" s="1121"/>
      <c r="H123" s="1156"/>
      <c r="I123" s="1158"/>
      <c r="J123" s="1122"/>
      <c r="K123" s="1121"/>
      <c r="L123" s="1156"/>
      <c r="M123" s="240"/>
      <c r="N123" s="240"/>
      <c r="O123" s="240"/>
      <c r="P123" s="240"/>
    </row>
    <row r="124" spans="1:16" ht="11.25" hidden="1" customHeight="1">
      <c r="A124" s="2612"/>
      <c r="B124" s="167"/>
      <c r="C124" s="1121"/>
      <c r="D124" s="1121"/>
      <c r="E124" s="1156"/>
      <c r="F124" s="1157"/>
      <c r="G124" s="1121"/>
      <c r="H124" s="1156"/>
      <c r="I124" s="1158"/>
      <c r="J124" s="1122"/>
      <c r="K124" s="1121"/>
      <c r="L124" s="1156"/>
      <c r="M124" s="240"/>
      <c r="N124" s="240"/>
      <c r="O124" s="240"/>
      <c r="P124" s="240"/>
    </row>
    <row r="125" spans="1:16" ht="11.25" hidden="1" customHeight="1">
      <c r="A125" s="2612"/>
      <c r="B125" s="167"/>
      <c r="C125" s="1121"/>
      <c r="D125" s="1121"/>
      <c r="E125" s="1156"/>
      <c r="F125" s="1157"/>
      <c r="G125" s="1121"/>
      <c r="H125" s="1156"/>
      <c r="I125" s="1158"/>
      <c r="J125" s="1122"/>
      <c r="K125" s="1121"/>
      <c r="L125" s="1156"/>
      <c r="M125" s="240"/>
      <c r="N125" s="240"/>
      <c r="O125" s="240"/>
      <c r="P125" s="240"/>
    </row>
    <row r="126" spans="1:16" ht="11.25" hidden="1" customHeight="1">
      <c r="A126" s="2612"/>
      <c r="B126" s="167"/>
      <c r="C126" s="1121"/>
      <c r="D126" s="1121"/>
      <c r="E126" s="1156"/>
      <c r="F126" s="1157"/>
      <c r="G126" s="1121"/>
      <c r="H126" s="1156"/>
      <c r="I126" s="1158"/>
      <c r="J126" s="1122"/>
      <c r="K126" s="1121"/>
      <c r="L126" s="1156"/>
      <c r="M126" s="240"/>
      <c r="N126" s="240"/>
      <c r="O126" s="240"/>
      <c r="P126" s="240"/>
    </row>
    <row r="127" spans="1:16" ht="11.25" hidden="1" customHeight="1">
      <c r="A127" s="2612"/>
      <c r="B127" s="167"/>
      <c r="C127" s="1121"/>
      <c r="D127" s="1121"/>
      <c r="E127" s="1156"/>
      <c r="F127" s="1157"/>
      <c r="G127" s="1121"/>
      <c r="H127" s="1156"/>
      <c r="I127" s="1158"/>
      <c r="J127" s="1122"/>
      <c r="K127" s="1121"/>
      <c r="L127" s="1156"/>
      <c r="M127" s="240"/>
      <c r="N127" s="240"/>
      <c r="O127" s="240"/>
      <c r="P127" s="240"/>
    </row>
    <row r="128" spans="1:16" ht="11.25" hidden="1" customHeight="1">
      <c r="A128" s="2612"/>
      <c r="B128" s="167"/>
      <c r="C128" s="1121"/>
      <c r="D128" s="1121"/>
      <c r="E128" s="1156"/>
      <c r="F128" s="1157"/>
      <c r="G128" s="1121"/>
      <c r="H128" s="1156"/>
      <c r="I128" s="1158"/>
      <c r="J128" s="1122"/>
      <c r="K128" s="1121"/>
      <c r="L128" s="1156"/>
      <c r="M128" s="240"/>
      <c r="N128" s="240"/>
      <c r="O128" s="240"/>
      <c r="P128" s="240"/>
    </row>
    <row r="129" spans="1:16" ht="11.25" hidden="1" customHeight="1">
      <c r="A129" s="2612"/>
      <c r="B129" s="167"/>
      <c r="C129" s="1121"/>
      <c r="D129" s="1121"/>
      <c r="E129" s="1156"/>
      <c r="F129" s="1157"/>
      <c r="G129" s="1121"/>
      <c r="H129" s="1156"/>
      <c r="I129" s="1158"/>
      <c r="J129" s="1122"/>
      <c r="K129" s="1121"/>
      <c r="L129" s="1156"/>
      <c r="M129" s="240"/>
      <c r="N129" s="240"/>
      <c r="O129" s="240"/>
      <c r="P129" s="240"/>
    </row>
    <row r="130" spans="1:16" ht="11.25" hidden="1" customHeight="1">
      <c r="A130" s="2612"/>
      <c r="B130" s="167"/>
      <c r="C130" s="1121"/>
      <c r="D130" s="1121"/>
      <c r="E130" s="1156"/>
      <c r="F130" s="1157"/>
      <c r="G130" s="1121"/>
      <c r="H130" s="1156"/>
      <c r="I130" s="1158"/>
      <c r="J130" s="1122"/>
      <c r="K130" s="1121"/>
      <c r="L130" s="1156"/>
      <c r="M130" s="240"/>
      <c r="N130" s="240"/>
      <c r="O130" s="240"/>
      <c r="P130" s="240"/>
    </row>
    <row r="131" spans="1:16" ht="11.25" hidden="1" customHeight="1">
      <c r="A131" s="2612"/>
      <c r="B131" s="167"/>
      <c r="C131" s="1121"/>
      <c r="D131" s="1121"/>
      <c r="E131" s="1156"/>
      <c r="F131" s="1157"/>
      <c r="G131" s="1121"/>
      <c r="H131" s="1156"/>
      <c r="I131" s="1158"/>
      <c r="J131" s="1122"/>
      <c r="K131" s="1121"/>
      <c r="L131" s="1156"/>
      <c r="M131" s="240"/>
      <c r="N131" s="240"/>
      <c r="O131" s="240"/>
      <c r="P131" s="240"/>
    </row>
    <row r="132" spans="1:16" ht="11.25" hidden="1" customHeight="1">
      <c r="A132" s="2612"/>
      <c r="B132" s="167"/>
      <c r="C132" s="1121"/>
      <c r="D132" s="1121"/>
      <c r="E132" s="1156"/>
      <c r="F132" s="1157"/>
      <c r="G132" s="1121"/>
      <c r="H132" s="1156"/>
      <c r="I132" s="1158"/>
      <c r="J132" s="1122"/>
      <c r="K132" s="1121"/>
      <c r="L132" s="1156"/>
      <c r="M132" s="240"/>
      <c r="N132" s="240"/>
      <c r="O132" s="240"/>
      <c r="P132" s="240"/>
    </row>
    <row r="133" spans="1:16" ht="11.25" hidden="1" customHeight="1">
      <c r="A133" s="2612"/>
      <c r="B133" s="167"/>
      <c r="C133" s="1121"/>
      <c r="D133" s="1121"/>
      <c r="E133" s="1156"/>
      <c r="F133" s="1157"/>
      <c r="G133" s="1121"/>
      <c r="H133" s="1156"/>
      <c r="I133" s="1158"/>
      <c r="J133" s="1122"/>
      <c r="K133" s="1121"/>
      <c r="L133" s="1156"/>
      <c r="M133" s="240"/>
      <c r="N133" s="240"/>
      <c r="O133" s="240"/>
      <c r="P133" s="240"/>
    </row>
    <row r="134" spans="1:16" ht="11.25" hidden="1" customHeight="1">
      <c r="A134" s="2612"/>
      <c r="B134" s="167"/>
      <c r="C134" s="1121"/>
      <c r="D134" s="1121"/>
      <c r="E134" s="1156"/>
      <c r="F134" s="1157"/>
      <c r="G134" s="1121"/>
      <c r="H134" s="1156"/>
      <c r="I134" s="1158"/>
      <c r="J134" s="1122"/>
      <c r="K134" s="1121"/>
      <c r="L134" s="1156"/>
      <c r="M134" s="240"/>
      <c r="N134" s="240"/>
      <c r="O134" s="240"/>
      <c r="P134" s="240"/>
    </row>
    <row r="135" spans="1:16" ht="11.25" hidden="1" customHeight="1">
      <c r="A135" s="2612"/>
      <c r="B135" s="167"/>
      <c r="C135" s="1121"/>
      <c r="D135" s="1121"/>
      <c r="E135" s="1156"/>
      <c r="F135" s="1157"/>
      <c r="G135" s="1121"/>
      <c r="H135" s="1156"/>
      <c r="I135" s="1158"/>
      <c r="J135" s="1122"/>
      <c r="K135" s="1121"/>
      <c r="L135" s="1156"/>
      <c r="M135" s="240"/>
      <c r="N135" s="240"/>
      <c r="O135" s="240"/>
      <c r="P135" s="240"/>
    </row>
    <row r="136" spans="1:16" ht="11.25" hidden="1" customHeight="1">
      <c r="A136" s="2612"/>
      <c r="B136" s="167"/>
      <c r="C136" s="1121"/>
      <c r="D136" s="1121"/>
      <c r="E136" s="1156"/>
      <c r="F136" s="1157"/>
      <c r="G136" s="1121"/>
      <c r="H136" s="1156"/>
      <c r="I136" s="1158"/>
      <c r="J136" s="1122"/>
      <c r="K136" s="1121"/>
      <c r="L136" s="1156"/>
      <c r="M136" s="240"/>
      <c r="N136" s="240"/>
      <c r="O136" s="240"/>
      <c r="P136" s="240"/>
    </row>
    <row r="137" spans="1:16" ht="11.25" hidden="1" customHeight="1">
      <c r="A137" s="2612"/>
      <c r="B137" s="167"/>
      <c r="C137" s="1121"/>
      <c r="D137" s="1121"/>
      <c r="E137" s="1156"/>
      <c r="F137" s="1157"/>
      <c r="G137" s="1121"/>
      <c r="H137" s="1156"/>
      <c r="I137" s="1158"/>
      <c r="J137" s="1122"/>
      <c r="K137" s="1121"/>
      <c r="L137" s="1156"/>
      <c r="M137" s="240"/>
      <c r="N137" s="240"/>
      <c r="O137" s="240"/>
      <c r="P137" s="240"/>
    </row>
    <row r="138" spans="1:16" ht="11.25" hidden="1" customHeight="1">
      <c r="A138" s="2612"/>
      <c r="B138" s="167"/>
      <c r="C138" s="1121"/>
      <c r="D138" s="1121"/>
      <c r="E138" s="1156"/>
      <c r="F138" s="1157"/>
      <c r="G138" s="1121"/>
      <c r="H138" s="1156"/>
      <c r="I138" s="1158"/>
      <c r="J138" s="1122"/>
      <c r="K138" s="1121"/>
      <c r="L138" s="1156"/>
      <c r="M138" s="240"/>
      <c r="N138" s="240"/>
      <c r="O138" s="240"/>
      <c r="P138" s="240"/>
    </row>
    <row r="139" spans="1:16" ht="11.25" hidden="1" customHeight="1">
      <c r="A139" s="2612"/>
      <c r="B139" s="167"/>
      <c r="C139" s="1121"/>
      <c r="D139" s="1121"/>
      <c r="E139" s="1156"/>
      <c r="F139" s="1157"/>
      <c r="G139" s="1121"/>
      <c r="H139" s="1156"/>
      <c r="I139" s="1158"/>
      <c r="J139" s="1122"/>
      <c r="K139" s="1121"/>
      <c r="L139" s="1156"/>
      <c r="M139" s="240"/>
      <c r="N139" s="240"/>
      <c r="O139" s="240"/>
      <c r="P139" s="240"/>
    </row>
    <row r="140" spans="1:16" ht="11.25" hidden="1" customHeight="1">
      <c r="A140" s="2612"/>
      <c r="B140" s="167"/>
      <c r="C140" s="1121"/>
      <c r="D140" s="1121"/>
      <c r="E140" s="1156"/>
      <c r="F140" s="1157"/>
      <c r="G140" s="1121"/>
      <c r="H140" s="1156"/>
      <c r="I140" s="1158"/>
      <c r="J140" s="1122"/>
      <c r="K140" s="1121"/>
      <c r="L140" s="1156"/>
      <c r="M140" s="240"/>
      <c r="N140" s="240"/>
      <c r="O140" s="240"/>
      <c r="P140" s="240"/>
    </row>
    <row r="141" spans="1:16" ht="11.25" hidden="1" customHeight="1">
      <c r="A141" s="2612"/>
      <c r="B141" s="167"/>
      <c r="C141" s="1121"/>
      <c r="D141" s="1121"/>
      <c r="E141" s="1156"/>
      <c r="F141" s="1157"/>
      <c r="G141" s="1121"/>
      <c r="H141" s="1156"/>
      <c r="I141" s="1158"/>
      <c r="J141" s="1122"/>
      <c r="K141" s="1121"/>
      <c r="L141" s="1156"/>
      <c r="M141" s="240"/>
      <c r="N141" s="240"/>
      <c r="O141" s="240"/>
      <c r="P141" s="240"/>
    </row>
    <row r="142" spans="1:16" ht="11.25" hidden="1" customHeight="1">
      <c r="A142" s="2612"/>
      <c r="B142" s="167"/>
      <c r="C142" s="1121"/>
      <c r="D142" s="1121"/>
      <c r="E142" s="1156"/>
      <c r="F142" s="1157"/>
      <c r="G142" s="1121"/>
      <c r="H142" s="1156"/>
      <c r="I142" s="1158"/>
      <c r="J142" s="1122"/>
      <c r="K142" s="1121"/>
      <c r="L142" s="1156"/>
      <c r="M142" s="240"/>
      <c r="N142" s="240"/>
      <c r="O142" s="240"/>
      <c r="P142" s="240"/>
    </row>
    <row r="143" spans="1:16" ht="11.25" hidden="1" customHeight="1">
      <c r="A143" s="2613"/>
      <c r="B143" s="167"/>
      <c r="C143" s="90"/>
      <c r="D143" s="90"/>
      <c r="E143" s="91"/>
      <c r="F143" s="92"/>
      <c r="G143" s="90"/>
      <c r="H143" s="91"/>
      <c r="I143" s="89"/>
      <c r="J143" s="93"/>
      <c r="K143" s="90"/>
      <c r="L143" s="91"/>
      <c r="M143" s="240"/>
      <c r="N143" s="240"/>
      <c r="O143" s="240"/>
      <c r="P143" s="240"/>
    </row>
    <row r="144" spans="1:16" ht="11.25" hidden="1" customHeight="1">
      <c r="A144" s="2614"/>
      <c r="B144" s="167"/>
      <c r="C144" s="95"/>
      <c r="D144" s="95"/>
      <c r="E144" s="96"/>
      <c r="F144" s="97"/>
      <c r="G144" s="95"/>
      <c r="H144" s="96"/>
      <c r="I144" s="94"/>
      <c r="J144" s="98"/>
      <c r="K144" s="95"/>
      <c r="L144" s="96"/>
      <c r="M144" s="240"/>
      <c r="N144" s="240"/>
      <c r="O144" s="240"/>
      <c r="P144" s="240"/>
    </row>
    <row r="145" spans="1:16" ht="11.25" hidden="1" customHeight="1">
      <c r="A145" s="2615"/>
      <c r="B145" s="167"/>
      <c r="C145" s="2601"/>
      <c r="D145" s="2601"/>
      <c r="E145" s="2602"/>
      <c r="F145" s="2603"/>
      <c r="G145" s="2601"/>
      <c r="H145" s="2602"/>
      <c r="I145" s="1712"/>
      <c r="J145" s="2604"/>
      <c r="K145" s="2601"/>
      <c r="L145" s="2602"/>
      <c r="M145" s="240"/>
      <c r="N145" s="240"/>
      <c r="O145" s="240"/>
      <c r="P145" s="240"/>
    </row>
    <row r="146" spans="1:16" ht="11.25" hidden="1" customHeight="1">
      <c r="A146" s="2615"/>
      <c r="B146" s="167"/>
      <c r="C146" s="2601"/>
      <c r="D146" s="2601"/>
      <c r="E146" s="2602"/>
      <c r="F146" s="2603"/>
      <c r="G146" s="2601"/>
      <c r="H146" s="2602"/>
      <c r="I146" s="1712"/>
      <c r="J146" s="2604"/>
      <c r="K146" s="2601"/>
      <c r="L146" s="2602"/>
      <c r="M146" s="240"/>
      <c r="N146" s="240"/>
      <c r="O146" s="240"/>
      <c r="P146" s="240"/>
    </row>
    <row r="147" spans="1:16" ht="11.25" hidden="1" customHeight="1">
      <c r="A147" s="2615"/>
      <c r="B147" s="167"/>
      <c r="C147" s="2601"/>
      <c r="D147" s="2601"/>
      <c r="E147" s="2602"/>
      <c r="F147" s="2603"/>
      <c r="G147" s="2601"/>
      <c r="H147" s="2602"/>
      <c r="I147" s="1712"/>
      <c r="J147" s="2604"/>
      <c r="K147" s="2601"/>
      <c r="L147" s="2602"/>
      <c r="M147" s="240"/>
      <c r="N147" s="240"/>
      <c r="O147" s="240"/>
      <c r="P147" s="240"/>
    </row>
    <row r="148" spans="1:16" ht="11.25" hidden="1" customHeight="1">
      <c r="A148" s="2615"/>
      <c r="B148" s="167"/>
      <c r="C148" s="2601"/>
      <c r="D148" s="2601"/>
      <c r="E148" s="2602"/>
      <c r="F148" s="2603"/>
      <c r="G148" s="2601"/>
      <c r="H148" s="2602"/>
      <c r="I148" s="1712"/>
      <c r="J148" s="2604"/>
      <c r="K148" s="2601"/>
      <c r="L148" s="2602"/>
      <c r="M148" s="240"/>
      <c r="N148" s="240"/>
      <c r="O148" s="240"/>
      <c r="P148" s="240"/>
    </row>
    <row r="149" spans="1:16" ht="11.25" customHeight="1">
      <c r="A149" s="2616" t="s">
        <v>1290</v>
      </c>
      <c r="B149" s="167"/>
      <c r="C149" s="90">
        <f t="shared" ref="C149:L149" si="11">SUM(C106:C120)</f>
        <v>46904300.74000001</v>
      </c>
      <c r="D149" s="90">
        <f t="shared" si="11"/>
        <v>48050546.690000005</v>
      </c>
      <c r="E149" s="91">
        <f t="shared" si="11"/>
        <v>51435441.810000002</v>
      </c>
      <c r="F149" s="92">
        <f t="shared" si="11"/>
        <v>74239882</v>
      </c>
      <c r="G149" s="90">
        <f t="shared" si="11"/>
        <v>70233519</v>
      </c>
      <c r="H149" s="91">
        <f t="shared" si="11"/>
        <v>76592178.760000005</v>
      </c>
      <c r="I149" s="89">
        <f t="shared" si="11"/>
        <v>76592178.760000005</v>
      </c>
      <c r="J149" s="93">
        <f t="shared" si="11"/>
        <v>71525209</v>
      </c>
      <c r="K149" s="90">
        <f t="shared" si="11"/>
        <v>73817688.445999995</v>
      </c>
      <c r="L149" s="91">
        <f t="shared" si="11"/>
        <v>77266452.820516005</v>
      </c>
      <c r="M149" s="240"/>
      <c r="N149" s="240"/>
      <c r="O149" s="240"/>
      <c r="P149" s="240"/>
    </row>
    <row r="150" spans="1:16" ht="4.9000000000000004" customHeight="1">
      <c r="A150" s="2617"/>
      <c r="B150" s="167"/>
      <c r="C150" s="80"/>
      <c r="D150" s="80"/>
      <c r="E150" s="81"/>
      <c r="F150" s="82"/>
      <c r="G150" s="80"/>
      <c r="H150" s="81"/>
      <c r="I150" s="79"/>
      <c r="J150" s="83"/>
      <c r="K150" s="80"/>
      <c r="L150" s="81"/>
      <c r="M150" s="240"/>
      <c r="N150" s="240"/>
      <c r="O150" s="240"/>
      <c r="P150" s="240"/>
    </row>
    <row r="151" spans="1:16" ht="11.25" customHeight="1">
      <c r="A151" s="2611" t="s">
        <v>33</v>
      </c>
      <c r="B151" s="169"/>
      <c r="C151" s="80"/>
      <c r="D151" s="80"/>
      <c r="E151" s="81"/>
      <c r="F151" s="82"/>
      <c r="G151" s="80"/>
      <c r="H151" s="81"/>
      <c r="I151" s="79"/>
      <c r="J151" s="83"/>
      <c r="K151" s="80"/>
      <c r="L151" s="81"/>
      <c r="M151" s="240"/>
      <c r="N151" s="240"/>
      <c r="O151" s="240"/>
      <c r="P151" s="240"/>
    </row>
    <row r="152" spans="1:16">
      <c r="A152" s="2597" t="s">
        <v>409</v>
      </c>
      <c r="B152" s="167"/>
      <c r="C152" s="1951">
        <v>421405.85</v>
      </c>
      <c r="D152" s="1951">
        <f>1770028-1539000</f>
        <v>231028</v>
      </c>
      <c r="E152" s="1960">
        <v>600320.52</v>
      </c>
      <c r="F152" s="1961">
        <v>1200000</v>
      </c>
      <c r="G152" s="1951">
        <v>900000</v>
      </c>
      <c r="H152" s="1960">
        <v>299999.64</v>
      </c>
      <c r="I152" s="1960">
        <v>299999.64</v>
      </c>
      <c r="J152" s="1953">
        <v>900000</v>
      </c>
      <c r="K152" s="1951">
        <v>941400</v>
      </c>
      <c r="L152" s="1960">
        <v>984704.39999999991</v>
      </c>
      <c r="M152" s="240"/>
      <c r="N152" s="240"/>
      <c r="O152" s="240"/>
      <c r="P152" s="240"/>
    </row>
    <row r="153" spans="1:16" ht="11.25" customHeight="1">
      <c r="A153" s="2597" t="s">
        <v>1325</v>
      </c>
      <c r="B153" s="167"/>
      <c r="C153" s="1951"/>
      <c r="D153" s="1951"/>
      <c r="E153" s="1960"/>
      <c r="F153" s="1961"/>
      <c r="G153" s="1951">
        <v>0</v>
      </c>
      <c r="H153" s="1960"/>
      <c r="I153" s="1962"/>
      <c r="J153" s="1953"/>
      <c r="K153" s="1951"/>
      <c r="L153" s="1960"/>
      <c r="M153" s="240"/>
      <c r="N153" s="240"/>
      <c r="O153" s="240"/>
      <c r="P153" s="240"/>
    </row>
    <row r="154" spans="1:16">
      <c r="A154" s="2597" t="s">
        <v>2912</v>
      </c>
      <c r="B154" s="167"/>
      <c r="C154" s="1951">
        <v>4833359.2699999996</v>
      </c>
      <c r="D154" s="1951">
        <v>8491660.9900000002</v>
      </c>
      <c r="E154" s="1960">
        <v>18441234.890000001</v>
      </c>
      <c r="F154" s="1961">
        <v>18406410</v>
      </c>
      <c r="G154" s="1951">
        <v>17451927</v>
      </c>
      <c r="H154" s="1960">
        <v>19560993.559999999</v>
      </c>
      <c r="I154" s="1960">
        <v>19560993.559999999</v>
      </c>
      <c r="J154" s="1953">
        <f>14866927+107600</f>
        <v>14974527</v>
      </c>
      <c r="K154" s="1951">
        <f>15550805.642+118360</f>
        <v>15669165.642000001</v>
      </c>
      <c r="L154" s="1960">
        <f>16266142.701532+130196</f>
        <v>16396338.701532001</v>
      </c>
      <c r="M154" s="240"/>
      <c r="N154" s="240"/>
      <c r="O154" s="240"/>
      <c r="P154" s="240"/>
    </row>
    <row r="155" spans="1:16" ht="11.25" customHeight="1">
      <c r="A155" s="2597" t="s">
        <v>599</v>
      </c>
      <c r="B155" s="167"/>
      <c r="C155" s="1951">
        <v>3569686</v>
      </c>
      <c r="D155" s="1951">
        <v>3448595.23</v>
      </c>
      <c r="E155" s="1960">
        <v>5780394.1399999997</v>
      </c>
      <c r="F155" s="1961">
        <v>5000000</v>
      </c>
      <c r="G155" s="1951">
        <v>5000000</v>
      </c>
      <c r="H155" s="1960">
        <v>10166926.48</v>
      </c>
      <c r="I155" s="1960">
        <v>10166926.48</v>
      </c>
      <c r="J155" s="1953">
        <f>5591809+403616</f>
        <v>5995425</v>
      </c>
      <c r="K155" s="1951">
        <f>5849032.214+443978</f>
        <v>6293010.2139999997</v>
      </c>
      <c r="L155" s="1960">
        <f>6118087.695844+488376</f>
        <v>6606463.6958440002</v>
      </c>
      <c r="M155" s="240"/>
      <c r="N155" s="240"/>
      <c r="O155" s="240"/>
      <c r="P155" s="240"/>
    </row>
    <row r="156" spans="1:16" ht="11.25" hidden="1" customHeight="1">
      <c r="A156" s="2597"/>
      <c r="B156" s="167"/>
      <c r="C156" s="1951"/>
      <c r="D156" s="1951"/>
      <c r="E156" s="1960"/>
      <c r="F156" s="1961"/>
      <c r="G156" s="1951"/>
      <c r="H156" s="1960"/>
      <c r="I156" s="1962"/>
      <c r="J156" s="1953"/>
      <c r="K156" s="1951"/>
      <c r="L156" s="1960"/>
      <c r="M156" s="240"/>
      <c r="N156" s="240"/>
      <c r="O156" s="240"/>
      <c r="P156" s="240"/>
    </row>
    <row r="157" spans="1:16" ht="11.25" customHeight="1">
      <c r="A157" s="2597" t="s">
        <v>2913</v>
      </c>
      <c r="B157" s="167"/>
      <c r="C157" s="1951">
        <f>35961718.61-23000209</f>
        <v>12961509.609999999</v>
      </c>
      <c r="D157" s="1951">
        <f>33769893-15922155</f>
        <v>17847738</v>
      </c>
      <c r="E157" s="1960">
        <f>49765757.98-882000-142.59-17688581</f>
        <v>31195034.389999993</v>
      </c>
      <c r="F157" s="1961">
        <f>35432844.9-1450000-22131007</f>
        <v>11851837.899999999</v>
      </c>
      <c r="G157" s="1951">
        <f>34425459.9-298.2-644000-20212723</f>
        <v>13568438.699999996</v>
      </c>
      <c r="H157" s="1960">
        <f>25950214-6350471-15992545</f>
        <v>3607198</v>
      </c>
      <c r="I157" s="1960">
        <f>25950214-6350471-15992545</f>
        <v>3607198</v>
      </c>
      <c r="J157" s="1953">
        <f>35501153-5790141-1192751-187500+1200000-1080000-25136899</f>
        <v>3313862</v>
      </c>
      <c r="K157" s="1951">
        <f>37129583.038-6369156-1312026-25243564</f>
        <v>4204837.0380000025</v>
      </c>
      <c r="L157" s="1960">
        <f>38832920.857748-7006071-1443229-26415154</f>
        <v>3968466.8577480018</v>
      </c>
      <c r="M157" s="240"/>
      <c r="N157" s="240"/>
      <c r="O157" s="240"/>
      <c r="P157" s="240"/>
    </row>
    <row r="158" spans="1:16">
      <c r="A158" s="2612" t="s">
        <v>1696</v>
      </c>
      <c r="B158" s="167"/>
      <c r="C158" s="1951"/>
      <c r="D158" s="1951"/>
      <c r="E158" s="1960"/>
      <c r="F158" s="1961"/>
      <c r="G158" s="1951"/>
      <c r="H158" s="1960"/>
      <c r="I158" s="1962"/>
      <c r="J158" s="1953"/>
      <c r="K158" s="1951"/>
      <c r="L158" s="1960"/>
      <c r="M158" s="240"/>
      <c r="N158" s="240"/>
      <c r="O158" s="240"/>
      <c r="P158" s="240"/>
    </row>
    <row r="159" spans="1:16" ht="11.25" hidden="1" customHeight="1">
      <c r="A159" s="2612"/>
      <c r="B159" s="167"/>
      <c r="C159" s="1951"/>
      <c r="D159" s="1951"/>
      <c r="E159" s="1960"/>
      <c r="F159" s="1961"/>
      <c r="G159" s="1951"/>
      <c r="H159" s="1960"/>
      <c r="I159" s="1962"/>
      <c r="J159" s="1953"/>
      <c r="K159" s="1951"/>
      <c r="L159" s="1960"/>
      <c r="M159" s="240"/>
      <c r="N159" s="240"/>
      <c r="O159" s="240"/>
      <c r="P159" s="240"/>
    </row>
    <row r="160" spans="1:16" ht="11.25" hidden="1" customHeight="1">
      <c r="A160" s="2612"/>
      <c r="B160" s="167"/>
      <c r="C160" s="1951"/>
      <c r="D160" s="1951"/>
      <c r="E160" s="1960"/>
      <c r="F160" s="1961"/>
      <c r="G160" s="1951"/>
      <c r="H160" s="1960"/>
      <c r="I160" s="1962"/>
      <c r="J160" s="1953"/>
      <c r="K160" s="1951"/>
      <c r="L160" s="1960"/>
      <c r="M160" s="240"/>
      <c r="N160" s="240"/>
      <c r="O160" s="240"/>
      <c r="P160" s="240"/>
    </row>
    <row r="161" spans="1:16" ht="11.25" hidden="1" customHeight="1">
      <c r="A161" s="2612"/>
      <c r="B161" s="167"/>
      <c r="C161" s="1951"/>
      <c r="D161" s="1951"/>
      <c r="E161" s="1960"/>
      <c r="F161" s="1961"/>
      <c r="G161" s="1951"/>
      <c r="H161" s="1960"/>
      <c r="I161" s="1962"/>
      <c r="J161" s="1953"/>
      <c r="K161" s="1951"/>
      <c r="L161" s="1960"/>
      <c r="M161" s="240"/>
      <c r="N161" s="240"/>
      <c r="O161" s="240"/>
      <c r="P161" s="240"/>
    </row>
    <row r="162" spans="1:16" ht="11.25" hidden="1" customHeight="1">
      <c r="A162" s="2612"/>
      <c r="B162" s="167"/>
      <c r="C162" s="1951"/>
      <c r="D162" s="1951"/>
      <c r="E162" s="1960"/>
      <c r="F162" s="1961"/>
      <c r="G162" s="1951"/>
      <c r="H162" s="1960"/>
      <c r="I162" s="1962"/>
      <c r="J162" s="1953"/>
      <c r="K162" s="1951"/>
      <c r="L162" s="1960"/>
      <c r="M162" s="240"/>
      <c r="N162" s="240"/>
      <c r="O162" s="240"/>
      <c r="P162" s="240"/>
    </row>
    <row r="163" spans="1:16" ht="11.25" hidden="1" customHeight="1">
      <c r="A163" s="2612"/>
      <c r="B163" s="167"/>
      <c r="C163" s="1951"/>
      <c r="D163" s="1951"/>
      <c r="E163" s="1960"/>
      <c r="F163" s="1961"/>
      <c r="G163" s="1951"/>
      <c r="H163" s="1960"/>
      <c r="I163" s="1962"/>
      <c r="J163" s="1953"/>
      <c r="K163" s="1951"/>
      <c r="L163" s="1960"/>
      <c r="M163" s="240"/>
      <c r="N163" s="240"/>
      <c r="O163" s="240"/>
      <c r="P163" s="240"/>
    </row>
    <row r="164" spans="1:16" ht="11.25" hidden="1" customHeight="1">
      <c r="A164" s="2612"/>
      <c r="B164" s="167"/>
      <c r="C164" s="1951"/>
      <c r="D164" s="1951"/>
      <c r="E164" s="1960"/>
      <c r="F164" s="1961"/>
      <c r="G164" s="1951"/>
      <c r="H164" s="1960"/>
      <c r="I164" s="1962"/>
      <c r="J164" s="1953"/>
      <c r="K164" s="1951"/>
      <c r="L164" s="1960"/>
      <c r="M164" s="240"/>
      <c r="N164" s="240"/>
      <c r="O164" s="240"/>
      <c r="P164" s="240"/>
    </row>
    <row r="165" spans="1:16" ht="11.25" hidden="1" customHeight="1">
      <c r="A165" s="2612"/>
      <c r="B165" s="167"/>
      <c r="C165" s="1951"/>
      <c r="D165" s="1951"/>
      <c r="E165" s="1960"/>
      <c r="F165" s="1961"/>
      <c r="G165" s="1951"/>
      <c r="H165" s="1960"/>
      <c r="I165" s="1962"/>
      <c r="J165" s="1953"/>
      <c r="K165" s="1951"/>
      <c r="L165" s="1960"/>
      <c r="M165" s="240"/>
      <c r="N165" s="240"/>
      <c r="O165" s="240"/>
      <c r="P165" s="240"/>
    </row>
    <row r="166" spans="1:16" ht="11.25" hidden="1" customHeight="1">
      <c r="A166" s="2612"/>
      <c r="B166" s="167"/>
      <c r="C166" s="1951"/>
      <c r="D166" s="1951"/>
      <c r="E166" s="1960"/>
      <c r="F166" s="1961"/>
      <c r="G166" s="1951"/>
      <c r="H166" s="1960"/>
      <c r="I166" s="1962"/>
      <c r="J166" s="1953"/>
      <c r="K166" s="1951"/>
      <c r="L166" s="1960"/>
      <c r="M166" s="240"/>
      <c r="N166" s="240"/>
      <c r="O166" s="240"/>
      <c r="P166" s="240"/>
    </row>
    <row r="167" spans="1:16" ht="11.25" hidden="1" customHeight="1">
      <c r="A167" s="2612"/>
      <c r="B167" s="167"/>
      <c r="C167" s="1951"/>
      <c r="D167" s="1951"/>
      <c r="E167" s="1960"/>
      <c r="F167" s="1961"/>
      <c r="G167" s="1951"/>
      <c r="H167" s="1960"/>
      <c r="I167" s="1962"/>
      <c r="J167" s="1953"/>
      <c r="K167" s="1951"/>
      <c r="L167" s="1960"/>
      <c r="M167" s="240"/>
      <c r="N167" s="240"/>
      <c r="O167" s="240"/>
      <c r="P167" s="240"/>
    </row>
    <row r="168" spans="1:16" ht="11.25" hidden="1" customHeight="1">
      <c r="A168" s="2612"/>
      <c r="B168" s="167"/>
      <c r="C168" s="1951"/>
      <c r="D168" s="1951"/>
      <c r="E168" s="1960"/>
      <c r="F168" s="1961"/>
      <c r="G168" s="1951"/>
      <c r="H168" s="1960"/>
      <c r="I168" s="1962"/>
      <c r="J168" s="1953"/>
      <c r="K168" s="1951"/>
      <c r="L168" s="1960"/>
      <c r="M168" s="240"/>
      <c r="N168" s="240"/>
      <c r="O168" s="240"/>
      <c r="P168" s="240"/>
    </row>
    <row r="169" spans="1:16" ht="11.25" hidden="1" customHeight="1">
      <c r="A169" s="2612"/>
      <c r="B169" s="167"/>
      <c r="C169" s="1951"/>
      <c r="D169" s="1951"/>
      <c r="E169" s="1960"/>
      <c r="F169" s="1961"/>
      <c r="G169" s="1951"/>
      <c r="H169" s="1960"/>
      <c r="I169" s="1962"/>
      <c r="J169" s="1953"/>
      <c r="K169" s="1951"/>
      <c r="L169" s="1960"/>
      <c r="M169" s="240"/>
      <c r="N169" s="240"/>
      <c r="O169" s="240"/>
      <c r="P169" s="240"/>
    </row>
    <row r="170" spans="1:16" ht="11.25" hidden="1" customHeight="1">
      <c r="A170" s="2612"/>
      <c r="B170" s="167"/>
      <c r="C170" s="1951"/>
      <c r="D170" s="1951"/>
      <c r="E170" s="1960"/>
      <c r="F170" s="1961"/>
      <c r="G170" s="1951"/>
      <c r="H170" s="1960"/>
      <c r="I170" s="1962"/>
      <c r="J170" s="1953"/>
      <c r="K170" s="1951"/>
      <c r="L170" s="1960"/>
      <c r="M170" s="240"/>
      <c r="N170" s="240"/>
      <c r="O170" s="240"/>
      <c r="P170" s="240"/>
    </row>
    <row r="171" spans="1:16" ht="11.25" hidden="1" customHeight="1">
      <c r="A171" s="2612"/>
      <c r="B171" s="167"/>
      <c r="C171" s="1951"/>
      <c r="D171" s="1951"/>
      <c r="E171" s="1960"/>
      <c r="F171" s="1961"/>
      <c r="G171" s="1951"/>
      <c r="H171" s="1960"/>
      <c r="I171" s="1962"/>
      <c r="J171" s="1953"/>
      <c r="K171" s="1951"/>
      <c r="L171" s="1960"/>
      <c r="M171" s="240"/>
      <c r="N171" s="240"/>
      <c r="O171" s="240"/>
      <c r="P171" s="240"/>
    </row>
    <row r="172" spans="1:16" ht="11.25" hidden="1" customHeight="1">
      <c r="A172" s="2612"/>
      <c r="B172" s="167"/>
      <c r="C172" s="1951"/>
      <c r="D172" s="1951"/>
      <c r="E172" s="1960"/>
      <c r="F172" s="1961"/>
      <c r="G172" s="1951"/>
      <c r="H172" s="1960"/>
      <c r="I172" s="1962"/>
      <c r="J172" s="1953"/>
      <c r="K172" s="1951"/>
      <c r="L172" s="1960"/>
      <c r="M172" s="240"/>
      <c r="N172" s="240"/>
      <c r="O172" s="240"/>
      <c r="P172" s="240"/>
    </row>
    <row r="173" spans="1:16" ht="11.25" hidden="1" customHeight="1">
      <c r="A173" s="2618"/>
      <c r="B173" s="167"/>
      <c r="C173" s="1951"/>
      <c r="D173" s="1951"/>
      <c r="E173" s="1960"/>
      <c r="F173" s="1961"/>
      <c r="G173" s="1951"/>
      <c r="H173" s="1960"/>
      <c r="I173" s="1962"/>
      <c r="J173" s="1953"/>
      <c r="K173" s="1951"/>
      <c r="L173" s="1960"/>
      <c r="M173" s="240"/>
      <c r="N173" s="240"/>
      <c r="O173" s="240"/>
      <c r="P173" s="240"/>
    </row>
    <row r="174" spans="1:16" ht="11.25" hidden="1" customHeight="1">
      <c r="A174" s="2618"/>
      <c r="B174" s="167"/>
      <c r="C174" s="1951"/>
      <c r="D174" s="1951"/>
      <c r="E174" s="1960"/>
      <c r="F174" s="1961"/>
      <c r="G174" s="1951"/>
      <c r="H174" s="1960"/>
      <c r="I174" s="1962"/>
      <c r="J174" s="1953"/>
      <c r="K174" s="1951"/>
      <c r="L174" s="1960"/>
      <c r="M174" s="240"/>
      <c r="N174" s="240"/>
      <c r="O174" s="240"/>
      <c r="P174" s="240"/>
    </row>
    <row r="175" spans="1:16" ht="11.25" hidden="1" customHeight="1">
      <c r="A175" s="2618"/>
      <c r="B175" s="167"/>
      <c r="C175" s="1951"/>
      <c r="D175" s="1951"/>
      <c r="E175" s="1960"/>
      <c r="F175" s="1961"/>
      <c r="G175" s="1951"/>
      <c r="H175" s="1960"/>
      <c r="I175" s="1962"/>
      <c r="J175" s="1953"/>
      <c r="K175" s="1951"/>
      <c r="L175" s="1960"/>
      <c r="M175" s="240"/>
      <c r="N175" s="240"/>
      <c r="O175" s="240"/>
      <c r="P175" s="240"/>
    </row>
    <row r="176" spans="1:16" ht="11.25" customHeight="1">
      <c r="A176" s="2618" t="s">
        <v>2902</v>
      </c>
      <c r="B176" s="167"/>
      <c r="C176" s="1951">
        <v>7396790.9099999992</v>
      </c>
      <c r="D176" s="1951">
        <v>9165919.7799999993</v>
      </c>
      <c r="E176" s="1960">
        <v>11402836.5</v>
      </c>
      <c r="F176" s="1961">
        <v>0</v>
      </c>
      <c r="G176" s="1951">
        <v>0</v>
      </c>
      <c r="H176" s="1960"/>
      <c r="I176" s="1962"/>
      <c r="J176" s="1953"/>
      <c r="K176" s="1951"/>
      <c r="L176" s="1960"/>
      <c r="M176" s="240"/>
      <c r="N176" s="240"/>
      <c r="O176" s="240"/>
      <c r="P176" s="240"/>
    </row>
    <row r="177" spans="1:16" ht="11.25" customHeight="1">
      <c r="A177" s="2618" t="s">
        <v>2903</v>
      </c>
      <c r="B177" s="167"/>
      <c r="C177" s="1951">
        <v>6828882</v>
      </c>
      <c r="D177" s="1951">
        <v>8145632</v>
      </c>
      <c r="E177" s="1960">
        <v>4045719.9699999997</v>
      </c>
      <c r="F177" s="1961">
        <v>7500000</v>
      </c>
      <c r="G177" s="1951">
        <v>7000000</v>
      </c>
      <c r="H177" s="1960">
        <v>216575.16000000003</v>
      </c>
      <c r="I177" s="1960">
        <v>216575.16000000003</v>
      </c>
      <c r="J177" s="1953">
        <f>11562086+18078</f>
        <v>11580164</v>
      </c>
      <c r="K177" s="1951">
        <f>12094003.316+19886</f>
        <v>12113889.316</v>
      </c>
      <c r="L177" s="1960">
        <f>12650327.468536+21874</f>
        <v>12672201.468536001</v>
      </c>
      <c r="M177" s="240"/>
      <c r="N177" s="240"/>
      <c r="O177" s="240"/>
      <c r="P177" s="240"/>
    </row>
    <row r="178" spans="1:16" ht="11.25" customHeight="1">
      <c r="A178" s="2618" t="s">
        <v>2904</v>
      </c>
      <c r="B178" s="167"/>
      <c r="C178" s="1951">
        <v>1049583</v>
      </c>
      <c r="D178" s="1951">
        <v>1559998.1099999999</v>
      </c>
      <c r="E178" s="1960">
        <v>504173.41</v>
      </c>
      <c r="F178" s="1961">
        <v>2430468</v>
      </c>
      <c r="G178" s="1951">
        <v>1230468</v>
      </c>
      <c r="H178" s="1960">
        <v>2029579.16</v>
      </c>
      <c r="I178" s="1960">
        <v>2029579.16</v>
      </c>
      <c r="J178" s="1953">
        <v>1130468</v>
      </c>
      <c r="K178" s="1951">
        <v>1182469.5279999999</v>
      </c>
      <c r="L178" s="1960">
        <v>1236863.126288</v>
      </c>
      <c r="M178" s="240"/>
      <c r="N178" s="240"/>
      <c r="O178" s="240"/>
      <c r="P178" s="240"/>
    </row>
    <row r="179" spans="1:16" ht="11.25" customHeight="1">
      <c r="A179" s="2618" t="s">
        <v>2905</v>
      </c>
      <c r="B179" s="167"/>
      <c r="C179" s="1951">
        <v>25422374.73</v>
      </c>
      <c r="D179" s="1951">
        <v>16930898.710000001</v>
      </c>
      <c r="E179" s="1960">
        <v>20706635.030000001</v>
      </c>
      <c r="F179" s="1961">
        <v>12580545</v>
      </c>
      <c r="G179" s="1951">
        <v>17547665</v>
      </c>
      <c r="H179" s="1960">
        <v>30650944.640000001</v>
      </c>
      <c r="I179" s="1960">
        <v>30650944.640000001</v>
      </c>
      <c r="J179" s="1953">
        <v>11547665</v>
      </c>
      <c r="K179" s="1951">
        <v>12078857.59</v>
      </c>
      <c r="L179" s="1960">
        <v>12634485.039139999</v>
      </c>
      <c r="M179" s="240"/>
      <c r="N179" s="240"/>
      <c r="O179" s="240"/>
      <c r="P179" s="240"/>
    </row>
    <row r="180" spans="1:16" ht="11.25" customHeight="1">
      <c r="A180" s="2618" t="s">
        <v>2906</v>
      </c>
      <c r="B180" s="167"/>
      <c r="C180" s="1951">
        <v>346535</v>
      </c>
      <c r="D180" s="1951">
        <v>2872355.64</v>
      </c>
      <c r="E180" s="1960">
        <v>3093384.0600000005</v>
      </c>
      <c r="F180" s="1961">
        <v>3824867.29</v>
      </c>
      <c r="G180" s="1951">
        <v>3824867.29</v>
      </c>
      <c r="H180" s="1960">
        <v>6618045.2999999998</v>
      </c>
      <c r="I180" s="1960">
        <v>6618045.2999999998</v>
      </c>
      <c r="J180" s="1953">
        <v>3905880</v>
      </c>
      <c r="K180" s="1951">
        <v>4085550.48</v>
      </c>
      <c r="L180" s="1960">
        <v>4273485.8020799998</v>
      </c>
      <c r="M180" s="240"/>
      <c r="N180" s="240"/>
      <c r="O180" s="240"/>
      <c r="P180" s="240"/>
    </row>
    <row r="181" spans="1:16" ht="11.25" customHeight="1">
      <c r="A181" s="2618" t="s">
        <v>2907</v>
      </c>
      <c r="B181" s="167"/>
      <c r="C181" s="1951">
        <v>1839619</v>
      </c>
      <c r="D181" s="1951">
        <v>1721828.1400000001</v>
      </c>
      <c r="E181" s="1960">
        <v>1748132.4100000001</v>
      </c>
      <c r="F181" s="1961">
        <v>1449979</v>
      </c>
      <c r="G181" s="1951">
        <v>1329789</v>
      </c>
      <c r="H181" s="1960">
        <v>1427557.42</v>
      </c>
      <c r="I181" s="1960">
        <v>1427557.42</v>
      </c>
      <c r="J181" s="1953">
        <f>1374690+44475</f>
        <v>1419165</v>
      </c>
      <c r="K181" s="1951">
        <f>1437925.74+48923</f>
        <v>1486848.74</v>
      </c>
      <c r="L181" s="1960">
        <f>1504070.32404+53815</f>
        <v>1557885.3240400001</v>
      </c>
      <c r="M181" s="240"/>
      <c r="N181" s="240"/>
      <c r="O181" s="240"/>
      <c r="P181" s="240"/>
    </row>
    <row r="182" spans="1:16" ht="11.25" customHeight="1">
      <c r="A182" s="2618" t="s">
        <v>2908</v>
      </c>
      <c r="B182" s="167"/>
      <c r="C182" s="1951"/>
      <c r="D182" s="1951"/>
      <c r="E182" s="1960">
        <v>48799.3</v>
      </c>
      <c r="F182" s="1961">
        <v>21682000</v>
      </c>
      <c r="G182" s="1951">
        <v>21682000</v>
      </c>
      <c r="H182" s="1960">
        <v>45272179.82</v>
      </c>
      <c r="I182" s="1960">
        <v>45272179.82</v>
      </c>
      <c r="J182" s="1953">
        <v>36000000</v>
      </c>
      <c r="K182" s="1951">
        <v>37656000</v>
      </c>
      <c r="L182" s="1960">
        <v>39388176</v>
      </c>
      <c r="M182" s="240"/>
      <c r="N182" s="240"/>
      <c r="O182" s="240"/>
      <c r="P182" s="240"/>
    </row>
    <row r="183" spans="1:16" ht="11.25" customHeight="1">
      <c r="A183" s="2618" t="s">
        <v>2909</v>
      </c>
      <c r="B183" s="167"/>
      <c r="C183" s="1951">
        <v>6794286.6299999999</v>
      </c>
      <c r="D183" s="1951">
        <v>9149273.2100000009</v>
      </c>
      <c r="E183" s="1960">
        <v>7331211.4099999992</v>
      </c>
      <c r="F183" s="1961">
        <v>7871199</v>
      </c>
      <c r="G183" s="1951">
        <v>6925319</v>
      </c>
      <c r="H183" s="1960">
        <v>9960620.4800000004</v>
      </c>
      <c r="I183" s="1960">
        <v>9960620.4800000004</v>
      </c>
      <c r="J183" s="1953">
        <f>10003820+300300</f>
        <v>10304120</v>
      </c>
      <c r="K183" s="1951">
        <f>10463995.72+330330</f>
        <v>10794325.720000001</v>
      </c>
      <c r="L183" s="1960">
        <f>10945339.52312+363363</f>
        <v>11308702.523119999</v>
      </c>
      <c r="M183" s="240"/>
      <c r="N183" s="240"/>
      <c r="O183" s="240"/>
      <c r="P183" s="240"/>
    </row>
    <row r="184" spans="1:16" ht="11.25" customHeight="1">
      <c r="A184" s="2618" t="s">
        <v>2910</v>
      </c>
      <c r="B184" s="167"/>
      <c r="C184" s="1951">
        <v>1342472</v>
      </c>
      <c r="D184" s="1951">
        <v>1479119.24</v>
      </c>
      <c r="E184" s="1960">
        <v>2145798.2400000002</v>
      </c>
      <c r="F184" s="1961">
        <v>3614373</v>
      </c>
      <c r="G184" s="1951">
        <v>2326685</v>
      </c>
      <c r="H184" s="1960">
        <v>2055030.5199999996</v>
      </c>
      <c r="I184" s="1960">
        <v>2055030.5199999996</v>
      </c>
      <c r="J184" s="1953">
        <f>1778718+80938</f>
        <v>1859656</v>
      </c>
      <c r="K184" s="1951">
        <f>1860539.028+89032</f>
        <v>1949571.0279999999</v>
      </c>
      <c r="L184" s="1960">
        <f>1946123.823288+97935</f>
        <v>2044058.823288</v>
      </c>
      <c r="M184" s="240"/>
      <c r="N184" s="240"/>
      <c r="O184" s="240"/>
      <c r="P184" s="240"/>
    </row>
    <row r="185" spans="1:16" ht="11.25" customHeight="1">
      <c r="A185" s="2618" t="s">
        <v>2911</v>
      </c>
      <c r="B185" s="167"/>
      <c r="C185" s="1951"/>
      <c r="D185" s="1951"/>
      <c r="E185" s="1960"/>
      <c r="F185" s="1961">
        <v>50001</v>
      </c>
      <c r="G185" s="1951"/>
      <c r="H185" s="1960"/>
      <c r="I185" s="1962"/>
      <c r="J185" s="1953"/>
      <c r="K185" s="1951"/>
      <c r="L185" s="1960"/>
      <c r="M185" s="240"/>
      <c r="N185" s="240"/>
      <c r="O185" s="240"/>
      <c r="P185" s="240"/>
    </row>
    <row r="186" spans="1:16" ht="11.25" customHeight="1">
      <c r="A186" s="2618" t="s">
        <v>4029</v>
      </c>
      <c r="B186" s="167"/>
      <c r="C186" s="1951">
        <v>644881.46</v>
      </c>
      <c r="D186" s="1951">
        <v>732500.43</v>
      </c>
      <c r="E186" s="1960">
        <v>998825.43</v>
      </c>
      <c r="F186" s="1961">
        <v>970444</v>
      </c>
      <c r="G186" s="1951">
        <v>746827</v>
      </c>
      <c r="H186" s="1960">
        <v>719397.28</v>
      </c>
      <c r="I186" s="1962">
        <v>719397.28</v>
      </c>
      <c r="J186" s="1953">
        <v>778689.61</v>
      </c>
      <c r="K186" s="1951">
        <v>816359.51199999999</v>
      </c>
      <c r="L186" s="1960">
        <v>855947.25153200002</v>
      </c>
      <c r="M186" s="240"/>
      <c r="N186" s="240"/>
      <c r="O186" s="240"/>
      <c r="P186" s="240"/>
    </row>
    <row r="187" spans="1:16" ht="11.25" customHeight="1">
      <c r="A187" s="2618" t="s">
        <v>4030</v>
      </c>
      <c r="B187" s="167"/>
      <c r="C187" s="1951">
        <v>282787.46000000002</v>
      </c>
      <c r="D187" s="1951">
        <v>160444.32</v>
      </c>
      <c r="E187" s="1960">
        <v>260282.34</v>
      </c>
      <c r="F187" s="1961">
        <v>231234</v>
      </c>
      <c r="G187" s="1951">
        <v>185760</v>
      </c>
      <c r="H187" s="1960">
        <v>232582.26</v>
      </c>
      <c r="I187" s="1962">
        <v>232582.26</v>
      </c>
      <c r="J187" s="1953">
        <v>185760</v>
      </c>
      <c r="K187" s="1951">
        <v>194304.96</v>
      </c>
      <c r="L187" s="1960">
        <v>203242.98815999998</v>
      </c>
      <c r="M187" s="240"/>
      <c r="N187" s="240"/>
      <c r="O187" s="240"/>
      <c r="P187" s="240"/>
    </row>
    <row r="188" spans="1:16" ht="11.25" customHeight="1">
      <c r="A188" s="2618" t="s">
        <v>4031</v>
      </c>
      <c r="B188" s="167"/>
      <c r="C188" s="1951">
        <v>1351387.1</v>
      </c>
      <c r="D188" s="1951">
        <v>1693588.22</v>
      </c>
      <c r="E188" s="1960">
        <v>1772509.72</v>
      </c>
      <c r="F188" s="1961">
        <v>1454121.27</v>
      </c>
      <c r="G188" s="1951">
        <v>1390000</v>
      </c>
      <c r="H188" s="1960">
        <v>1801861.8499999999</v>
      </c>
      <c r="I188" s="1962">
        <v>1801861.8499999999</v>
      </c>
      <c r="J188" s="1953">
        <v>1448533.4</v>
      </c>
      <c r="K188" s="1951">
        <v>1517786.74</v>
      </c>
      <c r="L188" s="1960">
        <v>1590487.8099999998</v>
      </c>
      <c r="M188" s="240"/>
      <c r="N188" s="240"/>
      <c r="O188" s="240"/>
      <c r="P188" s="240"/>
    </row>
    <row r="189" spans="1:16" ht="11.25" customHeight="1">
      <c r="A189" s="2618" t="s">
        <v>4032</v>
      </c>
      <c r="B189" s="167"/>
      <c r="C189" s="1951">
        <v>426940.63</v>
      </c>
      <c r="D189" s="1951">
        <v>845529.47</v>
      </c>
      <c r="E189" s="1960">
        <v>667332.88</v>
      </c>
      <c r="F189" s="1961">
        <v>808070</v>
      </c>
      <c r="G189" s="1951">
        <v>638707</v>
      </c>
      <c r="H189" s="1960">
        <v>395586.24000000005</v>
      </c>
      <c r="I189" s="1962">
        <v>395586.24000000005</v>
      </c>
      <c r="J189" s="1953">
        <v>627282</v>
      </c>
      <c r="K189" s="1951">
        <v>656136.97200000007</v>
      </c>
      <c r="L189" s="1960">
        <v>686319.27271200006</v>
      </c>
      <c r="M189" s="240"/>
      <c r="N189" s="240"/>
      <c r="O189" s="240"/>
      <c r="P189" s="240"/>
    </row>
    <row r="190" spans="1:16" ht="11.25" customHeight="1">
      <c r="A190" s="2618" t="s">
        <v>4033</v>
      </c>
      <c r="B190" s="167"/>
      <c r="C190" s="1951">
        <v>4824.5600000000004</v>
      </c>
      <c r="D190" s="1951">
        <v>0</v>
      </c>
      <c r="E190" s="1960">
        <v>0</v>
      </c>
      <c r="F190" s="1961">
        <v>33201</v>
      </c>
      <c r="G190" s="1951">
        <v>0</v>
      </c>
      <c r="H190" s="1960">
        <v>0</v>
      </c>
      <c r="I190" s="1962">
        <v>0</v>
      </c>
      <c r="J190" s="1953">
        <v>0</v>
      </c>
      <c r="K190" s="1951">
        <v>0</v>
      </c>
      <c r="L190" s="1960">
        <v>0</v>
      </c>
      <c r="M190" s="240"/>
      <c r="N190" s="240"/>
      <c r="O190" s="240"/>
      <c r="P190" s="240"/>
    </row>
    <row r="191" spans="1:16" ht="11.25" customHeight="1">
      <c r="A191" s="2618" t="s">
        <v>4034</v>
      </c>
      <c r="B191" s="167"/>
      <c r="C191" s="1951"/>
      <c r="D191" s="1951"/>
      <c r="E191" s="1960"/>
      <c r="F191" s="1961">
        <v>959712</v>
      </c>
      <c r="G191" s="1951">
        <v>959712</v>
      </c>
      <c r="H191" s="1960">
        <v>959712</v>
      </c>
      <c r="I191" s="1962">
        <v>959712</v>
      </c>
      <c r="J191" s="1953">
        <v>2923693</v>
      </c>
      <c r="K191" s="1951">
        <v>3058182.8780000005</v>
      </c>
      <c r="L191" s="1960">
        <v>3198859.2903879997</v>
      </c>
      <c r="M191" s="240"/>
      <c r="N191" s="240"/>
      <c r="O191" s="240"/>
      <c r="P191" s="240"/>
    </row>
    <row r="192" spans="1:16" ht="11.25" customHeight="1">
      <c r="A192" s="2618" t="s">
        <v>4035</v>
      </c>
      <c r="B192" s="167"/>
      <c r="C192" s="1951"/>
      <c r="D192" s="1951"/>
      <c r="E192" s="1960"/>
      <c r="F192" s="1961">
        <v>0</v>
      </c>
      <c r="G192" s="1951">
        <v>0</v>
      </c>
      <c r="H192" s="1960"/>
      <c r="I192" s="1962"/>
      <c r="J192" s="1953">
        <v>1200000</v>
      </c>
      <c r="K192" s="1951">
        <v>0</v>
      </c>
      <c r="L192" s="1960">
        <v>0</v>
      </c>
      <c r="M192" s="240"/>
      <c r="N192" s="240"/>
      <c r="O192" s="240"/>
      <c r="P192" s="240"/>
    </row>
    <row r="193" spans="1:16" ht="11.25" customHeight="1">
      <c r="A193" s="2618" t="s">
        <v>4036</v>
      </c>
      <c r="B193" s="167"/>
      <c r="C193" s="1951">
        <v>1548475.76</v>
      </c>
      <c r="D193" s="1951">
        <v>976431.64</v>
      </c>
      <c r="E193" s="1960">
        <v>903825.62</v>
      </c>
      <c r="F193" s="1961">
        <v>1186000</v>
      </c>
      <c r="G193" s="1951">
        <v>1186000</v>
      </c>
      <c r="H193" s="1960">
        <v>1186000</v>
      </c>
      <c r="I193" s="1962">
        <v>1186000</v>
      </c>
      <c r="J193" s="1953">
        <v>186000</v>
      </c>
      <c r="K193" s="1951">
        <v>194556</v>
      </c>
      <c r="L193" s="1960">
        <v>203505.576</v>
      </c>
      <c r="M193" s="240"/>
      <c r="N193" s="240"/>
      <c r="O193" s="240"/>
      <c r="P193" s="240"/>
    </row>
    <row r="194" spans="1:16" ht="11.25" customHeight="1">
      <c r="A194" s="2618" t="s">
        <v>4037</v>
      </c>
      <c r="B194" s="167"/>
      <c r="C194" s="1951">
        <v>586807.92000000004</v>
      </c>
      <c r="D194" s="1951">
        <v>644316.68999999994</v>
      </c>
      <c r="E194" s="1960">
        <v>613345.17999999993</v>
      </c>
      <c r="F194" s="1961">
        <v>857500</v>
      </c>
      <c r="G194" s="1951">
        <v>857500</v>
      </c>
      <c r="H194" s="1960">
        <v>1886557.1800000002</v>
      </c>
      <c r="I194" s="1962">
        <v>1886557.1800000002</v>
      </c>
      <c r="J194" s="1953">
        <v>670000</v>
      </c>
      <c r="K194" s="1951">
        <v>896945</v>
      </c>
      <c r="L194" s="1960">
        <v>938204.47</v>
      </c>
      <c r="M194" s="240"/>
      <c r="N194" s="240"/>
      <c r="O194" s="240"/>
      <c r="P194" s="240"/>
    </row>
    <row r="195" spans="1:16" ht="11.25" customHeight="1">
      <c r="A195" s="2618" t="s">
        <v>4038</v>
      </c>
      <c r="B195" s="167"/>
      <c r="C195" s="1951"/>
      <c r="D195" s="1951"/>
      <c r="E195" s="1960">
        <v>0</v>
      </c>
      <c r="F195" s="1961">
        <v>3195</v>
      </c>
      <c r="G195" s="1951">
        <v>0</v>
      </c>
      <c r="H195" s="1960">
        <v>0</v>
      </c>
      <c r="I195" s="1962">
        <v>0</v>
      </c>
      <c r="J195" s="1953">
        <v>0</v>
      </c>
      <c r="K195" s="1951">
        <v>0</v>
      </c>
      <c r="L195" s="1960">
        <v>0</v>
      </c>
      <c r="M195" s="240"/>
      <c r="N195" s="240"/>
      <c r="O195" s="240"/>
      <c r="P195" s="240"/>
    </row>
    <row r="196" spans="1:16" ht="11.25" customHeight="1">
      <c r="A196" s="2618" t="s">
        <v>4039</v>
      </c>
      <c r="B196" s="167"/>
      <c r="C196" s="1951">
        <v>715559.43</v>
      </c>
      <c r="D196" s="1951">
        <v>956940.58000000007</v>
      </c>
      <c r="E196" s="1960">
        <v>1215176.74</v>
      </c>
      <c r="F196" s="1961">
        <v>653308</v>
      </c>
      <c r="G196" s="1951">
        <v>653308</v>
      </c>
      <c r="H196" s="1960">
        <v>981026</v>
      </c>
      <c r="I196" s="1962">
        <v>981026</v>
      </c>
      <c r="J196" s="1953">
        <v>1000000</v>
      </c>
      <c r="K196" s="1951">
        <v>1046000</v>
      </c>
      <c r="L196" s="1960">
        <v>1094116</v>
      </c>
      <c r="M196" s="240"/>
      <c r="N196" s="240"/>
      <c r="O196" s="240"/>
      <c r="P196" s="240"/>
    </row>
    <row r="197" spans="1:16" ht="11.25" customHeight="1">
      <c r="A197" s="2618" t="s">
        <v>4040</v>
      </c>
      <c r="B197" s="167"/>
      <c r="C197" s="1951">
        <v>93291.35</v>
      </c>
      <c r="D197" s="1951">
        <v>81800.59</v>
      </c>
      <c r="E197" s="1960">
        <v>88614.92</v>
      </c>
      <c r="F197" s="1961">
        <v>300000</v>
      </c>
      <c r="G197" s="1951">
        <v>250000</v>
      </c>
      <c r="H197" s="1960">
        <v>26201</v>
      </c>
      <c r="I197" s="1962">
        <v>26201</v>
      </c>
      <c r="J197" s="1953">
        <v>241000</v>
      </c>
      <c r="K197" s="1951">
        <v>252086</v>
      </c>
      <c r="L197" s="1960">
        <v>263681.95600000001</v>
      </c>
      <c r="M197" s="240"/>
      <c r="N197" s="240"/>
      <c r="O197" s="240"/>
      <c r="P197" s="240"/>
    </row>
    <row r="198" spans="1:16" ht="11.25" customHeight="1">
      <c r="A198" s="2618" t="s">
        <v>4041</v>
      </c>
      <c r="B198" s="167"/>
      <c r="C198" s="1951">
        <v>1321810.6499999999</v>
      </c>
      <c r="D198" s="1951">
        <v>1375196.2</v>
      </c>
      <c r="E198" s="1960">
        <v>947640.11</v>
      </c>
      <c r="F198" s="1961">
        <v>1435729.78</v>
      </c>
      <c r="G198" s="1951">
        <v>773918</v>
      </c>
      <c r="H198" s="1960">
        <v>345914</v>
      </c>
      <c r="I198" s="1962">
        <v>345914</v>
      </c>
      <c r="J198" s="1953">
        <v>821010.96</v>
      </c>
      <c r="K198" s="1951">
        <v>859241.478</v>
      </c>
      <c r="L198" s="1960">
        <v>899277.01248799998</v>
      </c>
      <c r="M198" s="240"/>
      <c r="N198" s="240"/>
      <c r="O198" s="240"/>
      <c r="P198" s="240"/>
    </row>
    <row r="199" spans="1:16" ht="11.25" customHeight="1">
      <c r="A199" s="2618" t="s">
        <v>4042</v>
      </c>
      <c r="B199" s="167"/>
      <c r="C199" s="1951"/>
      <c r="D199" s="1951"/>
      <c r="E199" s="1960"/>
      <c r="F199" s="1961"/>
      <c r="G199" s="1951"/>
      <c r="H199" s="1960"/>
      <c r="I199" s="1962"/>
      <c r="J199" s="1953">
        <v>2855316</v>
      </c>
      <c r="K199" s="1951">
        <v>2986660.5359999994</v>
      </c>
      <c r="L199" s="1960">
        <v>3124046.9206559989</v>
      </c>
      <c r="M199" s="240"/>
      <c r="N199" s="240"/>
      <c r="O199" s="240"/>
      <c r="P199" s="240"/>
    </row>
    <row r="200" spans="1:16" ht="11.25" customHeight="1">
      <c r="A200" s="2618" t="s">
        <v>4043</v>
      </c>
      <c r="B200" s="167"/>
      <c r="C200" s="1951">
        <v>324372.40000000002</v>
      </c>
      <c r="D200" s="1951">
        <v>333455</v>
      </c>
      <c r="E200" s="1960">
        <v>378025.44</v>
      </c>
      <c r="F200" s="1961">
        <v>508801.25</v>
      </c>
      <c r="G200" s="1951">
        <v>508801.25</v>
      </c>
      <c r="H200" s="1960">
        <v>162415</v>
      </c>
      <c r="I200" s="1962">
        <v>162415</v>
      </c>
      <c r="J200" s="1953">
        <v>627057</v>
      </c>
      <c r="K200" s="1951">
        <v>655901.62199999997</v>
      </c>
      <c r="L200" s="1960">
        <v>686073.09661200002</v>
      </c>
      <c r="M200" s="240"/>
      <c r="N200" s="240"/>
      <c r="O200" s="240"/>
      <c r="P200" s="240"/>
    </row>
    <row r="201" spans="1:16" ht="11.25" customHeight="1">
      <c r="A201" s="2618" t="s">
        <v>4044</v>
      </c>
      <c r="B201" s="167"/>
      <c r="C201" s="1951">
        <v>2002329.1400000001</v>
      </c>
      <c r="D201" s="1951">
        <v>1039817.9</v>
      </c>
      <c r="E201" s="1960">
        <v>2387474.7599999998</v>
      </c>
      <c r="F201" s="1961">
        <v>2912216</v>
      </c>
      <c r="G201" s="1951">
        <v>2918716</v>
      </c>
      <c r="H201" s="1960">
        <v>2146115</v>
      </c>
      <c r="I201" s="1962">
        <v>2146115</v>
      </c>
      <c r="J201" s="1953">
        <v>2925216</v>
      </c>
      <c r="K201" s="1951">
        <v>3059775.9360000002</v>
      </c>
      <c r="L201" s="1960">
        <v>3200525.6290559997</v>
      </c>
      <c r="M201" s="240"/>
      <c r="N201" s="240"/>
      <c r="O201" s="240"/>
      <c r="P201" s="240"/>
    </row>
    <row r="202" spans="1:16" ht="11.25" customHeight="1">
      <c r="A202" s="2618" t="s">
        <v>4045</v>
      </c>
      <c r="B202" s="167"/>
      <c r="C202" s="1951">
        <v>592409.63</v>
      </c>
      <c r="D202" s="1951">
        <v>616393.03</v>
      </c>
      <c r="E202" s="1960">
        <v>598254.27</v>
      </c>
      <c r="F202" s="1961">
        <v>1047196</v>
      </c>
      <c r="G202" s="1951">
        <v>740195</v>
      </c>
      <c r="H202" s="1960">
        <v>314156</v>
      </c>
      <c r="I202" s="1962">
        <v>314156</v>
      </c>
      <c r="J202" s="1953">
        <v>739696</v>
      </c>
      <c r="K202" s="1951">
        <v>773722.01600000006</v>
      </c>
      <c r="L202" s="1960">
        <v>809313.22873600002</v>
      </c>
      <c r="M202" s="240"/>
      <c r="N202" s="240"/>
      <c r="O202" s="240"/>
      <c r="P202" s="240"/>
    </row>
    <row r="203" spans="1:16" ht="11.25" customHeight="1">
      <c r="A203" s="2618" t="s">
        <v>4046</v>
      </c>
      <c r="B203" s="167"/>
      <c r="C203" s="1951">
        <v>658707.83000000007</v>
      </c>
      <c r="D203" s="1951">
        <v>892309.8</v>
      </c>
      <c r="E203" s="1960">
        <v>950129</v>
      </c>
      <c r="F203" s="1961">
        <v>1004712</v>
      </c>
      <c r="G203" s="1951">
        <v>1004712</v>
      </c>
      <c r="H203" s="1960">
        <v>180108</v>
      </c>
      <c r="I203" s="1962">
        <v>180108</v>
      </c>
      <c r="J203" s="1953">
        <v>963602</v>
      </c>
      <c r="K203" s="1951">
        <v>1007927.692</v>
      </c>
      <c r="L203" s="1960">
        <v>1054292.3658319998</v>
      </c>
      <c r="M203" s="240"/>
      <c r="N203" s="240"/>
      <c r="O203" s="240"/>
      <c r="P203" s="240"/>
    </row>
    <row r="204" spans="1:16" ht="11.25" customHeight="1">
      <c r="A204" s="2618" t="s">
        <v>4047</v>
      </c>
      <c r="B204" s="167"/>
      <c r="C204" s="1951">
        <v>7808631</v>
      </c>
      <c r="D204" s="1951">
        <v>1987573</v>
      </c>
      <c r="E204" s="1960">
        <v>1622503</v>
      </c>
      <c r="F204" s="1961">
        <v>127263</v>
      </c>
      <c r="G204" s="1951">
        <v>127263</v>
      </c>
      <c r="H204" s="1960">
        <v>233230</v>
      </c>
      <c r="I204" s="1962">
        <v>233230</v>
      </c>
      <c r="J204" s="1953">
        <v>127263</v>
      </c>
      <c r="K204" s="1951">
        <v>133117</v>
      </c>
      <c r="L204" s="1960">
        <v>139240</v>
      </c>
      <c r="M204" s="240"/>
      <c r="N204" s="240"/>
      <c r="O204" s="240"/>
      <c r="P204" s="240"/>
    </row>
    <row r="205" spans="1:16" ht="11.25" customHeight="1">
      <c r="A205" s="2618" t="s">
        <v>4048</v>
      </c>
      <c r="B205" s="167"/>
      <c r="C205" s="1951">
        <v>1342472.06</v>
      </c>
      <c r="D205" s="1951">
        <v>366677.33</v>
      </c>
      <c r="E205" s="1960">
        <v>40461.25</v>
      </c>
      <c r="F205" s="1961">
        <v>694661</v>
      </c>
      <c r="G205" s="1951">
        <v>494661</v>
      </c>
      <c r="H205" s="1960">
        <v>1105</v>
      </c>
      <c r="I205" s="1962">
        <v>1105</v>
      </c>
      <c r="J205" s="1953">
        <v>494661</v>
      </c>
      <c r="K205" s="1951">
        <v>517415.40600000002</v>
      </c>
      <c r="L205" s="1960">
        <v>541216.51467599999</v>
      </c>
      <c r="M205" s="240"/>
      <c r="N205" s="240"/>
      <c r="O205" s="240"/>
      <c r="P205" s="240"/>
    </row>
    <row r="206" spans="1:16" ht="11.25" customHeight="1">
      <c r="A206" s="2618" t="s">
        <v>4049</v>
      </c>
      <c r="B206" s="167"/>
      <c r="C206" s="1951">
        <v>1058605.49</v>
      </c>
      <c r="D206" s="1951">
        <v>706300.78</v>
      </c>
      <c r="E206" s="1960">
        <v>972965.37</v>
      </c>
      <c r="F206" s="1961">
        <v>2146594</v>
      </c>
      <c r="G206" s="1951">
        <v>2346594</v>
      </c>
      <c r="H206" s="1960">
        <v>1151921</v>
      </c>
      <c r="I206" s="1962">
        <v>1151921</v>
      </c>
      <c r="J206" s="1953">
        <v>1846594</v>
      </c>
      <c r="K206" s="1951">
        <v>1931537.324</v>
      </c>
      <c r="L206" s="1960">
        <v>2020388.0409039999</v>
      </c>
      <c r="M206" s="240"/>
      <c r="N206" s="240"/>
      <c r="O206" s="240"/>
      <c r="P206" s="240"/>
    </row>
    <row r="207" spans="1:16" ht="11.25" customHeight="1">
      <c r="A207" s="2618" t="s">
        <v>4050</v>
      </c>
      <c r="B207" s="167"/>
      <c r="C207" s="1951"/>
      <c r="D207" s="1951"/>
      <c r="E207" s="1960">
        <v>94268.42</v>
      </c>
      <c r="F207" s="1961">
        <v>100000</v>
      </c>
      <c r="G207" s="1951">
        <v>100000</v>
      </c>
      <c r="H207" s="1960">
        <v>200169</v>
      </c>
      <c r="I207" s="1962">
        <v>200169</v>
      </c>
      <c r="J207" s="1953">
        <v>250000</v>
      </c>
      <c r="K207" s="1951">
        <v>261500</v>
      </c>
      <c r="L207" s="1960">
        <v>273529</v>
      </c>
      <c r="M207" s="240"/>
      <c r="N207" s="240"/>
      <c r="O207" s="240"/>
      <c r="P207" s="240"/>
    </row>
    <row r="208" spans="1:16" ht="11.25" customHeight="1">
      <c r="A208" s="2618" t="s">
        <v>4051</v>
      </c>
      <c r="B208" s="167"/>
      <c r="C208" s="1951">
        <v>226359.9</v>
      </c>
      <c r="D208" s="1951">
        <v>285472.06</v>
      </c>
      <c r="E208" s="1960">
        <v>78709.960000000006</v>
      </c>
      <c r="F208" s="1961">
        <v>1127980</v>
      </c>
      <c r="G208" s="1951">
        <v>1127980</v>
      </c>
      <c r="H208" s="1960">
        <v>1020051</v>
      </c>
      <c r="I208" s="1962">
        <v>1020051</v>
      </c>
      <c r="J208" s="1953">
        <v>1127980</v>
      </c>
      <c r="K208" s="1951">
        <v>1179867.08</v>
      </c>
      <c r="L208" s="1960">
        <v>1234140.9656800001</v>
      </c>
      <c r="M208" s="240"/>
      <c r="N208" s="240"/>
      <c r="O208" s="240"/>
      <c r="P208" s="240"/>
    </row>
    <row r="209" spans="1:16" ht="11.25" customHeight="1">
      <c r="A209" s="2618" t="s">
        <v>4052</v>
      </c>
      <c r="B209" s="167"/>
      <c r="C209" s="1951">
        <v>1693013.67</v>
      </c>
      <c r="D209" s="1951">
        <v>1961744</v>
      </c>
      <c r="E209" s="1960">
        <v>2854223.19</v>
      </c>
      <c r="F209" s="1961">
        <v>3025069</v>
      </c>
      <c r="G209" s="1951">
        <v>2452069</v>
      </c>
      <c r="H209" s="1960">
        <v>1925383</v>
      </c>
      <c r="I209" s="1962">
        <v>1925383</v>
      </c>
      <c r="J209" s="1953">
        <v>2448545.09</v>
      </c>
      <c r="K209" s="1951">
        <v>2565685.8640000001</v>
      </c>
      <c r="L209" s="1960">
        <v>2688665.8940039999</v>
      </c>
      <c r="M209" s="240"/>
      <c r="N209" s="240"/>
      <c r="O209" s="240"/>
      <c r="P209" s="240"/>
    </row>
    <row r="210" spans="1:16" ht="11.25" customHeight="1">
      <c r="A210" s="2618" t="s">
        <v>4053</v>
      </c>
      <c r="B210" s="167"/>
      <c r="C210" s="1951"/>
      <c r="D210" s="1951"/>
      <c r="E210" s="1960"/>
      <c r="F210" s="1961">
        <v>294000</v>
      </c>
      <c r="G210" s="1951">
        <v>500000</v>
      </c>
      <c r="H210" s="1960">
        <v>0</v>
      </c>
      <c r="I210" s="1962">
        <v>0</v>
      </c>
      <c r="J210" s="1953">
        <v>399000</v>
      </c>
      <c r="K210" s="1951">
        <v>417354</v>
      </c>
      <c r="L210" s="1960">
        <v>436552.28399999999</v>
      </c>
      <c r="M210" s="240"/>
      <c r="N210" s="240"/>
      <c r="O210" s="240"/>
      <c r="P210" s="240"/>
    </row>
    <row r="211" spans="1:16" ht="11.25" customHeight="1">
      <c r="A211" s="2618" t="s">
        <v>4054</v>
      </c>
      <c r="B211" s="167"/>
      <c r="C211" s="1951">
        <v>316540.62</v>
      </c>
      <c r="D211" s="1951">
        <v>265665.48</v>
      </c>
      <c r="E211" s="1960">
        <v>244013.8</v>
      </c>
      <c r="F211" s="1961">
        <v>250000</v>
      </c>
      <c r="G211" s="1951">
        <v>250000</v>
      </c>
      <c r="H211" s="1960">
        <v>123054</v>
      </c>
      <c r="I211" s="1962">
        <v>123054</v>
      </c>
      <c r="J211" s="1953">
        <v>250000</v>
      </c>
      <c r="K211" s="1951">
        <v>261500</v>
      </c>
      <c r="L211" s="1960">
        <v>273529</v>
      </c>
      <c r="M211" s="240"/>
      <c r="N211" s="240"/>
      <c r="O211" s="240"/>
      <c r="P211" s="240"/>
    </row>
    <row r="212" spans="1:16" ht="11.25" customHeight="1">
      <c r="A212" s="2619" t="s">
        <v>658</v>
      </c>
      <c r="B212" s="220">
        <v>1</v>
      </c>
      <c r="C212" s="107">
        <f t="shared" ref="C212:L212" si="12">SUM(C152:C211)</f>
        <v>95806712.060000002</v>
      </c>
      <c r="D212" s="107">
        <f t="shared" si="12"/>
        <v>96966203.570000008</v>
      </c>
      <c r="E212" s="107">
        <f t="shared" si="12"/>
        <v>124732255.66999999</v>
      </c>
      <c r="F212" s="107">
        <f t="shared" si="12"/>
        <v>119592687.48999999</v>
      </c>
      <c r="G212" s="107">
        <f t="shared" si="12"/>
        <v>118999882.23999999</v>
      </c>
      <c r="H212" s="107">
        <f t="shared" si="12"/>
        <v>147858194.99000004</v>
      </c>
      <c r="I212" s="107">
        <f t="shared" si="12"/>
        <v>147858194.99000004</v>
      </c>
      <c r="J212" s="107">
        <f t="shared" si="12"/>
        <v>128067831.06</v>
      </c>
      <c r="K212" s="107">
        <f t="shared" si="12"/>
        <v>133699489.31199998</v>
      </c>
      <c r="L212" s="107">
        <f t="shared" si="12"/>
        <v>139486986.329052</v>
      </c>
      <c r="M212" s="240"/>
      <c r="N212" s="240"/>
      <c r="O212" s="240"/>
      <c r="P212" s="240"/>
    </row>
    <row r="213" spans="1:16" ht="11.25" customHeight="1">
      <c r="A213" s="117"/>
      <c r="B213" s="113"/>
      <c r="C213" s="94"/>
      <c r="D213" s="94"/>
      <c r="E213" s="94"/>
      <c r="F213" s="94"/>
      <c r="G213" s="94"/>
      <c r="H213" s="94"/>
      <c r="I213" s="94"/>
      <c r="J213" s="97"/>
      <c r="K213" s="94"/>
      <c r="L213" s="94"/>
      <c r="M213" s="240"/>
      <c r="N213" s="240"/>
      <c r="O213" s="240"/>
      <c r="P213" s="240"/>
    </row>
    <row r="214" spans="1:16" ht="11.25" customHeight="1">
      <c r="A214" s="1488" t="s">
        <v>1694</v>
      </c>
      <c r="B214" s="1506">
        <v>8</v>
      </c>
      <c r="C214" s="1489"/>
      <c r="D214" s="1394"/>
      <c r="E214" s="422"/>
      <c r="F214" s="1489"/>
      <c r="G214" s="1394"/>
      <c r="H214" s="422"/>
      <c r="I214" s="299"/>
      <c r="J214" s="423"/>
      <c r="K214" s="1394"/>
      <c r="L214" s="422"/>
      <c r="M214" s="240"/>
      <c r="N214" s="240"/>
      <c r="O214" s="240"/>
      <c r="P214" s="240"/>
    </row>
    <row r="215" spans="1:16">
      <c r="A215" s="67" t="s">
        <v>408</v>
      </c>
      <c r="B215" s="1398"/>
      <c r="C215" s="1955">
        <v>-15827431</v>
      </c>
      <c r="D215" s="1951">
        <v>-13999448</v>
      </c>
      <c r="E215" s="1954"/>
      <c r="F215" s="1955">
        <v>0</v>
      </c>
      <c r="G215" s="1951">
        <v>0</v>
      </c>
      <c r="H215" s="1954"/>
      <c r="I215" s="1961"/>
      <c r="J215" s="1953"/>
      <c r="K215" s="1951"/>
      <c r="L215" s="1954"/>
      <c r="M215" s="240"/>
      <c r="N215" s="240"/>
      <c r="O215" s="240"/>
      <c r="P215" s="240"/>
    </row>
    <row r="216" spans="1:16" s="576" customFormat="1" ht="11.25" customHeight="1">
      <c r="A216" s="67" t="s">
        <v>1342</v>
      </c>
      <c r="B216" s="1398"/>
      <c r="C216" s="1955">
        <v>2656829.17</v>
      </c>
      <c r="D216" s="1951">
        <v>3322148.56</v>
      </c>
      <c r="E216" s="1954">
        <v>4125120.8800000004</v>
      </c>
      <c r="F216" s="1955">
        <v>21088268.199999999</v>
      </c>
      <c r="G216" s="1951">
        <v>18400515.199999999</v>
      </c>
      <c r="H216" s="1954">
        <v>4351167.9799999995</v>
      </c>
      <c r="I216" s="1961">
        <v>4351167.9799999995</v>
      </c>
      <c r="J216" s="1953">
        <f>9443501.85+5500</f>
        <v>9449001.8499999996</v>
      </c>
      <c r="K216" s="1951">
        <f>9877902.9351+6050</f>
        <v>9883952.9351000004</v>
      </c>
      <c r="L216" s="1954">
        <f>10332286.4701146+6655</f>
        <v>10338941.4701146</v>
      </c>
      <c r="M216" s="923"/>
      <c r="N216" s="923"/>
      <c r="O216" s="923"/>
      <c r="P216" s="923"/>
    </row>
    <row r="217" spans="1:16" s="576" customFormat="1" ht="11.25" customHeight="1">
      <c r="A217" s="67" t="s">
        <v>1695</v>
      </c>
      <c r="B217" s="1398"/>
      <c r="C217" s="1955">
        <f>33516037-5508000</f>
        <v>28008037</v>
      </c>
      <c r="D217" s="1951">
        <f>40389665-1170000</f>
        <v>39219665</v>
      </c>
      <c r="E217" s="1954">
        <f>37109354.8-6092000</f>
        <v>31017354.799999997</v>
      </c>
      <c r="F217" s="1955">
        <f>46746980-22063000</f>
        <v>24683980</v>
      </c>
      <c r="G217" s="1951">
        <f>35860365-19819000</f>
        <v>16041365</v>
      </c>
      <c r="H217" s="1954">
        <f>30307003.74-12918000</f>
        <v>17389003.739999998</v>
      </c>
      <c r="I217" s="1961">
        <v>30307003.740000002</v>
      </c>
      <c r="J217" s="1953">
        <v>32335098</v>
      </c>
      <c r="K217" s="1951">
        <v>33822512.507999994</v>
      </c>
      <c r="L217" s="1954">
        <v>35378348.083367996</v>
      </c>
      <c r="M217" s="923"/>
      <c r="N217" s="923"/>
      <c r="O217" s="923"/>
      <c r="P217" s="923"/>
    </row>
    <row r="218" spans="1:16" s="576" customFormat="1" ht="11.25" customHeight="1">
      <c r="A218" s="67" t="s">
        <v>1696</v>
      </c>
      <c r="B218" s="1398"/>
      <c r="C218" s="2007">
        <v>14897208</v>
      </c>
      <c r="D218" s="1981">
        <v>15219748.439999999</v>
      </c>
      <c r="E218" s="1982">
        <v>923452.15</v>
      </c>
      <c r="F218" s="2007">
        <v>3773000.61</v>
      </c>
      <c r="G218" s="1981">
        <v>2782441.61</v>
      </c>
      <c r="H218" s="1982">
        <v>15485091.059999999</v>
      </c>
      <c r="I218" s="2331">
        <v>15485091.059999999</v>
      </c>
      <c r="J218" s="1983">
        <v>14456985.030000001</v>
      </c>
      <c r="K218" s="1981">
        <v>15122006.341379998</v>
      </c>
      <c r="L218" s="1982">
        <v>15817618.633083479</v>
      </c>
      <c r="M218" s="923"/>
      <c r="N218" s="923"/>
      <c r="O218" s="923"/>
      <c r="P218" s="923"/>
    </row>
    <row r="219" spans="1:16" s="576" customFormat="1" ht="11.25" customHeight="1">
      <c r="A219" s="219" t="s">
        <v>1074</v>
      </c>
      <c r="B219" s="1507">
        <v>9</v>
      </c>
      <c r="C219" s="1491">
        <f>SUM(C215:C218)</f>
        <v>29734643.170000002</v>
      </c>
      <c r="D219" s="301">
        <f t="shared" ref="D219:L219" si="13">SUM(D215:D218)</f>
        <v>43762114</v>
      </c>
      <c r="E219" s="1490">
        <f t="shared" si="13"/>
        <v>36065927.829999998</v>
      </c>
      <c r="F219" s="1491">
        <f t="shared" si="13"/>
        <v>49545248.810000002</v>
      </c>
      <c r="G219" s="301">
        <f t="shared" si="13"/>
        <v>37224321.810000002</v>
      </c>
      <c r="H219" s="1490">
        <f t="shared" si="13"/>
        <v>37225262.780000001</v>
      </c>
      <c r="I219" s="303">
        <f t="shared" si="13"/>
        <v>50143262.780000001</v>
      </c>
      <c r="J219" s="1526">
        <f t="shared" si="13"/>
        <v>56241084.880000003</v>
      </c>
      <c r="K219" s="301">
        <f t="shared" si="13"/>
        <v>58828471.784479991</v>
      </c>
      <c r="L219" s="1490">
        <f t="shared" si="13"/>
        <v>61534908.18656607</v>
      </c>
      <c r="M219" s="923"/>
      <c r="N219" s="923"/>
      <c r="O219" s="923"/>
      <c r="P219" s="923"/>
    </row>
    <row r="220" spans="1:16" s="576" customFormat="1" ht="11.25" customHeight="1">
      <c r="A220" s="117"/>
      <c r="B220" s="123"/>
      <c r="C220" s="79"/>
      <c r="D220" s="79"/>
      <c r="E220" s="79"/>
      <c r="F220" s="79"/>
      <c r="G220" s="79"/>
      <c r="H220" s="79"/>
      <c r="I220" s="79"/>
      <c r="J220" s="79"/>
      <c r="K220" s="79"/>
      <c r="L220" s="79"/>
      <c r="M220" s="923"/>
      <c r="N220" s="923"/>
      <c r="O220" s="923"/>
      <c r="P220" s="923"/>
    </row>
    <row r="221" spans="1:16" s="576" customFormat="1" ht="12.75" customHeight="1">
      <c r="A221" s="193" t="s">
        <v>1338</v>
      </c>
      <c r="B221" s="26"/>
      <c r="C221" s="79">
        <f>C219-SA34c!C167</f>
        <v>-496.82999999821186</v>
      </c>
      <c r="D221" s="79">
        <f>D219-SA34c!D167</f>
        <v>-320</v>
      </c>
      <c r="E221" s="79">
        <f>E219-SA34c!E167</f>
        <v>344.82999999821186</v>
      </c>
      <c r="F221" s="79">
        <f>F219-SA34c!F167</f>
        <v>-172.18999999761581</v>
      </c>
      <c r="G221" s="79">
        <f>G219-SA34c!G167</f>
        <v>-490.18999999761581</v>
      </c>
      <c r="H221" s="79">
        <f>H219-SA34c!H167</f>
        <v>450.78000000119209</v>
      </c>
      <c r="I221" s="79"/>
      <c r="J221" s="79">
        <f>J219-SA34c!I167</f>
        <v>0</v>
      </c>
      <c r="K221" s="79">
        <f>K219-SA34c!J167</f>
        <v>-10.462000012397766</v>
      </c>
      <c r="L221" s="79">
        <f>L219-SA34c!K167</f>
        <v>-19.357252009212971</v>
      </c>
      <c r="M221" s="923"/>
      <c r="N221" s="923"/>
      <c r="O221" s="923"/>
      <c r="P221" s="923"/>
    </row>
    <row r="222" spans="1:16" s="576" customFormat="1" ht="11.25" customHeight="1">
      <c r="A222" s="117"/>
      <c r="B222" s="113"/>
      <c r="C222" s="94"/>
      <c r="D222" s="94"/>
      <c r="E222" s="94"/>
      <c r="F222" s="94"/>
      <c r="G222" s="94"/>
      <c r="H222" s="94"/>
      <c r="I222" s="94"/>
      <c r="J222" s="94"/>
      <c r="K222" s="94"/>
      <c r="L222" s="94"/>
    </row>
    <row r="223" spans="1:16" ht="6" customHeight="1">
      <c r="A223" s="117"/>
      <c r="B223" s="113"/>
      <c r="C223" s="94"/>
      <c r="D223" s="94"/>
      <c r="E223" s="94"/>
      <c r="F223" s="94"/>
      <c r="G223" s="94"/>
      <c r="H223" s="94"/>
      <c r="I223" s="94"/>
      <c r="J223" s="94"/>
      <c r="K223" s="94"/>
      <c r="L223" s="94"/>
    </row>
    <row r="224" spans="1:16" ht="15" customHeight="1">
      <c r="A224" s="1063" t="str">
        <f>head27a</f>
        <v>References</v>
      </c>
      <c r="B224" s="874"/>
      <c r="C224" s="878"/>
      <c r="D224" s="878"/>
      <c r="E224" s="878"/>
      <c r="F224" s="878"/>
      <c r="G224" s="878"/>
      <c r="H224" s="878"/>
      <c r="I224" s="878"/>
      <c r="J224" s="878"/>
      <c r="K224" s="878"/>
      <c r="L224" s="878"/>
    </row>
    <row r="225" spans="1:12" ht="12" customHeight="1">
      <c r="A225" s="1025" t="s">
        <v>659</v>
      </c>
      <c r="B225" s="874"/>
      <c r="C225" s="877"/>
      <c r="D225" s="877"/>
      <c r="E225" s="878"/>
      <c r="F225" s="878"/>
      <c r="G225" s="878"/>
      <c r="H225" s="878"/>
      <c r="I225" s="878"/>
      <c r="J225" s="878"/>
      <c r="K225" s="878"/>
      <c r="L225" s="878"/>
    </row>
    <row r="226" spans="1:12">
      <c r="A226" s="1025" t="s">
        <v>934</v>
      </c>
      <c r="B226" s="874"/>
      <c r="C226" s="877"/>
      <c r="D226" s="877"/>
      <c r="E226" s="878"/>
      <c r="F226" s="878"/>
      <c r="G226" s="878"/>
      <c r="H226" s="878"/>
      <c r="I226" s="878"/>
      <c r="J226" s="878"/>
      <c r="K226" s="878"/>
      <c r="L226" s="878"/>
    </row>
    <row r="227" spans="1:12">
      <c r="A227" s="1025"/>
      <c r="B227" s="874"/>
      <c r="C227" s="877"/>
      <c r="D227" s="877"/>
      <c r="E227" s="878"/>
      <c r="F227" s="878"/>
      <c r="G227" s="878"/>
      <c r="H227" s="878"/>
      <c r="I227" s="878"/>
      <c r="J227" s="878"/>
      <c r="K227" s="878"/>
      <c r="L227" s="878"/>
    </row>
    <row r="228" spans="1:12" ht="11.25" customHeight="1">
      <c r="A228" s="1025" t="s">
        <v>660</v>
      </c>
      <c r="B228" s="874"/>
      <c r="C228" s="877"/>
      <c r="D228" s="877"/>
      <c r="E228" s="878"/>
      <c r="F228" s="878"/>
      <c r="G228" s="878"/>
      <c r="H228" s="878"/>
      <c r="I228" s="878"/>
      <c r="J228" s="878"/>
      <c r="K228" s="878"/>
      <c r="L228" s="878"/>
    </row>
    <row r="229" spans="1:12" ht="11.25" customHeight="1">
      <c r="A229" s="1025" t="s">
        <v>1124</v>
      </c>
      <c r="B229" s="874"/>
      <c r="C229" s="877"/>
      <c r="D229" s="877"/>
      <c r="E229" s="878"/>
      <c r="F229" s="878"/>
      <c r="G229" s="878"/>
      <c r="H229" s="878"/>
      <c r="I229" s="878"/>
      <c r="J229" s="878"/>
      <c r="K229" s="878"/>
      <c r="L229" s="878"/>
    </row>
    <row r="230" spans="1:12" ht="11.25" customHeight="1">
      <c r="A230" s="1025" t="s">
        <v>1475</v>
      </c>
      <c r="B230" s="874"/>
      <c r="C230" s="877"/>
      <c r="D230" s="877"/>
      <c r="E230" s="878"/>
      <c r="F230" s="878"/>
      <c r="G230" s="878"/>
      <c r="H230" s="878"/>
      <c r="I230" s="878"/>
      <c r="J230" s="878"/>
      <c r="K230" s="878"/>
      <c r="L230" s="878"/>
    </row>
    <row r="231" spans="1:12" ht="11.25" customHeight="1">
      <c r="A231" s="1025" t="s">
        <v>103</v>
      </c>
      <c r="B231" s="874"/>
      <c r="C231" s="877"/>
      <c r="D231" s="877"/>
      <c r="E231" s="878"/>
      <c r="F231" s="878"/>
      <c r="G231" s="878"/>
      <c r="H231" s="878"/>
      <c r="I231" s="878"/>
      <c r="J231" s="878"/>
      <c r="K231" s="878"/>
      <c r="L231" s="878"/>
    </row>
    <row r="232" spans="1:12" ht="11.25" customHeight="1">
      <c r="A232" s="1002" t="s">
        <v>1698</v>
      </c>
    </row>
    <row r="233" spans="1:12" ht="11.25" customHeight="1">
      <c r="A233" s="26" t="s">
        <v>1699</v>
      </c>
    </row>
    <row r="234" spans="1:12" ht="11.25" customHeight="1">
      <c r="A234" s="26" t="s">
        <v>1949</v>
      </c>
      <c r="B234" s="26"/>
    </row>
    <row r="235" spans="1:12" ht="11.25" customHeight="1">
      <c r="B235" s="26"/>
    </row>
    <row r="236" spans="1:12" ht="11.25" customHeight="1">
      <c r="B236" s="26"/>
    </row>
    <row r="237" spans="1:12" ht="11.25" customHeight="1">
      <c r="B237" s="26"/>
    </row>
    <row r="238" spans="1:12" ht="11.25" customHeight="1">
      <c r="B238" s="26"/>
    </row>
    <row r="239" spans="1:12" ht="11.25" customHeight="1">
      <c r="B239" s="26"/>
    </row>
    <row r="240" spans="1:12" ht="11.25" customHeight="1">
      <c r="B240" s="26"/>
    </row>
    <row r="241" spans="2:2" ht="11.25" customHeight="1">
      <c r="B241" s="26"/>
    </row>
    <row r="242" spans="2:2" ht="11.25" customHeight="1">
      <c r="B242" s="26"/>
    </row>
    <row r="243" spans="2:2" ht="11.25" customHeight="1">
      <c r="B243" s="26"/>
    </row>
    <row r="244" spans="2:2" ht="11.25" customHeight="1">
      <c r="B244" s="26"/>
    </row>
    <row r="245" spans="2:2" ht="11.25" customHeight="1">
      <c r="B245" s="26"/>
    </row>
    <row r="246" spans="2:2" ht="11.25" customHeight="1">
      <c r="B246" s="26"/>
    </row>
    <row r="247" spans="2:2" ht="11.25" customHeight="1">
      <c r="B247" s="26"/>
    </row>
    <row r="248" spans="2:2" ht="11.25" customHeight="1">
      <c r="B248" s="26"/>
    </row>
    <row r="249" spans="2:2" ht="11.25" customHeight="1">
      <c r="B249" s="26"/>
    </row>
    <row r="250" spans="2:2" ht="11.25" customHeight="1">
      <c r="B250" s="26"/>
    </row>
    <row r="251" spans="2:2" ht="11.25" customHeight="1">
      <c r="B251" s="26"/>
    </row>
    <row r="252" spans="2:2" ht="11.25" customHeight="1">
      <c r="B252" s="26"/>
    </row>
    <row r="253" spans="2:2" ht="11.25" customHeight="1">
      <c r="B253" s="26"/>
    </row>
    <row r="254" spans="2:2" ht="11.25" customHeight="1">
      <c r="B254" s="26"/>
    </row>
    <row r="255" spans="2:2" ht="11.25" customHeight="1">
      <c r="B255" s="26"/>
    </row>
    <row r="256" spans="2:2" ht="11.25" customHeight="1">
      <c r="B256" s="26"/>
    </row>
    <row r="257" spans="2:2" ht="11.25" customHeight="1">
      <c r="B257" s="26"/>
    </row>
    <row r="258" spans="2:2" ht="11.25" customHeight="1">
      <c r="B258" s="26"/>
    </row>
    <row r="259" spans="2:2" ht="11.25" customHeight="1">
      <c r="B259" s="26"/>
    </row>
    <row r="260" spans="2:2" ht="11.25" customHeight="1">
      <c r="B260" s="26"/>
    </row>
    <row r="261" spans="2:2" ht="11.25" customHeight="1">
      <c r="B261" s="26"/>
    </row>
    <row r="262" spans="2:2" ht="11.25" customHeight="1">
      <c r="B262" s="26"/>
    </row>
    <row r="263" spans="2:2" ht="11.25" customHeight="1">
      <c r="B263" s="26"/>
    </row>
    <row r="264" spans="2:2" ht="11.25" customHeight="1">
      <c r="B264" s="26"/>
    </row>
    <row r="265" spans="2:2" ht="11.25" customHeight="1">
      <c r="B265" s="26"/>
    </row>
    <row r="266" spans="2:2" ht="11.25" customHeight="1">
      <c r="B266" s="26"/>
    </row>
    <row r="267" spans="2:2" ht="11.25" customHeight="1">
      <c r="B267" s="26"/>
    </row>
    <row r="268" spans="2:2" ht="11.25" customHeight="1">
      <c r="B268" s="26"/>
    </row>
    <row r="269" spans="2:2" ht="11.25" customHeight="1">
      <c r="B269" s="26"/>
    </row>
    <row r="270" spans="2:2" ht="11.25" customHeight="1">
      <c r="B270" s="26"/>
    </row>
    <row r="271" spans="2:2" ht="11.25" customHeight="1">
      <c r="B271" s="26"/>
    </row>
    <row r="272" spans="2:2" ht="11.25" customHeight="1">
      <c r="B272" s="26"/>
    </row>
    <row r="273" spans="2:2" ht="11.25" customHeight="1">
      <c r="B273" s="26"/>
    </row>
    <row r="274" spans="2:2" ht="11.25" customHeight="1">
      <c r="B274" s="26"/>
    </row>
    <row r="275" spans="2:2" ht="11.25" customHeight="1">
      <c r="B275" s="26"/>
    </row>
    <row r="276" spans="2:2" ht="11.25" customHeight="1">
      <c r="B276" s="26"/>
    </row>
    <row r="277" spans="2:2" ht="11.25" customHeight="1">
      <c r="B277" s="26"/>
    </row>
    <row r="278" spans="2:2" ht="11.25" customHeight="1">
      <c r="B278" s="26"/>
    </row>
    <row r="279" spans="2:2" ht="11.25" customHeight="1">
      <c r="B279" s="26"/>
    </row>
    <row r="280" spans="2:2" ht="11.25" customHeight="1">
      <c r="B280" s="26"/>
    </row>
    <row r="281" spans="2:2" ht="11.25" customHeight="1">
      <c r="B281" s="26"/>
    </row>
    <row r="282" spans="2:2" ht="11.25" customHeight="1">
      <c r="B282" s="26"/>
    </row>
    <row r="283" spans="2:2" ht="11.25" customHeight="1">
      <c r="B283" s="26"/>
    </row>
    <row r="284" spans="2:2" ht="11.25" customHeight="1">
      <c r="B284" s="26"/>
    </row>
    <row r="285" spans="2:2" ht="11.25" customHeight="1">
      <c r="B285" s="26"/>
    </row>
    <row r="286" spans="2:2" ht="11.25" customHeight="1">
      <c r="B286" s="26"/>
    </row>
    <row r="287" spans="2:2" ht="11.25" customHeight="1">
      <c r="B287" s="26"/>
    </row>
    <row r="288" spans="2:2" ht="11.25" customHeight="1">
      <c r="B288" s="26"/>
    </row>
    <row r="289" spans="2:2">
      <c r="B289" s="26"/>
    </row>
    <row r="290" spans="2:2">
      <c r="B290" s="26"/>
    </row>
    <row r="291" spans="2:2">
      <c r="B291" s="26"/>
    </row>
    <row r="292" spans="2:2">
      <c r="B292" s="26"/>
    </row>
    <row r="293" spans="2:2">
      <c r="B293" s="26"/>
    </row>
    <row r="294" spans="2:2">
      <c r="B294" s="26"/>
    </row>
    <row r="295" spans="2:2">
      <c r="B295" s="26"/>
    </row>
    <row r="296" spans="2:2">
      <c r="B296" s="26"/>
    </row>
    <row r="297" spans="2:2">
      <c r="B297" s="26"/>
    </row>
    <row r="298" spans="2:2">
      <c r="B298" s="26"/>
    </row>
    <row r="299" spans="2:2">
      <c r="B299" s="26"/>
    </row>
    <row r="300" spans="2:2">
      <c r="B300" s="26"/>
    </row>
    <row r="301" spans="2:2">
      <c r="B301" s="26"/>
    </row>
    <row r="302" spans="2:2">
      <c r="B302" s="26"/>
    </row>
    <row r="303" spans="2:2">
      <c r="B303" s="26"/>
    </row>
    <row r="304" spans="2:2">
      <c r="B304" s="26"/>
    </row>
    <row r="305" spans="2:2">
      <c r="B305" s="26"/>
    </row>
    <row r="306" spans="2:2">
      <c r="B306" s="26"/>
    </row>
    <row r="307" spans="2:2">
      <c r="B307" s="26"/>
    </row>
    <row r="308" spans="2:2">
      <c r="B308" s="26"/>
    </row>
    <row r="309" spans="2:2">
      <c r="B309" s="26"/>
    </row>
    <row r="310" spans="2:2">
      <c r="B310" s="26"/>
    </row>
    <row r="311" spans="2:2">
      <c r="B311" s="26"/>
    </row>
    <row r="312" spans="2:2">
      <c r="B312" s="26"/>
    </row>
    <row r="313" spans="2:2">
      <c r="B313" s="26"/>
    </row>
    <row r="314" spans="2:2">
      <c r="B314" s="26"/>
    </row>
    <row r="315" spans="2:2">
      <c r="B315" s="26"/>
    </row>
    <row r="316" spans="2:2">
      <c r="B316" s="26"/>
    </row>
    <row r="317" spans="2:2">
      <c r="B317" s="26"/>
    </row>
    <row r="318" spans="2:2">
      <c r="B318" s="26"/>
    </row>
    <row r="319" spans="2:2">
      <c r="B319" s="26"/>
    </row>
    <row r="320" spans="2:2">
      <c r="B320" s="26"/>
    </row>
    <row r="321" spans="2:2">
      <c r="B321" s="26"/>
    </row>
    <row r="322" spans="2:2">
      <c r="B322" s="26"/>
    </row>
    <row r="323" spans="2:2">
      <c r="B323" s="26"/>
    </row>
    <row r="324" spans="2:2">
      <c r="B324" s="26"/>
    </row>
    <row r="325" spans="2:2">
      <c r="B325" s="26"/>
    </row>
    <row r="326" spans="2:2">
      <c r="B326" s="26"/>
    </row>
    <row r="327" spans="2:2">
      <c r="B327" s="26"/>
    </row>
    <row r="328" spans="2:2">
      <c r="B328" s="26"/>
    </row>
    <row r="329" spans="2:2">
      <c r="B329" s="26"/>
    </row>
    <row r="330" spans="2:2">
      <c r="B330" s="26"/>
    </row>
    <row r="331" spans="2:2">
      <c r="B331" s="26"/>
    </row>
    <row r="332" spans="2:2">
      <c r="B332" s="26"/>
    </row>
    <row r="333" spans="2:2">
      <c r="B333" s="26"/>
    </row>
    <row r="334" spans="2:2">
      <c r="B334" s="26"/>
    </row>
  </sheetData>
  <mergeCells count="4">
    <mergeCell ref="J2:L2"/>
    <mergeCell ref="F2:I2"/>
    <mergeCell ref="A2:A3"/>
    <mergeCell ref="B2:B3"/>
  </mergeCells>
  <phoneticPr fontId="5" type="noConversion"/>
  <dataValidations count="1">
    <dataValidation type="decimal" allowBlank="1" showInputMessage="1" showErrorMessage="1" sqref="C101:L102 C24:L26 C89:L92 C37:L58 C18:L20 C152:L211 C106:L142 C80:L86 C30:L33 A86 C76:L76 C145:L148 C96:L97 C215:L218 C7:L8 C63:L74 C12:L15">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8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37" activePane="bottomRight" state="frozen"/>
      <selection pane="topRight"/>
      <selection pane="bottomLeft"/>
      <selection pane="bottomRight" activeCell="C34" sqref="C34"/>
    </sheetView>
  </sheetViews>
  <sheetFormatPr defaultColWidth="9.140625" defaultRowHeight="12.75"/>
  <cols>
    <col min="1" max="1" width="30.7109375" style="26" customWidth="1"/>
    <col min="2" max="2" width="3" style="124" customWidth="1"/>
    <col min="3" max="18" width="9.28515625" style="26" customWidth="1"/>
    <col min="19" max="20" width="9.140625" style="26"/>
    <col min="21" max="21" width="9.7109375" style="26" customWidth="1"/>
    <col min="22" max="22" width="9.42578125" style="26" customWidth="1"/>
    <col min="23" max="23" width="9.7109375" style="26" customWidth="1"/>
    <col min="24" max="26" width="9.42578125" style="26" customWidth="1"/>
    <col min="27" max="27" width="9.7109375" style="26" customWidth="1"/>
    <col min="28" max="30" width="9.42578125" style="26" customWidth="1"/>
    <col min="31" max="32" width="9.7109375" style="26" customWidth="1"/>
    <col min="33" max="16384" width="9.140625" style="26"/>
  </cols>
  <sheetData>
    <row r="1" spans="1:19" s="56" customFormat="1">
      <c r="A1" s="24" t="str">
        <f>muni&amp;" - "&amp;TableA2</f>
        <v>LIM333 Greater Tzaneen - Supporting Table SA2 Consolidated Matrix Financial Performance Budget (revenue source/expenditure type &amp; dept.)</v>
      </c>
      <c r="B1" s="24"/>
      <c r="C1" s="24"/>
      <c r="D1" s="24"/>
      <c r="E1" s="24"/>
      <c r="F1" s="24"/>
      <c r="G1" s="24"/>
      <c r="H1" s="24"/>
      <c r="I1" s="24"/>
      <c r="J1" s="24"/>
      <c r="K1" s="24"/>
      <c r="L1" s="24"/>
      <c r="M1" s="24"/>
      <c r="N1" s="24"/>
      <c r="O1" s="24"/>
      <c r="P1" s="24"/>
      <c r="Q1" s="24"/>
      <c r="R1" s="24"/>
    </row>
    <row r="2" spans="1:19" s="240" customFormat="1" ht="43.5" customHeight="1">
      <c r="A2" s="19" t="str">
        <f>desc</f>
        <v>Description</v>
      </c>
      <c r="B2" s="288" t="str">
        <f>head27</f>
        <v>Ref</v>
      </c>
      <c r="C2" s="2877" t="str">
        <f>'A3-FinPerf V'!A5</f>
        <v>Vote 1 - Municipal Manager</v>
      </c>
      <c r="D2" s="2877" t="str">
        <f>'A3-FinPerf V'!A6</f>
        <v>Vote 2 - Planning &amp; Economic Development</v>
      </c>
      <c r="E2" s="2877" t="str">
        <f>'A3-FinPerf V'!A7</f>
        <v>Vote 3 - Financial Services</v>
      </c>
      <c r="F2" s="2877" t="str">
        <f>'A3-FinPerf V'!A8</f>
        <v>Vote 4 - Corporate Services</v>
      </c>
      <c r="G2" s="2877" t="str">
        <f>'A3-FinPerf V'!A9</f>
        <v>Vote 5 - Community Services</v>
      </c>
      <c r="H2" s="2877" t="str">
        <f>'A3-FinPerf V'!A10</f>
        <v>Vote 6 - Community Services</v>
      </c>
      <c r="I2" s="2877" t="str">
        <f>'A3-FinPerf V'!A11</f>
        <v>Vote 7 - Electrical Engineering Services</v>
      </c>
      <c r="J2" s="2877" t="str">
        <f>'A3-FinPerf V'!A12</f>
        <v>Vote 8 - Engineering Services</v>
      </c>
      <c r="K2" s="2877" t="str">
        <f>'A3-FinPerf V'!A13</f>
        <v>Vote 9 - [NAME OF VOTE 9]</v>
      </c>
      <c r="L2" s="2877" t="str">
        <f>'A3-FinPerf V'!A14</f>
        <v>Vote 10 - [NAME OF VOTE 10]</v>
      </c>
      <c r="M2" s="2877" t="str">
        <f>'A3-FinPerf V'!A15</f>
        <v>Vote 11 - [NAME OF VOTE 11]</v>
      </c>
      <c r="N2" s="2877" t="str">
        <f>'A3-FinPerf V'!A16</f>
        <v>Vote 12 - [NAME OF VOTE 12]</v>
      </c>
      <c r="O2" s="2877" t="str">
        <f>'A3-FinPerf V'!A17</f>
        <v>Vote 13 - [NAME OF VOTE 13]</v>
      </c>
      <c r="P2" s="2877" t="str">
        <f>'A3-FinPerf V'!A18</f>
        <v>Vote 14 - [NAME OF VOTE 14]</v>
      </c>
      <c r="Q2" s="2877" t="str">
        <f>'A3-FinPerf V'!A19</f>
        <v>Vote 15 - [NAME OF VOTE 15]</v>
      </c>
      <c r="R2" s="2879" t="s">
        <v>663</v>
      </c>
      <c r="S2" s="1359"/>
    </row>
    <row r="3" spans="1:19">
      <c r="A3" s="57" t="s">
        <v>569</v>
      </c>
      <c r="B3" s="164">
        <v>1</v>
      </c>
      <c r="C3" s="2878" t="s">
        <v>886</v>
      </c>
      <c r="D3" s="2878" t="s">
        <v>886</v>
      </c>
      <c r="E3" s="2878" t="s">
        <v>886</v>
      </c>
      <c r="F3" s="2878" t="s">
        <v>886</v>
      </c>
      <c r="G3" s="2878" t="s">
        <v>886</v>
      </c>
      <c r="H3" s="2878" t="s">
        <v>886</v>
      </c>
      <c r="I3" s="2878"/>
      <c r="J3" s="2878"/>
      <c r="K3" s="2878"/>
      <c r="L3" s="2878"/>
      <c r="M3" s="2878"/>
      <c r="N3" s="2878"/>
      <c r="O3" s="2878"/>
      <c r="P3" s="2878"/>
      <c r="Q3" s="2878" t="s">
        <v>886</v>
      </c>
      <c r="R3" s="2880" t="s">
        <v>886</v>
      </c>
    </row>
    <row r="4" spans="1:19" ht="11.25" customHeight="1">
      <c r="A4" s="58" t="str">
        <f>'A4-FinPerf RE'!A4</f>
        <v>Revenue By Source</v>
      </c>
      <c r="B4" s="167"/>
      <c r="C4" s="184"/>
      <c r="D4" s="184"/>
      <c r="E4" s="184"/>
      <c r="F4" s="184"/>
      <c r="G4" s="184"/>
      <c r="H4" s="184"/>
      <c r="I4" s="184"/>
      <c r="J4" s="184"/>
      <c r="K4" s="184"/>
      <c r="L4" s="184"/>
      <c r="M4" s="184"/>
      <c r="N4" s="184"/>
      <c r="O4" s="184"/>
      <c r="P4" s="184"/>
      <c r="Q4" s="184"/>
      <c r="R4" s="289"/>
    </row>
    <row r="5" spans="1:19" ht="11.25" customHeight="1">
      <c r="A5" s="198" t="str">
        <f>'A4-FinPerf RE'!A5</f>
        <v>Property rates</v>
      </c>
      <c r="B5" s="168"/>
      <c r="C5" s="1951"/>
      <c r="D5" s="1951"/>
      <c r="E5" s="1951">
        <v>132500000</v>
      </c>
      <c r="F5" s="1951"/>
      <c r="G5" s="1951"/>
      <c r="H5" s="1951"/>
      <c r="I5" s="1951"/>
      <c r="J5" s="1951"/>
      <c r="K5" s="1951"/>
      <c r="L5" s="1951"/>
      <c r="M5" s="1951"/>
      <c r="N5" s="1951"/>
      <c r="O5" s="1951"/>
      <c r="P5" s="1951"/>
      <c r="Q5" s="1951"/>
      <c r="R5" s="290">
        <f>SUM(C5:Q5)</f>
        <v>132500000</v>
      </c>
    </row>
    <row r="6" spans="1:19" ht="11.25" customHeight="1">
      <c r="A6" s="198" t="str">
        <f>'A4-FinPerf RE'!A6</f>
        <v>Service charges - electricity revenue</v>
      </c>
      <c r="B6" s="168"/>
      <c r="C6" s="1951"/>
      <c r="D6" s="1951"/>
      <c r="E6" s="1951"/>
      <c r="F6" s="1951"/>
      <c r="G6" s="1951"/>
      <c r="H6" s="1951"/>
      <c r="I6" s="1951">
        <v>571201000</v>
      </c>
      <c r="J6" s="1951"/>
      <c r="K6" s="1951"/>
      <c r="L6" s="1951"/>
      <c r="M6" s="1951"/>
      <c r="N6" s="1951"/>
      <c r="O6" s="1951"/>
      <c r="P6" s="1951"/>
      <c r="Q6" s="1951"/>
      <c r="R6" s="290">
        <f t="shared" ref="R6:R20" si="0">SUM(C6:Q6)</f>
        <v>571201000</v>
      </c>
    </row>
    <row r="7" spans="1:19" ht="11.25" customHeight="1">
      <c r="A7" s="198" t="str">
        <f>'A4-FinPerf RE'!A7</f>
        <v>Service charges - water revenue</v>
      </c>
      <c r="B7" s="168"/>
      <c r="C7" s="1951"/>
      <c r="D7" s="1951"/>
      <c r="E7" s="1951"/>
      <c r="F7" s="1951"/>
      <c r="G7" s="1951"/>
      <c r="H7" s="1951"/>
      <c r="I7" s="1951"/>
      <c r="J7" s="1951"/>
      <c r="K7" s="1951"/>
      <c r="L7" s="1951"/>
      <c r="M7" s="1951"/>
      <c r="N7" s="1951"/>
      <c r="O7" s="1951"/>
      <c r="P7" s="1951"/>
      <c r="Q7" s="1951"/>
      <c r="R7" s="290">
        <f t="shared" si="0"/>
        <v>0</v>
      </c>
    </row>
    <row r="8" spans="1:19" ht="11.25" customHeight="1">
      <c r="A8" s="198" t="str">
        <f>'A4-FinPerf RE'!A8</f>
        <v>Service charges - sanitation revenue</v>
      </c>
      <c r="B8" s="168"/>
      <c r="C8" s="1951"/>
      <c r="D8" s="1951"/>
      <c r="E8" s="1951"/>
      <c r="F8" s="1951"/>
      <c r="G8" s="1951"/>
      <c r="H8" s="1951"/>
      <c r="I8" s="1951"/>
      <c r="J8" s="1951"/>
      <c r="K8" s="1951"/>
      <c r="L8" s="1951"/>
      <c r="M8" s="1951"/>
      <c r="N8" s="1951"/>
      <c r="O8" s="1951"/>
      <c r="P8" s="1951"/>
      <c r="Q8" s="1951"/>
      <c r="R8" s="290">
        <f t="shared" si="0"/>
        <v>0</v>
      </c>
    </row>
    <row r="9" spans="1:19" ht="11.25" customHeight="1">
      <c r="A9" s="198" t="str">
        <f>'A4-FinPerf RE'!A9</f>
        <v>Service charges - refuse revenue</v>
      </c>
      <c r="B9" s="168"/>
      <c r="C9" s="1951"/>
      <c r="D9" s="1951"/>
      <c r="E9" s="1951"/>
      <c r="F9" s="1951"/>
      <c r="G9" s="1951">
        <v>35416132</v>
      </c>
      <c r="H9" s="1951"/>
      <c r="I9" s="1951"/>
      <c r="J9" s="1951"/>
      <c r="K9" s="1951"/>
      <c r="L9" s="1951"/>
      <c r="M9" s="1951"/>
      <c r="N9" s="1951"/>
      <c r="O9" s="1951"/>
      <c r="P9" s="1951"/>
      <c r="Q9" s="1951"/>
      <c r="R9" s="290">
        <f t="shared" si="0"/>
        <v>35416132</v>
      </c>
    </row>
    <row r="10" spans="1:19" ht="1.9" customHeight="1">
      <c r="A10" s="198"/>
      <c r="B10" s="168"/>
      <c r="C10" s="900"/>
      <c r="D10" s="900"/>
      <c r="E10" s="900"/>
      <c r="F10" s="900"/>
      <c r="G10" s="900"/>
      <c r="H10" s="900"/>
      <c r="I10" s="900"/>
      <c r="J10" s="900"/>
      <c r="K10" s="900"/>
      <c r="L10" s="900"/>
      <c r="M10" s="900"/>
      <c r="N10" s="900"/>
      <c r="O10" s="900"/>
      <c r="P10" s="900"/>
      <c r="Q10" s="900"/>
      <c r="R10" s="2581"/>
    </row>
    <row r="11" spans="1:19" ht="11.25" customHeight="1">
      <c r="A11" s="198" t="str">
        <f>'A4-FinPerf RE'!A11</f>
        <v>Rental of facilities and equipment</v>
      </c>
      <c r="B11" s="168"/>
      <c r="C11" s="1951"/>
      <c r="D11" s="1951"/>
      <c r="E11" s="1951"/>
      <c r="F11" s="1951"/>
      <c r="G11" s="1951">
        <v>12100</v>
      </c>
      <c r="H11" s="1951"/>
      <c r="I11" s="1951"/>
      <c r="J11" s="1951">
        <v>1158000</v>
      </c>
      <c r="K11" s="1951"/>
      <c r="L11" s="1951"/>
      <c r="M11" s="1951"/>
      <c r="N11" s="1951"/>
      <c r="O11" s="1951"/>
      <c r="P11" s="1951"/>
      <c r="Q11" s="1951"/>
      <c r="R11" s="290">
        <f t="shared" si="0"/>
        <v>1170100</v>
      </c>
    </row>
    <row r="12" spans="1:19" ht="11.25" customHeight="1">
      <c r="A12" s="198" t="str">
        <f>'A4-FinPerf RE'!A12</f>
        <v>Interest earned - external investments</v>
      </c>
      <c r="B12" s="168"/>
      <c r="C12" s="1951"/>
      <c r="D12" s="1951"/>
      <c r="E12" s="1951">
        <v>4301000</v>
      </c>
      <c r="F12" s="1951"/>
      <c r="G12" s="1951"/>
      <c r="H12" s="1951"/>
      <c r="I12" s="1951"/>
      <c r="J12" s="1951"/>
      <c r="K12" s="1951"/>
      <c r="L12" s="1951"/>
      <c r="M12" s="1951"/>
      <c r="N12" s="1951"/>
      <c r="O12" s="1951"/>
      <c r="P12" s="1951"/>
      <c r="Q12" s="1951"/>
      <c r="R12" s="290">
        <f t="shared" si="0"/>
        <v>4301000</v>
      </c>
    </row>
    <row r="13" spans="1:19" ht="11.25" customHeight="1">
      <c r="A13" s="198" t="str">
        <f>'A4-FinPerf RE'!A13</f>
        <v>Interest earned - outstanding debtors</v>
      </c>
      <c r="B13" s="168"/>
      <c r="C13" s="1951"/>
      <c r="D13" s="1951"/>
      <c r="E13" s="1951">
        <v>23600000</v>
      </c>
      <c r="F13" s="1951"/>
      <c r="G13" s="1951"/>
      <c r="H13" s="1951"/>
      <c r="I13" s="1951"/>
      <c r="J13" s="1951"/>
      <c r="K13" s="1951"/>
      <c r="L13" s="1951"/>
      <c r="M13" s="1951"/>
      <c r="N13" s="1951"/>
      <c r="O13" s="1951"/>
      <c r="P13" s="1951"/>
      <c r="Q13" s="1951"/>
      <c r="R13" s="290">
        <f t="shared" si="0"/>
        <v>23600000</v>
      </c>
    </row>
    <row r="14" spans="1:19" ht="11.25" customHeight="1">
      <c r="A14" s="198" t="str">
        <f>'A4-FinPerf RE'!A14</f>
        <v>Dividends received</v>
      </c>
      <c r="B14" s="168"/>
      <c r="C14" s="1951"/>
      <c r="D14" s="1951"/>
      <c r="E14" s="1951"/>
      <c r="F14" s="1951"/>
      <c r="G14" s="1951"/>
      <c r="H14" s="1951"/>
      <c r="I14" s="1951"/>
      <c r="J14" s="1951"/>
      <c r="K14" s="1951"/>
      <c r="L14" s="1951"/>
      <c r="M14" s="1951"/>
      <c r="N14" s="1951"/>
      <c r="O14" s="1951"/>
      <c r="P14" s="1951"/>
      <c r="Q14" s="1951"/>
      <c r="R14" s="290">
        <f t="shared" si="0"/>
        <v>0</v>
      </c>
    </row>
    <row r="15" spans="1:19" ht="11.25" customHeight="1">
      <c r="A15" s="198" t="str">
        <f>'A4-FinPerf RE'!A15</f>
        <v>Fines, penalties and forfeits</v>
      </c>
      <c r="B15" s="168"/>
      <c r="C15" s="1951">
        <v>100</v>
      </c>
      <c r="D15" s="1951"/>
      <c r="E15" s="1951">
        <v>500000</v>
      </c>
      <c r="F15" s="1951"/>
      <c r="G15" s="1951"/>
      <c r="H15" s="1951">
        <v>38001036</v>
      </c>
      <c r="I15" s="1951"/>
      <c r="J15" s="1951"/>
      <c r="K15" s="1951"/>
      <c r="L15" s="1951"/>
      <c r="M15" s="1951"/>
      <c r="N15" s="1951"/>
      <c r="O15" s="1951"/>
      <c r="P15" s="1951"/>
      <c r="Q15" s="1951"/>
      <c r="R15" s="290">
        <f t="shared" si="0"/>
        <v>38501136</v>
      </c>
    </row>
    <row r="16" spans="1:19" ht="11.25" customHeight="1">
      <c r="A16" s="198" t="str">
        <f>'A4-FinPerf RE'!A16</f>
        <v>Licences and permits</v>
      </c>
      <c r="B16" s="168"/>
      <c r="C16" s="1951">
        <v>1000</v>
      </c>
      <c r="D16" s="1951">
        <v>300000</v>
      </c>
      <c r="E16" s="1951">
        <v>100000</v>
      </c>
      <c r="F16" s="1951"/>
      <c r="G16" s="1951"/>
      <c r="H16" s="1951">
        <v>16000</v>
      </c>
      <c r="I16" s="1951"/>
      <c r="J16" s="1951">
        <v>500000</v>
      </c>
      <c r="K16" s="1951"/>
      <c r="L16" s="1951"/>
      <c r="M16" s="1951"/>
      <c r="N16" s="1951"/>
      <c r="O16" s="1951"/>
      <c r="P16" s="1951"/>
      <c r="Q16" s="1951"/>
      <c r="R16" s="290">
        <f t="shared" si="0"/>
        <v>917000</v>
      </c>
    </row>
    <row r="17" spans="1:18" ht="11.25" customHeight="1">
      <c r="A17" s="198" t="str">
        <f>'A4-FinPerf RE'!A17</f>
        <v>Agency services</v>
      </c>
      <c r="B17" s="168"/>
      <c r="C17" s="1951"/>
      <c r="D17" s="1951"/>
      <c r="E17" s="1951"/>
      <c r="F17" s="1951"/>
      <c r="G17" s="1951"/>
      <c r="H17" s="1951">
        <v>58664291</v>
      </c>
      <c r="I17" s="1951"/>
      <c r="J17" s="1951"/>
      <c r="K17" s="1951"/>
      <c r="L17" s="1951"/>
      <c r="M17" s="1951"/>
      <c r="N17" s="1951"/>
      <c r="O17" s="1951"/>
      <c r="P17" s="1951"/>
      <c r="Q17" s="1951"/>
      <c r="R17" s="290">
        <f t="shared" si="0"/>
        <v>58664291</v>
      </c>
    </row>
    <row r="18" spans="1:18" ht="11.25" customHeight="1">
      <c r="A18" s="67" t="str">
        <f>'A4-FinPerf RE'!A19</f>
        <v>Other revenue</v>
      </c>
      <c r="B18" s="167"/>
      <c r="C18" s="1951">
        <v>129</v>
      </c>
      <c r="D18" s="1951">
        <v>100125</v>
      </c>
      <c r="E18" s="1951">
        <v>4152100</v>
      </c>
      <c r="F18" s="1951">
        <v>128</v>
      </c>
      <c r="G18" s="1951">
        <v>718766</v>
      </c>
      <c r="H18" s="1951"/>
      <c r="I18" s="1951"/>
      <c r="J18" s="1951">
        <v>1325</v>
      </c>
      <c r="K18" s="1951"/>
      <c r="L18" s="1951"/>
      <c r="M18" s="1951"/>
      <c r="N18" s="1951"/>
      <c r="O18" s="1951"/>
      <c r="P18" s="1951"/>
      <c r="Q18" s="1951"/>
      <c r="R18" s="290">
        <f t="shared" si="0"/>
        <v>4972573</v>
      </c>
    </row>
    <row r="19" spans="1:18" ht="11.25" customHeight="1">
      <c r="A19" s="198" t="str">
        <f>'A4-FinPerf RE'!A18</f>
        <v>Transfers and subsidies</v>
      </c>
      <c r="B19" s="168"/>
      <c r="C19" s="1951"/>
      <c r="D19" s="1951"/>
      <c r="E19" s="1951">
        <v>384958625</v>
      </c>
      <c r="F19" s="1951">
        <v>1200000</v>
      </c>
      <c r="G19" s="1951">
        <v>38124375</v>
      </c>
      <c r="H19" s="1951"/>
      <c r="I19" s="1951">
        <v>15000000</v>
      </c>
      <c r="J19" s="1951">
        <f>93619000-J38</f>
        <v>4680950</v>
      </c>
      <c r="K19" s="1951"/>
      <c r="L19" s="1951"/>
      <c r="M19" s="1951"/>
      <c r="N19" s="1951"/>
      <c r="O19" s="1951"/>
      <c r="P19" s="1951"/>
      <c r="Q19" s="1951"/>
      <c r="R19" s="290">
        <f t="shared" si="0"/>
        <v>443963950</v>
      </c>
    </row>
    <row r="20" spans="1:18" ht="11.25" customHeight="1">
      <c r="A20" s="67" t="str">
        <f>'A4-FinPerf RE'!A20</f>
        <v>Gains</v>
      </c>
      <c r="B20" s="167"/>
      <c r="C20" s="1951"/>
      <c r="D20" s="1951"/>
      <c r="E20" s="1951">
        <v>1500000</v>
      </c>
      <c r="F20" s="1951"/>
      <c r="G20" s="1951"/>
      <c r="H20" s="1951"/>
      <c r="I20" s="1951"/>
      <c r="J20" s="1951"/>
      <c r="K20" s="1951"/>
      <c r="L20" s="1951"/>
      <c r="M20" s="1951"/>
      <c r="N20" s="1951"/>
      <c r="O20" s="1951"/>
      <c r="P20" s="1951"/>
      <c r="Q20" s="1951"/>
      <c r="R20" s="290">
        <f t="shared" si="0"/>
        <v>1500000</v>
      </c>
    </row>
    <row r="21" spans="1:18" ht="11.25" customHeight="1">
      <c r="A21" s="199" t="str">
        <f>'A4-FinPerf RE'!A21</f>
        <v>Total Revenue (excluding capital transfers and contributions)</v>
      </c>
      <c r="B21" s="167"/>
      <c r="C21" s="90">
        <f>SUM(C5:C9)+SUM(C11:C20)</f>
        <v>1229</v>
      </c>
      <c r="D21" s="90">
        <f t="shared" ref="D21:Q21" si="1">SUM(D5:D9)+SUM(D11:D20)</f>
        <v>400125</v>
      </c>
      <c r="E21" s="90">
        <f t="shared" si="1"/>
        <v>551611725</v>
      </c>
      <c r="F21" s="90">
        <f t="shared" si="1"/>
        <v>1200128</v>
      </c>
      <c r="G21" s="90">
        <f t="shared" si="1"/>
        <v>74271373</v>
      </c>
      <c r="H21" s="90">
        <f t="shared" si="1"/>
        <v>96681327</v>
      </c>
      <c r="I21" s="90">
        <f t="shared" si="1"/>
        <v>586201000</v>
      </c>
      <c r="J21" s="90">
        <f t="shared" si="1"/>
        <v>6340275</v>
      </c>
      <c r="K21" s="90">
        <f t="shared" si="1"/>
        <v>0</v>
      </c>
      <c r="L21" s="90">
        <f t="shared" si="1"/>
        <v>0</v>
      </c>
      <c r="M21" s="90">
        <f t="shared" si="1"/>
        <v>0</v>
      </c>
      <c r="N21" s="90">
        <f t="shared" si="1"/>
        <v>0</v>
      </c>
      <c r="O21" s="90">
        <f t="shared" si="1"/>
        <v>0</v>
      </c>
      <c r="P21" s="90">
        <f t="shared" si="1"/>
        <v>0</v>
      </c>
      <c r="Q21" s="90">
        <f t="shared" si="1"/>
        <v>0</v>
      </c>
      <c r="R21" s="291">
        <f>SUM(R5:R9)+SUM(R11:R20)</f>
        <v>1316707182</v>
      </c>
    </row>
    <row r="22" spans="1:18" ht="4.9000000000000004" customHeight="1">
      <c r="A22" s="78"/>
      <c r="B22" s="167"/>
      <c r="C22" s="80"/>
      <c r="D22" s="80"/>
      <c r="E22" s="80"/>
      <c r="F22" s="80"/>
      <c r="G22" s="80"/>
      <c r="H22" s="80"/>
      <c r="I22" s="80"/>
      <c r="J22" s="80"/>
      <c r="K22" s="80"/>
      <c r="L22" s="80"/>
      <c r="M22" s="80"/>
      <c r="N22" s="80"/>
      <c r="O22" s="80"/>
      <c r="P22" s="80"/>
      <c r="Q22" s="80"/>
      <c r="R22" s="290"/>
    </row>
    <row r="23" spans="1:18" ht="11.25" customHeight="1">
      <c r="A23" s="58" t="str">
        <f>'A4-FinPerf RE'!A23</f>
        <v>Expenditure By Type</v>
      </c>
      <c r="B23" s="169"/>
      <c r="C23" s="80"/>
      <c r="D23" s="80"/>
      <c r="E23" s="80"/>
      <c r="F23" s="80"/>
      <c r="G23" s="80"/>
      <c r="H23" s="80"/>
      <c r="I23" s="80"/>
      <c r="J23" s="80"/>
      <c r="K23" s="80"/>
      <c r="L23" s="80"/>
      <c r="M23" s="80"/>
      <c r="N23" s="80"/>
      <c r="O23" s="80"/>
      <c r="P23" s="80"/>
      <c r="Q23" s="80"/>
      <c r="R23" s="290"/>
    </row>
    <row r="24" spans="1:18" ht="11.25" customHeight="1">
      <c r="A24" s="198" t="str">
        <f>'A4-FinPerf RE'!A24</f>
        <v>Employee related costs</v>
      </c>
      <c r="B24" s="168"/>
      <c r="C24" s="1951">
        <v>24043261.129999999</v>
      </c>
      <c r="D24" s="1951">
        <f>18148416+3168647</f>
        <v>21317063</v>
      </c>
      <c r="E24" s="1951">
        <v>44234723</v>
      </c>
      <c r="F24" s="1951">
        <v>36779981</v>
      </c>
      <c r="G24" s="1951">
        <v>78395299</v>
      </c>
      <c r="H24" s="1951">
        <v>40705570</v>
      </c>
      <c r="I24" s="1951">
        <v>54988148</v>
      </c>
      <c r="J24" s="1951">
        <v>43907322</v>
      </c>
      <c r="K24" s="1951"/>
      <c r="L24" s="1951"/>
      <c r="M24" s="1951"/>
      <c r="N24" s="1951"/>
      <c r="O24" s="1951"/>
      <c r="P24" s="1951"/>
      <c r="Q24" s="1951"/>
      <c r="R24" s="290">
        <f>SUM(C24:Q24)</f>
        <v>344371367.13</v>
      </c>
    </row>
    <row r="25" spans="1:18" ht="11.25" customHeight="1">
      <c r="A25" s="198" t="str">
        <f>'A4-FinPerf RE'!A25</f>
        <v>Remuneration of councillors</v>
      </c>
      <c r="B25" s="168"/>
      <c r="C25" s="1951">
        <v>28360883</v>
      </c>
      <c r="D25" s="1951">
        <v>674100</v>
      </c>
      <c r="E25" s="1951"/>
      <c r="F25" s="1951"/>
      <c r="G25" s="1951"/>
      <c r="H25" s="1951"/>
      <c r="I25" s="1951"/>
      <c r="J25" s="1951"/>
      <c r="K25" s="1951"/>
      <c r="L25" s="1951"/>
      <c r="M25" s="1951"/>
      <c r="N25" s="1951"/>
      <c r="O25" s="1951"/>
      <c r="P25" s="1951"/>
      <c r="Q25" s="1951"/>
      <c r="R25" s="290">
        <f t="shared" ref="R25:R34" si="2">SUM(C25:Q25)</f>
        <v>29034983</v>
      </c>
    </row>
    <row r="26" spans="1:18" ht="11.25" customHeight="1">
      <c r="A26" s="198" t="str">
        <f>'A4-FinPerf RE'!A26</f>
        <v>Debt impairment</v>
      </c>
      <c r="B26" s="168"/>
      <c r="C26" s="1951"/>
      <c r="D26" s="1951"/>
      <c r="E26" s="1951">
        <v>22500000</v>
      </c>
      <c r="F26" s="1951"/>
      <c r="G26" s="1951">
        <v>8000000</v>
      </c>
      <c r="H26" s="1951">
        <v>30345391</v>
      </c>
      <c r="I26" s="1951">
        <v>9190308</v>
      </c>
      <c r="J26" s="1951"/>
      <c r="K26" s="1951"/>
      <c r="L26" s="1951"/>
      <c r="M26" s="1951"/>
      <c r="N26" s="1951"/>
      <c r="O26" s="1951"/>
      <c r="P26" s="1951"/>
      <c r="Q26" s="1951"/>
      <c r="R26" s="290">
        <f t="shared" si="2"/>
        <v>70035699</v>
      </c>
    </row>
    <row r="27" spans="1:18" ht="11.25" customHeight="1">
      <c r="A27" s="198" t="str">
        <f>'A4-FinPerf RE'!A27</f>
        <v>Depreciation &amp; asset impairment</v>
      </c>
      <c r="B27" s="168"/>
      <c r="C27" s="1951">
        <v>164137</v>
      </c>
      <c r="D27" s="1951">
        <f>325936+87555</f>
        <v>413491</v>
      </c>
      <c r="E27" s="1951">
        <v>714296</v>
      </c>
      <c r="F27" s="1951">
        <v>1729345</v>
      </c>
      <c r="G27" s="1951">
        <v>3794985</v>
      </c>
      <c r="H27" s="1951">
        <v>1696142</v>
      </c>
      <c r="I27" s="1951">
        <v>51956723</v>
      </c>
      <c r="J27" s="1951">
        <v>72501688</v>
      </c>
      <c r="K27" s="1951"/>
      <c r="L27" s="1951"/>
      <c r="M27" s="1951"/>
      <c r="N27" s="1951"/>
      <c r="O27" s="1951"/>
      <c r="P27" s="1951"/>
      <c r="Q27" s="1951"/>
      <c r="R27" s="290">
        <f t="shared" si="2"/>
        <v>132970807</v>
      </c>
    </row>
    <row r="28" spans="1:18" ht="11.25" customHeight="1">
      <c r="A28" s="198" t="str">
        <f>'A4-FinPerf RE'!A28</f>
        <v>Finance charges</v>
      </c>
      <c r="B28" s="168"/>
      <c r="C28" s="1951"/>
      <c r="D28" s="1951">
        <f>419100+4524</f>
        <v>423624</v>
      </c>
      <c r="E28" s="1951"/>
      <c r="F28" s="1951">
        <v>37240</v>
      </c>
      <c r="G28" s="1951"/>
      <c r="H28" s="1951"/>
      <c r="I28" s="1951">
        <v>12604130</v>
      </c>
      <c r="J28" s="1951">
        <v>2663814</v>
      </c>
      <c r="K28" s="1951"/>
      <c r="L28" s="1951"/>
      <c r="M28" s="1951"/>
      <c r="N28" s="1951"/>
      <c r="O28" s="1951"/>
      <c r="P28" s="1951"/>
      <c r="Q28" s="1951"/>
      <c r="R28" s="290">
        <f t="shared" si="2"/>
        <v>15728808</v>
      </c>
    </row>
    <row r="29" spans="1:18" ht="11.25" customHeight="1">
      <c r="A29" s="198" t="str">
        <f>'A4-FinPerf RE'!A29</f>
        <v>Bulk purchases</v>
      </c>
      <c r="B29" s="168"/>
      <c r="C29" s="1951"/>
      <c r="D29" s="1951"/>
      <c r="E29" s="1951"/>
      <c r="F29" s="1951"/>
      <c r="G29" s="1951"/>
      <c r="H29" s="1951"/>
      <c r="I29" s="1951">
        <f>410000000-2859375-953125</f>
        <v>406187500</v>
      </c>
      <c r="J29" s="1951"/>
      <c r="K29" s="1951"/>
      <c r="L29" s="1951"/>
      <c r="M29" s="1951"/>
      <c r="N29" s="1951"/>
      <c r="O29" s="1951"/>
      <c r="P29" s="1951"/>
      <c r="Q29" s="1951"/>
      <c r="R29" s="290">
        <f t="shared" si="2"/>
        <v>406187500</v>
      </c>
    </row>
    <row r="30" spans="1:18" ht="11.25" customHeight="1">
      <c r="A30" s="198" t="str">
        <f>'A4-FinPerf RE'!A30</f>
        <v>Other materials</v>
      </c>
      <c r="B30" s="168"/>
      <c r="C30" s="1951">
        <v>49118</v>
      </c>
      <c r="D30" s="1951">
        <f>46913+5500</f>
        <v>52413</v>
      </c>
      <c r="E30" s="1951">
        <v>90704</v>
      </c>
      <c r="F30" s="1951">
        <v>272484</v>
      </c>
      <c r="G30" s="1951">
        <v>1211890</v>
      </c>
      <c r="H30" s="1951">
        <v>289298</v>
      </c>
      <c r="I30" s="1951">
        <v>17050202</v>
      </c>
      <c r="J30" s="1951">
        <v>37224975.879999995</v>
      </c>
      <c r="K30" s="1951"/>
      <c r="L30" s="1951"/>
      <c r="M30" s="1951"/>
      <c r="N30" s="1951"/>
      <c r="O30" s="1951"/>
      <c r="P30" s="1951"/>
      <c r="Q30" s="1951"/>
      <c r="R30" s="290">
        <f t="shared" si="2"/>
        <v>56241084.879999995</v>
      </c>
    </row>
    <row r="31" spans="1:18" ht="11.25" customHeight="1">
      <c r="A31" s="198" t="str">
        <f>'A4-FinPerf RE'!A31</f>
        <v>Contracted services</v>
      </c>
      <c r="B31" s="168"/>
      <c r="C31" s="1951">
        <f>300000</f>
        <v>300000</v>
      </c>
      <c r="D31" s="1951">
        <f>889150+894808</f>
        <v>1783958</v>
      </c>
      <c r="E31" s="1951">
        <f>8300000+1000000</f>
        <v>9300000</v>
      </c>
      <c r="F31" s="1951">
        <v>3000000</v>
      </c>
      <c r="G31" s="1951">
        <v>36119882</v>
      </c>
      <c r="H31" s="1951">
        <v>19419609</v>
      </c>
      <c r="I31" s="1951">
        <v>80118</v>
      </c>
      <c r="J31" s="1951">
        <v>1521642</v>
      </c>
      <c r="K31" s="1951"/>
      <c r="L31" s="1951"/>
      <c r="M31" s="1951"/>
      <c r="N31" s="1951"/>
      <c r="O31" s="1951"/>
      <c r="P31" s="1951"/>
      <c r="Q31" s="1951"/>
      <c r="R31" s="290">
        <f t="shared" si="2"/>
        <v>71525209</v>
      </c>
    </row>
    <row r="32" spans="1:18" ht="11.25" customHeight="1">
      <c r="A32" s="198" t="str">
        <f>'A4-FinPerf RE'!A32</f>
        <v>Transfers and subsidies</v>
      </c>
      <c r="B32" s="168"/>
      <c r="C32" s="1951">
        <v>1250000</v>
      </c>
      <c r="D32" s="1951"/>
      <c r="E32" s="1951">
        <v>6000000</v>
      </c>
      <c r="F32" s="1951">
        <v>1200000</v>
      </c>
      <c r="G32" s="1951">
        <v>7469000</v>
      </c>
      <c r="H32" s="1951"/>
      <c r="I32" s="1951">
        <v>15000000</v>
      </c>
      <c r="J32" s="1951"/>
      <c r="K32" s="1951"/>
      <c r="L32" s="1951"/>
      <c r="M32" s="1951"/>
      <c r="N32" s="1951"/>
      <c r="O32" s="1951"/>
      <c r="P32" s="1951"/>
      <c r="Q32" s="1951"/>
      <c r="R32" s="290">
        <f t="shared" si="2"/>
        <v>30919000</v>
      </c>
    </row>
    <row r="33" spans="1:21" ht="11.25" customHeight="1">
      <c r="A33" s="198" t="str">
        <f>'A4-FinPerf RE'!A33</f>
        <v>Other expenditure</v>
      </c>
      <c r="B33" s="168"/>
      <c r="C33" s="1951">
        <f>18652260+1200000-187500</f>
        <v>19664760</v>
      </c>
      <c r="D33" s="1951">
        <f>11201274-4835134</f>
        <v>6366140</v>
      </c>
      <c r="E33" s="1951">
        <v>30350272</v>
      </c>
      <c r="F33" s="1951">
        <v>20954120</v>
      </c>
      <c r="G33" s="1951">
        <v>3941642</v>
      </c>
      <c r="H33" s="1951">
        <v>38179355</v>
      </c>
      <c r="I33" s="1951">
        <v>5627793</v>
      </c>
      <c r="J33" s="1951">
        <v>5256500</v>
      </c>
      <c r="K33" s="1951"/>
      <c r="L33" s="1951"/>
      <c r="M33" s="1951"/>
      <c r="N33" s="1951"/>
      <c r="O33" s="1951"/>
      <c r="P33" s="1951"/>
      <c r="Q33" s="1951"/>
      <c r="R33" s="290">
        <f t="shared" si="2"/>
        <v>130340582</v>
      </c>
    </row>
    <row r="34" spans="1:21" ht="11.25" customHeight="1">
      <c r="A34" s="198" t="str">
        <f>'A4-FinPerf RE'!A34</f>
        <v>Losses</v>
      </c>
      <c r="B34" s="168"/>
      <c r="C34" s="1951"/>
      <c r="D34" s="1951"/>
      <c r="E34" s="1951"/>
      <c r="F34" s="1951"/>
      <c r="G34" s="1951"/>
      <c r="H34" s="1951"/>
      <c r="I34" s="1951"/>
      <c r="J34" s="1951"/>
      <c r="K34" s="1951"/>
      <c r="L34" s="1951"/>
      <c r="M34" s="1951"/>
      <c r="N34" s="1951"/>
      <c r="O34" s="1951"/>
      <c r="P34" s="1951"/>
      <c r="Q34" s="1951"/>
      <c r="R34" s="290">
        <f t="shared" si="2"/>
        <v>0</v>
      </c>
    </row>
    <row r="35" spans="1:21" ht="11.25" customHeight="1">
      <c r="A35" s="199" t="s">
        <v>1447</v>
      </c>
      <c r="B35" s="167"/>
      <c r="C35" s="90">
        <f t="shared" ref="C35:R35" si="3">SUM(C24:C34)</f>
        <v>73832159.129999995</v>
      </c>
      <c r="D35" s="90">
        <f t="shared" si="3"/>
        <v>31030789</v>
      </c>
      <c r="E35" s="90">
        <f t="shared" si="3"/>
        <v>113189995</v>
      </c>
      <c r="F35" s="90">
        <f t="shared" si="3"/>
        <v>63973170</v>
      </c>
      <c r="G35" s="90">
        <f t="shared" si="3"/>
        <v>138932698</v>
      </c>
      <c r="H35" s="90">
        <f t="shared" si="3"/>
        <v>130635365</v>
      </c>
      <c r="I35" s="90">
        <f t="shared" si="3"/>
        <v>572684922</v>
      </c>
      <c r="J35" s="90">
        <f t="shared" si="3"/>
        <v>163075941.88</v>
      </c>
      <c r="K35" s="90">
        <f t="shared" si="3"/>
        <v>0</v>
      </c>
      <c r="L35" s="90">
        <f t="shared" si="3"/>
        <v>0</v>
      </c>
      <c r="M35" s="90">
        <f t="shared" si="3"/>
        <v>0</v>
      </c>
      <c r="N35" s="90">
        <f t="shared" si="3"/>
        <v>0</v>
      </c>
      <c r="O35" s="90">
        <f t="shared" si="3"/>
        <v>0</v>
      </c>
      <c r="P35" s="90">
        <f t="shared" si="3"/>
        <v>0</v>
      </c>
      <c r="Q35" s="90">
        <f t="shared" si="3"/>
        <v>0</v>
      </c>
      <c r="R35" s="291">
        <f t="shared" si="3"/>
        <v>1287355040.01</v>
      </c>
    </row>
    <row r="36" spans="1:21" ht="4.9000000000000004" customHeight="1">
      <c r="A36" s="78"/>
      <c r="B36" s="167"/>
      <c r="C36" s="95"/>
      <c r="D36" s="95"/>
      <c r="E36" s="95"/>
      <c r="F36" s="95"/>
      <c r="G36" s="95"/>
      <c r="H36" s="95"/>
      <c r="I36" s="95"/>
      <c r="J36" s="95"/>
      <c r="K36" s="95"/>
      <c r="L36" s="95"/>
      <c r="M36" s="95"/>
      <c r="N36" s="95"/>
      <c r="O36" s="95"/>
      <c r="P36" s="95"/>
      <c r="Q36" s="95"/>
      <c r="R36" s="290"/>
    </row>
    <row r="37" spans="1:21" ht="11.25" customHeight="1">
      <c r="A37" s="199" t="str">
        <f>'A4-FinPerf RE'!A37</f>
        <v>Surplus/(Deficit)</v>
      </c>
      <c r="B37" s="167"/>
      <c r="C37" s="90">
        <f t="shared" ref="C37:H37" si="4">C21-C35</f>
        <v>-73830930.129999995</v>
      </c>
      <c r="D37" s="90">
        <f t="shared" si="4"/>
        <v>-30630664</v>
      </c>
      <c r="E37" s="90">
        <f t="shared" si="4"/>
        <v>438421730</v>
      </c>
      <c r="F37" s="90">
        <f t="shared" si="4"/>
        <v>-62773042</v>
      </c>
      <c r="G37" s="90">
        <f t="shared" si="4"/>
        <v>-64661325</v>
      </c>
      <c r="H37" s="90">
        <f t="shared" si="4"/>
        <v>-33954038</v>
      </c>
      <c r="I37" s="90">
        <f t="shared" ref="I37:Q37" si="5">I21-I35</f>
        <v>13516078</v>
      </c>
      <c r="J37" s="90">
        <f t="shared" si="5"/>
        <v>-156735666.88</v>
      </c>
      <c r="K37" s="90">
        <f t="shared" si="5"/>
        <v>0</v>
      </c>
      <c r="L37" s="90">
        <f t="shared" si="5"/>
        <v>0</v>
      </c>
      <c r="M37" s="90">
        <f t="shared" si="5"/>
        <v>0</v>
      </c>
      <c r="N37" s="90">
        <f t="shared" si="5"/>
        <v>0</v>
      </c>
      <c r="O37" s="90">
        <f t="shared" si="5"/>
        <v>0</v>
      </c>
      <c r="P37" s="90">
        <f t="shared" si="5"/>
        <v>0</v>
      </c>
      <c r="Q37" s="90">
        <f t="shared" si="5"/>
        <v>0</v>
      </c>
      <c r="R37" s="291">
        <f>R21-R35</f>
        <v>29352141.99000001</v>
      </c>
    </row>
    <row r="38" spans="1:21" s="2529" customFormat="1" ht="21" customHeight="1">
      <c r="A38" s="2525" t="str">
        <f>'A4-FinPerf RE'!A38</f>
        <v>Transfers and subsidies - capital (monetary allocations) (National / Provincial and District)</v>
      </c>
      <c r="B38" s="2526"/>
      <c r="C38" s="1951"/>
      <c r="D38" s="2527"/>
      <c r="E38" s="2527"/>
      <c r="F38" s="2527"/>
      <c r="G38" s="2527"/>
      <c r="H38" s="2527"/>
      <c r="I38" s="2527"/>
      <c r="J38" s="2527">
        <v>88938050</v>
      </c>
      <c r="K38" s="2527"/>
      <c r="L38" s="2527"/>
      <c r="M38" s="2527"/>
      <c r="N38" s="2527"/>
      <c r="O38" s="2527"/>
      <c r="P38" s="2527"/>
      <c r="Q38" s="2527"/>
      <c r="R38" s="2528">
        <f>SUM(C38:Q38)</f>
        <v>88938050</v>
      </c>
    </row>
    <row r="39" spans="1:21" s="2529" customFormat="1" ht="63.75">
      <c r="A39" s="2525" t="str">
        <f>'A4-FinPerf RE'!A39</f>
        <v>Transfers and subsidies - capital (monetary allocations) (National / Provincial Departmental Agencies, Households, Non-profit Institutions, Private Enterprises, Public Corporatons, Higher Educational Institutions)</v>
      </c>
      <c r="B39" s="2526"/>
      <c r="C39" s="1951"/>
      <c r="D39" s="2530"/>
      <c r="E39" s="2530"/>
      <c r="F39" s="2530"/>
      <c r="G39" s="2530"/>
      <c r="H39" s="2530"/>
      <c r="I39" s="2530"/>
      <c r="J39" s="2530"/>
      <c r="K39" s="2530"/>
      <c r="L39" s="2530"/>
      <c r="M39" s="2530"/>
      <c r="N39" s="2530"/>
      <c r="O39" s="2530"/>
      <c r="P39" s="2530"/>
      <c r="Q39" s="2530"/>
      <c r="R39" s="2528">
        <f>SUM(C39:Q39)</f>
        <v>0</v>
      </c>
    </row>
    <row r="40" spans="1:21" s="2529" customFormat="1" ht="11.25" customHeight="1">
      <c r="A40" s="2525" t="str">
        <f>'A4-FinPerf RE'!A40</f>
        <v xml:space="preserve">Transfers and subsidies - capital (in-kind - all) </v>
      </c>
      <c r="B40" s="2526"/>
      <c r="C40" s="1951"/>
      <c r="D40" s="2527"/>
      <c r="E40" s="2527"/>
      <c r="F40" s="2527"/>
      <c r="G40" s="2527"/>
      <c r="H40" s="2527"/>
      <c r="I40" s="2527"/>
      <c r="J40" s="2527"/>
      <c r="K40" s="2527"/>
      <c r="L40" s="2527"/>
      <c r="M40" s="2527"/>
      <c r="N40" s="2527"/>
      <c r="O40" s="2527"/>
      <c r="P40" s="2527"/>
      <c r="Q40" s="2527"/>
      <c r="R40" s="2528">
        <f>SUM(C40:Q40)</f>
        <v>0</v>
      </c>
    </row>
    <row r="41" spans="1:21" ht="25.5">
      <c r="A41" s="292" t="str">
        <f>'A4-FinPerf RE'!A41</f>
        <v>Surplus/(Deficit) after capital transfers &amp; contributions</v>
      </c>
      <c r="B41" s="179"/>
      <c r="C41" s="1112">
        <f t="shared" ref="C41:P41" si="6">SUM(C37:C40)</f>
        <v>-73830930.129999995</v>
      </c>
      <c r="D41" s="1112">
        <f t="shared" si="6"/>
        <v>-30630664</v>
      </c>
      <c r="E41" s="1112">
        <f t="shared" si="6"/>
        <v>438421730</v>
      </c>
      <c r="F41" s="1112">
        <f t="shared" si="6"/>
        <v>-62773042</v>
      </c>
      <c r="G41" s="1112">
        <f t="shared" si="6"/>
        <v>-64661325</v>
      </c>
      <c r="H41" s="1112">
        <f t="shared" si="6"/>
        <v>-33954038</v>
      </c>
      <c r="I41" s="1112">
        <f t="shared" si="6"/>
        <v>13516078</v>
      </c>
      <c r="J41" s="1112">
        <f t="shared" si="6"/>
        <v>-67797616.879999995</v>
      </c>
      <c r="K41" s="1112">
        <f t="shared" si="6"/>
        <v>0</v>
      </c>
      <c r="L41" s="1112">
        <f t="shared" si="6"/>
        <v>0</v>
      </c>
      <c r="M41" s="1112">
        <f t="shared" si="6"/>
        <v>0</v>
      </c>
      <c r="N41" s="1112">
        <f t="shared" si="6"/>
        <v>0</v>
      </c>
      <c r="O41" s="1112">
        <f t="shared" si="6"/>
        <v>0</v>
      </c>
      <c r="P41" s="1112">
        <f t="shared" si="6"/>
        <v>0</v>
      </c>
      <c r="Q41" s="1112">
        <f>SUM(Q37:Q40)</f>
        <v>0</v>
      </c>
      <c r="R41" s="1113">
        <f>SUM(R37:R40)</f>
        <v>118290191.99000001</v>
      </c>
    </row>
    <row r="42" spans="1:21" s="576" customFormat="1">
      <c r="A42" s="1063" t="str">
        <f>head27a</f>
        <v>References</v>
      </c>
      <c r="B42" s="874"/>
      <c r="C42" s="878"/>
      <c r="D42" s="878"/>
      <c r="E42" s="878"/>
      <c r="F42" s="878"/>
      <c r="G42" s="878"/>
      <c r="H42" s="878"/>
      <c r="I42" s="878"/>
      <c r="J42" s="878"/>
      <c r="K42" s="878"/>
      <c r="L42" s="878"/>
      <c r="M42" s="878"/>
      <c r="N42" s="878"/>
      <c r="O42" s="878"/>
      <c r="P42" s="878"/>
      <c r="Q42" s="878"/>
      <c r="R42" s="878"/>
    </row>
    <row r="43" spans="1:21" s="576" customFormat="1" ht="11.25" customHeight="1">
      <c r="A43" s="1028" t="s">
        <v>1474</v>
      </c>
      <c r="B43" s="874"/>
      <c r="C43" s="878"/>
      <c r="D43" s="877"/>
      <c r="E43" s="878"/>
      <c r="F43" s="878"/>
      <c r="G43" s="878"/>
      <c r="H43" s="878"/>
      <c r="I43" s="878"/>
      <c r="J43" s="878"/>
      <c r="K43" s="878"/>
      <c r="L43" s="878"/>
      <c r="M43" s="878"/>
      <c r="N43" s="878"/>
      <c r="O43" s="878"/>
      <c r="P43" s="878"/>
      <c r="Q43" s="878"/>
      <c r="R43" s="878"/>
    </row>
    <row r="44" spans="1:21" ht="11.25" customHeight="1">
      <c r="A44" s="162" t="s">
        <v>248</v>
      </c>
      <c r="B44" s="120"/>
      <c r="C44" s="122"/>
      <c r="D44" s="122"/>
      <c r="E44" s="122"/>
      <c r="F44" s="122"/>
      <c r="G44" s="122"/>
      <c r="H44" s="122"/>
      <c r="I44" s="122"/>
      <c r="J44" s="122"/>
      <c r="K44" s="122"/>
      <c r="L44" s="122"/>
      <c r="M44" s="122"/>
      <c r="N44" s="122"/>
      <c r="O44" s="122"/>
      <c r="P44" s="122"/>
      <c r="Q44" s="122"/>
      <c r="R44" s="845">
        <f>'A4-FinPerf RE'!J41-'SA2'!R41</f>
        <v>-5.9999942779541016E-2</v>
      </c>
    </row>
    <row r="45" spans="1:21" ht="11.25" customHeight="1">
      <c r="A45" s="121"/>
      <c r="B45" s="120"/>
      <c r="C45" s="122"/>
      <c r="D45" s="122"/>
      <c r="E45" s="122"/>
      <c r="F45" s="122"/>
      <c r="G45" s="122"/>
      <c r="H45" s="122"/>
      <c r="I45" s="122"/>
      <c r="J45" s="122"/>
      <c r="K45" s="122"/>
      <c r="L45" s="122"/>
      <c r="M45" s="122"/>
      <c r="N45" s="122"/>
      <c r="O45" s="122"/>
      <c r="P45" s="122"/>
      <c r="Q45" s="122"/>
      <c r="R45" s="122"/>
    </row>
    <row r="46" spans="1:21" ht="11.25" customHeight="1">
      <c r="B46" s="26"/>
      <c r="U46" s="293"/>
    </row>
    <row r="47" spans="1:21" ht="11.25" customHeight="1">
      <c r="B47" s="26"/>
      <c r="G47" s="182"/>
      <c r="H47" s="182"/>
      <c r="I47" s="182"/>
      <c r="J47" s="182"/>
      <c r="K47" s="182"/>
      <c r="L47" s="182"/>
      <c r="M47" s="182"/>
      <c r="N47" s="182"/>
      <c r="O47" s="182"/>
      <c r="P47" s="182"/>
      <c r="Q47" s="182"/>
      <c r="R47" s="182"/>
    </row>
    <row r="48" spans="1:21" ht="11.25" customHeight="1">
      <c r="B48" s="26"/>
      <c r="G48" s="182"/>
      <c r="H48" s="182"/>
      <c r="I48" s="182"/>
      <c r="J48" s="182"/>
      <c r="K48" s="182"/>
      <c r="L48" s="182"/>
      <c r="M48" s="182"/>
      <c r="N48" s="182"/>
      <c r="O48" s="182"/>
      <c r="P48" s="182"/>
      <c r="Q48" s="182"/>
      <c r="R48" s="182"/>
    </row>
    <row r="49" spans="2:21" ht="11.25" customHeight="1">
      <c r="B49" s="26"/>
      <c r="G49" s="182"/>
      <c r="H49" s="182"/>
      <c r="I49" s="182"/>
      <c r="J49" s="182"/>
      <c r="K49" s="182"/>
      <c r="L49" s="182"/>
      <c r="M49" s="182"/>
      <c r="N49" s="182"/>
      <c r="O49" s="182"/>
      <c r="P49" s="182"/>
      <c r="Q49" s="182"/>
      <c r="R49" s="182"/>
    </row>
    <row r="50" spans="2:21" ht="11.25" customHeight="1">
      <c r="B50" s="26"/>
      <c r="U50" s="183"/>
    </row>
    <row r="51" spans="2:21" ht="11.25" customHeight="1">
      <c r="B51" s="26"/>
      <c r="U51" s="183"/>
    </row>
    <row r="52" spans="2:21" ht="11.25" customHeight="1">
      <c r="B52" s="26"/>
      <c r="U52" s="183"/>
    </row>
    <row r="53" spans="2:21" ht="11.25" customHeight="1">
      <c r="B53" s="26"/>
    </row>
    <row r="54" spans="2:21" ht="11.25" customHeight="1">
      <c r="B54" s="26"/>
    </row>
    <row r="55" spans="2:21" ht="11.25" customHeight="1">
      <c r="B55" s="26"/>
    </row>
    <row r="56" spans="2:21" ht="11.25" customHeight="1">
      <c r="B56" s="26"/>
    </row>
    <row r="57" spans="2:21" ht="11.25" customHeight="1">
      <c r="B57" s="26"/>
    </row>
    <row r="58" spans="2:21" ht="11.25" customHeight="1">
      <c r="B58" s="26"/>
    </row>
    <row r="59" spans="2:21" ht="11.25" customHeight="1">
      <c r="B59" s="26"/>
    </row>
    <row r="60" spans="2:21" ht="11.25" customHeight="1">
      <c r="B60" s="26"/>
    </row>
    <row r="61" spans="2:21" ht="11.25" customHeight="1">
      <c r="B61" s="26"/>
    </row>
    <row r="62" spans="2:21" ht="11.25" customHeight="1">
      <c r="B62" s="26"/>
    </row>
    <row r="63" spans="2:21" ht="11.25" customHeight="1">
      <c r="B63" s="26"/>
    </row>
    <row r="64" spans="2:21" ht="11.25" customHeight="1">
      <c r="B64" s="26"/>
    </row>
    <row r="65" spans="2:2" ht="11.25" customHeight="1">
      <c r="B65" s="26"/>
    </row>
    <row r="66" spans="2:2" ht="11.25" customHeight="1">
      <c r="B66" s="26"/>
    </row>
    <row r="67" spans="2:2" ht="11.25" customHeight="1">
      <c r="B67" s="26"/>
    </row>
    <row r="68" spans="2:2" ht="11.25" customHeight="1">
      <c r="B68" s="26"/>
    </row>
    <row r="69" spans="2:2" ht="11.25" customHeight="1">
      <c r="B69" s="26"/>
    </row>
    <row r="70" spans="2:2" ht="11.25" customHeight="1">
      <c r="B70" s="26"/>
    </row>
    <row r="71" spans="2:2" ht="11.25" customHeight="1">
      <c r="B71" s="26"/>
    </row>
    <row r="72" spans="2:2" ht="11.25" customHeight="1">
      <c r="B72" s="26"/>
    </row>
    <row r="73" spans="2:2" ht="11.25" customHeight="1">
      <c r="B73" s="26"/>
    </row>
    <row r="74" spans="2:2" ht="11.25" customHeight="1"/>
    <row r="75" spans="2:2" ht="11.25" customHeight="1"/>
    <row r="76" spans="2:2" ht="11.25" customHeight="1"/>
    <row r="77" spans="2:2" ht="11.25" customHeight="1"/>
    <row r="78" spans="2:2" ht="11.25" customHeight="1"/>
    <row r="79" spans="2:2" ht="11.25" customHeight="1"/>
    <row r="80" spans="2:2" ht="11.25" customHeight="1"/>
    <row r="81" ht="11.25" customHeight="1"/>
    <row r="82" ht="11.25" customHeight="1"/>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5"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4"/>
  <sheetViews>
    <sheetView showGridLines="0" zoomScaleNormal="100" zoomScaleSheetLayoutView="100" workbookViewId="0">
      <pane xSplit="2" ySplit="4" topLeftCell="C76" activePane="bottomRight" state="frozen"/>
      <selection pane="topRight"/>
      <selection pane="bottomLeft"/>
      <selection pane="bottomRight" activeCell="F56" sqref="F56"/>
    </sheetView>
  </sheetViews>
  <sheetFormatPr defaultColWidth="9.140625" defaultRowHeight="12.7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c r="A1" s="24" t="str">
        <f>muni&amp;" - "&amp;TableA3</f>
        <v>LIM333 Greater Tzaneen - Supporting Table SA3 Supportinging detail to 'Budgeted Financial Position'</v>
      </c>
      <c r="B1" s="24"/>
      <c r="C1" s="24"/>
      <c r="D1" s="24"/>
      <c r="E1" s="24"/>
      <c r="F1" s="24"/>
      <c r="G1" s="24"/>
      <c r="H1" s="24"/>
      <c r="I1" s="24"/>
      <c r="J1" s="24"/>
      <c r="K1" s="24"/>
      <c r="L1" s="24"/>
    </row>
    <row r="2" spans="1:12" ht="28.5" customHeight="1">
      <c r="A2" s="2873" t="str">
        <f>desc</f>
        <v>Description</v>
      </c>
      <c r="B2" s="2875" t="str">
        <f>head27</f>
        <v>Ref</v>
      </c>
      <c r="C2" s="27" t="str">
        <f>head1b</f>
        <v>2016/17</v>
      </c>
      <c r="D2" s="27" t="str">
        <f>head1A</f>
        <v>2017/18</v>
      </c>
      <c r="E2" s="23" t="str">
        <f>Head1</f>
        <v>2018/19</v>
      </c>
      <c r="F2" s="2842" t="str">
        <f>Head2</f>
        <v>Current Year 2019/20</v>
      </c>
      <c r="G2" s="2843"/>
      <c r="H2" s="2843"/>
      <c r="I2" s="2843"/>
      <c r="J2" s="2839" t="str">
        <f>Head3</f>
        <v>2020/21 Medium Term Revenue &amp; Expenditure Framework</v>
      </c>
      <c r="K2" s="2840"/>
      <c r="L2" s="2841"/>
    </row>
    <row r="3" spans="1:12" ht="33.75" customHeight="1">
      <c r="A3" s="2874"/>
      <c r="B3" s="2876"/>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2" ht="11.25" customHeight="1">
      <c r="A4" s="57" t="s">
        <v>569</v>
      </c>
      <c r="B4" s="164"/>
      <c r="C4" s="16"/>
      <c r="D4" s="16"/>
      <c r="E4" s="33"/>
      <c r="F4" s="32"/>
      <c r="G4" s="16"/>
      <c r="H4" s="33"/>
      <c r="I4" s="34"/>
      <c r="J4" s="32"/>
      <c r="K4" s="16"/>
      <c r="L4" s="33"/>
    </row>
    <row r="5" spans="1:12" ht="11.25" customHeight="1">
      <c r="A5" s="199" t="s">
        <v>887</v>
      </c>
      <c r="B5" s="165"/>
      <c r="C5" s="294"/>
      <c r="D5" s="294"/>
      <c r="E5" s="81"/>
      <c r="F5" s="82"/>
      <c r="G5" s="294"/>
      <c r="H5" s="81"/>
      <c r="I5" s="79"/>
      <c r="J5" s="295"/>
      <c r="K5" s="2353"/>
      <c r="L5" s="81"/>
    </row>
    <row r="6" spans="1:12" ht="11.25" hidden="1" customHeight="1">
      <c r="A6" s="58"/>
      <c r="B6" s="167"/>
      <c r="C6" s="80"/>
      <c r="D6" s="80"/>
      <c r="E6" s="81"/>
      <c r="F6" s="82"/>
      <c r="G6" s="80"/>
      <c r="H6" s="81"/>
      <c r="I6" s="79"/>
      <c r="J6" s="83"/>
      <c r="K6" s="1823"/>
      <c r="L6" s="81"/>
    </row>
    <row r="7" spans="1:12" ht="11.25" hidden="1" customHeight="1">
      <c r="A7" s="67"/>
      <c r="B7" s="167"/>
      <c r="C7" s="900"/>
      <c r="D7" s="900"/>
      <c r="E7" s="901"/>
      <c r="F7" s="902"/>
      <c r="G7" s="900"/>
      <c r="H7" s="901"/>
      <c r="I7" s="903"/>
      <c r="J7" s="904"/>
      <c r="K7" s="2580"/>
      <c r="L7" s="901"/>
    </row>
    <row r="8" spans="1:12" ht="11.25" hidden="1" customHeight="1">
      <c r="A8" s="67"/>
      <c r="B8" s="167"/>
      <c r="C8" s="900"/>
      <c r="D8" s="900"/>
      <c r="E8" s="901"/>
      <c r="F8" s="902"/>
      <c r="G8" s="900"/>
      <c r="H8" s="901"/>
      <c r="I8" s="903"/>
      <c r="J8" s="904"/>
      <c r="K8" s="2580"/>
      <c r="L8" s="901"/>
    </row>
    <row r="9" spans="1:12" ht="11.25" hidden="1" customHeight="1">
      <c r="A9" s="199"/>
      <c r="B9" s="167"/>
      <c r="C9" s="90"/>
      <c r="D9" s="90"/>
      <c r="E9" s="91"/>
      <c r="F9" s="92"/>
      <c r="G9" s="90"/>
      <c r="H9" s="91"/>
      <c r="I9" s="89"/>
      <c r="J9" s="93"/>
      <c r="K9" s="1205"/>
      <c r="L9" s="91"/>
    </row>
    <row r="10" spans="1:12" ht="4.9000000000000004" customHeight="1">
      <c r="A10" s="78"/>
      <c r="B10" s="167"/>
      <c r="C10" s="80"/>
      <c r="D10" s="80"/>
      <c r="E10" s="81"/>
      <c r="F10" s="82"/>
      <c r="G10" s="80"/>
      <c r="H10" s="81"/>
      <c r="I10" s="79"/>
      <c r="J10" s="83"/>
      <c r="K10" s="1823"/>
      <c r="L10" s="81"/>
    </row>
    <row r="11" spans="1:12" ht="11.25" customHeight="1">
      <c r="A11" s="58" t="str">
        <f>'A6-FinPos'!A8</f>
        <v>Consumer debtors</v>
      </c>
      <c r="B11" s="167"/>
      <c r="C11" s="80"/>
      <c r="D11" s="80"/>
      <c r="E11" s="81"/>
      <c r="F11" s="82"/>
      <c r="G11" s="80"/>
      <c r="H11" s="81"/>
      <c r="I11" s="79"/>
      <c r="J11" s="83"/>
      <c r="K11" s="1823"/>
      <c r="L11" s="81"/>
    </row>
    <row r="12" spans="1:12" ht="11.25" customHeight="1">
      <c r="A12" s="67" t="str">
        <f>A11</f>
        <v>Consumer debtors</v>
      </c>
      <c r="B12" s="167"/>
      <c r="C12" s="1951">
        <v>365669046</v>
      </c>
      <c r="D12" s="1951">
        <v>426306198</v>
      </c>
      <c r="E12" s="1960">
        <v>470918091</v>
      </c>
      <c r="F12" s="1961">
        <f>446346464-1000</f>
        <v>446345464</v>
      </c>
      <c r="G12" s="1951">
        <v>446346464</v>
      </c>
      <c r="H12" s="1960">
        <v>481139027</v>
      </c>
      <c r="I12" s="1962">
        <v>481139027</v>
      </c>
      <c r="J12" s="1953">
        <v>491780759</v>
      </c>
      <c r="K12" s="1955">
        <v>502422491</v>
      </c>
      <c r="L12" s="1960">
        <v>513064223</v>
      </c>
    </row>
    <row r="13" spans="1:12" ht="11.25" customHeight="1">
      <c r="A13" s="285" t="s">
        <v>321</v>
      </c>
      <c r="B13" s="167"/>
      <c r="C13" s="1951">
        <v>-258633917</v>
      </c>
      <c r="D13" s="1951">
        <v>-288985074</v>
      </c>
      <c r="E13" s="1960">
        <v>-368974237</v>
      </c>
      <c r="F13" s="1961">
        <v>-309883811.25980002</v>
      </c>
      <c r="G13" s="1951">
        <v>-309884415.77999997</v>
      </c>
      <c r="H13" s="1960">
        <v>-380596886.44999999</v>
      </c>
      <c r="I13" s="1962">
        <v>-380596886.44999999</v>
      </c>
      <c r="J13" s="1953">
        <v>-392732407.74849999</v>
      </c>
      <c r="K13" s="1955">
        <v>-405405761.88168502</v>
      </c>
      <c r="L13" s="1960">
        <v>-418643151.05898702</v>
      </c>
    </row>
    <row r="14" spans="1:12" ht="11.25" customHeight="1">
      <c r="A14" s="199" t="str">
        <f>"Total "&amp;A11</f>
        <v>Total Consumer debtors</v>
      </c>
      <c r="B14" s="167">
        <v>2</v>
      </c>
      <c r="C14" s="90">
        <f>SUM(C12:C13)</f>
        <v>107035129</v>
      </c>
      <c r="D14" s="90">
        <f t="shared" ref="D14:L14" si="0">SUM(D12:D13)</f>
        <v>137321124</v>
      </c>
      <c r="E14" s="91">
        <f t="shared" si="0"/>
        <v>101943854</v>
      </c>
      <c r="F14" s="92">
        <f>SUM(F12:F13)</f>
        <v>136461652.74019998</v>
      </c>
      <c r="G14" s="90">
        <f t="shared" si="0"/>
        <v>136462048.22000003</v>
      </c>
      <c r="H14" s="91">
        <f t="shared" si="0"/>
        <v>100542140.55000001</v>
      </c>
      <c r="I14" s="89">
        <f t="shared" si="0"/>
        <v>100542140.55000001</v>
      </c>
      <c r="J14" s="93">
        <f t="shared" si="0"/>
        <v>99048351.25150001</v>
      </c>
      <c r="K14" s="1205">
        <f t="shared" si="0"/>
        <v>97016729.118314981</v>
      </c>
      <c r="L14" s="91">
        <f t="shared" si="0"/>
        <v>94421071.941012979</v>
      </c>
    </row>
    <row r="15" spans="1:12" ht="4.9000000000000004" customHeight="1">
      <c r="A15" s="78"/>
      <c r="B15" s="167"/>
      <c r="C15" s="80"/>
      <c r="D15" s="80"/>
      <c r="E15" s="81"/>
      <c r="F15" s="82"/>
      <c r="G15" s="80"/>
      <c r="H15" s="81"/>
      <c r="I15" s="79"/>
      <c r="J15" s="83"/>
      <c r="K15" s="1823"/>
      <c r="L15" s="81"/>
    </row>
    <row r="16" spans="1:12" ht="11.25" customHeight="1">
      <c r="A16" s="1017" t="s">
        <v>3</v>
      </c>
      <c r="B16" s="167"/>
      <c r="C16" s="80"/>
      <c r="D16" s="80"/>
      <c r="E16" s="81"/>
      <c r="F16" s="82"/>
      <c r="G16" s="80"/>
      <c r="H16" s="81"/>
      <c r="I16" s="79"/>
      <c r="J16" s="83"/>
      <c r="K16" s="1823"/>
      <c r="L16" s="81"/>
    </row>
    <row r="17" spans="1:12" ht="11.25" customHeight="1">
      <c r="A17" s="287" t="s">
        <v>4</v>
      </c>
      <c r="B17" s="167"/>
      <c r="C17" s="1951">
        <v>207233176</v>
      </c>
      <c r="D17" s="1951">
        <v>258633918</v>
      </c>
      <c r="E17" s="1960">
        <v>288985074</v>
      </c>
      <c r="F17" s="1961">
        <v>300219415.77999997</v>
      </c>
      <c r="G17" s="1951">
        <v>300219415.77999997</v>
      </c>
      <c r="H17" s="1960">
        <v>300607074</v>
      </c>
      <c r="I17" s="1962">
        <v>300607074</v>
      </c>
      <c r="J17" s="1953">
        <v>380597237</v>
      </c>
      <c r="K17" s="1955">
        <v>392732237</v>
      </c>
      <c r="L17" s="1960">
        <v>405406237</v>
      </c>
    </row>
    <row r="18" spans="1:12" ht="11.25" customHeight="1">
      <c r="A18" s="287" t="s">
        <v>5</v>
      </c>
      <c r="B18" s="167"/>
      <c r="C18" s="1951">
        <v>51400741</v>
      </c>
      <c r="D18" s="1951">
        <v>40329922</v>
      </c>
      <c r="E18" s="1960">
        <v>79989163</v>
      </c>
      <c r="F18" s="1961">
        <v>9665000</v>
      </c>
      <c r="G18" s="1951">
        <v>9665000</v>
      </c>
      <c r="H18" s="1960">
        <v>79990163</v>
      </c>
      <c r="I18" s="1962">
        <v>79990163</v>
      </c>
      <c r="J18" s="1953">
        <v>12135000</v>
      </c>
      <c r="K18" s="1955">
        <v>12674000</v>
      </c>
      <c r="L18" s="1960">
        <v>13237000</v>
      </c>
    </row>
    <row r="19" spans="1:12" ht="11.25" customHeight="1">
      <c r="A19" s="287" t="s">
        <v>6</v>
      </c>
      <c r="B19" s="167"/>
      <c r="C19" s="1951"/>
      <c r="D19" s="1951">
        <v>-9978766</v>
      </c>
      <c r="E19" s="1960"/>
      <c r="F19" s="1961"/>
      <c r="G19" s="1951"/>
      <c r="H19" s="1960"/>
      <c r="I19" s="1962"/>
      <c r="J19" s="1953"/>
      <c r="K19" s="1955"/>
      <c r="L19" s="1960"/>
    </row>
    <row r="20" spans="1:12" ht="11.25" customHeight="1">
      <c r="A20" s="1016" t="s">
        <v>7</v>
      </c>
      <c r="B20" s="167"/>
      <c r="C20" s="90">
        <f>SUM(C17:C19)</f>
        <v>258633917</v>
      </c>
      <c r="D20" s="90">
        <f t="shared" ref="D20:L20" si="1">SUM(D17:D19)</f>
        <v>288985074</v>
      </c>
      <c r="E20" s="91">
        <f t="shared" si="1"/>
        <v>368974237</v>
      </c>
      <c r="F20" s="92">
        <f t="shared" si="1"/>
        <v>309884415.77999997</v>
      </c>
      <c r="G20" s="90">
        <f t="shared" si="1"/>
        <v>309884415.77999997</v>
      </c>
      <c r="H20" s="91">
        <f t="shared" si="1"/>
        <v>380597237</v>
      </c>
      <c r="I20" s="89">
        <f t="shared" si="1"/>
        <v>380597237</v>
      </c>
      <c r="J20" s="93">
        <f t="shared" si="1"/>
        <v>392732237</v>
      </c>
      <c r="K20" s="1205">
        <f t="shared" si="1"/>
        <v>405406237</v>
      </c>
      <c r="L20" s="91">
        <f t="shared" si="1"/>
        <v>418643237</v>
      </c>
    </row>
    <row r="21" spans="1:12" ht="4.9000000000000004" customHeight="1">
      <c r="A21" s="78"/>
      <c r="B21" s="167"/>
      <c r="C21" s="80"/>
      <c r="D21" s="80"/>
      <c r="E21" s="81"/>
      <c r="F21" s="82"/>
      <c r="G21" s="80"/>
      <c r="H21" s="81"/>
      <c r="I21" s="79"/>
      <c r="J21" s="83"/>
      <c r="K21" s="1823"/>
      <c r="L21" s="81"/>
    </row>
    <row r="22" spans="1:12" ht="11.25" customHeight="1">
      <c r="A22" s="58" t="str">
        <f>'A6-FinPos'!A19&amp;" (PPE)"</f>
        <v>Property, plant and equipment (PPE)</v>
      </c>
      <c r="B22" s="167"/>
      <c r="C22" s="80"/>
      <c r="D22" s="80"/>
      <c r="E22" s="81"/>
      <c r="F22" s="82"/>
      <c r="G22" s="80"/>
      <c r="H22" s="81"/>
      <c r="I22" s="79"/>
      <c r="J22" s="83"/>
      <c r="K22" s="1823"/>
      <c r="L22" s="81"/>
    </row>
    <row r="23" spans="1:12" ht="11.25" customHeight="1">
      <c r="A23" s="198" t="s">
        <v>1461</v>
      </c>
      <c r="B23" s="167"/>
      <c r="C23" s="1951">
        <v>2730859834</v>
      </c>
      <c r="D23" s="1951">
        <v>2657242035</v>
      </c>
      <c r="E23" s="1960">
        <v>2748490962</v>
      </c>
      <c r="F23" s="1961">
        <f>2813545316+1240101000+6000000</f>
        <v>4059646316</v>
      </c>
      <c r="G23" s="1951">
        <f>2813545316+189057000</f>
        <v>3002602316</v>
      </c>
      <c r="H23" s="1960">
        <v>2813545316</v>
      </c>
      <c r="I23" s="1962">
        <f>2813545316-195000</f>
        <v>2813350316</v>
      </c>
      <c r="J23" s="1953">
        <f>3055803281-195000+1500000</f>
        <v>3057108281</v>
      </c>
      <c r="K23" s="1955">
        <f>3195437271-195000</f>
        <v>3195242271</v>
      </c>
      <c r="L23" s="1960">
        <f>3336380657-195000</f>
        <v>3336185657</v>
      </c>
    </row>
    <row r="24" spans="1:12" ht="11.25" customHeight="1">
      <c r="A24" s="198" t="s">
        <v>922</v>
      </c>
      <c r="B24" s="167">
        <v>3</v>
      </c>
      <c r="C24" s="1951"/>
      <c r="D24" s="1951"/>
      <c r="E24" s="1960"/>
      <c r="F24" s="1961"/>
      <c r="G24" s="1951">
        <v>0</v>
      </c>
      <c r="H24" s="1960">
        <v>0</v>
      </c>
      <c r="I24" s="1962">
        <v>0</v>
      </c>
      <c r="J24" s="1953"/>
      <c r="K24" s="1955"/>
      <c r="L24" s="1960"/>
    </row>
    <row r="25" spans="1:12" ht="11.25" customHeight="1">
      <c r="A25" s="1344" t="s">
        <v>703</v>
      </c>
      <c r="B25" s="167"/>
      <c r="C25" s="1951">
        <v>1120265696</v>
      </c>
      <c r="D25" s="1951">
        <v>1170781892</v>
      </c>
      <c r="E25" s="1960">
        <v>1293147441</v>
      </c>
      <c r="F25" s="1961">
        <v>1181709424</v>
      </c>
      <c r="G25" s="1951">
        <v>1181709424</v>
      </c>
      <c r="H25" s="1960">
        <v>1187485159</v>
      </c>
      <c r="I25" s="1962">
        <v>1187485159</v>
      </c>
      <c r="J25" s="1953">
        <v>1290147441</v>
      </c>
      <c r="K25" s="1955">
        <v>1291147441</v>
      </c>
      <c r="L25" s="1960">
        <v>1292147441</v>
      </c>
    </row>
    <row r="26" spans="1:12" ht="11.25" customHeight="1">
      <c r="A26" s="199" t="str">
        <f>"Total "&amp;A22</f>
        <v>Total Property, plant and equipment (PPE)</v>
      </c>
      <c r="B26" s="167">
        <v>2</v>
      </c>
      <c r="C26" s="90">
        <f>SUM(C23:C24)-C25</f>
        <v>1610594138</v>
      </c>
      <c r="D26" s="90">
        <f t="shared" ref="D26:L26" si="2">SUM(D23:D24)-D25</f>
        <v>1486460143</v>
      </c>
      <c r="E26" s="91">
        <f t="shared" si="2"/>
        <v>1455343521</v>
      </c>
      <c r="F26" s="92">
        <f t="shared" si="2"/>
        <v>2877936892</v>
      </c>
      <c r="G26" s="90">
        <f t="shared" si="2"/>
        <v>1820892892</v>
      </c>
      <c r="H26" s="91">
        <f t="shared" si="2"/>
        <v>1626060157</v>
      </c>
      <c r="I26" s="89">
        <f t="shared" si="2"/>
        <v>1625865157</v>
      </c>
      <c r="J26" s="93">
        <f t="shared" si="2"/>
        <v>1766960840</v>
      </c>
      <c r="K26" s="1205">
        <f t="shared" si="2"/>
        <v>1904094830</v>
      </c>
      <c r="L26" s="91">
        <f t="shared" si="2"/>
        <v>2044038216</v>
      </c>
    </row>
    <row r="27" spans="1:12" ht="4.9000000000000004" customHeight="1">
      <c r="A27" s="78"/>
      <c r="B27" s="167"/>
      <c r="C27" s="80"/>
      <c r="D27" s="80"/>
      <c r="E27" s="81"/>
      <c r="F27" s="82"/>
      <c r="G27" s="80"/>
      <c r="H27" s="81"/>
      <c r="I27" s="79"/>
      <c r="J27" s="83"/>
      <c r="K27" s="1823"/>
      <c r="L27" s="81"/>
    </row>
    <row r="28" spans="1:12" ht="15.75" customHeight="1">
      <c r="A28" s="277" t="s">
        <v>494</v>
      </c>
      <c r="B28" s="278"/>
      <c r="C28" s="279"/>
      <c r="D28" s="279"/>
      <c r="E28" s="280"/>
      <c r="F28" s="281"/>
      <c r="G28" s="279"/>
      <c r="H28" s="280"/>
      <c r="I28" s="282"/>
      <c r="J28" s="283"/>
      <c r="K28" s="2354"/>
      <c r="L28" s="280"/>
    </row>
    <row r="29" spans="1:12" ht="11.25" customHeight="1">
      <c r="A29" s="58" t="str">
        <f>'A6-FinPos'!A28&amp;" - "&amp;'A6-FinPos'!A30</f>
        <v>Current liabilities - Borrowing</v>
      </c>
      <c r="B29" s="167"/>
      <c r="C29" s="80"/>
      <c r="D29" s="80"/>
      <c r="E29" s="81"/>
      <c r="F29" s="82"/>
      <c r="G29" s="80"/>
      <c r="H29" s="81"/>
      <c r="I29" s="79"/>
      <c r="J29" s="83"/>
      <c r="K29" s="1823"/>
      <c r="L29" s="81"/>
    </row>
    <row r="30" spans="1:12" ht="11.25" customHeight="1">
      <c r="A30" s="67" t="s">
        <v>603</v>
      </c>
      <c r="B30" s="167"/>
      <c r="C30" s="1951"/>
      <c r="D30" s="1951"/>
      <c r="E30" s="1960"/>
      <c r="F30" s="1961"/>
      <c r="G30" s="1951"/>
      <c r="H30" s="1960"/>
      <c r="I30" s="1962"/>
      <c r="J30" s="1953"/>
      <c r="K30" s="1955"/>
      <c r="L30" s="1960"/>
    </row>
    <row r="31" spans="1:12" ht="11.25" customHeight="1">
      <c r="A31" s="67" t="s">
        <v>1330</v>
      </c>
      <c r="B31" s="167"/>
      <c r="C31" s="1951">
        <v>17075913</v>
      </c>
      <c r="D31" s="1951">
        <v>10725007</v>
      </c>
      <c r="E31" s="1960">
        <v>22810651</v>
      </c>
      <c r="F31" s="1961">
        <v>-9818010</v>
      </c>
      <c r="G31" s="1951">
        <v>9818010.3850491252</v>
      </c>
      <c r="H31" s="1960">
        <v>9219179</v>
      </c>
      <c r="I31" s="1962">
        <v>9219179</v>
      </c>
      <c r="J31" s="1953">
        <v>12994722</v>
      </c>
      <c r="K31" s="1955">
        <v>14107133</v>
      </c>
      <c r="L31" s="1960">
        <v>15316584</v>
      </c>
    </row>
    <row r="32" spans="1:12" ht="11.25" customHeight="1">
      <c r="A32" s="199" t="str">
        <f>"Total "&amp;A29</f>
        <v>Total Current liabilities - Borrowing</v>
      </c>
      <c r="B32" s="167"/>
      <c r="C32" s="90">
        <f>SUM(C30:C31)</f>
        <v>17075913</v>
      </c>
      <c r="D32" s="90">
        <f t="shared" ref="D32:L32" si="3">SUM(D30:D31)</f>
        <v>10725007</v>
      </c>
      <c r="E32" s="91">
        <f t="shared" si="3"/>
        <v>22810651</v>
      </c>
      <c r="F32" s="92">
        <f t="shared" si="3"/>
        <v>-9818010</v>
      </c>
      <c r="G32" s="90">
        <f t="shared" si="3"/>
        <v>9818010.3850491252</v>
      </c>
      <c r="H32" s="91">
        <f t="shared" si="3"/>
        <v>9219179</v>
      </c>
      <c r="I32" s="89">
        <f t="shared" si="3"/>
        <v>9219179</v>
      </c>
      <c r="J32" s="93">
        <f t="shared" si="3"/>
        <v>12994722</v>
      </c>
      <c r="K32" s="1205">
        <f t="shared" si="3"/>
        <v>14107133</v>
      </c>
      <c r="L32" s="91">
        <f t="shared" si="3"/>
        <v>15316584</v>
      </c>
    </row>
    <row r="33" spans="1:12" ht="4.9000000000000004" customHeight="1">
      <c r="A33" s="78"/>
      <c r="B33" s="167"/>
      <c r="C33" s="80"/>
      <c r="D33" s="80"/>
      <c r="E33" s="81"/>
      <c r="F33" s="82"/>
      <c r="G33" s="80"/>
      <c r="H33" s="81"/>
      <c r="I33" s="79"/>
      <c r="J33" s="83"/>
      <c r="K33" s="1823"/>
      <c r="L33" s="81"/>
    </row>
    <row r="34" spans="1:12" ht="11.25" customHeight="1">
      <c r="A34" s="58" t="str">
        <f>'A6-FinPos'!A32</f>
        <v>Trade and other payables</v>
      </c>
      <c r="B34" s="167"/>
      <c r="C34" s="188"/>
      <c r="D34" s="188"/>
      <c r="E34" s="191"/>
      <c r="F34" s="190"/>
      <c r="G34" s="188"/>
      <c r="H34" s="191"/>
      <c r="I34" s="189"/>
      <c r="J34" s="276"/>
      <c r="K34" s="2355"/>
      <c r="L34" s="191"/>
    </row>
    <row r="35" spans="1:12" ht="11.25" customHeight="1">
      <c r="A35" s="198" t="s">
        <v>2538</v>
      </c>
      <c r="B35" s="168">
        <v>5</v>
      </c>
      <c r="C35" s="1951">
        <v>178667626</v>
      </c>
      <c r="D35" s="1951">
        <v>208079431</v>
      </c>
      <c r="E35" s="1960">
        <v>228316091</v>
      </c>
      <c r="F35" s="1961">
        <v>207073547.61434999</v>
      </c>
      <c r="G35" s="1951">
        <v>207073547.61434999</v>
      </c>
      <c r="H35" s="1960">
        <v>229901849</v>
      </c>
      <c r="I35" s="1962">
        <v>229901849</v>
      </c>
      <c r="J35" s="1953">
        <v>232200867</v>
      </c>
      <c r="K35" s="1955">
        <v>234522876</v>
      </c>
      <c r="L35" s="1960">
        <v>236868105</v>
      </c>
    </row>
    <row r="36" spans="1:12" ht="11.25" customHeight="1">
      <c r="A36" s="198" t="s">
        <v>2537</v>
      </c>
      <c r="B36" s="168"/>
      <c r="C36" s="1951">
        <f>1758832+606890</f>
        <v>2365722</v>
      </c>
      <c r="D36" s="1951">
        <f>824306+445724</f>
        <v>1270030</v>
      </c>
      <c r="E36" s="1960">
        <f>2978540+948670</f>
        <v>3927210</v>
      </c>
      <c r="F36" s="1961">
        <v>2615928</v>
      </c>
      <c r="G36" s="1951">
        <v>2615928</v>
      </c>
      <c r="H36" s="1960">
        <v>2615928</v>
      </c>
      <c r="I36" s="1962">
        <v>2615928</v>
      </c>
      <c r="J36" s="1953">
        <v>3121218</v>
      </c>
      <c r="K36" s="1955">
        <v>4121218</v>
      </c>
      <c r="L36" s="1960">
        <v>3500000</v>
      </c>
    </row>
    <row r="37" spans="1:12" ht="11.25" customHeight="1">
      <c r="A37" s="198" t="s">
        <v>932</v>
      </c>
      <c r="B37" s="167"/>
      <c r="C37" s="1951">
        <v>20340228</v>
      </c>
      <c r="D37" s="1951">
        <v>3955460</v>
      </c>
      <c r="E37" s="1960">
        <v>5083273</v>
      </c>
      <c r="F37" s="1961"/>
      <c r="G37" s="1951">
        <v>0</v>
      </c>
      <c r="H37" s="1960"/>
      <c r="I37" s="1962"/>
      <c r="J37" s="1953"/>
      <c r="K37" s="1955"/>
      <c r="L37" s="1960"/>
    </row>
    <row r="38" spans="1:12" ht="11.25" customHeight="1">
      <c r="A38" s="198" t="s">
        <v>1329</v>
      </c>
      <c r="B38" s="167"/>
      <c r="C38" s="1951">
        <v>34713134</v>
      </c>
      <c r="D38" s="1951">
        <v>42373166</v>
      </c>
      <c r="E38" s="1960">
        <v>46796765</v>
      </c>
      <c r="F38" s="1961">
        <v>37821746.512800001</v>
      </c>
      <c r="G38" s="1951">
        <v>37821746.512800001</v>
      </c>
      <c r="H38" s="1960">
        <v>41159652</v>
      </c>
      <c r="I38" s="1962">
        <v>41159652</v>
      </c>
      <c r="J38" s="1953">
        <v>41982845</v>
      </c>
      <c r="K38" s="1955">
        <v>42822502</v>
      </c>
      <c r="L38" s="1960">
        <v>43678952</v>
      </c>
    </row>
    <row r="39" spans="1:12" ht="11.25" customHeight="1">
      <c r="A39" s="199" t="str">
        <f>"Total "&amp;A34</f>
        <v>Total Trade and other payables</v>
      </c>
      <c r="B39" s="167">
        <v>2</v>
      </c>
      <c r="C39" s="90">
        <f t="shared" ref="C39:K39" si="4">SUM(C35:C38)</f>
        <v>236086710</v>
      </c>
      <c r="D39" s="90">
        <f t="shared" si="4"/>
        <v>255678087</v>
      </c>
      <c r="E39" s="91">
        <f t="shared" si="4"/>
        <v>284123339</v>
      </c>
      <c r="F39" s="92">
        <f t="shared" si="4"/>
        <v>247511222.12715</v>
      </c>
      <c r="G39" s="90">
        <f t="shared" si="4"/>
        <v>247511222.12715</v>
      </c>
      <c r="H39" s="91">
        <f t="shared" si="4"/>
        <v>273677429</v>
      </c>
      <c r="I39" s="89">
        <f t="shared" si="4"/>
        <v>273677429</v>
      </c>
      <c r="J39" s="93">
        <f t="shared" si="4"/>
        <v>277304930</v>
      </c>
      <c r="K39" s="1205">
        <f t="shared" si="4"/>
        <v>281466596</v>
      </c>
      <c r="L39" s="91">
        <f>SUM(L35:L38)</f>
        <v>284047057</v>
      </c>
    </row>
    <row r="40" spans="1:12" ht="4.9000000000000004" customHeight="1">
      <c r="A40" s="78"/>
      <c r="B40" s="167"/>
      <c r="C40" s="80"/>
      <c r="D40" s="80"/>
      <c r="E40" s="81"/>
      <c r="F40" s="82"/>
      <c r="G40" s="80"/>
      <c r="H40" s="81"/>
      <c r="I40" s="79"/>
      <c r="J40" s="83"/>
      <c r="K40" s="1823"/>
      <c r="L40" s="81"/>
    </row>
    <row r="41" spans="1:12" ht="11.25" customHeight="1">
      <c r="A41" s="58" t="str">
        <f>'A6-FinPos'!A36&amp;" - "&amp;'A6-FinPos'!A37</f>
        <v>Non current liabilities - Borrowing</v>
      </c>
      <c r="B41" s="167"/>
      <c r="C41" s="80"/>
      <c r="D41" s="80"/>
      <c r="E41" s="81"/>
      <c r="F41" s="82"/>
      <c r="G41" s="80"/>
      <c r="H41" s="81"/>
      <c r="I41" s="79"/>
      <c r="J41" s="83"/>
      <c r="K41" s="1823"/>
      <c r="L41" s="81"/>
    </row>
    <row r="42" spans="1:12" ht="11.25" customHeight="1">
      <c r="A42" s="67" t="s">
        <v>1122</v>
      </c>
      <c r="B42" s="167">
        <v>4</v>
      </c>
      <c r="C42" s="1951">
        <v>102661300</v>
      </c>
      <c r="D42" s="1951">
        <v>92456572</v>
      </c>
      <c r="E42" s="1960">
        <v>110645166</v>
      </c>
      <c r="F42" s="1961">
        <f>-320502103-F43</f>
        <v>-333453103</v>
      </c>
      <c r="G42" s="1951">
        <v>100386810.80647588</v>
      </c>
      <c r="H42" s="1960">
        <v>121425988</v>
      </c>
      <c r="I42" s="1962">
        <v>121425988</v>
      </c>
      <c r="J42" s="1953">
        <v>139715830</v>
      </c>
      <c r="K42" s="1955">
        <v>127008872</v>
      </c>
      <c r="L42" s="1960">
        <v>113218479</v>
      </c>
    </row>
    <row r="43" spans="1:12" ht="11.25" customHeight="1">
      <c r="A43" s="67" t="s">
        <v>912</v>
      </c>
      <c r="B43" s="167"/>
      <c r="C43" s="1951">
        <v>3558300</v>
      </c>
      <c r="D43" s="1951">
        <v>602667</v>
      </c>
      <c r="E43" s="1960">
        <v>3551484</v>
      </c>
      <c r="F43" s="1961">
        <v>12951000</v>
      </c>
      <c r="G43" s="1951">
        <v>12951000</v>
      </c>
      <c r="H43" s="1960">
        <v>6401484</v>
      </c>
      <c r="I43" s="1962">
        <v>6401484</v>
      </c>
      <c r="J43" s="1953">
        <v>5761335.6000000006</v>
      </c>
      <c r="K43" s="1955">
        <v>5185202.040000001</v>
      </c>
      <c r="L43" s="1960">
        <v>4666681.8360000011</v>
      </c>
    </row>
    <row r="44" spans="1:12" ht="11.25" customHeight="1">
      <c r="A44" s="199" t="str">
        <f>"Total "&amp;A41</f>
        <v>Total Non current liabilities - Borrowing</v>
      </c>
      <c r="B44" s="167"/>
      <c r="C44" s="90">
        <f>SUM(C42:C43)</f>
        <v>106219600</v>
      </c>
      <c r="D44" s="90">
        <f t="shared" ref="D44:L44" si="5">SUM(D42:D43)</f>
        <v>93059239</v>
      </c>
      <c r="E44" s="91">
        <f t="shared" si="5"/>
        <v>114196650</v>
      </c>
      <c r="F44" s="92">
        <f t="shared" si="5"/>
        <v>-320502103</v>
      </c>
      <c r="G44" s="90">
        <f t="shared" si="5"/>
        <v>113337810.80647588</v>
      </c>
      <c r="H44" s="91">
        <f t="shared" si="5"/>
        <v>127827472</v>
      </c>
      <c r="I44" s="89">
        <f t="shared" si="5"/>
        <v>127827472</v>
      </c>
      <c r="J44" s="93">
        <f t="shared" si="5"/>
        <v>145477165.59999999</v>
      </c>
      <c r="K44" s="1205">
        <f t="shared" si="5"/>
        <v>132194074.04000001</v>
      </c>
      <c r="L44" s="91">
        <f t="shared" si="5"/>
        <v>117885160.836</v>
      </c>
    </row>
    <row r="45" spans="1:12" ht="4.9000000000000004" customHeight="1">
      <c r="A45" s="78"/>
      <c r="B45" s="167"/>
      <c r="C45" s="80"/>
      <c r="D45" s="80"/>
      <c r="E45" s="81"/>
      <c r="F45" s="82"/>
      <c r="G45" s="80"/>
      <c r="H45" s="81"/>
      <c r="I45" s="79"/>
      <c r="J45" s="83"/>
      <c r="K45" s="1823"/>
      <c r="L45" s="81"/>
    </row>
    <row r="46" spans="1:12" ht="11.25" customHeight="1">
      <c r="A46" s="58" t="str">
        <f>'A6-FinPos'!A38&amp;" - non-current"</f>
        <v>Provisions - non-current</v>
      </c>
      <c r="B46" s="167"/>
      <c r="C46" s="80"/>
      <c r="D46" s="80"/>
      <c r="E46" s="81"/>
      <c r="F46" s="82"/>
      <c r="G46" s="80"/>
      <c r="H46" s="81"/>
      <c r="I46" s="79"/>
      <c r="J46" s="83"/>
      <c r="K46" s="1823"/>
      <c r="L46" s="81"/>
    </row>
    <row r="47" spans="1:12" ht="11.25" customHeight="1">
      <c r="A47" s="67" t="s">
        <v>1179</v>
      </c>
      <c r="B47" s="167"/>
      <c r="C47" s="1951">
        <v>84223104</v>
      </c>
      <c r="D47" s="1951">
        <v>83821523</v>
      </c>
      <c r="E47" s="1960">
        <v>81474678</v>
      </c>
      <c r="F47" s="1961">
        <v>-80785263.928000003</v>
      </c>
      <c r="G47" s="1951">
        <v>80785263.928000003</v>
      </c>
      <c r="H47" s="1960">
        <v>81066480</v>
      </c>
      <c r="I47" s="1962">
        <v>81066480</v>
      </c>
      <c r="J47" s="1953">
        <v>80444568</v>
      </c>
      <c r="K47" s="1955">
        <v>79594225</v>
      </c>
      <c r="L47" s="1960">
        <v>78499837</v>
      </c>
    </row>
    <row r="48" spans="1:12" ht="11.25" hidden="1" customHeight="1">
      <c r="A48" s="2605"/>
      <c r="B48" s="167"/>
      <c r="C48" s="80"/>
      <c r="D48" s="80"/>
      <c r="E48" s="81"/>
      <c r="F48" s="82"/>
      <c r="G48" s="80"/>
      <c r="H48" s="81"/>
      <c r="I48" s="79"/>
      <c r="J48" s="83"/>
      <c r="K48" s="1823"/>
      <c r="L48" s="81"/>
    </row>
    <row r="49" spans="1:12" ht="11.25" customHeight="1">
      <c r="A49" s="2606" t="s">
        <v>233</v>
      </c>
      <c r="B49" s="167"/>
      <c r="C49" s="1951">
        <v>4205927</v>
      </c>
      <c r="D49" s="1951">
        <v>4626519</v>
      </c>
      <c r="E49" s="1960">
        <v>5089171</v>
      </c>
      <c r="F49" s="1961">
        <v>-5598089.2000000002</v>
      </c>
      <c r="G49" s="1951">
        <v>5598089.2000000002</v>
      </c>
      <c r="H49" s="1960">
        <v>5598088</v>
      </c>
      <c r="I49" s="1962">
        <v>5598088</v>
      </c>
      <c r="J49" s="1953">
        <v>6157897</v>
      </c>
      <c r="K49" s="1955">
        <v>6773687</v>
      </c>
      <c r="L49" s="1960">
        <v>7451055</v>
      </c>
    </row>
    <row r="50" spans="1:12" ht="11.25" customHeight="1">
      <c r="A50" s="2606" t="s">
        <v>245</v>
      </c>
      <c r="B50" s="167"/>
      <c r="C50" s="1951"/>
      <c r="D50" s="1951"/>
      <c r="E50" s="1960"/>
      <c r="F50" s="1961"/>
      <c r="G50" s="1951"/>
      <c r="H50" s="1960"/>
      <c r="I50" s="1962"/>
      <c r="J50" s="1983"/>
      <c r="K50" s="1955"/>
      <c r="L50" s="1960"/>
    </row>
    <row r="51" spans="1:12" ht="11.25" customHeight="1">
      <c r="A51" s="199" t="str">
        <f>"Total "&amp;A46</f>
        <v>Total Provisions - non-current</v>
      </c>
      <c r="B51" s="167"/>
      <c r="C51" s="90">
        <f t="shared" ref="C51:H51" si="6">+C47+C49+C50</f>
        <v>88429031</v>
      </c>
      <c r="D51" s="90">
        <f t="shared" si="6"/>
        <v>88448042</v>
      </c>
      <c r="E51" s="91">
        <f t="shared" si="6"/>
        <v>86563849</v>
      </c>
      <c r="F51" s="92">
        <f t="shared" si="6"/>
        <v>-86383353.128000006</v>
      </c>
      <c r="G51" s="90">
        <f t="shared" si="6"/>
        <v>86383353.128000006</v>
      </c>
      <c r="H51" s="91">
        <f t="shared" si="6"/>
        <v>86664568</v>
      </c>
      <c r="I51" s="89">
        <f>+I47+I49+I50</f>
        <v>86664568</v>
      </c>
      <c r="J51" s="93">
        <f t="shared" ref="J51:L51" si="7">+J47+J49+J50</f>
        <v>86602465</v>
      </c>
      <c r="K51" s="90">
        <f t="shared" si="7"/>
        <v>86367912</v>
      </c>
      <c r="L51" s="91">
        <f t="shared" si="7"/>
        <v>85950892</v>
      </c>
    </row>
    <row r="52" spans="1:12" ht="4.9000000000000004" customHeight="1">
      <c r="A52" s="78"/>
      <c r="B52" s="167"/>
      <c r="C52" s="80"/>
      <c r="D52" s="80"/>
      <c r="E52" s="81"/>
      <c r="F52" s="82"/>
      <c r="G52" s="80"/>
      <c r="H52" s="81"/>
      <c r="I52" s="79"/>
      <c r="J52" s="83"/>
      <c r="K52" s="80"/>
      <c r="L52" s="81"/>
    </row>
    <row r="53" spans="1:12" ht="15.75" customHeight="1">
      <c r="A53" s="296" t="s">
        <v>931</v>
      </c>
      <c r="B53" s="278"/>
      <c r="C53" s="279"/>
      <c r="D53" s="279"/>
      <c r="E53" s="280"/>
      <c r="F53" s="281"/>
      <c r="G53" s="279"/>
      <c r="H53" s="280"/>
      <c r="I53" s="282"/>
      <c r="J53" s="283"/>
      <c r="K53" s="279"/>
      <c r="L53" s="280"/>
    </row>
    <row r="54" spans="1:12" ht="11.25" customHeight="1">
      <c r="A54" s="272" t="str">
        <f>'A6-FinPos'!A45</f>
        <v>Accumulated Surplus/(Deficit)</v>
      </c>
      <c r="B54" s="167"/>
      <c r="C54" s="80"/>
      <c r="D54" s="80"/>
      <c r="E54" s="81"/>
      <c r="F54" s="82"/>
      <c r="G54" s="80"/>
      <c r="H54" s="81"/>
      <c r="I54" s="79"/>
      <c r="J54" s="83"/>
      <c r="K54" s="80"/>
      <c r="L54" s="81"/>
    </row>
    <row r="55" spans="1:12" ht="11.25" customHeight="1">
      <c r="A55" s="67" t="str">
        <f>A54&amp;" - opening balance"</f>
        <v>Accumulated Surplus/(Deficit) - opening balance</v>
      </c>
      <c r="B55" s="167"/>
      <c r="C55" s="1951">
        <v>1779103065</v>
      </c>
      <c r="D55" s="1951">
        <f>1754468247-5132000</f>
        <v>1749336247</v>
      </c>
      <c r="E55" s="1960">
        <v>1664158747</v>
      </c>
      <c r="F55" s="1961">
        <f>1790356941.96+274205000</f>
        <v>2064561941.96</v>
      </c>
      <c r="G55" s="1951">
        <f>1908405510.91963-119843000+11026000+178032000</f>
        <v>1977620510.9196301</v>
      </c>
      <c r="H55" s="1960">
        <f>1870142375.37-229902000-967000</f>
        <v>1639273375.3699999</v>
      </c>
      <c r="I55" s="1962">
        <f>1640240375.37-967000</f>
        <v>1639273375.3699999</v>
      </c>
      <c r="J55" s="1953">
        <f>1885106627-J58+5236788+1500000</f>
        <v>1773553223.0699999</v>
      </c>
      <c r="K55" s="1951">
        <f>2039039879.69-K58+5289156</f>
        <v>1894626781.2984602</v>
      </c>
      <c r="L55" s="1960">
        <f>2196709265-L58+5342047</f>
        <v>2034200866.7224896</v>
      </c>
    </row>
    <row r="56" spans="1:12" ht="11.25" customHeight="1">
      <c r="A56" s="67" t="s">
        <v>1477</v>
      </c>
      <c r="B56" s="167"/>
      <c r="C56" s="1951"/>
      <c r="D56" s="1951"/>
      <c r="E56" s="1960"/>
      <c r="F56" s="1961"/>
      <c r="G56" s="1951"/>
      <c r="H56" s="1960"/>
      <c r="I56" s="1962"/>
      <c r="J56" s="1953"/>
      <c r="K56" s="1951"/>
      <c r="L56" s="1960"/>
    </row>
    <row r="57" spans="1:12" ht="11.25" customHeight="1">
      <c r="A57" s="67" t="s">
        <v>1479</v>
      </c>
      <c r="B57" s="167"/>
      <c r="C57" s="80">
        <f>SUM(C55:C56)</f>
        <v>1779103065</v>
      </c>
      <c r="D57" s="80">
        <f>SUM(D55:D56)</f>
        <v>1749336247</v>
      </c>
      <c r="E57" s="81">
        <f>SUM(E55:E56)</f>
        <v>1664158747</v>
      </c>
      <c r="F57" s="82">
        <f t="shared" ref="F57:L57" si="8">SUM(F55:F56)</f>
        <v>2064561941.96</v>
      </c>
      <c r="G57" s="80">
        <f t="shared" si="8"/>
        <v>1977620510.9196301</v>
      </c>
      <c r="H57" s="81">
        <f t="shared" si="8"/>
        <v>1639273375.3699999</v>
      </c>
      <c r="I57" s="79">
        <f t="shared" si="8"/>
        <v>1639273375.3699999</v>
      </c>
      <c r="J57" s="83">
        <f t="shared" si="8"/>
        <v>1773553223.0699999</v>
      </c>
      <c r="K57" s="80">
        <f t="shared" si="8"/>
        <v>1894626781.2984602</v>
      </c>
      <c r="L57" s="81">
        <f t="shared" si="8"/>
        <v>2034200866.7224896</v>
      </c>
    </row>
    <row r="58" spans="1:12" ht="11.25" customHeight="1">
      <c r="A58" s="67" t="str">
        <f>'A4-FinPerf RE'!A37</f>
        <v>Surplus/(Deficit)</v>
      </c>
      <c r="B58" s="167"/>
      <c r="C58" s="84">
        <f>'A4-FinPerf RE'!C45</f>
        <v>13902154.439999849</v>
      </c>
      <c r="D58" s="84">
        <f>'A4-FinPerf RE'!D45</f>
        <v>-85178108.650000095</v>
      </c>
      <c r="E58" s="139">
        <f>'A4-FinPerf RE'!E45</f>
        <v>-67864247.540000439</v>
      </c>
      <c r="F58" s="128">
        <f>'A4-FinPerf RE'!F45</f>
        <v>29990327.74000001</v>
      </c>
      <c r="G58" s="80">
        <f>'A4-FinPerf RE'!G45</f>
        <v>119843019.5999999</v>
      </c>
      <c r="H58" s="81">
        <f>'A4-FinPerf RE'!H45</f>
        <v>128638387.53000021</v>
      </c>
      <c r="I58" s="79">
        <f>'A4-FinPerf RE'!I45</f>
        <v>128638387.53000021</v>
      </c>
      <c r="J58" s="88">
        <f>'A4-FinPerf RE'!J45</f>
        <v>118290191.93000007</v>
      </c>
      <c r="K58" s="84">
        <f>'A4-FinPerf RE'!K45</f>
        <v>149702254.39153981</v>
      </c>
      <c r="L58" s="81">
        <f>'A4-FinPerf RE'!L45</f>
        <v>167850445.2775104</v>
      </c>
    </row>
    <row r="59" spans="1:12" ht="11.25" hidden="1" customHeight="1">
      <c r="A59" s="67"/>
      <c r="B59" s="167"/>
      <c r="C59" s="900"/>
      <c r="D59" s="900"/>
      <c r="E59" s="901"/>
      <c r="F59" s="902"/>
      <c r="G59" s="900"/>
      <c r="H59" s="901"/>
      <c r="I59" s="903"/>
      <c r="J59" s="904"/>
      <c r="K59" s="900"/>
      <c r="L59" s="901"/>
    </row>
    <row r="60" spans="1:12" ht="11.25" customHeight="1">
      <c r="A60" s="2607" t="s">
        <v>2546</v>
      </c>
      <c r="B60" s="167"/>
      <c r="C60" s="1951"/>
      <c r="D60" s="1951"/>
      <c r="E60" s="1960"/>
      <c r="F60" s="1961"/>
      <c r="G60" s="1951"/>
      <c r="H60" s="1960"/>
      <c r="I60" s="1962"/>
      <c r="J60" s="1953"/>
      <c r="K60" s="1951"/>
      <c r="L60" s="1960"/>
    </row>
    <row r="61" spans="1:12" ht="11.25" customHeight="1">
      <c r="A61" s="67" t="s">
        <v>1172</v>
      </c>
      <c r="B61" s="167"/>
      <c r="C61" s="1951"/>
      <c r="D61" s="1951"/>
      <c r="E61" s="1960"/>
      <c r="F61" s="1961"/>
      <c r="G61" s="1951"/>
      <c r="H61" s="1960"/>
      <c r="I61" s="1962"/>
      <c r="J61" s="1953"/>
      <c r="K61" s="1951"/>
      <c r="L61" s="1960"/>
    </row>
    <row r="62" spans="1:12" ht="11.25" customHeight="1">
      <c r="A62" s="67" t="s">
        <v>1478</v>
      </c>
      <c r="B62" s="167"/>
      <c r="C62" s="1951"/>
      <c r="D62" s="1951"/>
      <c r="E62" s="1960"/>
      <c r="F62" s="1961"/>
      <c r="G62" s="1951"/>
      <c r="H62" s="1960"/>
      <c r="I62" s="1962"/>
      <c r="J62" s="1953"/>
      <c r="K62" s="1951"/>
      <c r="L62" s="1960"/>
    </row>
    <row r="63" spans="1:12" ht="11.25" customHeight="1">
      <c r="A63" s="1119" t="s">
        <v>363</v>
      </c>
      <c r="B63" s="167">
        <v>1</v>
      </c>
      <c r="C63" s="90">
        <f>SUM(C57:C62)</f>
        <v>1793005219.4399998</v>
      </c>
      <c r="D63" s="90">
        <f>SUM(D57:D62)</f>
        <v>1664158138.3499999</v>
      </c>
      <c r="E63" s="91">
        <f t="shared" ref="E63:L63" si="9">SUM(E57:E62)</f>
        <v>1596294499.4599996</v>
      </c>
      <c r="F63" s="92">
        <f t="shared" si="9"/>
        <v>2094552269.7</v>
      </c>
      <c r="G63" s="90">
        <f t="shared" si="9"/>
        <v>2097463530.51963</v>
      </c>
      <c r="H63" s="91">
        <f t="shared" si="9"/>
        <v>1767911762.9000001</v>
      </c>
      <c r="I63" s="89">
        <f t="shared" si="9"/>
        <v>1767911762.9000001</v>
      </c>
      <c r="J63" s="93">
        <f t="shared" si="9"/>
        <v>1891843415</v>
      </c>
      <c r="K63" s="90">
        <f t="shared" si="9"/>
        <v>2044329035.6900001</v>
      </c>
      <c r="L63" s="91">
        <f t="shared" si="9"/>
        <v>2202051312</v>
      </c>
    </row>
    <row r="64" spans="1:12" ht="11.25" customHeight="1">
      <c r="A64" s="58" t="s">
        <v>641</v>
      </c>
      <c r="B64" s="169"/>
      <c r="C64" s="80"/>
      <c r="D64" s="80"/>
      <c r="E64" s="81"/>
      <c r="F64" s="82"/>
      <c r="G64" s="80"/>
      <c r="H64" s="81"/>
      <c r="I64" s="79"/>
      <c r="J64" s="83"/>
      <c r="K64" s="80"/>
      <c r="L64" s="81"/>
    </row>
    <row r="65" spans="1:12" ht="11.25" customHeight="1">
      <c r="A65" s="198" t="s">
        <v>85</v>
      </c>
      <c r="B65" s="167"/>
      <c r="C65" s="1951"/>
      <c r="D65" s="1951"/>
      <c r="E65" s="1960"/>
      <c r="F65" s="1961"/>
      <c r="G65" s="1951"/>
      <c r="H65" s="1960"/>
      <c r="I65" s="1962"/>
      <c r="J65" s="1953"/>
      <c r="K65" s="1951"/>
      <c r="L65" s="1960"/>
    </row>
    <row r="66" spans="1:12" ht="11.25" customHeight="1">
      <c r="A66" s="198" t="s">
        <v>1322</v>
      </c>
      <c r="B66" s="167"/>
      <c r="C66" s="1951"/>
      <c r="D66" s="1951"/>
      <c r="E66" s="1960"/>
      <c r="F66" s="1961"/>
      <c r="G66" s="1951"/>
      <c r="H66" s="1960"/>
      <c r="I66" s="1962"/>
      <c r="J66" s="1953"/>
      <c r="K66" s="1951"/>
      <c r="L66" s="1960"/>
    </row>
    <row r="67" spans="1:12" ht="11.25" customHeight="1">
      <c r="A67" s="198" t="s">
        <v>1323</v>
      </c>
      <c r="B67" s="167"/>
      <c r="C67" s="1951"/>
      <c r="D67" s="1951"/>
      <c r="E67" s="1960"/>
      <c r="F67" s="1961"/>
      <c r="G67" s="1951"/>
      <c r="H67" s="1960"/>
      <c r="I67" s="1962"/>
      <c r="J67" s="1953"/>
      <c r="K67" s="1951"/>
      <c r="L67" s="1960"/>
    </row>
    <row r="68" spans="1:12" ht="11.25" customHeight="1">
      <c r="A68" s="1001" t="s">
        <v>1815</v>
      </c>
      <c r="B68" s="167"/>
      <c r="C68" s="1951"/>
      <c r="D68" s="1951"/>
      <c r="E68" s="1960"/>
      <c r="F68" s="1961">
        <v>-82866551</v>
      </c>
      <c r="G68" s="1951"/>
      <c r="H68" s="1960"/>
      <c r="I68" s="1962"/>
      <c r="J68" s="1953"/>
      <c r="K68" s="1951"/>
      <c r="L68" s="1960"/>
    </row>
    <row r="69" spans="1:12" ht="11.25" customHeight="1">
      <c r="A69" s="198" t="s">
        <v>1321</v>
      </c>
      <c r="B69" s="167"/>
      <c r="C69" s="1951"/>
      <c r="D69" s="1951"/>
      <c r="E69" s="1960"/>
      <c r="F69" s="1961"/>
      <c r="G69" s="1951"/>
      <c r="H69" s="1960"/>
      <c r="I69" s="1962"/>
      <c r="J69" s="1953"/>
      <c r="K69" s="1951"/>
      <c r="L69" s="1960"/>
    </row>
    <row r="70" spans="1:12" ht="11.25" customHeight="1">
      <c r="A70" s="199" t="s">
        <v>945</v>
      </c>
      <c r="B70" s="167">
        <v>2</v>
      </c>
      <c r="C70" s="90">
        <f t="shared" ref="C70:L70" si="10">SUM(C65:C69)</f>
        <v>0</v>
      </c>
      <c r="D70" s="90">
        <f t="shared" si="10"/>
        <v>0</v>
      </c>
      <c r="E70" s="91">
        <f t="shared" si="10"/>
        <v>0</v>
      </c>
      <c r="F70" s="92">
        <f t="shared" si="10"/>
        <v>-82866551</v>
      </c>
      <c r="G70" s="90">
        <f t="shared" si="10"/>
        <v>0</v>
      </c>
      <c r="H70" s="91">
        <f t="shared" si="10"/>
        <v>0</v>
      </c>
      <c r="I70" s="89">
        <f t="shared" si="10"/>
        <v>0</v>
      </c>
      <c r="J70" s="93">
        <f t="shared" si="10"/>
        <v>0</v>
      </c>
      <c r="K70" s="90">
        <f t="shared" si="10"/>
        <v>0</v>
      </c>
      <c r="L70" s="91">
        <f t="shared" si="10"/>
        <v>0</v>
      </c>
    </row>
    <row r="71" spans="1:12">
      <c r="A71" s="297" t="str">
        <f>'A6-FinPos'!A48</f>
        <v>TOTAL COMMUNITY WEALTH/EQUITY</v>
      </c>
      <c r="B71" s="179">
        <v>2</v>
      </c>
      <c r="C71" s="107">
        <f t="shared" ref="C71:L71" si="11">C63+C70</f>
        <v>1793005219.4399998</v>
      </c>
      <c r="D71" s="107">
        <f t="shared" si="11"/>
        <v>1664158138.3499999</v>
      </c>
      <c r="E71" s="105">
        <f t="shared" si="11"/>
        <v>1596294499.4599996</v>
      </c>
      <c r="F71" s="106">
        <f t="shared" si="11"/>
        <v>2011685718.7</v>
      </c>
      <c r="G71" s="107">
        <f t="shared" si="11"/>
        <v>2097463530.51963</v>
      </c>
      <c r="H71" s="105">
        <f t="shared" si="11"/>
        <v>1767911762.9000001</v>
      </c>
      <c r="I71" s="108">
        <f t="shared" si="11"/>
        <v>1767911762.9000001</v>
      </c>
      <c r="J71" s="109">
        <f t="shared" si="11"/>
        <v>1891843415</v>
      </c>
      <c r="K71" s="107">
        <f t="shared" si="11"/>
        <v>2044329035.6900001</v>
      </c>
      <c r="L71" s="105">
        <f t="shared" si="11"/>
        <v>2202051312</v>
      </c>
    </row>
    <row r="72" spans="1:12" ht="4.9000000000000004" customHeight="1">
      <c r="A72" s="114"/>
      <c r="B72" s="298"/>
      <c r="C72" s="115"/>
      <c r="D72" s="115"/>
      <c r="E72" s="115"/>
      <c r="F72" s="115"/>
      <c r="G72" s="115"/>
      <c r="H72" s="115"/>
      <c r="I72" s="115"/>
      <c r="J72" s="115"/>
      <c r="K72" s="115"/>
      <c r="L72" s="115"/>
    </row>
    <row r="73" spans="1:12" s="991" customFormat="1" ht="13.5">
      <c r="A73" s="2609"/>
      <c r="B73" s="2609"/>
      <c r="C73" s="2609"/>
      <c r="D73" s="2609"/>
      <c r="E73" s="2609"/>
      <c r="F73" s="2609"/>
      <c r="G73" s="2609"/>
      <c r="H73" s="2609"/>
      <c r="I73" s="2609"/>
      <c r="J73" s="2609"/>
      <c r="K73" s="2609"/>
      <c r="L73" s="2609"/>
    </row>
    <row r="74" spans="1:12" s="991" customFormat="1">
      <c r="B74" s="2608"/>
      <c r="C74" s="903"/>
      <c r="D74" s="903"/>
      <c r="E74" s="903"/>
      <c r="F74" s="903"/>
      <c r="G74" s="903"/>
      <c r="H74" s="903"/>
      <c r="I74" s="903"/>
      <c r="J74" s="903"/>
      <c r="K74" s="903"/>
      <c r="L74" s="903"/>
    </row>
    <row r="75" spans="1:12" s="991" customFormat="1">
      <c r="B75" s="2608"/>
      <c r="C75" s="903"/>
      <c r="D75" s="903"/>
      <c r="E75" s="903"/>
      <c r="F75" s="903"/>
      <c r="G75" s="903"/>
      <c r="H75" s="903"/>
      <c r="I75" s="903"/>
      <c r="J75" s="903"/>
      <c r="K75" s="903"/>
      <c r="L75" s="903"/>
    </row>
    <row r="76" spans="1:12" s="991" customFormat="1">
      <c r="B76" s="2608"/>
      <c r="C76" s="903"/>
      <c r="D76" s="903"/>
      <c r="E76" s="903"/>
      <c r="F76" s="903"/>
      <c r="G76" s="903"/>
      <c r="H76" s="903"/>
      <c r="I76" s="903"/>
      <c r="J76" s="903"/>
      <c r="K76" s="903"/>
      <c r="L76" s="903"/>
    </row>
    <row r="77" spans="1:12" ht="11.25" customHeight="1">
      <c r="A77" s="112" t="str">
        <f>head27a</f>
        <v>References</v>
      </c>
      <c r="B77" s="113"/>
      <c r="C77" s="118"/>
      <c r="D77" s="118"/>
      <c r="E77" s="118"/>
      <c r="F77" s="118"/>
      <c r="G77" s="118"/>
      <c r="H77" s="118"/>
      <c r="I77" s="118"/>
      <c r="J77" s="118"/>
      <c r="K77" s="118"/>
      <c r="L77" s="118"/>
    </row>
    <row r="78" spans="1:12" ht="11.25" customHeight="1">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c r="A80" s="161" t="s">
        <v>911</v>
      </c>
      <c r="B80" s="113"/>
      <c r="C80" s="117"/>
      <c r="D80" s="117"/>
      <c r="E80" s="118"/>
      <c r="F80" s="118"/>
      <c r="G80" s="118"/>
      <c r="H80" s="118"/>
      <c r="I80" s="118"/>
      <c r="J80" s="118"/>
      <c r="K80" s="118"/>
      <c r="L80" s="118"/>
    </row>
    <row r="81" spans="1:12" ht="11.25" customHeight="1">
      <c r="A81" s="161" t="s">
        <v>661</v>
      </c>
    </row>
    <row r="82" spans="1:12" ht="11.25" customHeight="1">
      <c r="A82" s="2588" t="s">
        <v>2539</v>
      </c>
      <c r="B82" s="1763"/>
      <c r="C82" s="240"/>
      <c r="D82" s="240"/>
      <c r="E82" s="240"/>
    </row>
    <row r="83" spans="1:12" ht="11.25" customHeight="1">
      <c r="A83" s="305" t="s">
        <v>1338</v>
      </c>
      <c r="C83" s="903">
        <f>C71-'A6-FinPos'!C48</f>
        <v>-415.71000027656555</v>
      </c>
      <c r="D83" s="903">
        <f>D71-'A6-FinPos'!D48</f>
        <v>-422.65000009536743</v>
      </c>
      <c r="E83" s="903">
        <f>E71-'A6-FinPos'!E48</f>
        <v>-319.54000043869019</v>
      </c>
      <c r="F83" s="903">
        <f>F71-'A6-FinPos'!F48</f>
        <v>-295.29999995231628</v>
      </c>
      <c r="G83" s="903">
        <f>G71-'A6-FinPos'!G48</f>
        <v>1019.1202049255371</v>
      </c>
      <c r="H83" s="903">
        <f>H71-'A6-FinPos'!H48</f>
        <v>252.32000017166138</v>
      </c>
      <c r="I83" s="903">
        <f>I71-'A6-FinPos'!I48</f>
        <v>252.32000017166138</v>
      </c>
      <c r="J83" s="903">
        <f>J71-'A6-FinPos'!J48</f>
        <v>0.90894651412963867</v>
      </c>
      <c r="K83" s="903">
        <f>K71-'A6-FinPos'!K48</f>
        <v>8.0555915832519531E-2</v>
      </c>
      <c r="L83" s="903">
        <f>L71-'A6-FinPos'!L48</f>
        <v>0.85849142074584961</v>
      </c>
    </row>
    <row r="84" spans="1:12" ht="11.25" customHeight="1">
      <c r="C84" s="183">
        <f>TREND(D84:H84)</f>
        <v>0</v>
      </c>
      <c r="D84" s="183">
        <f>TREND(E84:H84)</f>
        <v>0</v>
      </c>
      <c r="E84" s="183">
        <f>E74</f>
        <v>0</v>
      </c>
      <c r="F84" s="183">
        <f>H74</f>
        <v>0</v>
      </c>
      <c r="G84" s="183">
        <f>J74</f>
        <v>0</v>
      </c>
      <c r="H84" s="183">
        <f>K74</f>
        <v>0</v>
      </c>
      <c r="I84" s="183">
        <f>L74</f>
        <v>0</v>
      </c>
      <c r="J84" s="183"/>
      <c r="K84" s="183"/>
      <c r="L84" s="183"/>
    </row>
    <row r="85" spans="1:12" ht="11.25" customHeight="1"/>
    <row r="86" spans="1:12" ht="11.25" customHeight="1"/>
    <row r="87" spans="1:12" ht="11.25" customHeight="1"/>
    <row r="88" spans="1:12" ht="11.25" customHeight="1"/>
    <row r="89" spans="1:12" ht="11.25" customHeight="1"/>
    <row r="90" spans="1:12" ht="11.25" customHeight="1"/>
    <row r="91" spans="1:12" ht="11.25" customHeight="1"/>
    <row r="92" spans="1:12" ht="11.25" customHeight="1"/>
    <row r="93" spans="1:12" ht="11.25" customHeight="1"/>
    <row r="94" spans="1:12" ht="11.25" customHeight="1"/>
  </sheetData>
  <mergeCells count="4">
    <mergeCell ref="A2:A3"/>
    <mergeCell ref="B2:B3"/>
    <mergeCell ref="J2:L2"/>
    <mergeCell ref="F2:I2"/>
  </mergeCells>
  <phoneticPr fontId="5" type="noConversion"/>
  <dataValidations count="1">
    <dataValidation type="decimal" allowBlank="1" showInputMessage="1" showErrorMessage="1" sqref="C7:L8 C12:L13 C17:L19 C23:L25 C30:L31 C35:L38 C42:L43 C47:L47 C49:L50 C55:L56 C59:L62 C74:L76 C65:L69">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24" activePane="bottomRight" state="frozen"/>
      <selection pane="topRight"/>
      <selection pane="bottomLeft"/>
      <selection pane="bottomRight" activeCell="I9" sqref="I9"/>
    </sheetView>
  </sheetViews>
  <sheetFormatPr defaultColWidth="9.140625" defaultRowHeight="12.75"/>
  <cols>
    <col min="1" max="2" width="18.7109375" style="26" customWidth="1"/>
    <col min="3" max="3" width="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2" s="56" customFormat="1">
      <c r="A1" s="24" t="str">
        <f>muni&amp;" - "&amp;TableA4</f>
        <v>LIM333 Greater Tzaneen - Supporting Table SA4 Reconciliation of IDP strategic objectives and budget (revenue)</v>
      </c>
      <c r="B1" s="24"/>
      <c r="C1" s="24"/>
      <c r="D1" s="24"/>
      <c r="E1" s="24"/>
      <c r="F1" s="24"/>
      <c r="G1" s="24"/>
      <c r="H1" s="24"/>
      <c r="I1" s="24"/>
      <c r="J1" s="24"/>
      <c r="K1" s="24"/>
      <c r="L1" s="24"/>
      <c r="M1" s="24"/>
    </row>
    <row r="2" spans="1:22" ht="28.5" customHeight="1">
      <c r="A2" s="831" t="s">
        <v>844</v>
      </c>
      <c r="B2" s="840" t="s">
        <v>1181</v>
      </c>
      <c r="C2" s="499" t="s">
        <v>1807</v>
      </c>
      <c r="D2" s="2875" t="str">
        <f>head27</f>
        <v>Ref</v>
      </c>
      <c r="E2" s="22" t="str">
        <f>head1b</f>
        <v>2016/17</v>
      </c>
      <c r="F2" s="27" t="str">
        <f>head1A</f>
        <v>2017/18</v>
      </c>
      <c r="G2" s="23" t="str">
        <f>Head1</f>
        <v>2018/19</v>
      </c>
      <c r="H2" s="2842" t="str">
        <f>Head2</f>
        <v>Current Year 2019/20</v>
      </c>
      <c r="I2" s="2843"/>
      <c r="J2" s="2847"/>
      <c r="K2" s="2839" t="str">
        <f>Head3</f>
        <v>2020/21 Medium Term Revenue &amp; Expenditure Framework</v>
      </c>
      <c r="L2" s="2840"/>
      <c r="M2" s="2841"/>
    </row>
    <row r="3" spans="1:22" ht="25.5">
      <c r="A3" s="847" t="s">
        <v>569</v>
      </c>
      <c r="B3" s="846"/>
      <c r="C3" s="846"/>
      <c r="D3" s="2881"/>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row>
    <row r="4" spans="1:22" ht="102">
      <c r="A4" s="2008" t="s">
        <v>2861</v>
      </c>
      <c r="B4" s="2009" t="s">
        <v>2862</v>
      </c>
      <c r="C4" s="2009"/>
      <c r="D4" s="308"/>
      <c r="E4" s="2010">
        <v>150848.97</v>
      </c>
      <c r="F4" s="2010">
        <v>220826</v>
      </c>
      <c r="G4" s="2011">
        <v>233505</v>
      </c>
      <c r="H4" s="2012">
        <v>200000</v>
      </c>
      <c r="I4" s="2010">
        <v>200000</v>
      </c>
      <c r="J4" s="2013">
        <v>287974.48</v>
      </c>
      <c r="K4" s="2014">
        <v>200000</v>
      </c>
      <c r="L4" s="2010">
        <v>209200</v>
      </c>
      <c r="M4" s="2011">
        <v>218823.2</v>
      </c>
      <c r="N4" s="122"/>
      <c r="O4" s="122"/>
      <c r="P4" s="122"/>
      <c r="Q4" s="122"/>
      <c r="R4" s="122"/>
      <c r="S4" s="122"/>
      <c r="T4" s="122"/>
      <c r="U4" s="122"/>
      <c r="V4" s="307"/>
    </row>
    <row r="5" spans="1:22" ht="102">
      <c r="A5" s="2008" t="s">
        <v>2863</v>
      </c>
      <c r="B5" s="2009" t="s">
        <v>2864</v>
      </c>
      <c r="C5" s="2009"/>
      <c r="D5" s="308"/>
      <c r="E5" s="2010">
        <v>683359909.12</v>
      </c>
      <c r="F5" s="2010">
        <f>652809598.15-2447886+5221000</f>
        <v>655582712.14999998</v>
      </c>
      <c r="G5" s="2011">
        <v>623874839.65999997</v>
      </c>
      <c r="H5" s="2012">
        <v>848768939</v>
      </c>
      <c r="I5" s="2010">
        <v>857802939</v>
      </c>
      <c r="J5" s="2013">
        <f>829205908+10000000</f>
        <v>839205908</v>
      </c>
      <c r="K5" s="2014">
        <v>857008789</v>
      </c>
      <c r="L5" s="2010">
        <v>892122032</v>
      </c>
      <c r="M5" s="2011">
        <f>928262344+10859000</f>
        <v>939121344</v>
      </c>
      <c r="N5" s="122"/>
      <c r="O5" s="122"/>
      <c r="P5" s="122"/>
      <c r="Q5" s="122"/>
      <c r="R5" s="122"/>
      <c r="S5" s="122"/>
      <c r="T5" s="122"/>
      <c r="U5" s="122"/>
    </row>
    <row r="6" spans="1:22" ht="114.75">
      <c r="A6" s="2008" t="s">
        <v>2865</v>
      </c>
      <c r="B6" s="2009" t="s">
        <v>2866</v>
      </c>
      <c r="C6" s="2009"/>
      <c r="D6" s="308"/>
      <c r="E6" s="2010">
        <v>124266.7</v>
      </c>
      <c r="F6" s="2010">
        <f>10514479.87+560000</f>
        <v>11074479.869999999</v>
      </c>
      <c r="G6" s="2011">
        <v>250721.92000000001</v>
      </c>
      <c r="H6" s="2012">
        <v>69136</v>
      </c>
      <c r="I6" s="2010">
        <v>69136</v>
      </c>
      <c r="J6" s="2013">
        <v>53214</v>
      </c>
      <c r="K6" s="2014">
        <v>69136</v>
      </c>
      <c r="L6" s="2010">
        <v>72316.255999999994</v>
      </c>
      <c r="M6" s="2011">
        <v>75642.803776000001</v>
      </c>
      <c r="N6" s="122"/>
      <c r="O6" s="122"/>
      <c r="P6" s="122"/>
      <c r="Q6" s="122"/>
      <c r="R6" s="122"/>
      <c r="S6" s="122"/>
      <c r="T6" s="122"/>
      <c r="U6" s="122"/>
    </row>
    <row r="7" spans="1:22" ht="51">
      <c r="A7" s="2008" t="s">
        <v>2867</v>
      </c>
      <c r="B7" s="2009" t="s">
        <v>2868</v>
      </c>
      <c r="C7" s="2009"/>
      <c r="D7" s="308"/>
      <c r="E7" s="2010">
        <v>0</v>
      </c>
      <c r="F7" s="2010">
        <v>50468</v>
      </c>
      <c r="G7" s="2011">
        <v>0</v>
      </c>
      <c r="H7" s="2012">
        <v>101225</v>
      </c>
      <c r="I7" s="2010">
        <v>101225</v>
      </c>
      <c r="J7" s="2013">
        <v>2720</v>
      </c>
      <c r="K7" s="2014">
        <v>201100</v>
      </c>
      <c r="L7" s="2010">
        <v>210350.6</v>
      </c>
      <c r="M7" s="2011">
        <v>220026.72760000001</v>
      </c>
      <c r="N7" s="122"/>
      <c r="O7" s="122"/>
      <c r="P7" s="122"/>
      <c r="Q7" s="122"/>
      <c r="R7" s="122"/>
      <c r="S7" s="122"/>
      <c r="T7" s="122"/>
      <c r="U7" s="122"/>
    </row>
    <row r="8" spans="1:22" ht="89.25">
      <c r="A8" s="2008" t="s">
        <v>2873</v>
      </c>
      <c r="B8" s="2009" t="s">
        <v>2874</v>
      </c>
      <c r="C8" s="2009"/>
      <c r="D8" s="308"/>
      <c r="E8" s="2010">
        <v>5361114.28</v>
      </c>
      <c r="F8" s="2010">
        <v>0</v>
      </c>
      <c r="G8" s="2011">
        <v>110986.5</v>
      </c>
      <c r="H8" s="2012">
        <v>254</v>
      </c>
      <c r="I8" s="2010">
        <f>254+298000</f>
        <v>298254</v>
      </c>
      <c r="J8" s="2013">
        <v>0</v>
      </c>
      <c r="K8" s="2014">
        <v>254</v>
      </c>
      <c r="L8" s="2010">
        <v>265.68400000000003</v>
      </c>
      <c r="M8" s="2011">
        <v>277.90546399999999</v>
      </c>
      <c r="N8" s="122"/>
      <c r="O8" s="122"/>
      <c r="P8" s="122"/>
      <c r="Q8" s="122"/>
      <c r="R8" s="122"/>
      <c r="S8" s="122"/>
      <c r="T8" s="122"/>
      <c r="U8" s="122"/>
    </row>
    <row r="9" spans="1:22" ht="127.5">
      <c r="A9" s="2008" t="s">
        <v>2875</v>
      </c>
      <c r="B9" s="2009" t="s">
        <v>2876</v>
      </c>
      <c r="C9" s="2009"/>
      <c r="D9" s="308"/>
      <c r="E9" s="2010">
        <v>443106777</v>
      </c>
      <c r="F9" s="2010">
        <f>473881437.91-3333319</f>
        <v>470548118.91000003</v>
      </c>
      <c r="G9" s="2011">
        <f>510155704.23+2201607+361494</f>
        <v>512718805.23000002</v>
      </c>
      <c r="H9" s="2012">
        <v>510036650</v>
      </c>
      <c r="I9" s="2010">
        <v>510036650</v>
      </c>
      <c r="J9" s="2013">
        <v>563314437.22000003</v>
      </c>
      <c r="K9" s="2014">
        <f>551012725-4047000</f>
        <v>546965725</v>
      </c>
      <c r="L9" s="2010">
        <f>588880017.6-2825000</f>
        <v>586055017.60000002</v>
      </c>
      <c r="M9" s="2011">
        <v>615968498.40960002</v>
      </c>
      <c r="N9" s="122"/>
      <c r="O9" s="122"/>
      <c r="P9" s="122"/>
      <c r="Q9" s="122"/>
      <c r="R9" s="122"/>
      <c r="S9" s="122"/>
      <c r="T9" s="122"/>
      <c r="U9" s="122"/>
    </row>
    <row r="10" spans="1:22" ht="76.5">
      <c r="A10" s="2008" t="s">
        <v>3435</v>
      </c>
      <c r="B10" s="2009" t="s">
        <v>2878</v>
      </c>
      <c r="C10" s="2009"/>
      <c r="D10" s="308"/>
      <c r="E10" s="2010">
        <v>968</v>
      </c>
      <c r="F10" s="2010">
        <v>0</v>
      </c>
      <c r="G10" s="2011">
        <v>636404.06999999995</v>
      </c>
      <c r="H10" s="2012">
        <v>103</v>
      </c>
      <c r="I10" s="2010">
        <v>103</v>
      </c>
      <c r="J10" s="2013">
        <v>939106</v>
      </c>
      <c r="K10" s="2014">
        <v>1200103</v>
      </c>
      <c r="L10" s="2010">
        <v>1255307.7379999999</v>
      </c>
      <c r="M10" s="2011">
        <v>1313051.8939479999</v>
      </c>
      <c r="N10" s="122"/>
      <c r="O10" s="122"/>
      <c r="P10" s="122"/>
      <c r="Q10" s="122"/>
      <c r="R10" s="122"/>
      <c r="S10" s="122"/>
      <c r="T10" s="122"/>
      <c r="U10" s="122"/>
    </row>
    <row r="11" spans="1:22" ht="63.75">
      <c r="A11" s="2008" t="s">
        <v>2869</v>
      </c>
      <c r="B11" s="2009" t="s">
        <v>2870</v>
      </c>
      <c r="C11" s="2009"/>
      <c r="D11" s="308"/>
      <c r="E11" s="2010">
        <v>175032</v>
      </c>
      <c r="F11" s="2010"/>
      <c r="G11" s="2011">
        <v>3139120</v>
      </c>
      <c r="H11" s="2012"/>
      <c r="I11" s="2010"/>
      <c r="J11" s="2013"/>
      <c r="K11" s="2014"/>
      <c r="L11" s="2010"/>
      <c r="M11" s="2011"/>
      <c r="N11" s="122"/>
      <c r="O11" s="122"/>
      <c r="P11" s="122"/>
      <c r="Q11" s="122"/>
      <c r="R11" s="122"/>
      <c r="S11" s="122"/>
      <c r="T11" s="122"/>
      <c r="U11" s="122"/>
    </row>
    <row r="12" spans="1:22">
      <c r="A12" s="2008"/>
      <c r="B12" s="2009"/>
      <c r="C12" s="2009"/>
      <c r="D12" s="308"/>
      <c r="E12" s="2010"/>
      <c r="F12" s="2010"/>
      <c r="G12" s="2011"/>
      <c r="H12" s="2012"/>
      <c r="I12" s="2010"/>
      <c r="J12" s="2013"/>
      <c r="K12" s="2014"/>
      <c r="L12" s="2010"/>
      <c r="M12" s="2011"/>
      <c r="N12" s="122"/>
      <c r="O12" s="122"/>
      <c r="P12" s="122"/>
      <c r="Q12" s="122"/>
      <c r="R12" s="122"/>
      <c r="S12" s="122"/>
      <c r="T12" s="122"/>
      <c r="U12" s="122"/>
    </row>
    <row r="13" spans="1:22" ht="53.25" customHeight="1">
      <c r="A13" s="2008"/>
      <c r="B13" s="2009"/>
      <c r="C13" s="2009"/>
      <c r="D13" s="308"/>
      <c r="E13" s="2010"/>
      <c r="F13" s="2010"/>
      <c r="G13" s="2011"/>
      <c r="H13" s="2012"/>
      <c r="I13" s="2010"/>
      <c r="J13" s="2013"/>
      <c r="K13" s="2014"/>
      <c r="L13" s="2010"/>
      <c r="M13" s="2011"/>
      <c r="N13" s="122"/>
      <c r="O13" s="122"/>
      <c r="P13" s="122"/>
      <c r="Q13" s="122"/>
      <c r="R13" s="122"/>
      <c r="S13" s="122"/>
      <c r="T13" s="122"/>
      <c r="U13" s="122"/>
    </row>
    <row r="14" spans="1:22">
      <c r="A14" s="2008"/>
      <c r="B14" s="2009"/>
      <c r="C14" s="2009"/>
      <c r="D14" s="308"/>
      <c r="E14" s="2010"/>
      <c r="F14" s="2010"/>
      <c r="G14" s="2011"/>
      <c r="H14" s="2012"/>
      <c r="I14" s="2010"/>
      <c r="J14" s="2013"/>
      <c r="K14" s="2014"/>
      <c r="L14" s="2010"/>
      <c r="M14" s="2011"/>
      <c r="N14" s="122"/>
      <c r="O14" s="122"/>
      <c r="P14" s="122"/>
      <c r="Q14" s="122"/>
      <c r="R14" s="122"/>
      <c r="S14" s="122"/>
      <c r="T14" s="122"/>
      <c r="U14" s="122"/>
    </row>
    <row r="15" spans="1:22">
      <c r="A15" s="2008"/>
      <c r="B15" s="2009"/>
      <c r="C15" s="2009"/>
      <c r="D15" s="308"/>
      <c r="E15" s="2010"/>
      <c r="F15" s="2010"/>
      <c r="G15" s="2011"/>
      <c r="H15" s="2012"/>
      <c r="I15" s="2010"/>
      <c r="J15" s="2013"/>
      <c r="K15" s="2014"/>
      <c r="L15" s="2010"/>
      <c r="M15" s="2011"/>
      <c r="N15" s="122"/>
      <c r="O15" s="122"/>
      <c r="P15" s="122"/>
      <c r="Q15" s="122"/>
      <c r="R15" s="122"/>
      <c r="S15" s="122"/>
      <c r="T15" s="122"/>
      <c r="U15" s="122"/>
    </row>
    <row r="16" spans="1:22">
      <c r="A16" s="2008"/>
      <c r="B16" s="2009"/>
      <c r="C16" s="2009"/>
      <c r="D16" s="308"/>
      <c r="E16" s="2010"/>
      <c r="F16" s="2010"/>
      <c r="G16" s="2011"/>
      <c r="H16" s="2012"/>
      <c r="I16" s="2010"/>
      <c r="J16" s="2013"/>
      <c r="K16" s="2014"/>
      <c r="L16" s="2010"/>
      <c r="M16" s="2011"/>
      <c r="N16" s="122"/>
      <c r="O16" s="122"/>
      <c r="P16" s="122"/>
      <c r="Q16" s="122"/>
      <c r="R16" s="122"/>
      <c r="S16" s="122"/>
      <c r="T16" s="122"/>
      <c r="U16" s="122"/>
    </row>
    <row r="17" spans="1:21">
      <c r="A17" s="2008"/>
      <c r="B17" s="2009"/>
      <c r="C17" s="2009"/>
      <c r="D17" s="308"/>
      <c r="E17" s="2010"/>
      <c r="F17" s="2010"/>
      <c r="G17" s="2011"/>
      <c r="H17" s="2012"/>
      <c r="I17" s="2010"/>
      <c r="J17" s="2013"/>
      <c r="K17" s="2014"/>
      <c r="L17" s="2010"/>
      <c r="M17" s="2011"/>
      <c r="N17" s="122"/>
      <c r="O17" s="122"/>
      <c r="P17" s="122"/>
      <c r="Q17" s="122"/>
      <c r="R17" s="122"/>
      <c r="S17" s="122"/>
      <c r="T17" s="122"/>
      <c r="U17" s="122"/>
    </row>
    <row r="18" spans="1:21">
      <c r="A18" s="2008"/>
      <c r="B18" s="2009"/>
      <c r="C18" s="2009"/>
      <c r="D18" s="308"/>
      <c r="E18" s="2010"/>
      <c r="F18" s="2010"/>
      <c r="G18" s="2011"/>
      <c r="H18" s="2012"/>
      <c r="I18" s="2010"/>
      <c r="J18" s="2013"/>
      <c r="K18" s="2014"/>
      <c r="L18" s="2010"/>
      <c r="M18" s="2011"/>
      <c r="N18" s="122"/>
      <c r="O18" s="122"/>
      <c r="P18" s="122"/>
      <c r="Q18" s="122"/>
      <c r="R18" s="122"/>
      <c r="S18" s="122"/>
      <c r="T18" s="122"/>
      <c r="U18" s="122"/>
    </row>
    <row r="19" spans="1:21">
      <c r="A19" s="2008"/>
      <c r="B19" s="2009"/>
      <c r="C19" s="2009"/>
      <c r="D19" s="308"/>
      <c r="E19" s="2010"/>
      <c r="F19" s="2010"/>
      <c r="G19" s="2011"/>
      <c r="H19" s="2012"/>
      <c r="I19" s="2010"/>
      <c r="J19" s="2013"/>
      <c r="K19" s="2014"/>
      <c r="L19" s="2010"/>
      <c r="M19" s="2011"/>
      <c r="N19" s="122"/>
      <c r="O19" s="122"/>
      <c r="P19" s="122"/>
      <c r="Q19" s="122"/>
      <c r="R19" s="122"/>
      <c r="S19" s="122"/>
      <c r="T19" s="122"/>
      <c r="U19" s="122"/>
    </row>
    <row r="20" spans="1:21">
      <c r="A20" s="2008"/>
      <c r="B20" s="2009"/>
      <c r="C20" s="2009"/>
      <c r="D20" s="308"/>
      <c r="E20" s="2010"/>
      <c r="F20" s="2010"/>
      <c r="G20" s="2011"/>
      <c r="H20" s="2012"/>
      <c r="I20" s="2010"/>
      <c r="J20" s="2013"/>
      <c r="K20" s="2014"/>
      <c r="L20" s="2010"/>
      <c r="M20" s="2011"/>
      <c r="N20" s="122"/>
      <c r="O20" s="122"/>
      <c r="P20" s="122"/>
      <c r="Q20" s="122"/>
      <c r="R20" s="122"/>
      <c r="S20" s="122"/>
      <c r="T20" s="122"/>
      <c r="U20" s="122"/>
    </row>
    <row r="21" spans="1:21">
      <c r="A21" s="1644" t="s">
        <v>1812</v>
      </c>
      <c r="B21" s="1645"/>
      <c r="C21" s="1646"/>
      <c r="D21" s="308">
        <v>2</v>
      </c>
      <c r="E21" s="2015"/>
      <c r="F21" s="2015"/>
      <c r="G21" s="2016"/>
      <c r="H21" s="2017"/>
      <c r="I21" s="2015"/>
      <c r="J21" s="2018"/>
      <c r="K21" s="2019"/>
      <c r="L21" s="2015"/>
      <c r="M21" s="2016"/>
      <c r="N21" s="122"/>
      <c r="O21" s="122"/>
      <c r="P21" s="122"/>
      <c r="Q21" s="122"/>
      <c r="R21" s="122"/>
      <c r="S21" s="122"/>
      <c r="T21" s="122"/>
      <c r="U21" s="122"/>
    </row>
    <row r="22" spans="1:21" ht="12.75" customHeight="1">
      <c r="A22" s="219" t="str">
        <f>'A4-FinPerf RE'!A21</f>
        <v>Total Revenue (excluding capital transfers and contributions)</v>
      </c>
      <c r="B22" s="309"/>
      <c r="C22" s="309"/>
      <c r="D22" s="220">
        <v>1</v>
      </c>
      <c r="E22" s="107">
        <f t="shared" ref="E22:M22" si="0">SUM(E4:E21)</f>
        <v>1132278916.0700002</v>
      </c>
      <c r="F22" s="107">
        <f t="shared" si="0"/>
        <v>1137476604.9300001</v>
      </c>
      <c r="G22" s="105">
        <f t="shared" si="0"/>
        <v>1140964382.3799999</v>
      </c>
      <c r="H22" s="106">
        <f t="shared" si="0"/>
        <v>1359176307</v>
      </c>
      <c r="I22" s="107">
        <f t="shared" si="0"/>
        <v>1368508307</v>
      </c>
      <c r="J22" s="108">
        <f t="shared" si="0"/>
        <v>1403803359.7</v>
      </c>
      <c r="K22" s="109">
        <f t="shared" si="0"/>
        <v>1405645107</v>
      </c>
      <c r="L22" s="107">
        <f t="shared" si="0"/>
        <v>1479924489.878</v>
      </c>
      <c r="M22" s="105">
        <f t="shared" si="0"/>
        <v>1556917664.9403882</v>
      </c>
    </row>
    <row r="23" spans="1:21" s="576" customFormat="1">
      <c r="A23" s="1063" t="str">
        <f>head27a</f>
        <v>References</v>
      </c>
      <c r="B23" s="877"/>
      <c r="C23" s="877"/>
      <c r="D23" s="874"/>
      <c r="E23" s="878"/>
      <c r="F23" s="878"/>
      <c r="G23" s="878"/>
      <c r="H23" s="878"/>
      <c r="I23" s="878"/>
      <c r="J23" s="878"/>
      <c r="K23" s="878"/>
      <c r="L23" s="878"/>
      <c r="M23" s="878"/>
    </row>
    <row r="24" spans="1:21" s="576" customFormat="1">
      <c r="A24" s="1025" t="str">
        <f>"1. Total revenue must reconcile to "&amp;'Template names'!F103</f>
        <v>1. Total revenue must reconcile to Table A4 Budgeted Financial Performance (revenue and expenditure)</v>
      </c>
      <c r="B24" s="898"/>
      <c r="C24" s="898"/>
      <c r="D24" s="874"/>
      <c r="E24" s="878"/>
      <c r="F24" s="877"/>
      <c r="G24" s="878"/>
      <c r="H24" s="878"/>
      <c r="I24" s="878"/>
      <c r="J24" s="878"/>
      <c r="K24" s="878"/>
      <c r="L24" s="878"/>
      <c r="M24" s="878"/>
    </row>
    <row r="25" spans="1:21">
      <c r="A25" s="26" t="s">
        <v>1813</v>
      </c>
    </row>
    <row r="26" spans="1:21">
      <c r="A26" s="162" t="s">
        <v>847</v>
      </c>
      <c r="B26" s="123"/>
      <c r="C26" s="123"/>
      <c r="D26" s="113"/>
      <c r="E26" s="79">
        <f>E22-'A4-FinPerf RE'!C59</f>
        <v>210.11000037193298</v>
      </c>
      <c r="F26" s="79">
        <f>F22-'A4-FinPerf RE'!D59</f>
        <v>-204.6399998664856</v>
      </c>
      <c r="G26" s="132">
        <f>G22-'A4-FinPerf RE'!E59</f>
        <v>-0.1399998664855957</v>
      </c>
      <c r="H26" s="132">
        <f>H22-'A4-FinPerf RE'!F59</f>
        <v>0</v>
      </c>
      <c r="I26" s="132">
        <f>I22-'A4-FinPerf RE'!G59</f>
        <v>269.98000001907349</v>
      </c>
      <c r="J26" s="132">
        <f>J22-'A4-FinPerf RE'!H59</f>
        <v>-0.1400001049041748</v>
      </c>
      <c r="K26" s="132">
        <f>K22-'A4-FinPerf RE'!J59</f>
        <v>-125</v>
      </c>
      <c r="L26" s="132">
        <f>L22-'A4-FinPerf RE'!K59</f>
        <v>-130.79399991035461</v>
      </c>
      <c r="M26" s="132">
        <f>M22-'A4-FinPerf RE'!L59</f>
        <v>-112.28252363204956</v>
      </c>
    </row>
    <row r="27" spans="1:21">
      <c r="E27" s="316"/>
    </row>
    <row r="28" spans="1:21">
      <c r="E28" s="316"/>
    </row>
  </sheetData>
  <mergeCells count="3">
    <mergeCell ref="H2:J2"/>
    <mergeCell ref="K2:M2"/>
    <mergeCell ref="D2:D3"/>
  </mergeCells>
  <phoneticPr fontId="5"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32"/>
  <sheetViews>
    <sheetView showGridLines="0" zoomScaleNormal="100" workbookViewId="0">
      <pane xSplit="4" ySplit="3" topLeftCell="E26" activePane="bottomRight" state="frozen"/>
      <selection pane="topRight"/>
      <selection pane="bottomLeft"/>
      <selection pane="bottomRight" activeCell="I11" sqref="I11"/>
    </sheetView>
  </sheetViews>
  <sheetFormatPr defaultColWidth="9.140625" defaultRowHeight="12.75"/>
  <cols>
    <col min="1" max="2" width="18.7109375" style="26" customWidth="1"/>
    <col min="3" max="3" width="5.28515625" style="26" customWidth="1"/>
    <col min="4" max="4" width="3" style="124" customWidth="1"/>
    <col min="5" max="13" width="9.28515625" style="26" customWidth="1"/>
    <col min="14" max="14" width="32.7109375" style="26" bestFit="1" customWidth="1"/>
    <col min="15" max="15" width="1.42578125" style="26" customWidth="1"/>
    <col min="16" max="17" width="8" style="26" bestFit="1" customWidth="1"/>
    <col min="18" max="18" width="8.42578125" style="26" bestFit="1" customWidth="1"/>
    <col min="19" max="20" width="8" style="26" bestFit="1" customWidth="1"/>
    <col min="21" max="24" width="8.7109375" style="26" bestFit="1" customWidth="1"/>
    <col min="25" max="26" width="9.7109375" style="26" customWidth="1"/>
    <col min="27" max="16384" width="9.140625" style="26"/>
  </cols>
  <sheetData>
    <row r="1" spans="1:25" ht="13.5">
      <c r="A1" s="24" t="str">
        <f>muni&amp;" - "&amp;TableA5</f>
        <v>LIM333 Greater Tzaneen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c r="A2" s="831" t="s">
        <v>844</v>
      </c>
      <c r="B2" s="840" t="s">
        <v>1181</v>
      </c>
      <c r="C2" s="499" t="s">
        <v>1807</v>
      </c>
      <c r="D2" s="2875" t="str">
        <f>head27</f>
        <v>Ref</v>
      </c>
      <c r="E2" s="22" t="str">
        <f>head1b</f>
        <v>2016/17</v>
      </c>
      <c r="F2" s="27" t="str">
        <f>head1A</f>
        <v>2017/18</v>
      </c>
      <c r="G2" s="23" t="str">
        <f>Head1</f>
        <v>2018/19</v>
      </c>
      <c r="H2" s="2842" t="str">
        <f>Head2</f>
        <v>Current Year 2019/20</v>
      </c>
      <c r="I2" s="2843"/>
      <c r="J2" s="2847"/>
      <c r="K2" s="2839" t="str">
        <f>Head3</f>
        <v>2020/21 Medium Term Revenue &amp; Expenditure Framework</v>
      </c>
      <c r="L2" s="2840"/>
      <c r="M2" s="2841"/>
      <c r="N2" s="123"/>
      <c r="O2" s="123"/>
      <c r="P2" s="123"/>
      <c r="Q2" s="123"/>
    </row>
    <row r="3" spans="1:25" ht="25.5">
      <c r="A3" s="847" t="s">
        <v>569</v>
      </c>
      <c r="B3" s="846"/>
      <c r="C3" s="846"/>
      <c r="D3" s="2881"/>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c r="N3" s="123"/>
      <c r="O3" s="123"/>
      <c r="P3" s="123"/>
      <c r="Q3" s="123"/>
    </row>
    <row r="4" spans="1:25" ht="42.75" customHeight="1">
      <c r="A4" s="2008" t="s">
        <v>2861</v>
      </c>
      <c r="B4" s="2009" t="s">
        <v>2862</v>
      </c>
      <c r="C4" s="2009"/>
      <c r="D4" s="308"/>
      <c r="E4" s="2010">
        <v>7997879.3000000007</v>
      </c>
      <c r="F4" s="2010">
        <v>8226104.620000001</v>
      </c>
      <c r="G4" s="2011">
        <v>8343660.9499999993</v>
      </c>
      <c r="H4" s="2012">
        <v>10983673</v>
      </c>
      <c r="I4" s="2010">
        <v>10694575.5</v>
      </c>
      <c r="J4" s="2013">
        <v>9617157</v>
      </c>
      <c r="K4" s="2014">
        <v>10869533</v>
      </c>
      <c r="L4" s="2010">
        <v>11368094.155999996</v>
      </c>
      <c r="M4" s="2011">
        <v>11890842.487176001</v>
      </c>
      <c r="N4" s="311"/>
      <c r="O4" s="311"/>
      <c r="P4" s="132"/>
      <c r="Q4" s="132"/>
      <c r="R4" s="132"/>
      <c r="S4" s="132"/>
      <c r="T4" s="132"/>
      <c r="U4" s="132"/>
      <c r="V4" s="132"/>
      <c r="W4" s="132"/>
      <c r="X4" s="132"/>
      <c r="Y4" s="312"/>
    </row>
    <row r="5" spans="1:25" ht="42.75" customHeight="1">
      <c r="A5" s="2008" t="s">
        <v>2863</v>
      </c>
      <c r="B5" s="2009" t="s">
        <v>2864</v>
      </c>
      <c r="C5" s="2009"/>
      <c r="D5" s="308"/>
      <c r="E5" s="2010">
        <v>724892700.47000003</v>
      </c>
      <c r="F5" s="2010">
        <f>711689566.33+670737.4</f>
        <v>712360303.73000002</v>
      </c>
      <c r="G5" s="2011">
        <v>699527940.14999962</v>
      </c>
      <c r="H5" s="2012">
        <f>898807593.92+15289000</f>
        <v>914096593.91999996</v>
      </c>
      <c r="I5" s="2010">
        <v>846301593.91999996</v>
      </c>
      <c r="J5" s="2013">
        <v>846590000</v>
      </c>
      <c r="K5" s="2014">
        <v>868276283</v>
      </c>
      <c r="L5" s="2010">
        <v>892342544.91600001</v>
      </c>
      <c r="M5" s="2011">
        <v>931788642.19413602</v>
      </c>
      <c r="N5" s="311"/>
      <c r="O5" s="311"/>
      <c r="P5" s="132"/>
      <c r="Q5" s="132"/>
      <c r="R5" s="132"/>
      <c r="S5" s="132"/>
      <c r="T5" s="132"/>
      <c r="U5" s="132"/>
      <c r="V5" s="132"/>
      <c r="W5" s="132"/>
      <c r="X5" s="132"/>
      <c r="Y5" s="312"/>
    </row>
    <row r="6" spans="1:25" ht="42.75" customHeight="1">
      <c r="A6" s="2008" t="s">
        <v>2865</v>
      </c>
      <c r="B6" s="2009" t="s">
        <v>2866</v>
      </c>
      <c r="C6" s="2009"/>
      <c r="D6" s="308"/>
      <c r="E6" s="2010">
        <v>24540009.199999988</v>
      </c>
      <c r="F6" s="2010">
        <f>28507017.36+70088.88</f>
        <v>28577106.239999998</v>
      </c>
      <c r="G6" s="2011">
        <v>30721925.72000001</v>
      </c>
      <c r="H6" s="2012">
        <v>30350589</v>
      </c>
      <c r="I6" s="2010">
        <v>29250589</v>
      </c>
      <c r="J6" s="2013">
        <v>28568500</v>
      </c>
      <c r="K6" s="2014">
        <v>32320536</v>
      </c>
      <c r="L6" s="2010">
        <v>33749018.224000007</v>
      </c>
      <c r="M6" s="2011">
        <v>35282250.832303993</v>
      </c>
      <c r="N6" s="311"/>
      <c r="O6" s="311"/>
      <c r="P6" s="132"/>
      <c r="Q6" s="132"/>
      <c r="R6" s="132"/>
      <c r="S6" s="132"/>
      <c r="T6" s="132"/>
      <c r="U6" s="132"/>
      <c r="V6" s="132"/>
      <c r="W6" s="132"/>
      <c r="X6" s="132"/>
      <c r="Y6" s="312"/>
    </row>
    <row r="7" spans="1:25" ht="42.75" customHeight="1">
      <c r="A7" s="2008" t="s">
        <v>2867</v>
      </c>
      <c r="B7" s="2009" t="s">
        <v>2868</v>
      </c>
      <c r="C7" s="2009"/>
      <c r="D7" s="308"/>
      <c r="E7" s="2010">
        <v>36965427.129999995</v>
      </c>
      <c r="F7" s="2010">
        <f>42523799.92-4400+690.22+1938.8</f>
        <v>42522028.939999998</v>
      </c>
      <c r="G7" s="2011">
        <v>40861739.400000013</v>
      </c>
      <c r="H7" s="2012">
        <v>45826805</v>
      </c>
      <c r="I7" s="2010">
        <v>45826805</v>
      </c>
      <c r="J7" s="2013">
        <v>42228637.979999997</v>
      </c>
      <c r="K7" s="2014">
        <v>39346900.129999995</v>
      </c>
      <c r="L7" s="2010">
        <v>41156521.459980004</v>
      </c>
      <c r="M7" s="2011">
        <v>43049721.447139077</v>
      </c>
      <c r="N7" s="311"/>
      <c r="O7" s="311"/>
      <c r="P7" s="132"/>
      <c r="Q7" s="132"/>
      <c r="R7" s="132"/>
      <c r="S7" s="132"/>
      <c r="T7" s="132"/>
      <c r="U7" s="132"/>
      <c r="V7" s="132"/>
      <c r="W7" s="132"/>
      <c r="X7" s="132"/>
      <c r="Y7" s="312"/>
    </row>
    <row r="8" spans="1:25" ht="42.75" customHeight="1">
      <c r="A8" s="2008" t="s">
        <v>2869</v>
      </c>
      <c r="B8" s="2009" t="s">
        <v>2870</v>
      </c>
      <c r="C8" s="2009"/>
      <c r="D8" s="308"/>
      <c r="E8" s="2010">
        <v>8106490</v>
      </c>
      <c r="F8" s="2010">
        <f>8242222.88+512649-167297+367492</f>
        <v>8955066.879999999</v>
      </c>
      <c r="G8" s="2011">
        <f>8302179.38+3893000</f>
        <v>12195179.379999999</v>
      </c>
      <c r="H8" s="2012">
        <v>10103723</v>
      </c>
      <c r="I8" s="2010">
        <v>10103723</v>
      </c>
      <c r="J8" s="2013">
        <v>11437984.859999999</v>
      </c>
      <c r="K8" s="2014">
        <v>9918369</v>
      </c>
      <c r="L8" s="2010">
        <v>10374613.973999999</v>
      </c>
      <c r="M8" s="2011">
        <v>10851846.216804</v>
      </c>
      <c r="N8" s="313"/>
      <c r="O8" s="313"/>
      <c r="P8" s="132"/>
      <c r="Q8" s="132"/>
      <c r="R8" s="132"/>
      <c r="S8" s="132"/>
      <c r="T8" s="132"/>
      <c r="U8" s="132"/>
      <c r="V8" s="132"/>
      <c r="W8" s="132"/>
      <c r="X8" s="132"/>
    </row>
    <row r="9" spans="1:25" ht="42.75" customHeight="1">
      <c r="A9" s="2008" t="s">
        <v>2871</v>
      </c>
      <c r="B9" s="2009" t="s">
        <v>2872</v>
      </c>
      <c r="C9" s="2009"/>
      <c r="D9" s="308"/>
      <c r="E9" s="2010">
        <v>10818955.510000002</v>
      </c>
      <c r="F9" s="2010">
        <v>12629092.9</v>
      </c>
      <c r="G9" s="2011">
        <v>12209472.139999999</v>
      </c>
      <c r="H9" s="2012">
        <v>15236355.329999998</v>
      </c>
      <c r="I9" s="2010">
        <v>15236355.329999998</v>
      </c>
      <c r="J9" s="2013">
        <v>15108570.079999998</v>
      </c>
      <c r="K9" s="2014">
        <v>16933248</v>
      </c>
      <c r="L9" s="2010">
        <v>17711014.16</v>
      </c>
      <c r="M9" s="2011">
        <v>18525628.811360002</v>
      </c>
      <c r="N9" s="313"/>
      <c r="O9" s="313"/>
      <c r="P9" s="132"/>
      <c r="Q9" s="132"/>
      <c r="R9" s="132"/>
      <c r="S9" s="132"/>
      <c r="T9" s="132"/>
      <c r="U9" s="132"/>
      <c r="V9" s="132"/>
      <c r="W9" s="132"/>
      <c r="X9" s="132"/>
    </row>
    <row r="10" spans="1:25" ht="42.75" customHeight="1">
      <c r="A10" s="2008" t="s">
        <v>2873</v>
      </c>
      <c r="B10" s="2009" t="s">
        <v>2874</v>
      </c>
      <c r="C10" s="2009"/>
      <c r="D10" s="308"/>
      <c r="E10" s="2010">
        <v>192644276.52999994</v>
      </c>
      <c r="F10" s="2010">
        <f>194714626.35+989798.21+90000</f>
        <v>195794424.56</v>
      </c>
      <c r="G10" s="2011">
        <v>210680570.64999998</v>
      </c>
      <c r="H10" s="2012">
        <v>167050821.71000001</v>
      </c>
      <c r="I10" s="2010">
        <f>163520821.71+298000</f>
        <v>163818821.71000001</v>
      </c>
      <c r="J10" s="2013">
        <v>188408847.12</v>
      </c>
      <c r="K10" s="2014">
        <v>169927235.88</v>
      </c>
      <c r="L10" s="2010">
        <v>178075626.13848001</v>
      </c>
      <c r="M10" s="2011">
        <v>186356317.24085021</v>
      </c>
      <c r="N10" s="314"/>
      <c r="O10" s="314"/>
      <c r="P10" s="132"/>
      <c r="Q10" s="132"/>
      <c r="R10" s="132"/>
      <c r="S10" s="132"/>
      <c r="T10" s="132"/>
      <c r="U10" s="132"/>
      <c r="V10" s="132"/>
      <c r="W10" s="132"/>
      <c r="X10" s="132"/>
    </row>
    <row r="11" spans="1:25" ht="42.75" customHeight="1">
      <c r="A11" s="2008" t="s">
        <v>2875</v>
      </c>
      <c r="B11" s="2009" t="s">
        <v>2876</v>
      </c>
      <c r="C11" s="2009"/>
      <c r="D11" s="308"/>
      <c r="E11" s="2010">
        <v>94648645.409999982</v>
      </c>
      <c r="F11" s="2010">
        <f>196336788.37-2577496.75</f>
        <v>193759291.62</v>
      </c>
      <c r="G11" s="2011">
        <f>171080699.84+2201607</f>
        <v>173282306.84</v>
      </c>
      <c r="H11" s="2012">
        <v>111690531</v>
      </c>
      <c r="I11" s="2010">
        <v>102502249</v>
      </c>
      <c r="J11" s="2013">
        <v>111335030</v>
      </c>
      <c r="K11" s="2014">
        <v>114574995</v>
      </c>
      <c r="L11" s="2010">
        <f>117370417.154+1167000+600000</f>
        <v>119137417.154</v>
      </c>
      <c r="M11" s="2011">
        <f>122768996.343084+1036000</f>
        <v>123804996.34308399</v>
      </c>
      <c r="N11" s="314"/>
      <c r="O11" s="314"/>
      <c r="P11" s="132"/>
      <c r="Q11" s="132"/>
      <c r="R11" s="132"/>
      <c r="S11" s="132"/>
      <c r="T11" s="132"/>
      <c r="U11" s="132"/>
      <c r="V11" s="132"/>
      <c r="W11" s="132"/>
      <c r="X11" s="132"/>
    </row>
    <row r="12" spans="1:25" ht="42.75" customHeight="1">
      <c r="A12" s="2008" t="s">
        <v>2877</v>
      </c>
      <c r="B12" s="2009" t="s">
        <v>2878</v>
      </c>
      <c r="C12" s="2009"/>
      <c r="D12" s="308"/>
      <c r="E12" s="2010">
        <v>17641153.500000004</v>
      </c>
      <c r="F12" s="2010">
        <f>19676867.34+45988.41</f>
        <v>19722855.75</v>
      </c>
      <c r="G12" s="2011">
        <v>20888441</v>
      </c>
      <c r="H12" s="2012">
        <v>23511812</v>
      </c>
      <c r="I12" s="2010">
        <f>23511812+1083116</f>
        <v>24594928</v>
      </c>
      <c r="J12" s="2013">
        <v>21797113.699999999</v>
      </c>
      <c r="K12" s="2014">
        <v>24911614</v>
      </c>
      <c r="L12" s="2010">
        <v>26018591.855999991</v>
      </c>
      <c r="M12" s="2011">
        <v>27215263.081376001</v>
      </c>
      <c r="N12" s="314"/>
      <c r="O12" s="314"/>
      <c r="P12" s="132"/>
      <c r="Q12" s="132"/>
      <c r="R12" s="132"/>
      <c r="S12" s="132"/>
      <c r="T12" s="132"/>
      <c r="U12" s="132"/>
      <c r="V12" s="132"/>
      <c r="W12" s="132"/>
      <c r="X12" s="132"/>
    </row>
    <row r="13" spans="1:25" ht="42.75" customHeight="1">
      <c r="A13" s="2008" t="s">
        <v>2879</v>
      </c>
      <c r="B13" s="2009" t="s">
        <v>2880</v>
      </c>
      <c r="C13" s="2009"/>
      <c r="D13" s="308"/>
      <c r="E13" s="2010">
        <v>120966.14000000001</v>
      </c>
      <c r="F13" s="2010">
        <v>108832.31</v>
      </c>
      <c r="G13" s="2011">
        <v>117658.29</v>
      </c>
      <c r="H13" s="2012">
        <v>335075</v>
      </c>
      <c r="I13" s="2010">
        <v>335075</v>
      </c>
      <c r="J13" s="2013">
        <v>73131.92</v>
      </c>
      <c r="K13" s="2014">
        <v>276075</v>
      </c>
      <c r="L13" s="2010">
        <v>288774.44999999995</v>
      </c>
      <c r="M13" s="2011">
        <v>302058.0747</v>
      </c>
      <c r="N13" s="123"/>
      <c r="O13" s="123"/>
      <c r="P13" s="132"/>
      <c r="Q13" s="132"/>
      <c r="R13" s="132"/>
      <c r="S13" s="132"/>
      <c r="T13" s="132"/>
      <c r="U13" s="132"/>
      <c r="V13" s="132"/>
      <c r="W13" s="132"/>
      <c r="X13" s="132"/>
    </row>
    <row r="14" spans="1:25" ht="42.75" customHeight="1">
      <c r="A14" s="2008"/>
      <c r="B14" s="2009"/>
      <c r="C14" s="2009"/>
      <c r="D14" s="308"/>
      <c r="E14" s="2010"/>
      <c r="F14" s="2010"/>
      <c r="G14" s="2011"/>
      <c r="H14" s="2012"/>
      <c r="I14" s="2010"/>
      <c r="J14" s="2013"/>
      <c r="K14" s="2014"/>
      <c r="L14" s="2010"/>
      <c r="M14" s="2011"/>
      <c r="N14" s="123"/>
      <c r="O14" s="123"/>
      <c r="P14" s="132"/>
      <c r="Q14" s="132"/>
      <c r="R14" s="132"/>
      <c r="S14" s="132"/>
      <c r="T14" s="132"/>
      <c r="U14" s="132"/>
      <c r="V14" s="132"/>
      <c r="W14" s="132"/>
      <c r="X14" s="132"/>
    </row>
    <row r="15" spans="1:25" ht="42.75" customHeight="1">
      <c r="A15" s="2008"/>
      <c r="B15" s="2009"/>
      <c r="C15" s="2009"/>
      <c r="D15" s="308"/>
      <c r="E15" s="2010"/>
      <c r="F15" s="2010"/>
      <c r="G15" s="2011"/>
      <c r="H15" s="2012"/>
      <c r="I15" s="2010"/>
      <c r="J15" s="2013"/>
      <c r="K15" s="2014"/>
      <c r="L15" s="2010"/>
      <c r="M15" s="2011"/>
      <c r="N15" s="123"/>
      <c r="O15" s="123"/>
      <c r="P15" s="132"/>
      <c r="Q15" s="132"/>
      <c r="R15" s="132"/>
      <c r="S15" s="132"/>
      <c r="T15" s="132"/>
      <c r="U15" s="132"/>
      <c r="V15" s="132"/>
      <c r="W15" s="132"/>
      <c r="X15" s="132"/>
    </row>
    <row r="16" spans="1:25" ht="42.75" customHeight="1">
      <c r="A16" s="2008"/>
      <c r="B16" s="2009"/>
      <c r="C16" s="2009"/>
      <c r="D16" s="308"/>
      <c r="E16" s="2010"/>
      <c r="F16" s="2010"/>
      <c r="G16" s="2011"/>
      <c r="H16" s="2012"/>
      <c r="I16" s="2010"/>
      <c r="J16" s="2013"/>
      <c r="K16" s="2014"/>
      <c r="L16" s="2010"/>
      <c r="M16" s="2011"/>
      <c r="N16" s="123"/>
      <c r="O16" s="123"/>
      <c r="P16" s="79"/>
      <c r="Q16" s="79"/>
      <c r="R16" s="79"/>
      <c r="S16" s="79"/>
      <c r="T16" s="79"/>
      <c r="U16" s="79"/>
      <c r="V16" s="79"/>
      <c r="W16" s="79"/>
      <c r="X16" s="79"/>
    </row>
    <row r="17" spans="1:24" ht="42.75" customHeight="1">
      <c r="A17" s="2008"/>
      <c r="B17" s="2009"/>
      <c r="C17" s="2009"/>
      <c r="D17" s="308"/>
      <c r="E17" s="2010"/>
      <c r="F17" s="2010"/>
      <c r="G17" s="2011"/>
      <c r="H17" s="2012"/>
      <c r="I17" s="2010"/>
      <c r="J17" s="2013"/>
      <c r="K17" s="2014"/>
      <c r="L17" s="2010"/>
      <c r="M17" s="2011"/>
      <c r="N17" s="123"/>
      <c r="O17" s="123"/>
      <c r="P17" s="132"/>
      <c r="Q17" s="132"/>
      <c r="R17" s="132"/>
      <c r="S17" s="132"/>
      <c r="T17" s="132"/>
      <c r="U17" s="132"/>
      <c r="V17" s="132"/>
      <c r="W17" s="132"/>
      <c r="X17" s="132"/>
    </row>
    <row r="18" spans="1:24" ht="42.75" customHeight="1">
      <c r="A18" s="2008"/>
      <c r="B18" s="2009"/>
      <c r="C18" s="2009"/>
      <c r="D18" s="308"/>
      <c r="E18" s="2010"/>
      <c r="F18" s="2010"/>
      <c r="G18" s="2011"/>
      <c r="H18" s="2012"/>
      <c r="I18" s="2010"/>
      <c r="J18" s="2013"/>
      <c r="K18" s="2014"/>
      <c r="L18" s="2010"/>
      <c r="M18" s="2011"/>
      <c r="N18" s="123"/>
      <c r="O18" s="123"/>
      <c r="P18" s="123"/>
      <c r="Q18" s="123"/>
    </row>
    <row r="19" spans="1:24" ht="42.75" customHeight="1">
      <c r="A19" s="2008"/>
      <c r="B19" s="2009"/>
      <c r="C19" s="2009"/>
      <c r="D19" s="308"/>
      <c r="E19" s="2010"/>
      <c r="F19" s="2010"/>
      <c r="G19" s="2011"/>
      <c r="H19" s="2012"/>
      <c r="I19" s="2010"/>
      <c r="J19" s="2013"/>
      <c r="K19" s="2014"/>
      <c r="L19" s="2010"/>
      <c r="M19" s="2011"/>
      <c r="N19" s="123"/>
      <c r="O19" s="123"/>
      <c r="P19" s="123"/>
      <c r="Q19" s="123"/>
    </row>
    <row r="20" spans="1:24" ht="42.75" customHeight="1">
      <c r="A20" s="2008"/>
      <c r="B20" s="2009"/>
      <c r="C20" s="2009"/>
      <c r="D20" s="308"/>
      <c r="E20" s="2010"/>
      <c r="F20" s="2010"/>
      <c r="G20" s="2011"/>
      <c r="H20" s="2012"/>
      <c r="I20" s="2010"/>
      <c r="J20" s="2013"/>
      <c r="K20" s="2014"/>
      <c r="L20" s="2010"/>
      <c r="M20" s="2011"/>
      <c r="N20" s="123"/>
      <c r="O20" s="123"/>
      <c r="P20" s="123"/>
      <c r="Q20" s="123"/>
    </row>
    <row r="21" spans="1:24" ht="42.75" customHeight="1">
      <c r="A21" s="2008"/>
      <c r="B21" s="2009"/>
      <c r="C21" s="2009"/>
      <c r="D21" s="308"/>
      <c r="E21" s="2010"/>
      <c r="F21" s="2010"/>
      <c r="G21" s="2011"/>
      <c r="H21" s="2012"/>
      <c r="I21" s="2010"/>
      <c r="J21" s="2013"/>
      <c r="K21" s="2014"/>
      <c r="L21" s="2010"/>
      <c r="M21" s="2011"/>
      <c r="N21" s="123"/>
      <c r="O21" s="123"/>
      <c r="P21" s="123"/>
      <c r="Q21" s="123"/>
    </row>
    <row r="22" spans="1:24" ht="42.75" customHeight="1">
      <c r="A22" s="2008"/>
      <c r="B22" s="2009"/>
      <c r="C22" s="2009"/>
      <c r="D22" s="308"/>
      <c r="E22" s="2010"/>
      <c r="F22" s="2010"/>
      <c r="G22" s="2011"/>
      <c r="H22" s="2012"/>
      <c r="I22" s="2010"/>
      <c r="J22" s="2013"/>
      <c r="K22" s="2014"/>
      <c r="L22" s="2010"/>
      <c r="M22" s="2011"/>
      <c r="N22" s="123"/>
      <c r="O22" s="123"/>
      <c r="P22" s="123"/>
      <c r="Q22" s="123"/>
    </row>
    <row r="23" spans="1:24" ht="42.75" customHeight="1">
      <c r="A23" s="2008"/>
      <c r="B23" s="2009"/>
      <c r="C23" s="2009"/>
      <c r="D23" s="308"/>
      <c r="E23" s="2010"/>
      <c r="F23" s="2010"/>
      <c r="G23" s="2011"/>
      <c r="H23" s="2012"/>
      <c r="I23" s="2010"/>
      <c r="J23" s="2013"/>
      <c r="K23" s="2014"/>
      <c r="L23" s="2010"/>
      <c r="M23" s="2011"/>
      <c r="N23" s="123"/>
      <c r="O23" s="123"/>
      <c r="P23" s="123"/>
      <c r="Q23" s="123"/>
    </row>
    <row r="24" spans="1:24" ht="42.75" customHeight="1">
      <c r="A24" s="2008"/>
      <c r="B24" s="2009"/>
      <c r="C24" s="2009"/>
      <c r="D24" s="308"/>
      <c r="E24" s="2010"/>
      <c r="F24" s="2010"/>
      <c r="G24" s="2011"/>
      <c r="H24" s="2012"/>
      <c r="I24" s="2010"/>
      <c r="J24" s="2013"/>
      <c r="K24" s="2014"/>
      <c r="L24" s="2010"/>
      <c r="M24" s="2011"/>
      <c r="N24" s="123"/>
      <c r="O24" s="123"/>
      <c r="P24" s="123"/>
      <c r="Q24" s="123"/>
    </row>
    <row r="25" spans="1:24" ht="12.75" customHeight="1">
      <c r="A25" s="1649" t="s">
        <v>1812</v>
      </c>
      <c r="B25" s="1645"/>
      <c r="C25" s="1646"/>
      <c r="D25" s="308"/>
      <c r="E25" s="2015"/>
      <c r="F25" s="2015"/>
      <c r="G25" s="2016"/>
      <c r="H25" s="2017"/>
      <c r="I25" s="2015"/>
      <c r="J25" s="2018"/>
      <c r="K25" s="2019"/>
      <c r="L25" s="2015"/>
      <c r="M25" s="2016"/>
      <c r="N25" s="123"/>
      <c r="O25" s="123"/>
      <c r="P25" s="123"/>
      <c r="Q25" s="123"/>
    </row>
    <row r="26" spans="1:24">
      <c r="A26" s="219" t="str">
        <f>'A4-FinPerf RE'!A35</f>
        <v>Total Expenditure</v>
      </c>
      <c r="B26" s="1647"/>
      <c r="C26" s="1648"/>
      <c r="D26" s="220">
        <v>1</v>
      </c>
      <c r="E26" s="107">
        <f t="shared" ref="E26:M26" si="0">SUM(E4:E25)</f>
        <v>1118376503.1900001</v>
      </c>
      <c r="F26" s="107">
        <f t="shared" si="0"/>
        <v>1222655107.5499997</v>
      </c>
      <c r="G26" s="105">
        <f t="shared" si="0"/>
        <v>1208828894.5199995</v>
      </c>
      <c r="H26" s="106">
        <f t="shared" si="0"/>
        <v>1329185978.96</v>
      </c>
      <c r="I26" s="107">
        <f t="shared" si="0"/>
        <v>1248664715.46</v>
      </c>
      <c r="J26" s="108">
        <f t="shared" si="0"/>
        <v>1275164972.6600001</v>
      </c>
      <c r="K26" s="109">
        <f t="shared" si="0"/>
        <v>1287354789.01</v>
      </c>
      <c r="L26" s="107">
        <f t="shared" si="0"/>
        <v>1330222216.4884601</v>
      </c>
      <c r="M26" s="105">
        <f t="shared" si="0"/>
        <v>1389067566.7289295</v>
      </c>
      <c r="N26" s="123"/>
      <c r="O26" s="123"/>
      <c r="P26" s="123"/>
      <c r="Q26" s="123"/>
    </row>
    <row r="27" spans="1:24" s="576" customFormat="1">
      <c r="A27" s="1063" t="str">
        <f>head27a</f>
        <v>References</v>
      </c>
      <c r="B27" s="877"/>
      <c r="C27" s="877"/>
      <c r="D27" s="874"/>
      <c r="E27" s="878"/>
      <c r="F27" s="878"/>
      <c r="G27" s="878"/>
      <c r="H27" s="878"/>
      <c r="I27" s="878"/>
      <c r="J27" s="878"/>
      <c r="K27" s="878"/>
      <c r="L27" s="878"/>
      <c r="M27" s="878"/>
    </row>
    <row r="28" spans="1:24" s="576" customFormat="1">
      <c r="A28" s="1025" t="str">
        <f>"1. Total expenditure must reconcile to "&amp;'Template names'!F103</f>
        <v>1. Total expenditure must reconcile to Table A4 Budgeted Financial Performance (revenue and expenditure)</v>
      </c>
      <c r="B28" s="905"/>
      <c r="C28" s="905"/>
      <c r="D28" s="874"/>
      <c r="E28" s="877"/>
      <c r="F28" s="877"/>
      <c r="G28" s="878"/>
      <c r="H28" s="878"/>
      <c r="I28" s="878"/>
      <c r="J28" s="878"/>
      <c r="K28" s="878"/>
      <c r="L28" s="878"/>
      <c r="M28" s="878"/>
    </row>
    <row r="29" spans="1:24" s="576" customFormat="1">
      <c r="A29" s="576" t="s">
        <v>1813</v>
      </c>
    </row>
    <row r="30" spans="1:24">
      <c r="A30" s="1094" t="s">
        <v>848</v>
      </c>
      <c r="B30" s="880"/>
      <c r="C30" s="880"/>
      <c r="D30" s="879"/>
      <c r="E30" s="1233">
        <f>E26-'A4-FinPerf RE'!C35</f>
        <v>-48.329999923706055</v>
      </c>
      <c r="F30" s="1233">
        <f>F26-'A4-FinPerf RE'!D35</f>
        <v>189.32999968528748</v>
      </c>
      <c r="G30" s="1234">
        <f>G26-'A4-FinPerf RE'!E35</f>
        <v>264.45999932289124</v>
      </c>
      <c r="H30" s="1234">
        <f>H26-'A4-FinPerf RE'!F35</f>
        <v>-0.29999995231628418</v>
      </c>
      <c r="I30" s="1234">
        <f>I26-'A4-FinPerf RE'!G35</f>
        <v>-301.96000003814697</v>
      </c>
      <c r="J30" s="1234">
        <f>J26-'A4-FinPerf RE'!H35</f>
        <v>0.35000014305114746</v>
      </c>
      <c r="K30" s="1234">
        <f>K26-'A4-FinPerf RE'!J35</f>
        <v>-251.05999994277954</v>
      </c>
      <c r="L30" s="1234">
        <f>L26-'A4-FinPerf RE'!K35</f>
        <v>-149.79200005531311</v>
      </c>
      <c r="M30" s="1234">
        <f>M26-'A4-FinPerf RE'!L35</f>
        <v>234.78352808952332</v>
      </c>
    </row>
    <row r="31" spans="1:24">
      <c r="E31" s="316"/>
    </row>
    <row r="32" spans="1:24">
      <c r="E32" s="316"/>
    </row>
  </sheetData>
  <mergeCells count="3">
    <mergeCell ref="H2:J2"/>
    <mergeCell ref="K2:M2"/>
    <mergeCell ref="D2:D3"/>
  </mergeCells>
  <phoneticPr fontId="5"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30"/>
  <sheetViews>
    <sheetView showGridLines="0" zoomScaleNormal="100" workbookViewId="0">
      <pane xSplit="4" ySplit="3" topLeftCell="E220" activePane="bottomRight" state="frozen"/>
      <selection pane="topRight"/>
      <selection pane="bottomLeft"/>
      <selection pane="bottomRight" activeCell="K230" sqref="K230"/>
    </sheetView>
  </sheetViews>
  <sheetFormatPr defaultColWidth="9.140625" defaultRowHeight="12.75"/>
  <cols>
    <col min="1" max="2" width="18.7109375" style="26" customWidth="1"/>
    <col min="3" max="3" width="4.4257812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4" ht="13.5">
      <c r="A1" s="24" t="str">
        <f>muni&amp;" - "&amp;TableA6</f>
        <v>LIM333 Greater Tzaneen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c r="A2" s="831" t="s">
        <v>844</v>
      </c>
      <c r="B2" s="840" t="s">
        <v>1181</v>
      </c>
      <c r="C2" s="499" t="s">
        <v>811</v>
      </c>
      <c r="D2" s="2875" t="str">
        <f>head27</f>
        <v>Ref</v>
      </c>
      <c r="E2" s="22" t="str">
        <f>head1b</f>
        <v>2016/17</v>
      </c>
      <c r="F2" s="27" t="str">
        <f>head1A</f>
        <v>2017/18</v>
      </c>
      <c r="G2" s="23" t="str">
        <f>Head1</f>
        <v>2018/19</v>
      </c>
      <c r="H2" s="2842" t="str">
        <f>Head2</f>
        <v>Current Year 2019/20</v>
      </c>
      <c r="I2" s="2843"/>
      <c r="J2" s="2847"/>
      <c r="K2" s="2839" t="str">
        <f>Head3</f>
        <v>2020/21 Medium Term Revenue &amp; Expenditure Framework</v>
      </c>
      <c r="L2" s="2840"/>
      <c r="M2" s="2841"/>
      <c r="N2" s="123"/>
      <c r="O2" s="123"/>
      <c r="P2" s="123"/>
      <c r="Q2" s="123"/>
    </row>
    <row r="3" spans="1:24" ht="25.5">
      <c r="A3" s="847" t="s">
        <v>569</v>
      </c>
      <c r="B3" s="846"/>
      <c r="C3" s="846"/>
      <c r="D3" s="2881"/>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c r="N3" s="123"/>
      <c r="O3" s="123"/>
      <c r="P3" s="123"/>
      <c r="Q3" s="123"/>
    </row>
    <row r="4" spans="1:24" ht="42.75" customHeight="1">
      <c r="A4" s="2008" t="s">
        <v>2670</v>
      </c>
      <c r="B4" s="2009" t="s">
        <v>2671</v>
      </c>
      <c r="C4" s="2020" t="s">
        <v>345</v>
      </c>
      <c r="D4" s="308"/>
      <c r="E4" s="2010">
        <v>5641753</v>
      </c>
      <c r="F4" s="2010">
        <v>49500</v>
      </c>
      <c r="G4" s="2011"/>
      <c r="H4" s="2012"/>
      <c r="I4" s="2010"/>
      <c r="J4" s="2013"/>
      <c r="K4" s="2014"/>
      <c r="L4" s="2010"/>
      <c r="M4" s="2011"/>
      <c r="N4" s="313"/>
      <c r="O4" s="313"/>
      <c r="P4" s="132"/>
      <c r="Q4" s="132"/>
      <c r="R4" s="132"/>
      <c r="S4" s="132"/>
      <c r="T4" s="132"/>
      <c r="U4" s="132"/>
      <c r="V4" s="132"/>
      <c r="W4" s="132"/>
      <c r="X4" s="132"/>
    </row>
    <row r="5" spans="1:24" ht="42.75" customHeight="1">
      <c r="A5" s="2008" t="s">
        <v>2670</v>
      </c>
      <c r="B5" s="2009" t="s">
        <v>2672</v>
      </c>
      <c r="C5" s="2020"/>
      <c r="D5" s="308"/>
      <c r="E5" s="2010">
        <v>1077295.74</v>
      </c>
      <c r="F5" s="2010"/>
      <c r="G5" s="2011"/>
      <c r="H5" s="2012"/>
      <c r="I5" s="2010"/>
      <c r="J5" s="2013"/>
      <c r="K5" s="2014"/>
      <c r="L5" s="2010"/>
      <c r="M5" s="2011"/>
      <c r="N5" s="313"/>
      <c r="O5" s="313"/>
      <c r="P5" s="132"/>
      <c r="Q5" s="132"/>
      <c r="R5" s="132"/>
      <c r="S5" s="132"/>
      <c r="T5" s="132"/>
      <c r="U5" s="132"/>
      <c r="V5" s="132"/>
      <c r="W5" s="132"/>
      <c r="X5" s="132"/>
    </row>
    <row r="6" spans="1:24" ht="42.75" customHeight="1">
      <c r="A6" s="2008" t="s">
        <v>2670</v>
      </c>
      <c r="B6" s="2009" t="s">
        <v>2673</v>
      </c>
      <c r="C6" s="2020"/>
      <c r="D6" s="308"/>
      <c r="E6" s="2010">
        <v>737874.54</v>
      </c>
      <c r="F6" s="2010"/>
      <c r="G6" s="2011"/>
      <c r="H6" s="2012"/>
      <c r="I6" s="2010"/>
      <c r="J6" s="2013"/>
      <c r="K6" s="2014"/>
      <c r="L6" s="2010"/>
      <c r="M6" s="2011"/>
      <c r="N6" s="313"/>
      <c r="O6" s="313"/>
      <c r="P6" s="132"/>
      <c r="Q6" s="132"/>
      <c r="R6" s="132"/>
      <c r="S6" s="132"/>
      <c r="T6" s="132"/>
      <c r="U6" s="132"/>
      <c r="V6" s="132"/>
      <c r="W6" s="132"/>
      <c r="X6" s="132"/>
    </row>
    <row r="7" spans="1:24" ht="42.75" customHeight="1">
      <c r="A7" s="2008" t="s">
        <v>2670</v>
      </c>
      <c r="B7" s="2009" t="s">
        <v>2674</v>
      </c>
      <c r="C7" s="2020"/>
      <c r="D7" s="308"/>
      <c r="E7" s="2010">
        <v>1192774.8</v>
      </c>
      <c r="F7" s="2010">
        <v>1157158.2477192983</v>
      </c>
      <c r="G7" s="2011"/>
      <c r="H7" s="2012"/>
      <c r="I7" s="2010"/>
      <c r="J7" s="2013"/>
      <c r="K7" s="2014"/>
      <c r="L7" s="2010"/>
      <c r="M7" s="2011"/>
      <c r="N7" s="313"/>
      <c r="O7" s="313"/>
      <c r="P7" s="132"/>
      <c r="Q7" s="132"/>
      <c r="R7" s="132"/>
      <c r="S7" s="132"/>
      <c r="T7" s="132"/>
      <c r="U7" s="132"/>
      <c r="V7" s="132"/>
      <c r="W7" s="132"/>
      <c r="X7" s="132"/>
    </row>
    <row r="8" spans="1:24" ht="42.75" customHeight="1">
      <c r="A8" s="2008" t="s">
        <v>2670</v>
      </c>
      <c r="B8" s="2009" t="s">
        <v>2675</v>
      </c>
      <c r="C8" s="2020"/>
      <c r="D8" s="308"/>
      <c r="E8" s="2010"/>
      <c r="F8" s="2010">
        <v>297074.19824561413</v>
      </c>
      <c r="G8" s="2011"/>
      <c r="H8" s="2012"/>
      <c r="I8" s="2010"/>
      <c r="J8" s="2013"/>
      <c r="K8" s="2014"/>
      <c r="L8" s="2010"/>
      <c r="M8" s="2011"/>
      <c r="N8" s="313"/>
      <c r="O8" s="313"/>
      <c r="P8" s="132"/>
      <c r="Q8" s="132"/>
      <c r="R8" s="132"/>
      <c r="S8" s="132"/>
      <c r="T8" s="132"/>
      <c r="U8" s="132"/>
      <c r="V8" s="132"/>
      <c r="W8" s="132"/>
      <c r="X8" s="132"/>
    </row>
    <row r="9" spans="1:24" ht="42.75" customHeight="1">
      <c r="A9" s="2008" t="s">
        <v>2676</v>
      </c>
      <c r="B9" s="2009" t="s">
        <v>2677</v>
      </c>
      <c r="C9" s="2020"/>
      <c r="D9" s="308"/>
      <c r="E9" s="2010">
        <v>468615.23</v>
      </c>
      <c r="F9" s="2010">
        <v>1562943.4173913044</v>
      </c>
      <c r="G9" s="2011">
        <v>1013921.2978260869</v>
      </c>
      <c r="H9" s="2012"/>
      <c r="I9" s="2010"/>
      <c r="J9" s="2013"/>
      <c r="K9" s="2014"/>
      <c r="L9" s="2010"/>
      <c r="M9" s="2011"/>
      <c r="N9" s="313"/>
      <c r="O9" s="313"/>
      <c r="P9" s="132"/>
      <c r="Q9" s="132"/>
      <c r="R9" s="132"/>
      <c r="S9" s="132"/>
      <c r="T9" s="132"/>
      <c r="U9" s="132"/>
      <c r="V9" s="132"/>
      <c r="W9" s="132"/>
      <c r="X9" s="132"/>
    </row>
    <row r="10" spans="1:24" ht="42.75" customHeight="1">
      <c r="A10" s="2008" t="s">
        <v>2676</v>
      </c>
      <c r="B10" s="2009" t="s">
        <v>2678</v>
      </c>
      <c r="C10" s="2020"/>
      <c r="D10" s="308"/>
      <c r="E10" s="2010">
        <v>1437706.1</v>
      </c>
      <c r="F10" s="2010">
        <v>1178055.0263157897</v>
      </c>
      <c r="G10" s="2011"/>
      <c r="H10" s="2012"/>
      <c r="I10" s="2010"/>
      <c r="J10" s="2013"/>
      <c r="K10" s="2014"/>
      <c r="L10" s="2010"/>
      <c r="M10" s="2011"/>
      <c r="N10" s="313"/>
      <c r="O10" s="313"/>
      <c r="P10" s="132"/>
      <c r="Q10" s="132"/>
      <c r="R10" s="132"/>
      <c r="S10" s="132"/>
      <c r="T10" s="132"/>
      <c r="U10" s="132"/>
      <c r="V10" s="132"/>
      <c r="W10" s="132"/>
      <c r="X10" s="132"/>
    </row>
    <row r="11" spans="1:24" ht="42.75" customHeight="1">
      <c r="A11" s="2008" t="s">
        <v>2676</v>
      </c>
      <c r="B11" s="2009" t="s">
        <v>2679</v>
      </c>
      <c r="C11" s="2020"/>
      <c r="D11" s="308"/>
      <c r="E11" s="2010">
        <v>80296.89</v>
      </c>
      <c r="F11" s="2010">
        <v>826159.93491228076</v>
      </c>
      <c r="G11" s="2011"/>
      <c r="H11" s="2012"/>
      <c r="I11" s="2010"/>
      <c r="J11" s="2013"/>
      <c r="K11" s="2014"/>
      <c r="L11" s="2010"/>
      <c r="M11" s="2011"/>
      <c r="N11" s="313"/>
      <c r="O11" s="313"/>
      <c r="P11" s="132"/>
      <c r="Q11" s="132"/>
      <c r="R11" s="132"/>
      <c r="S11" s="132"/>
      <c r="T11" s="132"/>
      <c r="U11" s="132"/>
      <c r="V11" s="132"/>
      <c r="W11" s="132"/>
      <c r="X11" s="132"/>
    </row>
    <row r="12" spans="1:24" ht="42.75" customHeight="1">
      <c r="A12" s="2008" t="s">
        <v>2676</v>
      </c>
      <c r="B12" s="2009" t="s">
        <v>2680</v>
      </c>
      <c r="C12" s="2020"/>
      <c r="D12" s="308"/>
      <c r="E12" s="2010">
        <v>9711399</v>
      </c>
      <c r="F12" s="2010">
        <v>5898806.8300000001</v>
      </c>
      <c r="G12" s="2011">
        <v>11062929.630000001</v>
      </c>
      <c r="H12" s="2012">
        <v>15000000</v>
      </c>
      <c r="I12" s="2010">
        <v>8000000</v>
      </c>
      <c r="J12" s="2013">
        <v>8000000</v>
      </c>
      <c r="K12" s="2014">
        <v>8000000</v>
      </c>
      <c r="L12" s="2010">
        <v>8384000</v>
      </c>
      <c r="M12" s="2011">
        <v>8786432</v>
      </c>
      <c r="N12" s="313"/>
      <c r="O12" s="313"/>
      <c r="P12" s="132"/>
      <c r="Q12" s="132"/>
      <c r="R12" s="132"/>
      <c r="S12" s="132"/>
      <c r="T12" s="132"/>
      <c r="U12" s="132"/>
      <c r="V12" s="132"/>
      <c r="W12" s="132"/>
      <c r="X12" s="132"/>
    </row>
    <row r="13" spans="1:24" ht="42.75" customHeight="1">
      <c r="A13" s="2008" t="s">
        <v>2676</v>
      </c>
      <c r="B13" s="2009" t="s">
        <v>2681</v>
      </c>
      <c r="C13" s="2020"/>
      <c r="D13" s="308"/>
      <c r="E13" s="2010">
        <v>369775.98</v>
      </c>
      <c r="F13" s="2010">
        <v>589244.55000000005</v>
      </c>
      <c r="G13" s="2011"/>
      <c r="H13" s="2012"/>
      <c r="I13" s="2010"/>
      <c r="J13" s="2013"/>
      <c r="K13" s="2014"/>
      <c r="L13" s="2010"/>
      <c r="M13" s="2011"/>
      <c r="N13" s="313"/>
      <c r="O13" s="313"/>
      <c r="P13" s="132"/>
      <c r="Q13" s="132"/>
      <c r="R13" s="132"/>
      <c r="S13" s="132"/>
      <c r="T13" s="132"/>
      <c r="U13" s="132"/>
      <c r="V13" s="132"/>
      <c r="W13" s="132"/>
      <c r="X13" s="132"/>
    </row>
    <row r="14" spans="1:24" ht="42.75" customHeight="1">
      <c r="A14" s="2008" t="s">
        <v>2676</v>
      </c>
      <c r="B14" s="2009" t="s">
        <v>2682</v>
      </c>
      <c r="C14" s="2020"/>
      <c r="D14" s="308"/>
      <c r="E14" s="2010">
        <v>568315.51</v>
      </c>
      <c r="F14" s="2010"/>
      <c r="G14" s="2011"/>
      <c r="H14" s="2012"/>
      <c r="I14" s="2010"/>
      <c r="J14" s="2013"/>
      <c r="K14" s="2014"/>
      <c r="L14" s="2010"/>
      <c r="M14" s="2011"/>
      <c r="N14" s="313"/>
      <c r="O14" s="313"/>
      <c r="P14" s="132"/>
      <c r="Q14" s="132"/>
      <c r="R14" s="132"/>
      <c r="S14" s="132"/>
      <c r="T14" s="132"/>
      <c r="U14" s="132"/>
      <c r="V14" s="132"/>
      <c r="W14" s="132"/>
      <c r="X14" s="132"/>
    </row>
    <row r="15" spans="1:24" ht="42.75" customHeight="1">
      <c r="A15" s="2008" t="s">
        <v>2676</v>
      </c>
      <c r="B15" s="2009" t="s">
        <v>2683</v>
      </c>
      <c r="C15" s="2020"/>
      <c r="D15" s="308"/>
      <c r="E15" s="2010">
        <v>434291.49</v>
      </c>
      <c r="F15" s="2010"/>
      <c r="G15" s="2011"/>
      <c r="H15" s="2012"/>
      <c r="I15" s="2010"/>
      <c r="J15" s="2013"/>
      <c r="K15" s="2014"/>
      <c r="L15" s="2010"/>
      <c r="M15" s="2011"/>
      <c r="N15" s="313"/>
      <c r="O15" s="313"/>
      <c r="P15" s="132"/>
      <c r="Q15" s="132"/>
      <c r="R15" s="132"/>
      <c r="S15" s="132"/>
      <c r="T15" s="132"/>
      <c r="U15" s="132"/>
      <c r="V15" s="132"/>
      <c r="W15" s="132"/>
      <c r="X15" s="132"/>
    </row>
    <row r="16" spans="1:24" ht="42.75" customHeight="1">
      <c r="A16" s="2008" t="s">
        <v>2676</v>
      </c>
      <c r="B16" s="2009" t="s">
        <v>2684</v>
      </c>
      <c r="C16" s="2020"/>
      <c r="D16" s="308"/>
      <c r="E16" s="2010">
        <v>664727.92000000004</v>
      </c>
      <c r="F16" s="2010"/>
      <c r="G16" s="2011"/>
      <c r="H16" s="2012"/>
      <c r="I16" s="2010"/>
      <c r="J16" s="2013"/>
      <c r="K16" s="2014"/>
      <c r="L16" s="2010"/>
      <c r="M16" s="2011"/>
      <c r="N16" s="313"/>
      <c r="O16" s="313"/>
      <c r="P16" s="132"/>
      <c r="Q16" s="132"/>
      <c r="R16" s="132"/>
      <c r="S16" s="132"/>
      <c r="T16" s="132"/>
      <c r="U16" s="132"/>
      <c r="V16" s="132"/>
      <c r="W16" s="132"/>
      <c r="X16" s="132"/>
    </row>
    <row r="17" spans="1:24" ht="42.75" customHeight="1">
      <c r="A17" s="2008" t="s">
        <v>2676</v>
      </c>
      <c r="B17" s="2009" t="s">
        <v>2685</v>
      </c>
      <c r="C17" s="2020"/>
      <c r="D17" s="308"/>
      <c r="E17" s="2010">
        <v>524026.34</v>
      </c>
      <c r="F17" s="2010"/>
      <c r="G17" s="2011"/>
      <c r="H17" s="2012"/>
      <c r="I17" s="2010"/>
      <c r="J17" s="2013"/>
      <c r="K17" s="2014"/>
      <c r="L17" s="2010"/>
      <c r="M17" s="2011"/>
      <c r="N17" s="313"/>
      <c r="O17" s="313"/>
      <c r="P17" s="132"/>
      <c r="Q17" s="132"/>
      <c r="R17" s="132"/>
      <c r="S17" s="132"/>
      <c r="T17" s="132"/>
      <c r="U17" s="132"/>
      <c r="V17" s="132"/>
      <c r="W17" s="132"/>
      <c r="X17" s="132"/>
    </row>
    <row r="18" spans="1:24" ht="42.75" customHeight="1">
      <c r="A18" s="2008" t="s">
        <v>2670</v>
      </c>
      <c r="B18" s="2009" t="s">
        <v>2686</v>
      </c>
      <c r="C18" s="2020"/>
      <c r="D18" s="308"/>
      <c r="E18" s="2010">
        <v>18356137.73</v>
      </c>
      <c r="F18" s="2010">
        <v>7522051.5596491229</v>
      </c>
      <c r="G18" s="2011"/>
      <c r="H18" s="2012"/>
      <c r="I18" s="2010"/>
      <c r="J18" s="2013"/>
      <c r="K18" s="2014"/>
      <c r="L18" s="2010"/>
      <c r="M18" s="2011"/>
      <c r="N18" s="313"/>
      <c r="O18" s="313"/>
      <c r="P18" s="132"/>
      <c r="Q18" s="132"/>
      <c r="R18" s="132"/>
      <c r="S18" s="132"/>
      <c r="T18" s="132"/>
      <c r="U18" s="132"/>
      <c r="V18" s="132"/>
      <c r="W18" s="132"/>
      <c r="X18" s="132"/>
    </row>
    <row r="19" spans="1:24" ht="42.75" customHeight="1">
      <c r="A19" s="2008" t="s">
        <v>2687</v>
      </c>
      <c r="B19" s="2009" t="s">
        <v>2688</v>
      </c>
      <c r="C19" s="2020"/>
      <c r="D19" s="308"/>
      <c r="E19" s="2010">
        <v>1077122</v>
      </c>
      <c r="F19" s="2010"/>
      <c r="G19" s="2011"/>
      <c r="H19" s="2012"/>
      <c r="I19" s="2010"/>
      <c r="J19" s="2013"/>
      <c r="K19" s="2014"/>
      <c r="L19" s="2010"/>
      <c r="M19" s="2011"/>
      <c r="N19" s="313"/>
      <c r="O19" s="313"/>
      <c r="P19" s="132"/>
      <c r="Q19" s="132"/>
      <c r="R19" s="132"/>
      <c r="S19" s="132"/>
      <c r="T19" s="132"/>
      <c r="U19" s="132"/>
      <c r="V19" s="132"/>
      <c r="W19" s="132"/>
      <c r="X19" s="132"/>
    </row>
    <row r="20" spans="1:24" ht="42.75" customHeight="1">
      <c r="A20" s="2008" t="s">
        <v>2687</v>
      </c>
      <c r="B20" s="2009" t="s">
        <v>2689</v>
      </c>
      <c r="C20" s="2020"/>
      <c r="D20" s="308"/>
      <c r="E20" s="2010">
        <v>463400.50000000012</v>
      </c>
      <c r="F20" s="2010"/>
      <c r="G20" s="2011"/>
      <c r="H20" s="2012"/>
      <c r="I20" s="2010"/>
      <c r="J20" s="2013"/>
      <c r="K20" s="2014"/>
      <c r="L20" s="2010"/>
      <c r="M20" s="2011"/>
      <c r="N20" s="313"/>
      <c r="O20" s="313"/>
      <c r="P20" s="132"/>
      <c r="Q20" s="132"/>
      <c r="R20" s="132"/>
      <c r="S20" s="132"/>
      <c r="T20" s="132"/>
      <c r="U20" s="132"/>
      <c r="V20" s="132"/>
      <c r="W20" s="132"/>
      <c r="X20" s="132"/>
    </row>
    <row r="21" spans="1:24" ht="42.75" customHeight="1">
      <c r="A21" s="2008" t="s">
        <v>2687</v>
      </c>
      <c r="B21" s="2009" t="s">
        <v>2690</v>
      </c>
      <c r="C21" s="2020"/>
      <c r="D21" s="308"/>
      <c r="E21" s="2010">
        <v>24246.6</v>
      </c>
      <c r="F21" s="2010"/>
      <c r="G21" s="2011"/>
      <c r="H21" s="2012"/>
      <c r="I21" s="2010"/>
      <c r="J21" s="2013"/>
      <c r="K21" s="2014"/>
      <c r="L21" s="2010"/>
      <c r="M21" s="2011"/>
      <c r="N21" s="313"/>
      <c r="O21" s="313"/>
      <c r="P21" s="132"/>
      <c r="Q21" s="132"/>
      <c r="R21" s="132"/>
      <c r="S21" s="132"/>
      <c r="T21" s="132"/>
      <c r="U21" s="132"/>
      <c r="V21" s="132"/>
      <c r="W21" s="132"/>
      <c r="X21" s="132"/>
    </row>
    <row r="22" spans="1:24" ht="42.75" customHeight="1">
      <c r="A22" s="2008" t="s">
        <v>2687</v>
      </c>
      <c r="B22" s="2009" t="s">
        <v>2690</v>
      </c>
      <c r="C22" s="2020"/>
      <c r="D22" s="308"/>
      <c r="E22" s="2010">
        <v>28118.400000000001</v>
      </c>
      <c r="F22" s="2010"/>
      <c r="G22" s="2011"/>
      <c r="H22" s="2012"/>
      <c r="I22" s="2010"/>
      <c r="J22" s="2013"/>
      <c r="K22" s="2014"/>
      <c r="L22" s="2010"/>
      <c r="M22" s="2011"/>
      <c r="N22" s="313"/>
      <c r="O22" s="313"/>
      <c r="P22" s="132"/>
      <c r="Q22" s="132"/>
      <c r="R22" s="132"/>
      <c r="S22" s="132"/>
      <c r="T22" s="132"/>
      <c r="U22" s="132"/>
      <c r="V22" s="132"/>
      <c r="W22" s="132"/>
      <c r="X22" s="132"/>
    </row>
    <row r="23" spans="1:24" ht="42.75" customHeight="1">
      <c r="A23" s="2008" t="s">
        <v>2687</v>
      </c>
      <c r="B23" s="2009" t="s">
        <v>2690</v>
      </c>
      <c r="C23" s="2020"/>
      <c r="D23" s="308"/>
      <c r="E23" s="2010">
        <v>28900.552982456102</v>
      </c>
      <c r="F23" s="2010"/>
      <c r="G23" s="2011"/>
      <c r="H23" s="2012"/>
      <c r="I23" s="2010"/>
      <c r="J23" s="2013"/>
      <c r="K23" s="2014"/>
      <c r="L23" s="2010"/>
      <c r="M23" s="2011"/>
      <c r="N23" s="313"/>
      <c r="O23" s="313"/>
      <c r="P23" s="132"/>
      <c r="Q23" s="132"/>
      <c r="R23" s="132"/>
      <c r="S23" s="132"/>
      <c r="T23" s="132"/>
      <c r="U23" s="132"/>
      <c r="V23" s="132"/>
      <c r="W23" s="132"/>
      <c r="X23" s="132"/>
    </row>
    <row r="24" spans="1:24" ht="42.75" customHeight="1">
      <c r="A24" s="2008" t="s">
        <v>2687</v>
      </c>
      <c r="B24" s="2009" t="s">
        <v>2690</v>
      </c>
      <c r="C24" s="2020"/>
      <c r="D24" s="308"/>
      <c r="E24" s="2010">
        <v>218913</v>
      </c>
      <c r="F24" s="2010"/>
      <c r="G24" s="2011"/>
      <c r="H24" s="2012"/>
      <c r="I24" s="2010"/>
      <c r="J24" s="2013"/>
      <c r="K24" s="2014"/>
      <c r="L24" s="2010"/>
      <c r="M24" s="2011"/>
      <c r="N24" s="313"/>
      <c r="O24" s="313"/>
      <c r="P24" s="132"/>
      <c r="Q24" s="132"/>
      <c r="R24" s="132"/>
      <c r="S24" s="132"/>
      <c r="T24" s="132"/>
      <c r="U24" s="132"/>
      <c r="V24" s="132"/>
      <c r="W24" s="132"/>
      <c r="X24" s="132"/>
    </row>
    <row r="25" spans="1:24" ht="42.75" customHeight="1">
      <c r="A25" s="2008" t="s">
        <v>2687</v>
      </c>
      <c r="B25" s="2009" t="s">
        <v>2690</v>
      </c>
      <c r="C25" s="2020"/>
      <c r="D25" s="308"/>
      <c r="E25" s="2010">
        <v>49575.139298245602</v>
      </c>
      <c r="F25" s="2010"/>
      <c r="G25" s="2011"/>
      <c r="H25" s="2012"/>
      <c r="I25" s="2010"/>
      <c r="J25" s="2013"/>
      <c r="K25" s="2014"/>
      <c r="L25" s="2010"/>
      <c r="M25" s="2011"/>
      <c r="N25" s="313"/>
      <c r="O25" s="313"/>
      <c r="P25" s="132"/>
      <c r="Q25" s="132"/>
      <c r="R25" s="132"/>
      <c r="S25" s="132"/>
      <c r="T25" s="132"/>
      <c r="U25" s="132"/>
      <c r="V25" s="132"/>
      <c r="W25" s="132"/>
      <c r="X25" s="132"/>
    </row>
    <row r="26" spans="1:24" ht="42.75" customHeight="1">
      <c r="A26" s="2008" t="s">
        <v>2687</v>
      </c>
      <c r="B26" s="2009" t="s">
        <v>2690</v>
      </c>
      <c r="C26" s="2020"/>
      <c r="D26" s="308"/>
      <c r="E26" s="2010">
        <v>41248.280000000006</v>
      </c>
      <c r="F26" s="2010"/>
      <c r="G26" s="2011"/>
      <c r="H26" s="2012"/>
      <c r="I26" s="2010"/>
      <c r="J26" s="2013"/>
      <c r="K26" s="2014"/>
      <c r="L26" s="2010"/>
      <c r="M26" s="2011"/>
      <c r="N26" s="313"/>
      <c r="O26" s="313"/>
      <c r="P26" s="132"/>
      <c r="Q26" s="132"/>
      <c r="R26" s="132"/>
      <c r="S26" s="132"/>
      <c r="T26" s="132"/>
      <c r="U26" s="132"/>
      <c r="V26" s="132"/>
      <c r="W26" s="132"/>
      <c r="X26" s="132"/>
    </row>
    <row r="27" spans="1:24" ht="42.75" customHeight="1">
      <c r="A27" s="2008" t="s">
        <v>2687</v>
      </c>
      <c r="B27" s="2009" t="s">
        <v>2690</v>
      </c>
      <c r="C27" s="2020"/>
      <c r="D27" s="308"/>
      <c r="E27" s="2010">
        <v>4777</v>
      </c>
      <c r="F27" s="2010"/>
      <c r="G27" s="2011"/>
      <c r="H27" s="2012"/>
      <c r="I27" s="2010"/>
      <c r="J27" s="2013"/>
      <c r="K27" s="2014"/>
      <c r="L27" s="2010"/>
      <c r="M27" s="2011"/>
      <c r="N27" s="313"/>
      <c r="O27" s="313"/>
      <c r="P27" s="132"/>
      <c r="Q27" s="132"/>
      <c r="R27" s="132"/>
      <c r="S27" s="132"/>
      <c r="T27" s="132"/>
      <c r="U27" s="132"/>
      <c r="V27" s="132"/>
      <c r="W27" s="132"/>
      <c r="X27" s="132"/>
    </row>
    <row r="28" spans="1:24" ht="42.75" customHeight="1">
      <c r="A28" s="2008" t="s">
        <v>2670</v>
      </c>
      <c r="B28" s="2009" t="s">
        <v>2691</v>
      </c>
      <c r="C28" s="2020"/>
      <c r="D28" s="308"/>
      <c r="E28" s="2010">
        <v>6211379.2400000002</v>
      </c>
      <c r="F28" s="2010"/>
      <c r="G28" s="2011"/>
      <c r="H28" s="2012"/>
      <c r="I28" s="2010"/>
      <c r="J28" s="2013"/>
      <c r="K28" s="2014"/>
      <c r="L28" s="2010"/>
      <c r="M28" s="2011"/>
      <c r="N28" s="313"/>
      <c r="O28" s="313"/>
      <c r="P28" s="132"/>
      <c r="Q28" s="132"/>
      <c r="R28" s="132"/>
      <c r="S28" s="132"/>
      <c r="T28" s="132"/>
      <c r="U28" s="132"/>
      <c r="V28" s="132"/>
      <c r="W28" s="132"/>
      <c r="X28" s="132"/>
    </row>
    <row r="29" spans="1:24" ht="42.75" customHeight="1">
      <c r="A29" s="2008" t="s">
        <v>2670</v>
      </c>
      <c r="B29" s="2009" t="s">
        <v>2692</v>
      </c>
      <c r="C29" s="2020"/>
      <c r="D29" s="308"/>
      <c r="E29" s="2010">
        <v>1180900</v>
      </c>
      <c r="F29" s="2010"/>
      <c r="G29" s="2011"/>
      <c r="H29" s="2012"/>
      <c r="I29" s="2010"/>
      <c r="J29" s="2013"/>
      <c r="K29" s="2014"/>
      <c r="L29" s="2010"/>
      <c r="M29" s="2011"/>
      <c r="N29" s="313"/>
      <c r="O29" s="313"/>
      <c r="P29" s="132"/>
      <c r="Q29" s="132"/>
      <c r="R29" s="132"/>
      <c r="S29" s="132"/>
      <c r="T29" s="132"/>
      <c r="U29" s="132"/>
      <c r="V29" s="132"/>
      <c r="W29" s="132"/>
      <c r="X29" s="132"/>
    </row>
    <row r="30" spans="1:24" ht="42.75" customHeight="1">
      <c r="A30" s="2008" t="s">
        <v>2670</v>
      </c>
      <c r="B30" s="2009" t="s">
        <v>2693</v>
      </c>
      <c r="C30" s="2020"/>
      <c r="D30" s="308"/>
      <c r="E30" s="2010">
        <v>16200</v>
      </c>
      <c r="F30" s="2010"/>
      <c r="G30" s="2011"/>
      <c r="H30" s="2012"/>
      <c r="I30" s="2010"/>
      <c r="J30" s="2013"/>
      <c r="K30" s="2014"/>
      <c r="L30" s="2010"/>
      <c r="M30" s="2011"/>
      <c r="N30" s="313"/>
      <c r="O30" s="313"/>
      <c r="P30" s="132"/>
      <c r="Q30" s="132"/>
      <c r="R30" s="132"/>
      <c r="S30" s="132"/>
      <c r="T30" s="132"/>
      <c r="U30" s="132"/>
      <c r="V30" s="132"/>
      <c r="W30" s="132"/>
      <c r="X30" s="132"/>
    </row>
    <row r="31" spans="1:24" ht="42.75" customHeight="1">
      <c r="A31" s="2008" t="s">
        <v>2670</v>
      </c>
      <c r="B31" s="2009" t="s">
        <v>2673</v>
      </c>
      <c r="C31" s="2020"/>
      <c r="D31" s="308"/>
      <c r="E31" s="2010">
        <v>773453.53</v>
      </c>
      <c r="F31" s="2010"/>
      <c r="G31" s="2011"/>
      <c r="H31" s="2012"/>
      <c r="I31" s="2010"/>
      <c r="J31" s="2013"/>
      <c r="K31" s="2014"/>
      <c r="L31" s="2010"/>
      <c r="M31" s="2011"/>
      <c r="N31" s="313"/>
      <c r="O31" s="313"/>
      <c r="P31" s="132"/>
      <c r="Q31" s="132"/>
      <c r="R31" s="132"/>
      <c r="S31" s="132"/>
      <c r="T31" s="132"/>
      <c r="U31" s="132"/>
      <c r="V31" s="132"/>
      <c r="W31" s="132"/>
      <c r="X31" s="132"/>
    </row>
    <row r="32" spans="1:24" ht="42.75" customHeight="1">
      <c r="A32" s="2008" t="s">
        <v>2670</v>
      </c>
      <c r="B32" s="2009" t="s">
        <v>2694</v>
      </c>
      <c r="C32" s="2020"/>
      <c r="D32" s="308"/>
      <c r="E32" s="2010">
        <v>683750.25</v>
      </c>
      <c r="F32" s="2010"/>
      <c r="G32" s="2011"/>
      <c r="H32" s="2012"/>
      <c r="I32" s="2010"/>
      <c r="J32" s="2013"/>
      <c r="K32" s="2014"/>
      <c r="L32" s="2010"/>
      <c r="M32" s="2011"/>
      <c r="N32" s="313"/>
      <c r="O32" s="313"/>
      <c r="P32" s="132"/>
      <c r="Q32" s="132"/>
      <c r="R32" s="132"/>
      <c r="S32" s="132"/>
      <c r="T32" s="132"/>
      <c r="U32" s="132"/>
      <c r="V32" s="132"/>
      <c r="W32" s="132"/>
      <c r="X32" s="132"/>
    </row>
    <row r="33" spans="1:24" ht="42.75" customHeight="1">
      <c r="A33" s="2008" t="s">
        <v>2670</v>
      </c>
      <c r="B33" s="2009" t="s">
        <v>2695</v>
      </c>
      <c r="C33" s="2020"/>
      <c r="D33" s="308"/>
      <c r="E33" s="2010">
        <v>1500000</v>
      </c>
      <c r="F33" s="2010"/>
      <c r="G33" s="2011"/>
      <c r="H33" s="2012"/>
      <c r="I33" s="2010"/>
      <c r="J33" s="2013"/>
      <c r="K33" s="2014"/>
      <c r="L33" s="2010"/>
      <c r="M33" s="2011"/>
      <c r="N33" s="313"/>
      <c r="O33" s="313"/>
      <c r="P33" s="132"/>
      <c r="Q33" s="132"/>
      <c r="R33" s="132"/>
      <c r="S33" s="132"/>
      <c r="T33" s="132"/>
      <c r="U33" s="132"/>
      <c r="V33" s="132"/>
      <c r="W33" s="132"/>
      <c r="X33" s="132"/>
    </row>
    <row r="34" spans="1:24" ht="42.75" customHeight="1">
      <c r="A34" s="2008" t="s">
        <v>2670</v>
      </c>
      <c r="B34" s="2009" t="s">
        <v>2696</v>
      </c>
      <c r="C34" s="2020"/>
      <c r="D34" s="308"/>
      <c r="E34" s="2010">
        <v>2011543.84</v>
      </c>
      <c r="F34" s="2010"/>
      <c r="G34" s="2011"/>
      <c r="H34" s="2012"/>
      <c r="I34" s="2010"/>
      <c r="J34" s="2013"/>
      <c r="K34" s="2014"/>
      <c r="L34" s="2010"/>
      <c r="M34" s="2011"/>
      <c r="N34" s="313"/>
      <c r="O34" s="313"/>
      <c r="P34" s="132"/>
      <c r="Q34" s="132"/>
      <c r="R34" s="132"/>
      <c r="S34" s="132"/>
      <c r="T34" s="132"/>
      <c r="U34" s="132"/>
      <c r="V34" s="132"/>
      <c r="W34" s="132"/>
      <c r="X34" s="132"/>
    </row>
    <row r="35" spans="1:24" ht="42.75" customHeight="1">
      <c r="A35" s="2008" t="s">
        <v>2670</v>
      </c>
      <c r="B35" s="2009" t="s">
        <v>2697</v>
      </c>
      <c r="C35" s="2020"/>
      <c r="D35" s="308"/>
      <c r="E35" s="2010">
        <v>6894901.1699999999</v>
      </c>
      <c r="F35" s="2010"/>
      <c r="G35" s="2011"/>
      <c r="H35" s="2012"/>
      <c r="I35" s="2010"/>
      <c r="J35" s="2013"/>
      <c r="K35" s="2014"/>
      <c r="L35" s="2010"/>
      <c r="M35" s="2011"/>
      <c r="N35" s="313"/>
      <c r="O35" s="313"/>
      <c r="P35" s="132"/>
      <c r="Q35" s="132"/>
      <c r="R35" s="132"/>
      <c r="S35" s="132"/>
      <c r="T35" s="132"/>
      <c r="U35" s="132"/>
      <c r="V35" s="132"/>
      <c r="W35" s="132"/>
      <c r="X35" s="132"/>
    </row>
    <row r="36" spans="1:24" ht="42.75" customHeight="1">
      <c r="A36" s="2008" t="s">
        <v>2670</v>
      </c>
      <c r="B36" s="2009" t="s">
        <v>2698</v>
      </c>
      <c r="C36" s="2020"/>
      <c r="D36" s="308"/>
      <c r="E36" s="2010">
        <v>5361114.28</v>
      </c>
      <c r="F36" s="2010"/>
      <c r="G36" s="2011"/>
      <c r="H36" s="2012"/>
      <c r="I36" s="2010"/>
      <c r="J36" s="2013"/>
      <c r="K36" s="2014"/>
      <c r="L36" s="2010"/>
      <c r="M36" s="2011"/>
      <c r="N36" s="313"/>
      <c r="O36" s="313"/>
      <c r="P36" s="132"/>
      <c r="Q36" s="132"/>
      <c r="R36" s="132"/>
      <c r="S36" s="132"/>
      <c r="T36" s="132"/>
      <c r="U36" s="132"/>
      <c r="V36" s="132"/>
      <c r="W36" s="132"/>
      <c r="X36" s="132"/>
    </row>
    <row r="37" spans="1:24" ht="42.75" customHeight="1">
      <c r="A37" s="2008" t="s">
        <v>2670</v>
      </c>
      <c r="B37" s="2009" t="s">
        <v>2699</v>
      </c>
      <c r="C37" s="2020"/>
      <c r="D37" s="308"/>
      <c r="E37" s="2010">
        <v>152334</v>
      </c>
      <c r="F37" s="2010"/>
      <c r="G37" s="2011"/>
      <c r="H37" s="2012"/>
      <c r="I37" s="2010"/>
      <c r="J37" s="2013"/>
      <c r="K37" s="2014"/>
      <c r="L37" s="2010"/>
      <c r="M37" s="2011"/>
      <c r="N37" s="313"/>
      <c r="O37" s="313"/>
      <c r="P37" s="132"/>
      <c r="Q37" s="132"/>
      <c r="R37" s="132"/>
      <c r="S37" s="132"/>
      <c r="T37" s="132"/>
      <c r="U37" s="132"/>
      <c r="V37" s="132"/>
      <c r="W37" s="132"/>
      <c r="X37" s="132"/>
    </row>
    <row r="38" spans="1:24" ht="42.75" customHeight="1">
      <c r="A38" s="2008" t="s">
        <v>2670</v>
      </c>
      <c r="B38" s="2009" t="s">
        <v>2700</v>
      </c>
      <c r="C38" s="2020"/>
      <c r="D38" s="308"/>
      <c r="E38" s="2010">
        <v>1579439.39</v>
      </c>
      <c r="F38" s="2010">
        <v>1722329.8503508775</v>
      </c>
      <c r="G38" s="2011"/>
      <c r="H38" s="2012"/>
      <c r="I38" s="2010"/>
      <c r="J38" s="2013"/>
      <c r="K38" s="2014"/>
      <c r="L38" s="2010"/>
      <c r="M38" s="2011"/>
      <c r="N38" s="313"/>
      <c r="O38" s="313"/>
      <c r="P38" s="132"/>
      <c r="Q38" s="132"/>
      <c r="R38" s="132"/>
      <c r="S38" s="132"/>
      <c r="T38" s="132"/>
      <c r="U38" s="132"/>
      <c r="V38" s="132"/>
      <c r="W38" s="132"/>
      <c r="X38" s="132"/>
    </row>
    <row r="39" spans="1:24" ht="42.75" customHeight="1">
      <c r="A39" s="2008" t="s">
        <v>2687</v>
      </c>
      <c r="B39" s="2009" t="s">
        <v>2701</v>
      </c>
      <c r="C39" s="2020"/>
      <c r="D39" s="308"/>
      <c r="E39" s="2010">
        <v>5718520</v>
      </c>
      <c r="F39" s="2010"/>
      <c r="G39" s="2011"/>
      <c r="H39" s="2012"/>
      <c r="I39" s="2010"/>
      <c r="J39" s="2013"/>
      <c r="K39" s="2014"/>
      <c r="L39" s="2010"/>
      <c r="M39" s="2011"/>
      <c r="N39" s="313"/>
      <c r="O39" s="313"/>
      <c r="P39" s="132"/>
      <c r="Q39" s="132"/>
      <c r="R39" s="132"/>
      <c r="S39" s="132"/>
      <c r="T39" s="132"/>
      <c r="U39" s="132"/>
      <c r="V39" s="132"/>
      <c r="W39" s="132"/>
      <c r="X39" s="132"/>
    </row>
    <row r="40" spans="1:24" ht="42.75" customHeight="1">
      <c r="A40" s="2008" t="s">
        <v>2687</v>
      </c>
      <c r="B40" s="2009" t="s">
        <v>2702</v>
      </c>
      <c r="C40" s="2020"/>
      <c r="D40" s="308"/>
      <c r="E40" s="2010">
        <v>866030</v>
      </c>
      <c r="F40" s="2010"/>
      <c r="G40" s="2011"/>
      <c r="H40" s="2012"/>
      <c r="I40" s="2010"/>
      <c r="J40" s="2013"/>
      <c r="K40" s="2014"/>
      <c r="L40" s="2010"/>
      <c r="M40" s="2011"/>
      <c r="N40" s="313"/>
      <c r="O40" s="313"/>
      <c r="P40" s="132"/>
      <c r="Q40" s="132"/>
      <c r="R40" s="132"/>
      <c r="S40" s="132"/>
      <c r="T40" s="132"/>
      <c r="U40" s="132"/>
      <c r="V40" s="132"/>
      <c r="W40" s="132"/>
      <c r="X40" s="132"/>
    </row>
    <row r="41" spans="1:24" ht="42.75" customHeight="1">
      <c r="A41" s="2008" t="s">
        <v>2687</v>
      </c>
      <c r="B41" s="2009" t="s">
        <v>2703</v>
      </c>
      <c r="C41" s="2020"/>
      <c r="D41" s="308"/>
      <c r="E41" s="2010">
        <v>7449</v>
      </c>
      <c r="F41" s="2010">
        <v>549874</v>
      </c>
      <c r="G41" s="2011"/>
      <c r="H41" s="2012"/>
      <c r="I41" s="2010"/>
      <c r="J41" s="2013"/>
      <c r="K41" s="2014"/>
      <c r="L41" s="2010"/>
      <c r="M41" s="2011"/>
      <c r="N41" s="313"/>
      <c r="O41" s="313"/>
      <c r="P41" s="132"/>
      <c r="Q41" s="132"/>
      <c r="R41" s="132"/>
      <c r="S41" s="132"/>
      <c r="T41" s="132"/>
      <c r="U41" s="132"/>
      <c r="V41" s="132"/>
      <c r="W41" s="132"/>
      <c r="X41" s="132"/>
    </row>
    <row r="42" spans="1:24" ht="42.75" customHeight="1">
      <c r="A42" s="2008" t="s">
        <v>2676</v>
      </c>
      <c r="B42" s="2009" t="s">
        <v>2705</v>
      </c>
      <c r="C42" s="2020"/>
      <c r="D42" s="308"/>
      <c r="E42" s="2010"/>
      <c r="F42" s="2010">
        <v>740846.58</v>
      </c>
      <c r="G42" s="2011"/>
      <c r="H42" s="2012"/>
      <c r="I42" s="2010"/>
      <c r="J42" s="2013"/>
      <c r="K42" s="2014"/>
      <c r="L42" s="2010"/>
      <c r="M42" s="2011"/>
      <c r="N42" s="313"/>
      <c r="O42" s="313"/>
      <c r="P42" s="132"/>
      <c r="Q42" s="132"/>
      <c r="R42" s="132"/>
      <c r="S42" s="132"/>
      <c r="T42" s="132"/>
      <c r="U42" s="132"/>
      <c r="V42" s="132"/>
      <c r="W42" s="132"/>
      <c r="X42" s="132"/>
    </row>
    <row r="43" spans="1:24" ht="42.75" customHeight="1">
      <c r="A43" s="2008" t="s">
        <v>2676</v>
      </c>
      <c r="B43" s="2009" t="s">
        <v>2706</v>
      </c>
      <c r="C43" s="2020"/>
      <c r="D43" s="308"/>
      <c r="E43" s="2010"/>
      <c r="F43" s="2010">
        <v>3516114.0066666664</v>
      </c>
      <c r="G43" s="2011">
        <v>445932.53217391309</v>
      </c>
      <c r="H43" s="2012"/>
      <c r="I43" s="2010"/>
      <c r="J43" s="2013"/>
      <c r="K43" s="2014"/>
      <c r="L43" s="2010"/>
      <c r="M43" s="2011"/>
      <c r="N43" s="313"/>
      <c r="O43" s="313"/>
      <c r="P43" s="132"/>
      <c r="Q43" s="132"/>
      <c r="R43" s="132"/>
      <c r="S43" s="132"/>
      <c r="T43" s="132"/>
      <c r="U43" s="132"/>
      <c r="V43" s="132"/>
      <c r="W43" s="132"/>
      <c r="X43" s="132"/>
    </row>
    <row r="44" spans="1:24" ht="42.75" customHeight="1">
      <c r="A44" s="2008" t="s">
        <v>2676</v>
      </c>
      <c r="B44" s="2009" t="s">
        <v>2707</v>
      </c>
      <c r="C44" s="2020"/>
      <c r="D44" s="308"/>
      <c r="E44" s="2010"/>
      <c r="F44" s="2010"/>
      <c r="G44" s="2011"/>
      <c r="H44" s="2012"/>
      <c r="I44" s="2010"/>
      <c r="J44" s="2013"/>
      <c r="K44" s="2014"/>
      <c r="L44" s="2010"/>
      <c r="M44" s="2011"/>
      <c r="N44" s="313"/>
      <c r="O44" s="313"/>
      <c r="P44" s="132"/>
      <c r="Q44" s="132"/>
      <c r="R44" s="132"/>
      <c r="S44" s="132"/>
      <c r="T44" s="132"/>
      <c r="U44" s="132"/>
      <c r="V44" s="132"/>
      <c r="W44" s="132"/>
      <c r="X44" s="132"/>
    </row>
    <row r="45" spans="1:24" ht="42.75" customHeight="1">
      <c r="A45" s="2008" t="s">
        <v>2676</v>
      </c>
      <c r="B45" s="2009" t="s">
        <v>2708</v>
      </c>
      <c r="C45" s="2020"/>
      <c r="D45" s="308"/>
      <c r="E45" s="2010"/>
      <c r="F45" s="2010"/>
      <c r="G45" s="2011"/>
      <c r="H45" s="2012">
        <v>0</v>
      </c>
      <c r="I45" s="2010">
        <v>0</v>
      </c>
      <c r="J45" s="2013">
        <v>0</v>
      </c>
      <c r="K45" s="2014">
        <f>700000</f>
        <v>700000</v>
      </c>
      <c r="L45" s="2010"/>
      <c r="M45" s="2011"/>
      <c r="N45" s="313"/>
      <c r="O45" s="313"/>
      <c r="P45" s="132"/>
      <c r="Q45" s="132"/>
      <c r="R45" s="132"/>
      <c r="S45" s="132"/>
      <c r="T45" s="132"/>
      <c r="U45" s="132"/>
      <c r="V45" s="132"/>
      <c r="W45" s="132"/>
      <c r="X45" s="132"/>
    </row>
    <row r="46" spans="1:24" ht="42.75" customHeight="1">
      <c r="A46" s="2008" t="s">
        <v>2676</v>
      </c>
      <c r="B46" s="2009" t="s">
        <v>2709</v>
      </c>
      <c r="C46" s="2020"/>
      <c r="D46" s="308"/>
      <c r="E46" s="2010"/>
      <c r="F46" s="2010"/>
      <c r="G46" s="2011"/>
      <c r="H46" s="2012"/>
      <c r="I46" s="2010"/>
      <c r="J46" s="2013"/>
      <c r="K46" s="2014"/>
      <c r="L46" s="2010"/>
      <c r="M46" s="2011"/>
      <c r="N46" s="313"/>
      <c r="O46" s="313"/>
      <c r="P46" s="132"/>
      <c r="Q46" s="132"/>
      <c r="R46" s="132"/>
      <c r="S46" s="132"/>
      <c r="T46" s="132"/>
      <c r="U46" s="132"/>
      <c r="V46" s="132"/>
      <c r="W46" s="132"/>
      <c r="X46" s="132"/>
    </row>
    <row r="47" spans="1:24" ht="42.75" customHeight="1">
      <c r="A47" s="2008" t="s">
        <v>2676</v>
      </c>
      <c r="B47" s="2009" t="s">
        <v>2710</v>
      </c>
      <c r="C47" s="2020"/>
      <c r="D47" s="308"/>
      <c r="E47" s="2010"/>
      <c r="F47" s="2010"/>
      <c r="G47" s="2011"/>
      <c r="H47" s="2012">
        <v>0</v>
      </c>
      <c r="I47" s="2010">
        <v>0</v>
      </c>
      <c r="J47" s="2013">
        <v>0</v>
      </c>
      <c r="K47" s="2014">
        <v>2000000</v>
      </c>
      <c r="L47" s="2010"/>
      <c r="M47" s="2011"/>
      <c r="N47" s="313"/>
      <c r="O47" s="313"/>
      <c r="P47" s="132"/>
      <c r="Q47" s="132"/>
      <c r="R47" s="132"/>
      <c r="S47" s="132"/>
      <c r="T47" s="132"/>
      <c r="U47" s="132"/>
      <c r="V47" s="132"/>
      <c r="W47" s="132"/>
      <c r="X47" s="132"/>
    </row>
    <row r="48" spans="1:24" ht="42.75" customHeight="1">
      <c r="A48" s="2008" t="s">
        <v>2676</v>
      </c>
      <c r="B48" s="2009" t="s">
        <v>2711</v>
      </c>
      <c r="C48" s="2020"/>
      <c r="D48" s="308"/>
      <c r="E48" s="2010"/>
      <c r="F48" s="2010"/>
      <c r="G48" s="2011"/>
      <c r="H48" s="2012">
        <v>0</v>
      </c>
      <c r="I48" s="2010">
        <v>0</v>
      </c>
      <c r="J48" s="2013">
        <v>0</v>
      </c>
      <c r="K48" s="2014"/>
      <c r="L48" s="2010"/>
      <c r="M48" s="2011"/>
      <c r="N48" s="313"/>
      <c r="O48" s="313"/>
      <c r="P48" s="132"/>
      <c r="Q48" s="132"/>
      <c r="R48" s="132"/>
      <c r="S48" s="132"/>
      <c r="T48" s="132"/>
      <c r="U48" s="132"/>
      <c r="V48" s="132"/>
      <c r="W48" s="132"/>
      <c r="X48" s="132"/>
    </row>
    <row r="49" spans="1:24" ht="42.75" customHeight="1">
      <c r="A49" s="2008" t="s">
        <v>2670</v>
      </c>
      <c r="B49" s="2009" t="s">
        <v>2712</v>
      </c>
      <c r="C49" s="2020"/>
      <c r="D49" s="308"/>
      <c r="E49" s="2010"/>
      <c r="F49" s="2010"/>
      <c r="G49" s="2011"/>
      <c r="H49" s="2012">
        <v>19134345</v>
      </c>
      <c r="I49" s="2010">
        <v>15222658</v>
      </c>
      <c r="J49" s="2013">
        <v>15222658</v>
      </c>
      <c r="K49" s="2014">
        <v>13653118</v>
      </c>
      <c r="L49" s="2010"/>
      <c r="M49" s="2011"/>
      <c r="N49" s="313"/>
      <c r="O49" s="313"/>
      <c r="P49" s="132"/>
      <c r="Q49" s="132"/>
      <c r="R49" s="132"/>
      <c r="S49" s="132"/>
      <c r="T49" s="132"/>
      <c r="U49" s="132"/>
      <c r="V49" s="132"/>
      <c r="W49" s="132"/>
      <c r="X49" s="132"/>
    </row>
    <row r="50" spans="1:24" ht="42.75" customHeight="1">
      <c r="A50" s="2008" t="s">
        <v>2670</v>
      </c>
      <c r="B50" s="2009" t="s">
        <v>2713</v>
      </c>
      <c r="C50" s="2020"/>
      <c r="D50" s="308"/>
      <c r="E50" s="2010"/>
      <c r="F50" s="2010">
        <v>10201125.01385965</v>
      </c>
      <c r="G50" s="2011">
        <v>1043403.2769565219</v>
      </c>
      <c r="H50" s="2012"/>
      <c r="I50" s="2010"/>
      <c r="J50" s="2013"/>
      <c r="K50" s="2014"/>
      <c r="L50" s="2010"/>
      <c r="M50" s="2011"/>
      <c r="N50" s="313"/>
      <c r="O50" s="313"/>
      <c r="P50" s="132"/>
      <c r="Q50" s="132"/>
      <c r="R50" s="132"/>
      <c r="S50" s="132"/>
      <c r="T50" s="132"/>
      <c r="U50" s="132"/>
      <c r="V50" s="132"/>
      <c r="W50" s="132"/>
      <c r="X50" s="132"/>
    </row>
    <row r="51" spans="1:24" ht="42.75" customHeight="1">
      <c r="A51" s="2008" t="s">
        <v>2670</v>
      </c>
      <c r="B51" s="2009" t="s">
        <v>2714</v>
      </c>
      <c r="C51" s="2020"/>
      <c r="D51" s="308"/>
      <c r="E51" s="2010"/>
      <c r="F51" s="2010">
        <v>9375529.8571167048</v>
      </c>
      <c r="G51" s="2011">
        <v>2562574.6256521745</v>
      </c>
      <c r="H51" s="2012"/>
      <c r="I51" s="2010"/>
      <c r="J51" s="2013"/>
      <c r="K51" s="2014"/>
      <c r="L51" s="2010"/>
      <c r="M51" s="2011"/>
      <c r="N51" s="313"/>
      <c r="O51" s="313"/>
      <c r="P51" s="132"/>
      <c r="Q51" s="132"/>
      <c r="R51" s="132"/>
      <c r="S51" s="132"/>
      <c r="T51" s="132"/>
      <c r="U51" s="132"/>
      <c r="V51" s="132"/>
      <c r="W51" s="132"/>
      <c r="X51" s="132"/>
    </row>
    <row r="52" spans="1:24" ht="42.75" customHeight="1">
      <c r="A52" s="2008" t="s">
        <v>2670</v>
      </c>
      <c r="B52" s="2009" t="s">
        <v>2715</v>
      </c>
      <c r="C52" s="2020"/>
      <c r="D52" s="308"/>
      <c r="E52" s="2010"/>
      <c r="F52" s="2010"/>
      <c r="G52" s="2011"/>
      <c r="H52" s="2012"/>
      <c r="I52" s="2010"/>
      <c r="J52" s="2013"/>
      <c r="K52" s="2014"/>
      <c r="L52" s="2010"/>
      <c r="M52" s="2011"/>
      <c r="N52" s="313"/>
      <c r="O52" s="313"/>
      <c r="P52" s="132"/>
      <c r="Q52" s="132"/>
      <c r="R52" s="132"/>
      <c r="S52" s="132"/>
      <c r="T52" s="132"/>
      <c r="U52" s="132"/>
      <c r="V52" s="132"/>
      <c r="W52" s="132"/>
      <c r="X52" s="132"/>
    </row>
    <row r="53" spans="1:24" ht="42.75" customHeight="1">
      <c r="A53" s="2008" t="s">
        <v>2670</v>
      </c>
      <c r="B53" s="2009" t="s">
        <v>2716</v>
      </c>
      <c r="C53" s="2020"/>
      <c r="D53" s="308"/>
      <c r="E53" s="2010"/>
      <c r="F53" s="2010"/>
      <c r="G53" s="2011"/>
      <c r="H53" s="2012"/>
      <c r="I53" s="2010"/>
      <c r="J53" s="2013"/>
      <c r="K53" s="2014"/>
      <c r="L53" s="2010"/>
      <c r="M53" s="2011"/>
      <c r="N53" s="313"/>
      <c r="O53" s="313"/>
      <c r="P53" s="132"/>
      <c r="Q53" s="132"/>
      <c r="R53" s="132"/>
      <c r="S53" s="132"/>
      <c r="T53" s="132"/>
      <c r="U53" s="132"/>
      <c r="V53" s="132"/>
      <c r="W53" s="132"/>
      <c r="X53" s="132"/>
    </row>
    <row r="54" spans="1:24" ht="42.75" customHeight="1">
      <c r="A54" s="2008" t="s">
        <v>2670</v>
      </c>
      <c r="B54" s="2009" t="s">
        <v>2717</v>
      </c>
      <c r="C54" s="2020"/>
      <c r="D54" s="308"/>
      <c r="E54" s="2010"/>
      <c r="F54" s="2010">
        <v>1973234.9322807021</v>
      </c>
      <c r="G54" s="2011"/>
      <c r="H54" s="2012"/>
      <c r="I54" s="2010"/>
      <c r="J54" s="2013"/>
      <c r="K54" s="2014"/>
      <c r="L54" s="2010"/>
      <c r="M54" s="2011"/>
      <c r="N54" s="313"/>
      <c r="O54" s="313"/>
      <c r="P54" s="132"/>
      <c r="Q54" s="132"/>
      <c r="R54" s="132"/>
      <c r="S54" s="132"/>
      <c r="T54" s="132"/>
      <c r="U54" s="132"/>
      <c r="V54" s="132"/>
      <c r="W54" s="132"/>
      <c r="X54" s="132"/>
    </row>
    <row r="55" spans="1:24" ht="42.75" customHeight="1">
      <c r="A55" s="2008" t="s">
        <v>2670</v>
      </c>
      <c r="B55" s="2009" t="s">
        <v>2718</v>
      </c>
      <c r="C55" s="2020"/>
      <c r="D55" s="308"/>
      <c r="E55" s="2010"/>
      <c r="F55" s="2010"/>
      <c r="G55" s="2011">
        <v>2913229.6356521738</v>
      </c>
      <c r="H55" s="2012">
        <v>14365700</v>
      </c>
      <c r="I55" s="2010">
        <v>5314812</v>
      </c>
      <c r="J55" s="2013">
        <v>5314812</v>
      </c>
      <c r="K55" s="2014">
        <v>5000000</v>
      </c>
      <c r="L55" s="2010"/>
      <c r="M55" s="2011"/>
      <c r="N55" s="313"/>
      <c r="O55" s="313"/>
      <c r="P55" s="132"/>
      <c r="Q55" s="132"/>
      <c r="R55" s="132"/>
      <c r="S55" s="132"/>
      <c r="T55" s="132"/>
      <c r="U55" s="132"/>
      <c r="V55" s="132"/>
      <c r="W55" s="132"/>
      <c r="X55" s="132"/>
    </row>
    <row r="56" spans="1:24" ht="42.75" customHeight="1">
      <c r="A56" s="2008" t="s">
        <v>2670</v>
      </c>
      <c r="B56" s="2009" t="s">
        <v>2719</v>
      </c>
      <c r="C56" s="2020"/>
      <c r="D56" s="308"/>
      <c r="E56" s="2010"/>
      <c r="F56" s="2010"/>
      <c r="G56" s="2011">
        <v>2794165.8347826088</v>
      </c>
      <c r="H56" s="2012">
        <v>4402376</v>
      </c>
      <c r="I56" s="2010">
        <v>7561513</v>
      </c>
      <c r="J56" s="2013">
        <v>7561513</v>
      </c>
      <c r="K56" s="2014">
        <v>12620000</v>
      </c>
      <c r="L56" s="2010">
        <v>5370050</v>
      </c>
      <c r="M56" s="2011"/>
      <c r="N56" s="313"/>
      <c r="O56" s="313"/>
      <c r="P56" s="132"/>
      <c r="Q56" s="132"/>
      <c r="R56" s="132"/>
      <c r="S56" s="132"/>
      <c r="T56" s="132"/>
      <c r="U56" s="132"/>
      <c r="V56" s="132"/>
      <c r="W56" s="132"/>
      <c r="X56" s="132"/>
    </row>
    <row r="57" spans="1:24" ht="42.75" customHeight="1">
      <c r="A57" s="2008" t="s">
        <v>2670</v>
      </c>
      <c r="B57" s="2009" t="s">
        <v>2720</v>
      </c>
      <c r="C57" s="2020"/>
      <c r="D57" s="308"/>
      <c r="E57" s="2010"/>
      <c r="F57" s="2010"/>
      <c r="G57" s="2011"/>
      <c r="H57" s="2012"/>
      <c r="I57" s="2010"/>
      <c r="J57" s="2013"/>
      <c r="K57" s="2014"/>
      <c r="L57" s="2010">
        <v>2000000</v>
      </c>
      <c r="M57" s="2011">
        <v>5500000</v>
      </c>
      <c r="N57" s="313"/>
      <c r="O57" s="313"/>
      <c r="P57" s="132"/>
      <c r="Q57" s="132"/>
      <c r="R57" s="132"/>
      <c r="S57" s="132"/>
      <c r="T57" s="132"/>
      <c r="U57" s="132"/>
      <c r="V57" s="132"/>
      <c r="W57" s="132"/>
      <c r="X57" s="132"/>
    </row>
    <row r="58" spans="1:24" ht="42.75" customHeight="1">
      <c r="A58" s="2008" t="s">
        <v>2670</v>
      </c>
      <c r="B58" s="2009" t="s">
        <v>2721</v>
      </c>
      <c r="C58" s="2020"/>
      <c r="D58" s="308"/>
      <c r="E58" s="2010"/>
      <c r="F58" s="2010"/>
      <c r="G58" s="2011"/>
      <c r="H58" s="2012"/>
      <c r="I58" s="2010"/>
      <c r="J58" s="2013"/>
      <c r="K58" s="2014"/>
      <c r="L58" s="2010"/>
      <c r="M58" s="2011"/>
      <c r="N58" s="313"/>
      <c r="O58" s="313"/>
      <c r="P58" s="132"/>
      <c r="Q58" s="132"/>
      <c r="R58" s="132"/>
      <c r="S58" s="132"/>
      <c r="T58" s="132"/>
      <c r="U58" s="132"/>
      <c r="V58" s="132"/>
      <c r="W58" s="132"/>
      <c r="X58" s="132"/>
    </row>
    <row r="59" spans="1:24" ht="42.75" customHeight="1">
      <c r="A59" s="2008" t="s">
        <v>2670</v>
      </c>
      <c r="B59" s="2009" t="s">
        <v>2722</v>
      </c>
      <c r="C59" s="2020"/>
      <c r="D59" s="308"/>
      <c r="E59" s="2010"/>
      <c r="F59" s="2010"/>
      <c r="G59" s="2011">
        <v>7381541.7130434783</v>
      </c>
      <c r="H59" s="2012">
        <v>3000000</v>
      </c>
      <c r="I59" s="2010">
        <v>243596</v>
      </c>
      <c r="J59" s="2013">
        <v>243596</v>
      </c>
      <c r="K59" s="2014">
        <v>4478953</v>
      </c>
      <c r="L59" s="2010"/>
      <c r="M59" s="2011"/>
      <c r="N59" s="313"/>
      <c r="O59" s="313"/>
      <c r="P59" s="132"/>
      <c r="Q59" s="132"/>
      <c r="R59" s="132"/>
      <c r="S59" s="132"/>
      <c r="T59" s="132"/>
      <c r="U59" s="132"/>
      <c r="V59" s="132"/>
      <c r="W59" s="132"/>
      <c r="X59" s="132"/>
    </row>
    <row r="60" spans="1:24" ht="42.75" customHeight="1">
      <c r="A60" s="2008" t="s">
        <v>2670</v>
      </c>
      <c r="B60" s="2009" t="s">
        <v>2723</v>
      </c>
      <c r="C60" s="2020"/>
      <c r="D60" s="308"/>
      <c r="E60" s="2010"/>
      <c r="F60" s="2010"/>
      <c r="G60" s="2011">
        <v>7363841.462608695</v>
      </c>
      <c r="H60" s="2012"/>
      <c r="I60" s="2010"/>
      <c r="J60" s="2013"/>
      <c r="K60" s="2014"/>
      <c r="L60" s="2010"/>
      <c r="M60" s="2011"/>
      <c r="N60" s="313"/>
      <c r="O60" s="313"/>
      <c r="P60" s="132"/>
      <c r="Q60" s="132"/>
      <c r="R60" s="132"/>
      <c r="S60" s="132"/>
      <c r="T60" s="132"/>
      <c r="U60" s="132"/>
      <c r="V60" s="132"/>
      <c r="W60" s="132"/>
      <c r="X60" s="132"/>
    </row>
    <row r="61" spans="1:24" ht="42.75" customHeight="1">
      <c r="A61" s="2008" t="s">
        <v>2670</v>
      </c>
      <c r="B61" s="2009" t="s">
        <v>2724</v>
      </c>
      <c r="C61" s="2020"/>
      <c r="D61" s="308"/>
      <c r="E61" s="2010"/>
      <c r="F61" s="2010"/>
      <c r="G61" s="2011"/>
      <c r="H61" s="2012"/>
      <c r="I61" s="2010"/>
      <c r="J61" s="2013"/>
      <c r="K61" s="2014">
        <v>0</v>
      </c>
      <c r="L61" s="2010">
        <v>2000000</v>
      </c>
      <c r="M61" s="2011">
        <v>7000000</v>
      </c>
      <c r="N61" s="313"/>
      <c r="O61" s="313"/>
      <c r="P61" s="132"/>
      <c r="Q61" s="132"/>
      <c r="R61" s="132"/>
      <c r="S61" s="132"/>
      <c r="T61" s="132"/>
      <c r="U61" s="132"/>
      <c r="V61" s="132"/>
      <c r="W61" s="132"/>
      <c r="X61" s="132"/>
    </row>
    <row r="62" spans="1:24" ht="42.75" customHeight="1">
      <c r="A62" s="2008" t="s">
        <v>2670</v>
      </c>
      <c r="B62" s="2009" t="s">
        <v>3351</v>
      </c>
      <c r="C62" s="2020"/>
      <c r="D62" s="308"/>
      <c r="E62" s="2010"/>
      <c r="F62" s="2010"/>
      <c r="G62" s="2011"/>
      <c r="H62" s="2012"/>
      <c r="I62" s="2010">
        <v>561967</v>
      </c>
      <c r="J62" s="2013">
        <v>561967</v>
      </c>
      <c r="K62" s="2014"/>
      <c r="L62" s="2010"/>
      <c r="M62" s="2011"/>
      <c r="N62" s="313"/>
      <c r="O62" s="313"/>
      <c r="P62" s="132"/>
      <c r="Q62" s="132"/>
      <c r="R62" s="132"/>
      <c r="S62" s="132"/>
      <c r="T62" s="132"/>
      <c r="U62" s="132"/>
      <c r="V62" s="132"/>
      <c r="W62" s="132"/>
      <c r="X62" s="132"/>
    </row>
    <row r="63" spans="1:24" ht="42.75" customHeight="1">
      <c r="A63" s="2008" t="s">
        <v>2670</v>
      </c>
      <c r="B63" s="2009" t="s">
        <v>3353</v>
      </c>
      <c r="C63" s="2020"/>
      <c r="D63" s="308"/>
      <c r="E63" s="2010"/>
      <c r="F63" s="2010"/>
      <c r="G63" s="2011"/>
      <c r="H63" s="2012"/>
      <c r="I63" s="2010">
        <v>2693273</v>
      </c>
      <c r="J63" s="2013">
        <v>2693273</v>
      </c>
      <c r="K63" s="2014"/>
      <c r="L63" s="2010"/>
      <c r="M63" s="2011"/>
      <c r="N63" s="313"/>
      <c r="O63" s="313"/>
      <c r="P63" s="132"/>
      <c r="Q63" s="132"/>
      <c r="R63" s="132"/>
      <c r="S63" s="132"/>
      <c r="T63" s="132"/>
      <c r="U63" s="132"/>
      <c r="V63" s="132"/>
      <c r="W63" s="132"/>
      <c r="X63" s="132"/>
    </row>
    <row r="64" spans="1:24" ht="42.75" customHeight="1">
      <c r="A64" s="2008" t="s">
        <v>2670</v>
      </c>
      <c r="B64" s="2009" t="s">
        <v>2725</v>
      </c>
      <c r="C64" s="2020"/>
      <c r="D64" s="308"/>
      <c r="E64" s="2010"/>
      <c r="F64" s="2010"/>
      <c r="G64" s="2011">
        <v>5375337.6739130439</v>
      </c>
      <c r="H64" s="2012">
        <v>2968065</v>
      </c>
      <c r="I64" s="2010">
        <v>2636425</v>
      </c>
      <c r="J64" s="2013">
        <v>2636425</v>
      </c>
      <c r="K64" s="2014"/>
      <c r="L64" s="2010"/>
      <c r="M64" s="2011"/>
      <c r="N64" s="313"/>
      <c r="O64" s="313"/>
      <c r="P64" s="132"/>
      <c r="Q64" s="132"/>
      <c r="R64" s="132"/>
      <c r="S64" s="132"/>
      <c r="T64" s="132"/>
      <c r="U64" s="132"/>
      <c r="V64" s="132"/>
      <c r="W64" s="132"/>
      <c r="X64" s="132"/>
    </row>
    <row r="65" spans="1:24" ht="42.75" customHeight="1">
      <c r="A65" s="2008" t="s">
        <v>2670</v>
      </c>
      <c r="B65" s="2009" t="s">
        <v>2726</v>
      </c>
      <c r="C65" s="2020"/>
      <c r="D65" s="308"/>
      <c r="E65" s="2010"/>
      <c r="F65" s="2010"/>
      <c r="G65" s="2011">
        <v>12801277.688695652</v>
      </c>
      <c r="H65" s="2012">
        <v>19554712</v>
      </c>
      <c r="I65" s="2010">
        <v>23280579</v>
      </c>
      <c r="J65" s="2013">
        <v>23280579</v>
      </c>
      <c r="K65" s="2014"/>
      <c r="L65" s="2010"/>
      <c r="M65" s="2011"/>
      <c r="N65" s="313"/>
      <c r="O65" s="313"/>
      <c r="P65" s="132"/>
      <c r="Q65" s="132"/>
      <c r="R65" s="132"/>
      <c r="S65" s="132"/>
      <c r="T65" s="132"/>
      <c r="U65" s="132"/>
      <c r="V65" s="132"/>
      <c r="W65" s="132"/>
      <c r="X65" s="132"/>
    </row>
    <row r="66" spans="1:24" ht="42.75" customHeight="1">
      <c r="A66" s="2008" t="s">
        <v>2670</v>
      </c>
      <c r="B66" s="2009" t="s">
        <v>2727</v>
      </c>
      <c r="C66" s="2020"/>
      <c r="D66" s="308"/>
      <c r="E66" s="2010"/>
      <c r="F66" s="2010"/>
      <c r="G66" s="2011"/>
      <c r="H66" s="2012"/>
      <c r="I66" s="2010"/>
      <c r="J66" s="2013"/>
      <c r="K66" s="2014"/>
      <c r="L66" s="2010"/>
      <c r="M66" s="2011"/>
      <c r="N66" s="313"/>
      <c r="O66" s="313"/>
      <c r="P66" s="132"/>
      <c r="Q66" s="132"/>
      <c r="R66" s="132"/>
      <c r="S66" s="132"/>
      <c r="T66" s="132"/>
      <c r="U66" s="132"/>
      <c r="V66" s="132"/>
      <c r="W66" s="132"/>
      <c r="X66" s="132"/>
    </row>
    <row r="67" spans="1:24" ht="42.75" customHeight="1">
      <c r="A67" s="2008" t="s">
        <v>2670</v>
      </c>
      <c r="B67" s="2009" t="s">
        <v>2728</v>
      </c>
      <c r="C67" s="2020"/>
      <c r="D67" s="308"/>
      <c r="E67" s="2010"/>
      <c r="F67" s="2010"/>
      <c r="G67" s="2011">
        <v>2148819.0608695652</v>
      </c>
      <c r="H67" s="2012">
        <v>4402376</v>
      </c>
      <c r="I67" s="2010">
        <v>6972715</v>
      </c>
      <c r="J67" s="2013">
        <v>6972715</v>
      </c>
      <c r="K67" s="2014">
        <v>13953582</v>
      </c>
      <c r="L67" s="2010"/>
      <c r="M67" s="2011"/>
      <c r="N67" s="313"/>
      <c r="O67" s="313"/>
      <c r="P67" s="132"/>
      <c r="Q67" s="132"/>
      <c r="R67" s="132"/>
      <c r="S67" s="132"/>
      <c r="T67" s="132"/>
      <c r="U67" s="132"/>
      <c r="V67" s="132"/>
      <c r="W67" s="132"/>
      <c r="X67" s="132"/>
    </row>
    <row r="68" spans="1:24" ht="42.75" customHeight="1">
      <c r="A68" s="2008" t="s">
        <v>2670</v>
      </c>
      <c r="B68" s="2009" t="s">
        <v>2729</v>
      </c>
      <c r="C68" s="2020"/>
      <c r="D68" s="308"/>
      <c r="E68" s="2010"/>
      <c r="F68" s="2010"/>
      <c r="G68" s="2011">
        <v>2750326.2782608699</v>
      </c>
      <c r="H68" s="2012">
        <v>4402376</v>
      </c>
      <c r="I68" s="2010">
        <v>10430869</v>
      </c>
      <c r="J68" s="2013">
        <v>10430869</v>
      </c>
      <c r="K68" s="2014">
        <v>10793479.789999999</v>
      </c>
      <c r="L68" s="2010"/>
      <c r="M68" s="2011"/>
      <c r="N68" s="313"/>
      <c r="O68" s="313"/>
      <c r="P68" s="132"/>
      <c r="Q68" s="132"/>
      <c r="R68" s="132"/>
      <c r="S68" s="132"/>
      <c r="T68" s="132"/>
      <c r="U68" s="132"/>
      <c r="V68" s="132"/>
      <c r="W68" s="132"/>
      <c r="X68" s="132"/>
    </row>
    <row r="69" spans="1:24" ht="42.75" customHeight="1">
      <c r="A69" s="2008" t="s">
        <v>2670</v>
      </c>
      <c r="B69" s="2009" t="s">
        <v>2730</v>
      </c>
      <c r="C69" s="2020"/>
      <c r="D69" s="308"/>
      <c r="E69" s="2010"/>
      <c r="F69" s="2010"/>
      <c r="G69" s="2011">
        <v>542012.71304347832</v>
      </c>
      <c r="H69" s="2012">
        <v>2000000</v>
      </c>
      <c r="I69" s="2010">
        <v>2115763</v>
      </c>
      <c r="J69" s="2013">
        <v>2115763</v>
      </c>
      <c r="K69" s="2014"/>
      <c r="L69" s="2010"/>
      <c r="M69" s="2011"/>
      <c r="N69" s="313"/>
      <c r="O69" s="313"/>
      <c r="P69" s="132"/>
      <c r="Q69" s="132"/>
      <c r="R69" s="132"/>
      <c r="S69" s="132"/>
      <c r="T69" s="132"/>
      <c r="U69" s="132"/>
      <c r="V69" s="132"/>
      <c r="W69" s="132"/>
      <c r="X69" s="132"/>
    </row>
    <row r="70" spans="1:24" ht="42.75" customHeight="1">
      <c r="A70" s="2008" t="s">
        <v>2670</v>
      </c>
      <c r="B70" s="2009" t="s">
        <v>3290</v>
      </c>
      <c r="C70" s="2020"/>
      <c r="D70" s="308"/>
      <c r="E70" s="2010"/>
      <c r="F70" s="2010"/>
      <c r="G70" s="2011">
        <v>710776.93043478264</v>
      </c>
      <c r="H70" s="2012"/>
      <c r="I70" s="2010"/>
      <c r="J70" s="2013"/>
      <c r="K70" s="2014"/>
      <c r="L70" s="2010"/>
      <c r="M70" s="2011"/>
      <c r="N70" s="313"/>
      <c r="O70" s="313"/>
      <c r="P70" s="132"/>
      <c r="Q70" s="132"/>
      <c r="R70" s="132"/>
      <c r="S70" s="132"/>
      <c r="T70" s="132"/>
      <c r="U70" s="132"/>
      <c r="V70" s="132"/>
      <c r="W70" s="132"/>
      <c r="X70" s="132"/>
    </row>
    <row r="71" spans="1:24" ht="42.75" customHeight="1">
      <c r="A71" s="2008" t="s">
        <v>2732</v>
      </c>
      <c r="B71" s="2009" t="s">
        <v>2733</v>
      </c>
      <c r="C71" s="2020"/>
      <c r="D71" s="308"/>
      <c r="E71" s="2010"/>
      <c r="F71" s="2010"/>
      <c r="G71" s="2011"/>
      <c r="H71" s="2012">
        <v>500000</v>
      </c>
      <c r="I71" s="2010">
        <v>500000</v>
      </c>
      <c r="J71" s="2013">
        <v>500000</v>
      </c>
      <c r="K71" s="2014"/>
      <c r="L71" s="2010"/>
      <c r="M71" s="2011"/>
      <c r="N71" s="313"/>
      <c r="O71" s="313"/>
      <c r="P71" s="132"/>
      <c r="Q71" s="132"/>
      <c r="R71" s="132"/>
      <c r="S71" s="132"/>
      <c r="T71" s="132"/>
      <c r="U71" s="132"/>
      <c r="V71" s="132"/>
      <c r="W71" s="132"/>
      <c r="X71" s="132"/>
    </row>
    <row r="72" spans="1:24" ht="42.75" customHeight="1">
      <c r="A72" s="2008" t="s">
        <v>2676</v>
      </c>
      <c r="B72" s="2009" t="s">
        <v>2734</v>
      </c>
      <c r="C72" s="2020"/>
      <c r="D72" s="308"/>
      <c r="E72" s="2010"/>
      <c r="F72" s="2010"/>
      <c r="G72" s="2011"/>
      <c r="H72" s="2012">
        <v>1600000</v>
      </c>
      <c r="I72" s="2010">
        <v>0</v>
      </c>
      <c r="J72" s="2013">
        <v>0</v>
      </c>
      <c r="K72" s="2014"/>
      <c r="L72" s="2010"/>
      <c r="M72" s="2011"/>
      <c r="N72" s="313"/>
      <c r="O72" s="313"/>
      <c r="P72" s="132"/>
      <c r="Q72" s="132"/>
      <c r="R72" s="132"/>
      <c r="S72" s="132"/>
      <c r="T72" s="132"/>
      <c r="U72" s="132"/>
      <c r="V72" s="132"/>
      <c r="W72" s="132"/>
      <c r="X72" s="132"/>
    </row>
    <row r="73" spans="1:24" ht="42.75" customHeight="1">
      <c r="A73" s="2008" t="s">
        <v>2676</v>
      </c>
      <c r="B73" s="2009" t="s">
        <v>2735</v>
      </c>
      <c r="C73" s="2020"/>
      <c r="D73" s="308"/>
      <c r="E73" s="2010"/>
      <c r="F73" s="2010"/>
      <c r="G73" s="2011"/>
      <c r="H73" s="2012">
        <v>300000</v>
      </c>
      <c r="I73" s="2010">
        <v>300000</v>
      </c>
      <c r="J73" s="2013">
        <v>300000</v>
      </c>
      <c r="K73" s="2014"/>
      <c r="L73" s="2010"/>
      <c r="M73" s="2011"/>
      <c r="N73" s="313"/>
      <c r="O73" s="313"/>
      <c r="P73" s="132"/>
      <c r="Q73" s="132"/>
      <c r="R73" s="132"/>
      <c r="S73" s="132"/>
      <c r="T73" s="132"/>
      <c r="U73" s="132"/>
      <c r="V73" s="132"/>
      <c r="W73" s="132"/>
      <c r="X73" s="132"/>
    </row>
    <row r="74" spans="1:24" ht="42.75" customHeight="1">
      <c r="A74" s="2008" t="s">
        <v>2676</v>
      </c>
      <c r="B74" s="2009" t="s">
        <v>2736</v>
      </c>
      <c r="C74" s="2020"/>
      <c r="D74" s="308"/>
      <c r="E74" s="2010"/>
      <c r="F74" s="2010"/>
      <c r="G74" s="2011"/>
      <c r="H74" s="2012">
        <v>300000</v>
      </c>
      <c r="I74" s="2010">
        <v>300000</v>
      </c>
      <c r="J74" s="2013">
        <v>300000</v>
      </c>
      <c r="K74" s="2014">
        <v>300000</v>
      </c>
      <c r="L74" s="2010"/>
      <c r="M74" s="2011"/>
      <c r="N74" s="313"/>
      <c r="O74" s="313"/>
      <c r="P74" s="132"/>
      <c r="Q74" s="132"/>
      <c r="R74" s="132"/>
      <c r="S74" s="132"/>
      <c r="T74" s="132"/>
      <c r="U74" s="132"/>
      <c r="V74" s="132"/>
      <c r="W74" s="132"/>
      <c r="X74" s="132"/>
    </row>
    <row r="75" spans="1:24" ht="42.75" customHeight="1">
      <c r="A75" s="2008" t="s">
        <v>2676</v>
      </c>
      <c r="B75" s="2009" t="s">
        <v>2737</v>
      </c>
      <c r="C75" s="2020"/>
      <c r="D75" s="308"/>
      <c r="E75" s="2010"/>
      <c r="F75" s="2010"/>
      <c r="G75" s="2011"/>
      <c r="H75" s="2012">
        <v>800000</v>
      </c>
      <c r="I75" s="2010">
        <v>800000</v>
      </c>
      <c r="J75" s="2013">
        <v>800000</v>
      </c>
      <c r="K75" s="2014"/>
      <c r="L75" s="2010"/>
      <c r="M75" s="2011"/>
      <c r="N75" s="313"/>
      <c r="O75" s="313"/>
      <c r="P75" s="132"/>
      <c r="Q75" s="132"/>
      <c r="R75" s="132"/>
      <c r="S75" s="132"/>
      <c r="T75" s="132"/>
      <c r="U75" s="132"/>
      <c r="V75" s="132"/>
      <c r="W75" s="132"/>
      <c r="X75" s="132"/>
    </row>
    <row r="76" spans="1:24" ht="42.75" customHeight="1">
      <c r="A76" s="2008" t="s">
        <v>2676</v>
      </c>
      <c r="B76" s="2009" t="s">
        <v>2738</v>
      </c>
      <c r="C76" s="2020"/>
      <c r="D76" s="308"/>
      <c r="E76" s="2010"/>
      <c r="F76" s="2010"/>
      <c r="G76" s="2011"/>
      <c r="H76" s="2012"/>
      <c r="I76" s="2010"/>
      <c r="J76" s="2013"/>
      <c r="K76" s="2014"/>
      <c r="L76" s="2010"/>
      <c r="M76" s="2011"/>
      <c r="N76" s="313"/>
      <c r="O76" s="313"/>
      <c r="P76" s="132"/>
      <c r="Q76" s="132"/>
      <c r="R76" s="132"/>
      <c r="S76" s="132"/>
      <c r="T76" s="132"/>
      <c r="U76" s="132"/>
      <c r="V76" s="132"/>
      <c r="W76" s="132"/>
      <c r="X76" s="132"/>
    </row>
    <row r="77" spans="1:24" ht="42.75" customHeight="1">
      <c r="A77" s="2008" t="s">
        <v>2676</v>
      </c>
      <c r="B77" s="2009" t="s">
        <v>2739</v>
      </c>
      <c r="C77" s="2020"/>
      <c r="D77" s="308"/>
      <c r="E77" s="2010"/>
      <c r="F77" s="2010"/>
      <c r="G77" s="2011"/>
      <c r="H77" s="2012">
        <v>100000</v>
      </c>
      <c r="I77" s="2010">
        <v>646591.29</v>
      </c>
      <c r="J77" s="2013">
        <v>646591.29</v>
      </c>
      <c r="K77" s="2014">
        <v>450000</v>
      </c>
      <c r="L77" s="2010"/>
      <c r="M77" s="2011"/>
      <c r="N77" s="313"/>
      <c r="O77" s="313"/>
      <c r="P77" s="132"/>
      <c r="Q77" s="132"/>
      <c r="R77" s="132"/>
      <c r="S77" s="132"/>
      <c r="T77" s="132"/>
      <c r="U77" s="132"/>
      <c r="V77" s="132"/>
      <c r="W77" s="132"/>
      <c r="X77" s="132"/>
    </row>
    <row r="78" spans="1:24" ht="42.75" customHeight="1">
      <c r="A78" s="2008" t="s">
        <v>2676</v>
      </c>
      <c r="B78" s="2009" t="s">
        <v>2740</v>
      </c>
      <c r="C78" s="2020"/>
      <c r="D78" s="308"/>
      <c r="E78" s="2010"/>
      <c r="F78" s="2010"/>
      <c r="G78" s="2011"/>
      <c r="H78" s="2012">
        <v>50000</v>
      </c>
      <c r="I78" s="2010">
        <v>50000</v>
      </c>
      <c r="J78" s="2013">
        <v>50000</v>
      </c>
      <c r="K78" s="2014">
        <v>100000</v>
      </c>
      <c r="L78" s="2010"/>
      <c r="M78" s="2011"/>
      <c r="N78" s="313"/>
      <c r="O78" s="313"/>
      <c r="P78" s="132"/>
      <c r="Q78" s="132"/>
      <c r="R78" s="132"/>
      <c r="S78" s="132"/>
      <c r="T78" s="132"/>
      <c r="U78" s="132"/>
      <c r="V78" s="132"/>
      <c r="W78" s="132"/>
      <c r="X78" s="132"/>
    </row>
    <row r="79" spans="1:24" ht="42.75" customHeight="1">
      <c r="A79" s="2008" t="s">
        <v>2676</v>
      </c>
      <c r="B79" s="2009" t="s">
        <v>2741</v>
      </c>
      <c r="C79" s="2020"/>
      <c r="D79" s="308"/>
      <c r="E79" s="2010"/>
      <c r="F79" s="2010"/>
      <c r="G79" s="2011"/>
      <c r="H79" s="2012">
        <v>50000</v>
      </c>
      <c r="I79" s="2010">
        <v>50000</v>
      </c>
      <c r="J79" s="2013">
        <v>50000</v>
      </c>
      <c r="K79" s="2014">
        <v>100000</v>
      </c>
      <c r="L79" s="2010"/>
      <c r="M79" s="2011"/>
      <c r="N79" s="313"/>
      <c r="O79" s="313"/>
      <c r="P79" s="132"/>
      <c r="Q79" s="132"/>
      <c r="R79" s="132"/>
      <c r="S79" s="132"/>
      <c r="T79" s="132"/>
      <c r="U79" s="132"/>
      <c r="V79" s="132"/>
      <c r="W79" s="132"/>
      <c r="X79" s="132"/>
    </row>
    <row r="80" spans="1:24" ht="42.75" customHeight="1">
      <c r="A80" s="2008" t="s">
        <v>2676</v>
      </c>
      <c r="B80" s="2009" t="s">
        <v>2742</v>
      </c>
      <c r="C80" s="2020"/>
      <c r="D80" s="308"/>
      <c r="E80" s="2010"/>
      <c r="F80" s="2010"/>
      <c r="G80" s="2011"/>
      <c r="H80" s="2012">
        <v>150000</v>
      </c>
      <c r="I80" s="2010">
        <v>150000</v>
      </c>
      <c r="J80" s="2013">
        <v>150000</v>
      </c>
      <c r="K80" s="2014">
        <v>150000</v>
      </c>
      <c r="L80" s="2010"/>
      <c r="M80" s="2011"/>
      <c r="N80" s="313"/>
      <c r="O80" s="313"/>
      <c r="P80" s="132"/>
      <c r="Q80" s="132"/>
      <c r="R80" s="132"/>
      <c r="S80" s="132"/>
      <c r="T80" s="132"/>
      <c r="U80" s="132"/>
      <c r="V80" s="132"/>
      <c r="W80" s="132"/>
      <c r="X80" s="132"/>
    </row>
    <row r="81" spans="1:24" ht="42.75" customHeight="1">
      <c r="A81" s="2008" t="s">
        <v>2676</v>
      </c>
      <c r="B81" s="2009" t="s">
        <v>2743</v>
      </c>
      <c r="C81" s="2020"/>
      <c r="D81" s="308"/>
      <c r="E81" s="2010"/>
      <c r="F81" s="2010"/>
      <c r="G81" s="2011"/>
      <c r="H81" s="2012">
        <v>1050000</v>
      </c>
      <c r="I81" s="2010">
        <v>1050000</v>
      </c>
      <c r="J81" s="2013">
        <v>1050000</v>
      </c>
      <c r="K81" s="2014"/>
      <c r="L81" s="2010"/>
      <c r="M81" s="2011"/>
      <c r="N81" s="313"/>
      <c r="O81" s="313"/>
      <c r="P81" s="132"/>
      <c r="Q81" s="132"/>
      <c r="R81" s="132"/>
      <c r="S81" s="132"/>
      <c r="T81" s="132"/>
      <c r="U81" s="132"/>
      <c r="V81" s="132"/>
      <c r="W81" s="132"/>
      <c r="X81" s="132"/>
    </row>
    <row r="82" spans="1:24" ht="42.75" customHeight="1">
      <c r="A82" s="2008" t="s">
        <v>2676</v>
      </c>
      <c r="B82" s="2009" t="s">
        <v>2744</v>
      </c>
      <c r="C82" s="2020"/>
      <c r="D82" s="308"/>
      <c r="E82" s="2010"/>
      <c r="F82" s="2010"/>
      <c r="G82" s="2011"/>
      <c r="H82" s="2012">
        <v>1000000</v>
      </c>
      <c r="I82" s="2010">
        <v>1000000</v>
      </c>
      <c r="J82" s="2013">
        <v>1000000</v>
      </c>
      <c r="K82" s="2014"/>
      <c r="L82" s="2010"/>
      <c r="M82" s="2011"/>
      <c r="N82" s="313"/>
      <c r="O82" s="313"/>
      <c r="P82" s="132"/>
      <c r="Q82" s="132"/>
      <c r="R82" s="132"/>
      <c r="S82" s="132"/>
      <c r="T82" s="132"/>
      <c r="U82" s="132"/>
      <c r="V82" s="132"/>
      <c r="W82" s="132"/>
      <c r="X82" s="132"/>
    </row>
    <row r="83" spans="1:24" ht="42.75" customHeight="1">
      <c r="A83" s="2008" t="s">
        <v>2676</v>
      </c>
      <c r="B83" s="2009" t="s">
        <v>2745</v>
      </c>
      <c r="C83" s="2020"/>
      <c r="D83" s="308"/>
      <c r="E83" s="2010"/>
      <c r="F83" s="2010"/>
      <c r="G83" s="2011"/>
      <c r="H83" s="2012">
        <v>600000</v>
      </c>
      <c r="I83" s="2010">
        <v>600000</v>
      </c>
      <c r="J83" s="2013">
        <v>600000</v>
      </c>
      <c r="K83" s="2014"/>
      <c r="L83" s="2010"/>
      <c r="M83" s="2011"/>
      <c r="N83" s="313"/>
      <c r="O83" s="313"/>
      <c r="P83" s="132"/>
      <c r="Q83" s="132"/>
      <c r="R83" s="132"/>
      <c r="S83" s="132"/>
      <c r="T83" s="132"/>
      <c r="U83" s="132"/>
      <c r="V83" s="132"/>
      <c r="W83" s="132"/>
      <c r="X83" s="132"/>
    </row>
    <row r="84" spans="1:24" ht="42.75" customHeight="1">
      <c r="A84" s="2008" t="s">
        <v>2676</v>
      </c>
      <c r="B84" s="2009" t="s">
        <v>2746</v>
      </c>
      <c r="C84" s="2020"/>
      <c r="D84" s="308"/>
      <c r="E84" s="2010"/>
      <c r="F84" s="2010"/>
      <c r="G84" s="2011"/>
      <c r="H84" s="2012">
        <v>400000</v>
      </c>
      <c r="I84" s="2010">
        <v>400000</v>
      </c>
      <c r="J84" s="2013">
        <v>400000</v>
      </c>
      <c r="K84" s="2014"/>
      <c r="L84" s="2010"/>
      <c r="M84" s="2011"/>
      <c r="N84" s="313"/>
      <c r="O84" s="313"/>
      <c r="P84" s="132"/>
      <c r="Q84" s="132"/>
      <c r="R84" s="132"/>
      <c r="S84" s="132"/>
      <c r="T84" s="132"/>
      <c r="U84" s="132"/>
      <c r="V84" s="132"/>
      <c r="W84" s="132"/>
      <c r="X84" s="132"/>
    </row>
    <row r="85" spans="1:24" ht="42.75" customHeight="1">
      <c r="A85" s="2008" t="s">
        <v>2676</v>
      </c>
      <c r="B85" s="2009" t="s">
        <v>2747</v>
      </c>
      <c r="C85" s="2020"/>
      <c r="D85" s="308"/>
      <c r="E85" s="2010"/>
      <c r="F85" s="2010"/>
      <c r="G85" s="2011"/>
      <c r="H85" s="2012">
        <v>600000</v>
      </c>
      <c r="I85" s="2010">
        <v>600000</v>
      </c>
      <c r="J85" s="2013">
        <v>600000</v>
      </c>
      <c r="K85" s="2014">
        <v>600000</v>
      </c>
      <c r="L85" s="2010"/>
      <c r="M85" s="2011"/>
      <c r="N85" s="313"/>
      <c r="O85" s="313"/>
      <c r="P85" s="132"/>
      <c r="Q85" s="132"/>
      <c r="R85" s="132"/>
      <c r="S85" s="132"/>
      <c r="T85" s="132"/>
      <c r="U85" s="132"/>
      <c r="V85" s="132"/>
      <c r="W85" s="132"/>
      <c r="X85" s="132"/>
    </row>
    <row r="86" spans="1:24" ht="42.75" customHeight="1">
      <c r="A86" s="2008" t="s">
        <v>2676</v>
      </c>
      <c r="B86" s="2009" t="s">
        <v>2748</v>
      </c>
      <c r="C86" s="2020"/>
      <c r="D86" s="308"/>
      <c r="E86" s="2010"/>
      <c r="F86" s="2010"/>
      <c r="G86" s="2011"/>
      <c r="H86" s="2012">
        <v>600000</v>
      </c>
      <c r="I86" s="2010">
        <v>600000</v>
      </c>
      <c r="J86" s="2013">
        <v>600000</v>
      </c>
      <c r="K86" s="2014">
        <v>600000</v>
      </c>
      <c r="L86" s="2010"/>
      <c r="M86" s="2011"/>
      <c r="N86" s="313"/>
      <c r="O86" s="313"/>
      <c r="P86" s="132"/>
      <c r="Q86" s="132"/>
      <c r="R86" s="132"/>
      <c r="S86" s="132"/>
      <c r="T86" s="132"/>
      <c r="U86" s="132"/>
      <c r="V86" s="132"/>
      <c r="W86" s="132"/>
      <c r="X86" s="132"/>
    </row>
    <row r="87" spans="1:24" ht="42.75" customHeight="1">
      <c r="A87" s="2008" t="s">
        <v>2676</v>
      </c>
      <c r="B87" s="2009" t="s">
        <v>2749</v>
      </c>
      <c r="C87" s="2020"/>
      <c r="D87" s="308"/>
      <c r="E87" s="2010"/>
      <c r="F87" s="2010"/>
      <c r="G87" s="2011"/>
      <c r="H87" s="2012">
        <v>1400000</v>
      </c>
      <c r="I87" s="2010">
        <v>1400000</v>
      </c>
      <c r="J87" s="2013">
        <v>1400000</v>
      </c>
      <c r="K87" s="2014">
        <v>500000</v>
      </c>
      <c r="L87" s="2010"/>
      <c r="M87" s="2011"/>
      <c r="N87" s="313"/>
      <c r="O87" s="313"/>
      <c r="P87" s="132"/>
      <c r="Q87" s="132"/>
      <c r="R87" s="132"/>
      <c r="S87" s="132"/>
      <c r="T87" s="132"/>
      <c r="U87" s="132"/>
      <c r="V87" s="132"/>
      <c r="W87" s="132"/>
      <c r="X87" s="132"/>
    </row>
    <row r="88" spans="1:24" ht="42.75" customHeight="1">
      <c r="A88" s="2008" t="s">
        <v>2676</v>
      </c>
      <c r="B88" s="2009" t="s">
        <v>2750</v>
      </c>
      <c r="C88" s="2020"/>
      <c r="D88" s="308"/>
      <c r="E88" s="2010"/>
      <c r="F88" s="2010"/>
      <c r="G88" s="2011">
        <v>677609.39695652178</v>
      </c>
      <c r="H88" s="2012">
        <v>500000</v>
      </c>
      <c r="I88" s="2010">
        <v>500000</v>
      </c>
      <c r="J88" s="2013">
        <v>500000</v>
      </c>
      <c r="K88" s="2014"/>
      <c r="L88" s="2010"/>
      <c r="M88" s="2011"/>
      <c r="N88" s="313"/>
      <c r="O88" s="313"/>
      <c r="P88" s="132"/>
      <c r="Q88" s="132"/>
      <c r="R88" s="132"/>
      <c r="S88" s="132"/>
      <c r="T88" s="132"/>
      <c r="U88" s="132"/>
      <c r="V88" s="132"/>
      <c r="W88" s="132"/>
      <c r="X88" s="132"/>
    </row>
    <row r="89" spans="1:24" ht="42.75" customHeight="1">
      <c r="A89" s="2008" t="s">
        <v>2676</v>
      </c>
      <c r="B89" s="2009" t="s">
        <v>2751</v>
      </c>
      <c r="C89" s="2020"/>
      <c r="D89" s="308"/>
      <c r="E89" s="2010"/>
      <c r="F89" s="2010"/>
      <c r="G89" s="2011"/>
      <c r="H89" s="2012">
        <v>0</v>
      </c>
      <c r="I89" s="2010">
        <v>0</v>
      </c>
      <c r="J89" s="2013">
        <v>0</v>
      </c>
      <c r="K89" s="2014"/>
      <c r="L89" s="2010"/>
      <c r="M89" s="2011"/>
      <c r="N89" s="313"/>
      <c r="O89" s="313"/>
      <c r="P89" s="132"/>
      <c r="Q89" s="132"/>
      <c r="R89" s="132"/>
      <c r="S89" s="132"/>
      <c r="T89" s="132"/>
      <c r="U89" s="132"/>
      <c r="V89" s="132"/>
      <c r="W89" s="132"/>
      <c r="X89" s="132"/>
    </row>
    <row r="90" spans="1:24" ht="42.75" customHeight="1">
      <c r="A90" s="2008" t="s">
        <v>2676</v>
      </c>
      <c r="B90" s="2009" t="s">
        <v>2752</v>
      </c>
      <c r="C90" s="2020"/>
      <c r="D90" s="308"/>
      <c r="E90" s="2010"/>
      <c r="F90" s="2010"/>
      <c r="G90" s="2011"/>
      <c r="H90" s="2012">
        <v>500000</v>
      </c>
      <c r="I90" s="2010">
        <v>500000</v>
      </c>
      <c r="J90" s="2013">
        <v>500000</v>
      </c>
      <c r="K90" s="2014"/>
      <c r="L90" s="2010"/>
      <c r="M90" s="2011"/>
      <c r="N90" s="313"/>
      <c r="O90" s="313"/>
      <c r="P90" s="132"/>
      <c r="Q90" s="132"/>
      <c r="R90" s="132"/>
      <c r="S90" s="132"/>
      <c r="T90" s="132"/>
      <c r="U90" s="132"/>
      <c r="V90" s="132"/>
      <c r="W90" s="132"/>
      <c r="X90" s="132"/>
    </row>
    <row r="91" spans="1:24" ht="42.75" customHeight="1">
      <c r="A91" s="2008" t="s">
        <v>2676</v>
      </c>
      <c r="B91" s="2009" t="s">
        <v>2753</v>
      </c>
      <c r="C91" s="2020"/>
      <c r="D91" s="308"/>
      <c r="E91" s="2010"/>
      <c r="F91" s="2010"/>
      <c r="G91" s="2011"/>
      <c r="H91" s="2012">
        <v>0</v>
      </c>
      <c r="I91" s="2010"/>
      <c r="J91" s="2013"/>
      <c r="K91" s="2014"/>
      <c r="L91" s="2010"/>
      <c r="M91" s="2011"/>
      <c r="N91" s="313"/>
      <c r="O91" s="313"/>
      <c r="P91" s="132"/>
      <c r="Q91" s="132"/>
      <c r="R91" s="132"/>
      <c r="S91" s="132"/>
      <c r="T91" s="132"/>
      <c r="U91" s="132"/>
      <c r="V91" s="132"/>
      <c r="W91" s="132"/>
      <c r="X91" s="132"/>
    </row>
    <row r="92" spans="1:24" ht="42.75" customHeight="1">
      <c r="A92" s="2008" t="s">
        <v>2676</v>
      </c>
      <c r="B92" s="2009" t="s">
        <v>2754</v>
      </c>
      <c r="C92" s="2020"/>
      <c r="D92" s="308"/>
      <c r="E92" s="2010"/>
      <c r="F92" s="2010"/>
      <c r="G92" s="2011"/>
      <c r="H92" s="2012">
        <v>0</v>
      </c>
      <c r="I92" s="2010"/>
      <c r="J92" s="2013"/>
      <c r="K92" s="2014"/>
      <c r="L92" s="2010"/>
      <c r="M92" s="2011"/>
      <c r="N92" s="313"/>
      <c r="O92" s="313"/>
      <c r="P92" s="132"/>
      <c r="Q92" s="132"/>
      <c r="R92" s="132"/>
      <c r="S92" s="132"/>
      <c r="T92" s="132"/>
      <c r="U92" s="132"/>
      <c r="V92" s="132"/>
      <c r="W92" s="132"/>
      <c r="X92" s="132"/>
    </row>
    <row r="93" spans="1:24" ht="42.75" customHeight="1">
      <c r="A93" s="2008" t="s">
        <v>2676</v>
      </c>
      <c r="B93" s="2009" t="s">
        <v>2755</v>
      </c>
      <c r="C93" s="2020"/>
      <c r="D93" s="308"/>
      <c r="E93" s="2010"/>
      <c r="F93" s="2010"/>
      <c r="G93" s="2011"/>
      <c r="H93" s="2012">
        <v>0</v>
      </c>
      <c r="I93" s="2010"/>
      <c r="J93" s="2013"/>
      <c r="K93" s="2014"/>
      <c r="L93" s="2010"/>
      <c r="M93" s="2011"/>
      <c r="N93" s="313"/>
      <c r="O93" s="313"/>
      <c r="P93" s="132"/>
      <c r="Q93" s="132"/>
      <c r="R93" s="132"/>
      <c r="S93" s="132"/>
      <c r="T93" s="132"/>
      <c r="U93" s="132"/>
      <c r="V93" s="132"/>
      <c r="W93" s="132"/>
      <c r="X93" s="132"/>
    </row>
    <row r="94" spans="1:24" ht="42.75" customHeight="1">
      <c r="A94" s="2008" t="s">
        <v>2676</v>
      </c>
      <c r="B94" s="2009" t="s">
        <v>2756</v>
      </c>
      <c r="C94" s="2020"/>
      <c r="D94" s="308"/>
      <c r="E94" s="2010"/>
      <c r="F94" s="2010"/>
      <c r="G94" s="2011"/>
      <c r="H94" s="2012">
        <v>0</v>
      </c>
      <c r="I94" s="2010"/>
      <c r="J94" s="2013"/>
      <c r="K94" s="2014"/>
      <c r="L94" s="2010"/>
      <c r="M94" s="2011"/>
      <c r="N94" s="313"/>
      <c r="O94" s="313"/>
      <c r="P94" s="132"/>
      <c r="Q94" s="132"/>
      <c r="R94" s="132"/>
      <c r="S94" s="132"/>
      <c r="T94" s="132"/>
      <c r="U94" s="132"/>
      <c r="V94" s="132"/>
      <c r="W94" s="132"/>
      <c r="X94" s="132"/>
    </row>
    <row r="95" spans="1:24" ht="42.75" customHeight="1">
      <c r="A95" s="2008" t="s">
        <v>2676</v>
      </c>
      <c r="B95" s="2009" t="s">
        <v>2757</v>
      </c>
      <c r="C95" s="2020"/>
      <c r="D95" s="308"/>
      <c r="E95" s="2010"/>
      <c r="F95" s="2010"/>
      <c r="G95" s="2011"/>
      <c r="H95" s="2012">
        <v>500000</v>
      </c>
      <c r="I95" s="2010">
        <v>500000</v>
      </c>
      <c r="J95" s="2013">
        <v>500000</v>
      </c>
      <c r="K95" s="2014"/>
      <c r="L95" s="2010"/>
      <c r="M95" s="2011"/>
      <c r="N95" s="313"/>
      <c r="O95" s="313"/>
      <c r="P95" s="132"/>
      <c r="Q95" s="132"/>
      <c r="R95" s="132"/>
      <c r="S95" s="132"/>
      <c r="T95" s="132"/>
      <c r="U95" s="132"/>
      <c r="V95" s="132"/>
      <c r="W95" s="132"/>
      <c r="X95" s="132"/>
    </row>
    <row r="96" spans="1:24" ht="42.75" customHeight="1">
      <c r="A96" s="2008" t="s">
        <v>2676</v>
      </c>
      <c r="B96" s="2009" t="s">
        <v>2758</v>
      </c>
      <c r="C96" s="2020"/>
      <c r="D96" s="308"/>
      <c r="E96" s="2010"/>
      <c r="F96" s="2010"/>
      <c r="G96" s="2011"/>
      <c r="H96" s="2012">
        <v>1000000</v>
      </c>
      <c r="I96" s="2010">
        <v>1000000</v>
      </c>
      <c r="J96" s="2013">
        <v>1000000</v>
      </c>
      <c r="K96" s="2014">
        <v>1500000</v>
      </c>
      <c r="L96" s="2010"/>
      <c r="M96" s="2011"/>
      <c r="N96" s="313"/>
      <c r="O96" s="313"/>
      <c r="P96" s="132"/>
      <c r="Q96" s="132"/>
      <c r="R96" s="132"/>
      <c r="S96" s="132"/>
      <c r="T96" s="132"/>
      <c r="U96" s="132"/>
      <c r="V96" s="132"/>
      <c r="W96" s="132"/>
      <c r="X96" s="132"/>
    </row>
    <row r="97" spans="1:24" ht="42.75" customHeight="1">
      <c r="A97" s="2008" t="s">
        <v>2676</v>
      </c>
      <c r="B97" s="2009" t="s">
        <v>2759</v>
      </c>
      <c r="C97" s="2020"/>
      <c r="D97" s="308"/>
      <c r="E97" s="2010"/>
      <c r="F97" s="2010"/>
      <c r="G97" s="2011"/>
      <c r="H97" s="2012">
        <v>500000</v>
      </c>
      <c r="I97" s="2010">
        <v>500000</v>
      </c>
      <c r="J97" s="2013">
        <v>500000</v>
      </c>
      <c r="K97" s="2014"/>
      <c r="L97" s="2010"/>
      <c r="M97" s="2011"/>
      <c r="N97" s="313"/>
      <c r="O97" s="313"/>
      <c r="P97" s="132"/>
      <c r="Q97" s="132"/>
      <c r="R97" s="132"/>
      <c r="S97" s="132"/>
      <c r="T97" s="132"/>
      <c r="U97" s="132"/>
      <c r="V97" s="132"/>
      <c r="W97" s="132"/>
      <c r="X97" s="132"/>
    </row>
    <row r="98" spans="1:24" ht="42.75" customHeight="1">
      <c r="A98" s="2008" t="s">
        <v>2676</v>
      </c>
      <c r="B98" s="2009" t="s">
        <v>2760</v>
      </c>
      <c r="C98" s="2020"/>
      <c r="D98" s="308"/>
      <c r="E98" s="2010"/>
      <c r="F98" s="2010"/>
      <c r="G98" s="2011"/>
      <c r="H98" s="2012">
        <v>5000000</v>
      </c>
      <c r="I98" s="2010">
        <v>6600000</v>
      </c>
      <c r="J98" s="2013">
        <v>6600000</v>
      </c>
      <c r="K98" s="2014"/>
      <c r="L98" s="2010"/>
      <c r="M98" s="2011"/>
      <c r="N98" s="313"/>
      <c r="O98" s="313"/>
      <c r="P98" s="132"/>
      <c r="Q98" s="132"/>
      <c r="R98" s="132"/>
      <c r="S98" s="132"/>
      <c r="T98" s="132"/>
      <c r="U98" s="132"/>
      <c r="V98" s="132"/>
      <c r="W98" s="132"/>
      <c r="X98" s="132"/>
    </row>
    <row r="99" spans="1:24" ht="42.75" customHeight="1">
      <c r="A99" s="2008" t="s">
        <v>2676</v>
      </c>
      <c r="B99" s="2009" t="s">
        <v>2761</v>
      </c>
      <c r="C99" s="2020"/>
      <c r="D99" s="308"/>
      <c r="E99" s="2010"/>
      <c r="F99" s="2010"/>
      <c r="G99" s="2011"/>
      <c r="H99" s="2012">
        <v>1000000</v>
      </c>
      <c r="I99" s="2010">
        <v>1000000</v>
      </c>
      <c r="J99" s="2013">
        <v>1000000</v>
      </c>
      <c r="K99" s="2014">
        <v>1500000</v>
      </c>
      <c r="L99" s="2010"/>
      <c r="M99" s="2011"/>
      <c r="N99" s="313"/>
      <c r="O99" s="313"/>
      <c r="P99" s="132"/>
      <c r="Q99" s="132"/>
      <c r="R99" s="132"/>
      <c r="S99" s="132"/>
      <c r="T99" s="132"/>
      <c r="U99" s="132"/>
      <c r="V99" s="132"/>
      <c r="W99" s="132"/>
      <c r="X99" s="132"/>
    </row>
    <row r="100" spans="1:24" ht="42.75" customHeight="1">
      <c r="A100" s="2008" t="s">
        <v>2676</v>
      </c>
      <c r="B100" s="2009" t="s">
        <v>3336</v>
      </c>
      <c r="C100" s="2020"/>
      <c r="D100" s="308"/>
      <c r="E100" s="2010"/>
      <c r="F100" s="2010"/>
      <c r="G100" s="2011"/>
      <c r="H100" s="2012">
        <v>0</v>
      </c>
      <c r="I100" s="2010">
        <v>4778415</v>
      </c>
      <c r="J100" s="2013">
        <v>4778415</v>
      </c>
      <c r="K100" s="2014"/>
      <c r="L100" s="2010"/>
      <c r="M100" s="2011"/>
      <c r="N100" s="313"/>
      <c r="O100" s="313"/>
      <c r="P100" s="132"/>
      <c r="Q100" s="132"/>
      <c r="R100" s="132"/>
      <c r="S100" s="132"/>
      <c r="T100" s="132"/>
      <c r="U100" s="132"/>
      <c r="V100" s="132"/>
      <c r="W100" s="132"/>
      <c r="X100" s="132"/>
    </row>
    <row r="101" spans="1:24" ht="42.75" customHeight="1">
      <c r="A101" s="2008" t="s">
        <v>2676</v>
      </c>
      <c r="B101" s="2009" t="s">
        <v>2763</v>
      </c>
      <c r="C101" s="2020"/>
      <c r="D101" s="308"/>
      <c r="E101" s="2010"/>
      <c r="F101" s="2010"/>
      <c r="G101" s="2011"/>
      <c r="H101" s="2012">
        <v>1000000</v>
      </c>
      <c r="I101" s="2010">
        <v>1000000</v>
      </c>
      <c r="J101" s="2013">
        <v>1000000</v>
      </c>
      <c r="K101" s="2014">
        <v>1500000</v>
      </c>
      <c r="L101" s="2010"/>
      <c r="M101" s="2011"/>
      <c r="N101" s="313"/>
      <c r="O101" s="313"/>
      <c r="P101" s="132"/>
      <c r="Q101" s="132"/>
      <c r="R101" s="132"/>
      <c r="S101" s="132"/>
      <c r="T101" s="132"/>
      <c r="U101" s="132"/>
      <c r="V101" s="132"/>
      <c r="W101" s="132"/>
      <c r="X101" s="132"/>
    </row>
    <row r="102" spans="1:24" ht="42.75" customHeight="1">
      <c r="A102" s="2008" t="s">
        <v>2676</v>
      </c>
      <c r="B102" s="2009" t="s">
        <v>2764</v>
      </c>
      <c r="C102" s="2020"/>
      <c r="D102" s="308"/>
      <c r="E102" s="2010"/>
      <c r="F102" s="2010"/>
      <c r="G102" s="2011"/>
      <c r="H102" s="2012">
        <v>500000</v>
      </c>
      <c r="I102" s="2010">
        <v>500000</v>
      </c>
      <c r="J102" s="2013">
        <v>500000</v>
      </c>
      <c r="K102" s="2014"/>
      <c r="L102" s="2010"/>
      <c r="M102" s="2011"/>
      <c r="N102" s="313"/>
      <c r="O102" s="313"/>
      <c r="P102" s="132"/>
      <c r="Q102" s="132"/>
      <c r="R102" s="132"/>
      <c r="S102" s="132"/>
      <c r="T102" s="132"/>
      <c r="U102" s="132"/>
      <c r="V102" s="132"/>
      <c r="W102" s="132"/>
      <c r="X102" s="132"/>
    </row>
    <row r="103" spans="1:24" ht="42.75" customHeight="1">
      <c r="A103" s="2008" t="s">
        <v>2676</v>
      </c>
      <c r="B103" s="2009" t="s">
        <v>2765</v>
      </c>
      <c r="C103" s="2020"/>
      <c r="D103" s="308"/>
      <c r="E103" s="2010"/>
      <c r="F103" s="2010"/>
      <c r="G103" s="2011">
        <v>347883.64739130437</v>
      </c>
      <c r="H103" s="2012"/>
      <c r="I103" s="2010"/>
      <c r="J103" s="2013"/>
      <c r="K103" s="2014"/>
      <c r="L103" s="2010"/>
      <c r="M103" s="2011"/>
      <c r="N103" s="313"/>
      <c r="O103" s="313"/>
      <c r="P103" s="132"/>
      <c r="Q103" s="132"/>
      <c r="R103" s="132"/>
      <c r="S103" s="132"/>
      <c r="T103" s="132"/>
      <c r="U103" s="132"/>
      <c r="V103" s="132"/>
      <c r="W103" s="132"/>
      <c r="X103" s="132"/>
    </row>
    <row r="104" spans="1:24" ht="42.75" customHeight="1">
      <c r="A104" s="2008" t="s">
        <v>2676</v>
      </c>
      <c r="B104" s="2009" t="s">
        <v>2766</v>
      </c>
      <c r="C104" s="2020"/>
      <c r="D104" s="308"/>
      <c r="E104" s="2010"/>
      <c r="F104" s="2010"/>
      <c r="G104" s="2011">
        <v>1605685.41</v>
      </c>
      <c r="H104" s="2012"/>
      <c r="I104" s="2010"/>
      <c r="J104" s="2013"/>
      <c r="K104" s="2014"/>
      <c r="L104" s="2010"/>
      <c r="M104" s="2011"/>
      <c r="N104" s="313"/>
      <c r="O104" s="313"/>
      <c r="P104" s="132"/>
      <c r="Q104" s="132"/>
      <c r="R104" s="132"/>
      <c r="S104" s="132"/>
      <c r="T104" s="132"/>
      <c r="U104" s="132"/>
      <c r="V104" s="132"/>
      <c r="W104" s="132"/>
      <c r="X104" s="132"/>
    </row>
    <row r="105" spans="1:24" ht="42.75" customHeight="1">
      <c r="A105" s="2008" t="s">
        <v>2676</v>
      </c>
      <c r="B105" s="2009" t="s">
        <v>3294</v>
      </c>
      <c r="C105" s="2020"/>
      <c r="D105" s="308"/>
      <c r="E105" s="2010"/>
      <c r="F105" s="2010"/>
      <c r="G105" s="2011">
        <v>2911610</v>
      </c>
      <c r="H105" s="2012"/>
      <c r="I105" s="2010"/>
      <c r="J105" s="2013"/>
      <c r="K105" s="2014"/>
      <c r="L105" s="2010"/>
      <c r="M105" s="2011"/>
      <c r="N105" s="313"/>
      <c r="O105" s="313"/>
      <c r="P105" s="132"/>
      <c r="Q105" s="132"/>
      <c r="R105" s="132"/>
      <c r="S105" s="132"/>
      <c r="T105" s="132"/>
      <c r="U105" s="132"/>
      <c r="V105" s="132"/>
      <c r="W105" s="132"/>
      <c r="X105" s="132"/>
    </row>
    <row r="106" spans="1:24" ht="42.75" customHeight="1">
      <c r="A106" s="2008" t="s">
        <v>2676</v>
      </c>
      <c r="B106" s="2009" t="s">
        <v>2767</v>
      </c>
      <c r="C106" s="2020"/>
      <c r="D106" s="308"/>
      <c r="E106" s="2010"/>
      <c r="F106" s="2010"/>
      <c r="G106" s="2011"/>
      <c r="H106" s="2012"/>
      <c r="I106" s="2010"/>
      <c r="J106" s="2013"/>
      <c r="K106" s="2014"/>
      <c r="L106" s="2010"/>
      <c r="M106" s="2011"/>
      <c r="N106" s="313"/>
      <c r="O106" s="313"/>
      <c r="P106" s="132"/>
      <c r="Q106" s="132"/>
      <c r="R106" s="132"/>
      <c r="S106" s="132"/>
      <c r="T106" s="132"/>
      <c r="U106" s="132"/>
      <c r="V106" s="132"/>
      <c r="W106" s="132"/>
      <c r="X106" s="132"/>
    </row>
    <row r="107" spans="1:24" ht="42.75" customHeight="1">
      <c r="A107" s="2008" t="s">
        <v>2676</v>
      </c>
      <c r="B107" s="2009" t="s">
        <v>2768</v>
      </c>
      <c r="C107" s="2020"/>
      <c r="D107" s="308"/>
      <c r="E107" s="2010"/>
      <c r="F107" s="2010"/>
      <c r="G107" s="2011">
        <v>1565942.76</v>
      </c>
      <c r="H107" s="2012"/>
      <c r="I107" s="2010"/>
      <c r="J107" s="2013"/>
      <c r="K107" s="2014"/>
      <c r="L107" s="2010"/>
      <c r="M107" s="2011"/>
      <c r="N107" s="313"/>
      <c r="O107" s="313"/>
      <c r="P107" s="132"/>
      <c r="Q107" s="132"/>
      <c r="R107" s="132"/>
      <c r="S107" s="132"/>
      <c r="T107" s="132"/>
      <c r="U107" s="132"/>
      <c r="V107" s="132"/>
      <c r="W107" s="132"/>
      <c r="X107" s="132"/>
    </row>
    <row r="108" spans="1:24" ht="42.75" customHeight="1">
      <c r="A108" s="2008" t="s">
        <v>2676</v>
      </c>
      <c r="B108" s="2009" t="s">
        <v>2769</v>
      </c>
      <c r="C108" s="2020"/>
      <c r="D108" s="308"/>
      <c r="E108" s="2010"/>
      <c r="F108" s="2010"/>
      <c r="G108" s="2011">
        <v>3207.95</v>
      </c>
      <c r="H108" s="2012"/>
      <c r="I108" s="2010">
        <v>100000</v>
      </c>
      <c r="J108" s="2013">
        <v>100000</v>
      </c>
      <c r="K108" s="2014"/>
      <c r="L108" s="2010"/>
      <c r="M108" s="2011"/>
      <c r="N108" s="313"/>
      <c r="O108" s="313"/>
      <c r="P108" s="132"/>
      <c r="Q108" s="132"/>
      <c r="R108" s="132"/>
      <c r="S108" s="132"/>
      <c r="T108" s="132"/>
      <c r="U108" s="132"/>
      <c r="V108" s="132"/>
      <c r="W108" s="132"/>
      <c r="X108" s="132"/>
    </row>
    <row r="109" spans="1:24" ht="42.75" customHeight="1">
      <c r="A109" s="2008" t="s">
        <v>2676</v>
      </c>
      <c r="B109" s="2009" t="s">
        <v>2770</v>
      </c>
      <c r="C109" s="2020"/>
      <c r="D109" s="308"/>
      <c r="E109" s="2010"/>
      <c r="F109" s="2010">
        <v>1741495</v>
      </c>
      <c r="G109" s="2011">
        <v>58376.19</v>
      </c>
      <c r="H109" s="2012"/>
      <c r="I109" s="2010"/>
      <c r="J109" s="2013"/>
      <c r="K109" s="2014"/>
      <c r="L109" s="2010"/>
      <c r="M109" s="2011"/>
      <c r="N109" s="313"/>
      <c r="O109" s="313"/>
      <c r="P109" s="132"/>
      <c r="Q109" s="132"/>
      <c r="R109" s="132"/>
      <c r="S109" s="132"/>
      <c r="T109" s="132"/>
      <c r="U109" s="132"/>
      <c r="V109" s="132"/>
      <c r="W109" s="132"/>
      <c r="X109" s="132"/>
    </row>
    <row r="110" spans="1:24" ht="42.75" customHeight="1">
      <c r="A110" s="2008" t="s">
        <v>2676</v>
      </c>
      <c r="B110" s="2009" t="s">
        <v>2771</v>
      </c>
      <c r="C110" s="2020"/>
      <c r="D110" s="308"/>
      <c r="E110" s="2010"/>
      <c r="F110" s="2010"/>
      <c r="G110" s="2011"/>
      <c r="H110" s="2012"/>
      <c r="I110" s="2010">
        <v>87025</v>
      </c>
      <c r="J110" s="2013">
        <v>87025</v>
      </c>
      <c r="K110" s="2014"/>
      <c r="L110" s="2010"/>
      <c r="M110" s="2011"/>
      <c r="N110" s="313"/>
      <c r="O110" s="313"/>
      <c r="P110" s="132"/>
      <c r="Q110" s="132"/>
      <c r="R110" s="132"/>
      <c r="S110" s="132"/>
      <c r="T110" s="132"/>
      <c r="U110" s="132"/>
      <c r="V110" s="132"/>
      <c r="W110" s="132"/>
      <c r="X110" s="132"/>
    </row>
    <row r="111" spans="1:24" ht="42.75" customHeight="1">
      <c r="A111" s="2008" t="s">
        <v>2676</v>
      </c>
      <c r="B111" s="2009" t="s">
        <v>2772</v>
      </c>
      <c r="C111" s="2020"/>
      <c r="D111" s="308"/>
      <c r="E111" s="2010"/>
      <c r="F111" s="2010"/>
      <c r="G111" s="2011"/>
      <c r="H111" s="2012"/>
      <c r="I111" s="2010">
        <v>91574.930000000008</v>
      </c>
      <c r="J111" s="2013">
        <v>91574.930000000008</v>
      </c>
      <c r="K111" s="2014"/>
      <c r="L111" s="2010"/>
      <c r="M111" s="2011"/>
      <c r="N111" s="313"/>
      <c r="O111" s="313"/>
      <c r="P111" s="132"/>
      <c r="Q111" s="132"/>
      <c r="R111" s="132"/>
      <c r="S111" s="132"/>
      <c r="T111" s="132"/>
      <c r="U111" s="132"/>
      <c r="V111" s="132"/>
      <c r="W111" s="132"/>
      <c r="X111" s="132"/>
    </row>
    <row r="112" spans="1:24" ht="42.75" customHeight="1">
      <c r="A112" s="2008" t="s">
        <v>2676</v>
      </c>
      <c r="B112" s="2009" t="s">
        <v>2773</v>
      </c>
      <c r="C112" s="2020"/>
      <c r="D112" s="308"/>
      <c r="E112" s="2010"/>
      <c r="F112" s="2010"/>
      <c r="G112" s="2011"/>
      <c r="H112" s="2012"/>
      <c r="I112" s="2010">
        <v>250000</v>
      </c>
      <c r="J112" s="2013">
        <v>250000</v>
      </c>
      <c r="K112" s="2014"/>
      <c r="L112" s="2010"/>
      <c r="M112" s="2011"/>
      <c r="N112" s="313"/>
      <c r="O112" s="313"/>
      <c r="P112" s="132"/>
      <c r="Q112" s="132"/>
      <c r="R112" s="132"/>
      <c r="S112" s="132"/>
      <c r="T112" s="132"/>
      <c r="U112" s="132"/>
      <c r="V112" s="132"/>
      <c r="W112" s="132"/>
      <c r="X112" s="132"/>
    </row>
    <row r="113" spans="1:24" ht="42.75" customHeight="1">
      <c r="A113" s="2008" t="s">
        <v>2676</v>
      </c>
      <c r="B113" s="2009" t="s">
        <v>2774</v>
      </c>
      <c r="C113" s="2020"/>
      <c r="D113" s="308"/>
      <c r="E113" s="2010"/>
      <c r="F113" s="2010"/>
      <c r="G113" s="2011">
        <v>798523.00347826094</v>
      </c>
      <c r="H113" s="2012"/>
      <c r="I113" s="2010"/>
      <c r="J113" s="2013"/>
      <c r="K113" s="2014"/>
      <c r="L113" s="2010"/>
      <c r="M113" s="2011"/>
      <c r="N113" s="313"/>
      <c r="O113" s="313"/>
      <c r="P113" s="132"/>
      <c r="Q113" s="132"/>
      <c r="R113" s="132"/>
      <c r="S113" s="132"/>
      <c r="T113" s="132"/>
      <c r="U113" s="132"/>
      <c r="V113" s="132"/>
      <c r="W113" s="132"/>
      <c r="X113" s="132"/>
    </row>
    <row r="114" spans="1:24" ht="42.75" customHeight="1">
      <c r="A114" s="2008" t="s">
        <v>2676</v>
      </c>
      <c r="B114" s="2009" t="s">
        <v>2775</v>
      </c>
      <c r="C114" s="2020"/>
      <c r="D114" s="308"/>
      <c r="E114" s="2010"/>
      <c r="F114" s="2010"/>
      <c r="G114" s="2011">
        <v>397322.08652173914</v>
      </c>
      <c r="H114" s="2012"/>
      <c r="I114" s="2010"/>
      <c r="J114" s="2013"/>
      <c r="K114" s="2014"/>
      <c r="L114" s="2010"/>
      <c r="M114" s="2011"/>
      <c r="N114" s="313"/>
      <c r="O114" s="313"/>
      <c r="P114" s="132"/>
      <c r="Q114" s="132"/>
      <c r="R114" s="132"/>
      <c r="S114" s="132"/>
      <c r="T114" s="132"/>
      <c r="U114" s="132"/>
      <c r="V114" s="132"/>
      <c r="W114" s="132"/>
      <c r="X114" s="132"/>
    </row>
    <row r="115" spans="1:24" ht="42.75" customHeight="1">
      <c r="A115" s="2008" t="s">
        <v>2676</v>
      </c>
      <c r="B115" s="2009" t="s">
        <v>2776</v>
      </c>
      <c r="C115" s="2020"/>
      <c r="D115" s="308"/>
      <c r="E115" s="2010"/>
      <c r="F115" s="2010"/>
      <c r="G115" s="2011">
        <v>8009.18</v>
      </c>
      <c r="H115" s="2012"/>
      <c r="I115" s="2010">
        <v>223320</v>
      </c>
      <c r="J115" s="2013">
        <v>223320</v>
      </c>
      <c r="K115" s="2014"/>
      <c r="L115" s="2010"/>
      <c r="M115" s="2011"/>
      <c r="N115" s="313"/>
      <c r="O115" s="313"/>
      <c r="P115" s="132"/>
      <c r="Q115" s="132"/>
      <c r="R115" s="132"/>
      <c r="S115" s="132"/>
      <c r="T115" s="132"/>
      <c r="U115" s="132"/>
      <c r="V115" s="132"/>
      <c r="W115" s="132"/>
      <c r="X115" s="132"/>
    </row>
    <row r="116" spans="1:24" ht="42.75" customHeight="1">
      <c r="A116" s="2008" t="s">
        <v>2676</v>
      </c>
      <c r="B116" s="2009" t="s">
        <v>2777</v>
      </c>
      <c r="C116" s="2020"/>
      <c r="D116" s="308"/>
      <c r="E116" s="2010"/>
      <c r="F116" s="2010"/>
      <c r="G116" s="2011">
        <v>8009.18</v>
      </c>
      <c r="H116" s="2012"/>
      <c r="I116" s="2010">
        <v>934782.59</v>
      </c>
      <c r="J116" s="2013">
        <v>934782.59</v>
      </c>
      <c r="K116" s="2014"/>
      <c r="L116" s="2010"/>
      <c r="M116" s="2011"/>
      <c r="N116" s="313"/>
      <c r="O116" s="313"/>
      <c r="P116" s="132"/>
      <c r="Q116" s="132"/>
      <c r="R116" s="132"/>
      <c r="S116" s="132"/>
      <c r="T116" s="132"/>
      <c r="U116" s="132"/>
      <c r="V116" s="132"/>
      <c r="W116" s="132"/>
      <c r="X116" s="132"/>
    </row>
    <row r="117" spans="1:24" ht="42.75" customHeight="1">
      <c r="A117" s="2008" t="s">
        <v>2676</v>
      </c>
      <c r="B117" s="2009" t="s">
        <v>2778</v>
      </c>
      <c r="C117" s="2020"/>
      <c r="D117" s="308"/>
      <c r="E117" s="2010"/>
      <c r="F117" s="2010"/>
      <c r="G117" s="2011">
        <v>798523.01217391319</v>
      </c>
      <c r="H117" s="2012"/>
      <c r="I117" s="2010">
        <v>315810.26</v>
      </c>
      <c r="J117" s="2013">
        <v>315810.26</v>
      </c>
      <c r="K117" s="2014"/>
      <c r="L117" s="2010"/>
      <c r="M117" s="2011"/>
      <c r="N117" s="313"/>
      <c r="O117" s="313"/>
      <c r="P117" s="132"/>
      <c r="Q117" s="132"/>
      <c r="R117" s="132"/>
      <c r="S117" s="132"/>
      <c r="T117" s="132"/>
      <c r="U117" s="132"/>
      <c r="V117" s="132"/>
      <c r="W117" s="132"/>
      <c r="X117" s="132"/>
    </row>
    <row r="118" spans="1:24" ht="42.75" customHeight="1">
      <c r="A118" s="2008" t="s">
        <v>2676</v>
      </c>
      <c r="B118" s="2009" t="s">
        <v>2779</v>
      </c>
      <c r="C118" s="2020"/>
      <c r="D118" s="308"/>
      <c r="E118" s="2010"/>
      <c r="F118" s="2010"/>
      <c r="G118" s="2011">
        <v>561368.87173913047</v>
      </c>
      <c r="H118" s="2012"/>
      <c r="I118" s="2010">
        <v>342292.47</v>
      </c>
      <c r="J118" s="2013">
        <v>342292.47</v>
      </c>
      <c r="K118" s="2014"/>
      <c r="L118" s="2010"/>
      <c r="M118" s="2011"/>
      <c r="N118" s="313"/>
      <c r="O118" s="313"/>
      <c r="P118" s="132"/>
      <c r="Q118" s="132"/>
      <c r="R118" s="132"/>
      <c r="S118" s="132"/>
      <c r="T118" s="132"/>
      <c r="U118" s="132"/>
      <c r="V118" s="132"/>
      <c r="W118" s="132"/>
      <c r="X118" s="132"/>
    </row>
    <row r="119" spans="1:24" ht="42.75" customHeight="1">
      <c r="A119" s="2008" t="s">
        <v>2676</v>
      </c>
      <c r="B119" s="2009" t="s">
        <v>2780</v>
      </c>
      <c r="C119" s="2020"/>
      <c r="D119" s="308"/>
      <c r="E119" s="2010"/>
      <c r="F119" s="2010"/>
      <c r="G119" s="2011">
        <v>8009.18</v>
      </c>
      <c r="H119" s="2012"/>
      <c r="I119" s="2010">
        <v>296047.41000000003</v>
      </c>
      <c r="J119" s="2013">
        <v>296047.41000000003</v>
      </c>
      <c r="K119" s="2014"/>
      <c r="L119" s="2010"/>
      <c r="M119" s="2011"/>
      <c r="N119" s="313"/>
      <c r="O119" s="313"/>
      <c r="P119" s="132"/>
      <c r="Q119" s="132"/>
      <c r="R119" s="132"/>
      <c r="S119" s="132"/>
      <c r="T119" s="132"/>
      <c r="U119" s="132"/>
      <c r="V119" s="132"/>
      <c r="W119" s="132"/>
      <c r="X119" s="132"/>
    </row>
    <row r="120" spans="1:24" ht="42.75" customHeight="1">
      <c r="A120" s="2008" t="s">
        <v>2676</v>
      </c>
      <c r="B120" s="2009" t="s">
        <v>2781</v>
      </c>
      <c r="C120" s="2020"/>
      <c r="D120" s="308"/>
      <c r="E120" s="2010"/>
      <c r="F120" s="2010"/>
      <c r="G120" s="2011">
        <v>319407.18391304347</v>
      </c>
      <c r="H120" s="2012"/>
      <c r="I120" s="2010">
        <v>0</v>
      </c>
      <c r="J120" s="2013">
        <v>0</v>
      </c>
      <c r="K120" s="2014"/>
      <c r="L120" s="2010"/>
      <c r="M120" s="2011"/>
      <c r="N120" s="313"/>
      <c r="O120" s="313"/>
      <c r="P120" s="132"/>
      <c r="Q120" s="132"/>
      <c r="R120" s="132"/>
      <c r="S120" s="132"/>
      <c r="T120" s="132"/>
      <c r="U120" s="132"/>
      <c r="V120" s="132"/>
      <c r="W120" s="132"/>
      <c r="X120" s="132"/>
    </row>
    <row r="121" spans="1:24" ht="42.75" customHeight="1">
      <c r="A121" s="2008" t="s">
        <v>2676</v>
      </c>
      <c r="B121" s="2009" t="s">
        <v>2782</v>
      </c>
      <c r="C121" s="2020"/>
      <c r="D121" s="308"/>
      <c r="E121" s="2010"/>
      <c r="F121" s="2010"/>
      <c r="G121" s="2011">
        <v>4004.62</v>
      </c>
      <c r="H121" s="2012"/>
      <c r="I121" s="2010">
        <v>467391.3</v>
      </c>
      <c r="J121" s="2013">
        <v>467391.3</v>
      </c>
      <c r="K121" s="2014"/>
      <c r="L121" s="2010"/>
      <c r="M121" s="2011"/>
      <c r="N121" s="313"/>
      <c r="O121" s="313"/>
      <c r="P121" s="132"/>
      <c r="Q121" s="132"/>
      <c r="R121" s="132"/>
      <c r="S121" s="132"/>
      <c r="T121" s="132"/>
      <c r="U121" s="132"/>
      <c r="V121" s="132"/>
      <c r="W121" s="132"/>
      <c r="X121" s="132"/>
    </row>
    <row r="122" spans="1:24" ht="42.75" customHeight="1">
      <c r="A122" s="2008" t="s">
        <v>2676</v>
      </c>
      <c r="B122" s="2009" t="s">
        <v>2783</v>
      </c>
      <c r="C122" s="2020"/>
      <c r="D122" s="308"/>
      <c r="E122" s="2010"/>
      <c r="F122" s="2010"/>
      <c r="G122" s="2011">
        <v>142179.82869565216</v>
      </c>
      <c r="H122" s="2012"/>
      <c r="I122" s="2010">
        <v>1800622.72</v>
      </c>
      <c r="J122" s="2013">
        <v>1800622.72</v>
      </c>
      <c r="K122" s="2014"/>
      <c r="L122" s="2010"/>
      <c r="M122" s="2011"/>
      <c r="N122" s="313"/>
      <c r="O122" s="313"/>
      <c r="P122" s="132"/>
      <c r="Q122" s="132"/>
      <c r="R122" s="132"/>
      <c r="S122" s="132"/>
      <c r="T122" s="132"/>
      <c r="U122" s="132"/>
      <c r="V122" s="132"/>
      <c r="W122" s="132"/>
      <c r="X122" s="132"/>
    </row>
    <row r="123" spans="1:24" ht="42.75" customHeight="1">
      <c r="A123" s="2008" t="s">
        <v>2676</v>
      </c>
      <c r="B123" s="2009" t="s">
        <v>2784</v>
      </c>
      <c r="C123" s="2020"/>
      <c r="D123" s="308"/>
      <c r="E123" s="2010"/>
      <c r="F123" s="2010"/>
      <c r="G123" s="2011">
        <v>224437.8243478261</v>
      </c>
      <c r="H123" s="2012"/>
      <c r="I123" s="2010">
        <v>1726757.42</v>
      </c>
      <c r="J123" s="2013">
        <v>1726757.42</v>
      </c>
      <c r="K123" s="2014"/>
      <c r="L123" s="2010"/>
      <c r="M123" s="2011"/>
      <c r="N123" s="313"/>
      <c r="O123" s="313"/>
      <c r="P123" s="132"/>
      <c r="Q123" s="132"/>
      <c r="R123" s="132"/>
      <c r="S123" s="132"/>
      <c r="T123" s="132"/>
      <c r="U123" s="132"/>
      <c r="V123" s="132"/>
      <c r="W123" s="132"/>
      <c r="X123" s="132"/>
    </row>
    <row r="124" spans="1:24" ht="42.75" customHeight="1">
      <c r="A124" s="2008" t="s">
        <v>2676</v>
      </c>
      <c r="B124" s="2009" t="s">
        <v>2785</v>
      </c>
      <c r="C124" s="2020"/>
      <c r="D124" s="308"/>
      <c r="E124" s="2010"/>
      <c r="F124" s="2010"/>
      <c r="G124" s="2011">
        <v>572134.37956521742</v>
      </c>
      <c r="H124" s="2012"/>
      <c r="I124" s="2010">
        <v>326537.55</v>
      </c>
      <c r="J124" s="2013">
        <v>326537.55</v>
      </c>
      <c r="K124" s="2014"/>
      <c r="L124" s="2010"/>
      <c r="M124" s="2011"/>
      <c r="N124" s="313"/>
      <c r="O124" s="313"/>
      <c r="P124" s="132"/>
      <c r="Q124" s="132"/>
      <c r="R124" s="132"/>
      <c r="S124" s="132"/>
      <c r="T124" s="132"/>
      <c r="U124" s="132"/>
      <c r="V124" s="132"/>
      <c r="W124" s="132"/>
      <c r="X124" s="132"/>
    </row>
    <row r="125" spans="1:24" ht="42.75" customHeight="1">
      <c r="A125" s="2008" t="s">
        <v>2676</v>
      </c>
      <c r="B125" s="2009" t="s">
        <v>2786</v>
      </c>
      <c r="C125" s="2020"/>
      <c r="D125" s="308"/>
      <c r="E125" s="2010"/>
      <c r="F125" s="2010"/>
      <c r="G125" s="2011">
        <v>1247509.125652174</v>
      </c>
      <c r="H125" s="2012"/>
      <c r="I125" s="2010"/>
      <c r="J125" s="2013"/>
      <c r="K125" s="2014"/>
      <c r="L125" s="2010"/>
      <c r="M125" s="2011"/>
      <c r="N125" s="313"/>
      <c r="O125" s="313"/>
      <c r="P125" s="132"/>
      <c r="Q125" s="132"/>
      <c r="R125" s="132"/>
      <c r="S125" s="132"/>
      <c r="T125" s="132"/>
      <c r="U125" s="132"/>
      <c r="V125" s="132"/>
      <c r="W125" s="132"/>
      <c r="X125" s="132"/>
    </row>
    <row r="126" spans="1:24" ht="42.75" customHeight="1">
      <c r="A126" s="2008" t="s">
        <v>2676</v>
      </c>
      <c r="B126" s="2009" t="s">
        <v>2787</v>
      </c>
      <c r="C126" s="2020"/>
      <c r="D126" s="308"/>
      <c r="E126" s="2010"/>
      <c r="F126" s="2010"/>
      <c r="G126" s="2011">
        <v>8823836.6491304357</v>
      </c>
      <c r="H126" s="2012"/>
      <c r="I126" s="2010"/>
      <c r="J126" s="2013"/>
      <c r="K126" s="2014"/>
      <c r="L126" s="2010"/>
      <c r="M126" s="2011"/>
      <c r="N126" s="313"/>
      <c r="O126" s="313"/>
      <c r="P126" s="132"/>
      <c r="Q126" s="132"/>
      <c r="R126" s="132"/>
      <c r="S126" s="132"/>
      <c r="T126" s="132"/>
      <c r="U126" s="132"/>
      <c r="V126" s="132"/>
      <c r="W126" s="132"/>
      <c r="X126" s="132"/>
    </row>
    <row r="127" spans="1:24" ht="42.75" customHeight="1">
      <c r="A127" s="2008" t="s">
        <v>2676</v>
      </c>
      <c r="B127" s="2009" t="s">
        <v>2788</v>
      </c>
      <c r="C127" s="2020"/>
      <c r="D127" s="308"/>
      <c r="E127" s="2010"/>
      <c r="F127" s="2010"/>
      <c r="G127" s="2011"/>
      <c r="H127" s="2012"/>
      <c r="I127" s="2010">
        <v>511349.28</v>
      </c>
      <c r="J127" s="2013">
        <v>511349.28</v>
      </c>
      <c r="K127" s="2014"/>
      <c r="L127" s="2010"/>
      <c r="M127" s="2011"/>
      <c r="N127" s="313"/>
      <c r="O127" s="313"/>
      <c r="P127" s="132"/>
      <c r="Q127" s="132"/>
      <c r="R127" s="132"/>
      <c r="S127" s="132"/>
      <c r="T127" s="132"/>
      <c r="U127" s="132"/>
      <c r="V127" s="132"/>
      <c r="W127" s="132"/>
      <c r="X127" s="132"/>
    </row>
    <row r="128" spans="1:24" ht="42.75" customHeight="1">
      <c r="A128" s="2008" t="s">
        <v>2676</v>
      </c>
      <c r="B128" s="2009" t="s">
        <v>2789</v>
      </c>
      <c r="C128" s="2020"/>
      <c r="D128" s="308"/>
      <c r="E128" s="2010"/>
      <c r="F128" s="2010"/>
      <c r="G128" s="2011">
        <v>996509.82347826101</v>
      </c>
      <c r="H128" s="2012"/>
      <c r="I128" s="2010"/>
      <c r="J128" s="2013"/>
      <c r="K128" s="2014"/>
      <c r="L128" s="2010"/>
      <c r="M128" s="2011"/>
      <c r="N128" s="313"/>
      <c r="O128" s="313"/>
      <c r="P128" s="132"/>
      <c r="Q128" s="132"/>
      <c r="R128" s="132"/>
      <c r="S128" s="132"/>
      <c r="T128" s="132"/>
      <c r="U128" s="132"/>
      <c r="V128" s="132"/>
      <c r="W128" s="132"/>
      <c r="X128" s="132"/>
    </row>
    <row r="129" spans="1:24" ht="42.75" customHeight="1">
      <c r="A129" s="2008" t="s">
        <v>2676</v>
      </c>
      <c r="B129" s="2009" t="s">
        <v>3412</v>
      </c>
      <c r="C129" s="2020"/>
      <c r="D129" s="308"/>
      <c r="E129" s="2010"/>
      <c r="F129" s="2010"/>
      <c r="G129" s="2011"/>
      <c r="H129" s="2012"/>
      <c r="I129" s="2010"/>
      <c r="J129" s="2013"/>
      <c r="K129" s="2014">
        <v>12000000</v>
      </c>
      <c r="L129" s="2010"/>
      <c r="M129" s="2011"/>
      <c r="N129" s="313"/>
      <c r="O129" s="313"/>
      <c r="P129" s="132"/>
      <c r="Q129" s="132"/>
      <c r="R129" s="132"/>
      <c r="S129" s="132"/>
      <c r="T129" s="132"/>
      <c r="U129" s="132"/>
      <c r="V129" s="132"/>
      <c r="W129" s="132"/>
      <c r="X129" s="132"/>
    </row>
    <row r="130" spans="1:24" ht="42.75" customHeight="1">
      <c r="A130" s="2008" t="s">
        <v>2676</v>
      </c>
      <c r="B130" s="2009" t="s">
        <v>3439</v>
      </c>
      <c r="C130" s="2020"/>
      <c r="D130" s="308"/>
      <c r="E130" s="2010"/>
      <c r="F130" s="2010"/>
      <c r="G130" s="2011">
        <v>129801.18</v>
      </c>
      <c r="H130" s="2012"/>
      <c r="I130" s="2010"/>
      <c r="J130" s="2013"/>
      <c r="K130" s="2014"/>
      <c r="L130" s="2010"/>
      <c r="M130" s="2011"/>
      <c r="N130" s="313"/>
      <c r="O130" s="313"/>
      <c r="P130" s="132"/>
      <c r="Q130" s="132"/>
      <c r="R130" s="132"/>
      <c r="S130" s="132"/>
      <c r="T130" s="132"/>
      <c r="U130" s="132"/>
      <c r="V130" s="132"/>
      <c r="W130" s="132"/>
      <c r="X130" s="132"/>
    </row>
    <row r="131" spans="1:24" ht="42.75" customHeight="1">
      <c r="A131" s="2008" t="s">
        <v>2676</v>
      </c>
      <c r="B131" s="2009" t="s">
        <v>3293</v>
      </c>
      <c r="C131" s="2020"/>
      <c r="D131" s="308"/>
      <c r="E131" s="2010"/>
      <c r="F131" s="2010"/>
      <c r="G131" s="2011">
        <v>156617.55652173914</v>
      </c>
      <c r="H131" s="2012"/>
      <c r="I131" s="2010"/>
      <c r="J131" s="2013"/>
      <c r="K131" s="2014"/>
      <c r="L131" s="2010"/>
      <c r="M131" s="2011"/>
      <c r="N131" s="313"/>
      <c r="O131" s="313"/>
      <c r="P131" s="132"/>
      <c r="Q131" s="132"/>
      <c r="R131" s="132"/>
      <c r="S131" s="132"/>
      <c r="T131" s="132"/>
      <c r="U131" s="132"/>
      <c r="V131" s="132"/>
      <c r="W131" s="132"/>
      <c r="X131" s="132"/>
    </row>
    <row r="132" spans="1:24" ht="42.75" customHeight="1">
      <c r="A132" s="2008" t="s">
        <v>2670</v>
      </c>
      <c r="B132" s="2009" t="s">
        <v>2790</v>
      </c>
      <c r="C132" s="2020"/>
      <c r="D132" s="308"/>
      <c r="E132" s="2010"/>
      <c r="F132" s="2010"/>
      <c r="G132" s="2011">
        <v>190170</v>
      </c>
      <c r="H132" s="2012"/>
      <c r="I132" s="2010"/>
      <c r="J132" s="2013"/>
      <c r="K132" s="2014"/>
      <c r="L132" s="2010"/>
      <c r="M132" s="2011"/>
      <c r="N132" s="313"/>
      <c r="O132" s="313"/>
      <c r="P132" s="132"/>
      <c r="Q132" s="132"/>
      <c r="R132" s="132"/>
      <c r="S132" s="132"/>
      <c r="T132" s="132"/>
      <c r="U132" s="132"/>
      <c r="V132" s="132"/>
      <c r="W132" s="132"/>
      <c r="X132" s="132"/>
    </row>
    <row r="133" spans="1:24" ht="42.75" customHeight="1">
      <c r="A133" s="2008" t="s">
        <v>2670</v>
      </c>
      <c r="B133" s="2009" t="s">
        <v>2791</v>
      </c>
      <c r="C133" s="2020"/>
      <c r="D133" s="308"/>
      <c r="E133" s="2010"/>
      <c r="F133" s="2010"/>
      <c r="G133" s="2011"/>
      <c r="H133" s="2012"/>
      <c r="I133" s="2010"/>
      <c r="J133" s="2013"/>
      <c r="K133" s="2014"/>
      <c r="L133" s="2010"/>
      <c r="M133" s="2011"/>
      <c r="N133" s="313"/>
      <c r="O133" s="313"/>
      <c r="P133" s="132"/>
      <c r="Q133" s="132"/>
      <c r="R133" s="132"/>
      <c r="S133" s="132"/>
      <c r="T133" s="132"/>
      <c r="U133" s="132"/>
      <c r="V133" s="132"/>
      <c r="W133" s="132"/>
      <c r="X133" s="132"/>
    </row>
    <row r="134" spans="1:24" ht="42.75" customHeight="1">
      <c r="A134" s="2008" t="s">
        <v>2670</v>
      </c>
      <c r="B134" s="2009" t="s">
        <v>2792</v>
      </c>
      <c r="C134" s="2020"/>
      <c r="D134" s="308"/>
      <c r="E134" s="2010"/>
      <c r="F134" s="2010"/>
      <c r="G134" s="2011"/>
      <c r="H134" s="2012"/>
      <c r="I134" s="2010"/>
      <c r="J134" s="2013"/>
      <c r="K134" s="2014"/>
      <c r="L134" s="2010"/>
      <c r="M134" s="2011"/>
      <c r="N134" s="313"/>
      <c r="O134" s="313"/>
      <c r="P134" s="132"/>
      <c r="Q134" s="132"/>
      <c r="R134" s="132"/>
      <c r="S134" s="132"/>
      <c r="T134" s="132"/>
      <c r="U134" s="132"/>
      <c r="V134" s="132"/>
      <c r="W134" s="132"/>
      <c r="X134" s="132"/>
    </row>
    <row r="135" spans="1:24" ht="42.75" customHeight="1">
      <c r="A135" s="2008" t="s">
        <v>2670</v>
      </c>
      <c r="B135" s="2009" t="s">
        <v>2793</v>
      </c>
      <c r="C135" s="2020"/>
      <c r="D135" s="308"/>
      <c r="E135" s="2010"/>
      <c r="F135" s="2010"/>
      <c r="G135" s="2011"/>
      <c r="H135" s="2012"/>
      <c r="I135" s="2010"/>
      <c r="J135" s="2013"/>
      <c r="K135" s="2014"/>
      <c r="L135" s="2010"/>
      <c r="M135" s="2011"/>
      <c r="N135" s="313"/>
      <c r="O135" s="313"/>
      <c r="P135" s="132"/>
      <c r="Q135" s="132"/>
      <c r="R135" s="132"/>
      <c r="S135" s="132"/>
      <c r="T135" s="132"/>
      <c r="U135" s="132"/>
      <c r="V135" s="132"/>
      <c r="W135" s="132"/>
      <c r="X135" s="132"/>
    </row>
    <row r="136" spans="1:24" ht="42.75" customHeight="1">
      <c r="A136" s="2008" t="s">
        <v>2670</v>
      </c>
      <c r="B136" s="2009" t="s">
        <v>2794</v>
      </c>
      <c r="C136" s="2020"/>
      <c r="D136" s="308"/>
      <c r="E136" s="2010"/>
      <c r="F136" s="2010"/>
      <c r="G136" s="2011">
        <v>1057150.8086956523</v>
      </c>
      <c r="H136" s="2012">
        <v>2500000</v>
      </c>
      <c r="I136" s="2010">
        <v>5700000</v>
      </c>
      <c r="J136" s="2013">
        <v>5700000</v>
      </c>
      <c r="K136" s="2014"/>
      <c r="L136" s="2010"/>
      <c r="M136" s="2011"/>
      <c r="N136" s="313"/>
      <c r="O136" s="313"/>
      <c r="P136" s="132"/>
      <c r="Q136" s="132"/>
      <c r="R136" s="132"/>
      <c r="S136" s="132"/>
      <c r="T136" s="132"/>
      <c r="U136" s="132"/>
      <c r="V136" s="132"/>
      <c r="W136" s="132"/>
      <c r="X136" s="132"/>
    </row>
    <row r="137" spans="1:24" ht="42.75" customHeight="1">
      <c r="A137" s="2008" t="s">
        <v>2670</v>
      </c>
      <c r="B137" s="2009" t="s">
        <v>2795</v>
      </c>
      <c r="C137" s="2020"/>
      <c r="D137" s="308"/>
      <c r="E137" s="2010"/>
      <c r="F137" s="2010"/>
      <c r="G137" s="2011"/>
      <c r="H137" s="2012"/>
      <c r="I137" s="2010"/>
      <c r="J137" s="2013"/>
      <c r="K137" s="2014"/>
      <c r="L137" s="2010"/>
      <c r="M137" s="2011"/>
      <c r="N137" s="313"/>
      <c r="O137" s="313"/>
      <c r="P137" s="132"/>
      <c r="Q137" s="132"/>
      <c r="R137" s="132"/>
      <c r="S137" s="132"/>
      <c r="T137" s="132"/>
      <c r="U137" s="132"/>
      <c r="V137" s="132"/>
      <c r="W137" s="132"/>
      <c r="X137" s="132"/>
    </row>
    <row r="138" spans="1:24" ht="42.75" customHeight="1">
      <c r="A138" s="2008" t="s">
        <v>2676</v>
      </c>
      <c r="B138" s="2009" t="s">
        <v>2796</v>
      </c>
      <c r="C138" s="2020"/>
      <c r="D138" s="308"/>
      <c r="E138" s="2010"/>
      <c r="F138" s="2010"/>
      <c r="G138" s="2011"/>
      <c r="H138" s="2012"/>
      <c r="I138" s="2010"/>
      <c r="J138" s="2013"/>
      <c r="K138" s="2014"/>
      <c r="L138" s="2010"/>
      <c r="M138" s="2011"/>
      <c r="N138" s="313"/>
      <c r="O138" s="313"/>
      <c r="P138" s="132"/>
      <c r="Q138" s="132"/>
      <c r="R138" s="132"/>
      <c r="S138" s="132"/>
      <c r="T138" s="132"/>
      <c r="U138" s="132"/>
      <c r="V138" s="132"/>
      <c r="W138" s="132"/>
      <c r="X138" s="132"/>
    </row>
    <row r="139" spans="1:24" ht="42.75" customHeight="1">
      <c r="A139" s="2008" t="s">
        <v>2687</v>
      </c>
      <c r="B139" s="2009" t="s">
        <v>2797</v>
      </c>
      <c r="C139" s="2020"/>
      <c r="D139" s="308"/>
      <c r="E139" s="2010"/>
      <c r="F139" s="2010"/>
      <c r="G139" s="2011"/>
      <c r="H139" s="2012">
        <v>0</v>
      </c>
      <c r="I139" s="2010">
        <v>0</v>
      </c>
      <c r="J139" s="2013">
        <v>0</v>
      </c>
      <c r="K139" s="2014"/>
      <c r="L139" s="2010"/>
      <c r="M139" s="2011"/>
      <c r="N139" s="313"/>
      <c r="O139" s="313"/>
      <c r="P139" s="132"/>
      <c r="Q139" s="132"/>
      <c r="R139" s="132"/>
      <c r="S139" s="132"/>
      <c r="T139" s="132"/>
      <c r="U139" s="132"/>
      <c r="V139" s="132"/>
      <c r="W139" s="132"/>
      <c r="X139" s="132"/>
    </row>
    <row r="140" spans="1:24" ht="42.75" customHeight="1">
      <c r="A140" s="2008" t="s">
        <v>2687</v>
      </c>
      <c r="B140" s="2009" t="s">
        <v>2798</v>
      </c>
      <c r="C140" s="2020"/>
      <c r="D140" s="308"/>
      <c r="E140" s="2010"/>
      <c r="F140" s="2010"/>
      <c r="G140" s="2011"/>
      <c r="H140" s="2012"/>
      <c r="I140" s="2010"/>
      <c r="J140" s="2013"/>
      <c r="K140" s="2014"/>
      <c r="L140" s="2010"/>
      <c r="M140" s="2011"/>
      <c r="N140" s="313"/>
      <c r="O140" s="313"/>
      <c r="P140" s="132"/>
      <c r="Q140" s="132"/>
      <c r="R140" s="132"/>
      <c r="S140" s="132"/>
      <c r="T140" s="132"/>
      <c r="U140" s="132"/>
      <c r="V140" s="132"/>
      <c r="W140" s="132"/>
      <c r="X140" s="132"/>
    </row>
    <row r="141" spans="1:24" ht="42.75" customHeight="1">
      <c r="A141" s="2008" t="s">
        <v>2687</v>
      </c>
      <c r="B141" s="2009" t="s">
        <v>2799</v>
      </c>
      <c r="C141" s="2020"/>
      <c r="D141" s="308"/>
      <c r="E141" s="2010"/>
      <c r="F141" s="2010"/>
      <c r="G141" s="2011"/>
      <c r="H141" s="2012"/>
      <c r="I141" s="2010"/>
      <c r="J141" s="2013"/>
      <c r="K141" s="2014"/>
      <c r="L141" s="2010"/>
      <c r="M141" s="2011"/>
      <c r="N141" s="313"/>
      <c r="O141" s="313"/>
      <c r="P141" s="132"/>
      <c r="Q141" s="132"/>
      <c r="R141" s="132"/>
      <c r="S141" s="132"/>
      <c r="T141" s="132"/>
      <c r="U141" s="132"/>
      <c r="V141" s="132"/>
      <c r="W141" s="132"/>
      <c r="X141" s="132"/>
    </row>
    <row r="142" spans="1:24" ht="42.75" customHeight="1">
      <c r="A142" s="2008" t="s">
        <v>2687</v>
      </c>
      <c r="B142" s="2009" t="s">
        <v>2800</v>
      </c>
      <c r="C142" s="2020"/>
      <c r="D142" s="308"/>
      <c r="E142" s="2010"/>
      <c r="F142" s="2010"/>
      <c r="G142" s="2011"/>
      <c r="H142" s="2012"/>
      <c r="I142" s="2010"/>
      <c r="J142" s="2013"/>
      <c r="K142" s="2014"/>
      <c r="L142" s="2010"/>
      <c r="M142" s="2011"/>
      <c r="N142" s="313"/>
      <c r="O142" s="313"/>
      <c r="P142" s="132"/>
      <c r="Q142" s="132"/>
      <c r="R142" s="132"/>
      <c r="S142" s="132"/>
      <c r="T142" s="132"/>
      <c r="U142" s="132"/>
      <c r="V142" s="132"/>
      <c r="W142" s="132"/>
      <c r="X142" s="132"/>
    </row>
    <row r="143" spans="1:24" ht="42.75" customHeight="1">
      <c r="A143" s="2008" t="s">
        <v>2687</v>
      </c>
      <c r="B143" s="2009" t="s">
        <v>2801</v>
      </c>
      <c r="C143" s="2020"/>
      <c r="D143" s="308"/>
      <c r="E143" s="2010"/>
      <c r="F143" s="2010"/>
      <c r="G143" s="2011"/>
      <c r="H143" s="2012"/>
      <c r="I143" s="2010"/>
      <c r="J143" s="2013"/>
      <c r="K143" s="2014"/>
      <c r="L143" s="2010"/>
      <c r="M143" s="2011"/>
      <c r="N143" s="313"/>
      <c r="O143" s="313"/>
      <c r="P143" s="132"/>
      <c r="Q143" s="132"/>
      <c r="R143" s="132"/>
      <c r="S143" s="132"/>
      <c r="T143" s="132"/>
      <c r="U143" s="132"/>
      <c r="V143" s="132"/>
      <c r="W143" s="132"/>
      <c r="X143" s="132"/>
    </row>
    <row r="144" spans="1:24" ht="42.75" customHeight="1">
      <c r="A144" s="2008" t="s">
        <v>2687</v>
      </c>
      <c r="B144" s="2009" t="s">
        <v>2802</v>
      </c>
      <c r="C144" s="2020"/>
      <c r="D144" s="308"/>
      <c r="E144" s="2010"/>
      <c r="F144" s="2010"/>
      <c r="G144" s="2011">
        <v>13932633</v>
      </c>
      <c r="H144" s="2012"/>
      <c r="I144" s="2010">
        <v>200000</v>
      </c>
      <c r="J144" s="2013">
        <v>200000</v>
      </c>
      <c r="K144" s="2014">
        <f>700000-200000</f>
        <v>500000</v>
      </c>
      <c r="L144" s="2010">
        <v>700000</v>
      </c>
      <c r="M144" s="2011">
        <v>700000</v>
      </c>
      <c r="N144" s="313"/>
      <c r="O144" s="313"/>
      <c r="P144" s="132"/>
      <c r="Q144" s="132"/>
      <c r="R144" s="132"/>
      <c r="S144" s="132"/>
      <c r="T144" s="132"/>
      <c r="U144" s="132"/>
      <c r="V144" s="132"/>
      <c r="W144" s="132"/>
      <c r="X144" s="132"/>
    </row>
    <row r="145" spans="1:24" ht="42.75" customHeight="1">
      <c r="A145" s="2008" t="s">
        <v>2687</v>
      </c>
      <c r="B145" s="2009" t="s">
        <v>2803</v>
      </c>
      <c r="C145" s="2020"/>
      <c r="D145" s="308"/>
      <c r="E145" s="2010"/>
      <c r="F145" s="2010"/>
      <c r="G145" s="2011"/>
      <c r="H145" s="2012"/>
      <c r="I145" s="2010"/>
      <c r="J145" s="2013"/>
      <c r="K145" s="2014"/>
      <c r="L145" s="2010"/>
      <c r="M145" s="2011"/>
      <c r="N145" s="313"/>
      <c r="O145" s="313"/>
      <c r="P145" s="132"/>
      <c r="Q145" s="132"/>
      <c r="R145" s="132"/>
      <c r="S145" s="132"/>
      <c r="T145" s="132"/>
      <c r="U145" s="132"/>
      <c r="V145" s="132"/>
      <c r="W145" s="132"/>
      <c r="X145" s="132"/>
    </row>
    <row r="146" spans="1:24" ht="42.75" customHeight="1">
      <c r="A146" s="2008" t="s">
        <v>2687</v>
      </c>
      <c r="B146" s="2009" t="s">
        <v>2804</v>
      </c>
      <c r="C146" s="2020"/>
      <c r="D146" s="308"/>
      <c r="E146" s="2010"/>
      <c r="F146" s="2010"/>
      <c r="G146" s="2011"/>
      <c r="H146" s="2012"/>
      <c r="I146" s="2010"/>
      <c r="J146" s="2013"/>
      <c r="K146" s="2014"/>
      <c r="L146" s="2010"/>
      <c r="M146" s="2011"/>
      <c r="N146" s="313"/>
      <c r="O146" s="313"/>
      <c r="P146" s="132"/>
      <c r="Q146" s="132"/>
      <c r="R146" s="132"/>
      <c r="S146" s="132"/>
      <c r="T146" s="132"/>
      <c r="U146" s="132"/>
      <c r="V146" s="132"/>
      <c r="W146" s="132"/>
      <c r="X146" s="132"/>
    </row>
    <row r="147" spans="1:24" ht="42.75" customHeight="1">
      <c r="A147" s="2008" t="s">
        <v>2670</v>
      </c>
      <c r="B147" s="2009" t="s">
        <v>2805</v>
      </c>
      <c r="C147" s="2020"/>
      <c r="D147" s="308"/>
      <c r="E147" s="2010"/>
      <c r="F147" s="2010"/>
      <c r="G147" s="2011"/>
      <c r="H147" s="2012"/>
      <c r="I147" s="2010"/>
      <c r="J147" s="2013"/>
      <c r="K147" s="2014"/>
      <c r="L147" s="2010">
        <v>3500000</v>
      </c>
      <c r="M147" s="2011"/>
      <c r="N147" s="313"/>
      <c r="O147" s="313"/>
      <c r="P147" s="132"/>
      <c r="Q147" s="132"/>
      <c r="R147" s="132"/>
      <c r="S147" s="132"/>
      <c r="T147" s="132"/>
      <c r="U147" s="132"/>
      <c r="V147" s="132"/>
      <c r="W147" s="132"/>
      <c r="X147" s="132"/>
    </row>
    <row r="148" spans="1:24" ht="42.75" customHeight="1">
      <c r="A148" s="2008" t="s">
        <v>2670</v>
      </c>
      <c r="B148" s="2009" t="s">
        <v>2806</v>
      </c>
      <c r="C148" s="2020"/>
      <c r="D148" s="308"/>
      <c r="E148" s="2010">
        <v>259701.27</v>
      </c>
      <c r="F148" s="2010"/>
      <c r="G148" s="2011">
        <v>2826147.3900000006</v>
      </c>
      <c r="H148" s="2012"/>
      <c r="I148" s="2010"/>
      <c r="J148" s="2013"/>
      <c r="K148" s="2014"/>
      <c r="L148" s="2010"/>
      <c r="M148" s="2011"/>
      <c r="N148" s="313"/>
      <c r="O148" s="313"/>
      <c r="P148" s="132"/>
      <c r="Q148" s="132"/>
      <c r="R148" s="132"/>
      <c r="S148" s="132"/>
      <c r="T148" s="132"/>
      <c r="U148" s="132"/>
      <c r="V148" s="132"/>
      <c r="W148" s="132"/>
      <c r="X148" s="132"/>
    </row>
    <row r="149" spans="1:24" ht="42.75" customHeight="1">
      <c r="A149" s="2008" t="s">
        <v>2670</v>
      </c>
      <c r="B149" s="2009" t="s">
        <v>2807</v>
      </c>
      <c r="C149" s="2020"/>
      <c r="D149" s="308"/>
      <c r="E149" s="2010"/>
      <c r="F149" s="2010"/>
      <c r="G149" s="2011"/>
      <c r="H149" s="2012"/>
      <c r="I149" s="2010"/>
      <c r="J149" s="2013"/>
      <c r="K149" s="2014"/>
      <c r="L149" s="2010"/>
      <c r="M149" s="2011"/>
      <c r="N149" s="313"/>
      <c r="O149" s="313"/>
      <c r="P149" s="132"/>
      <c r="Q149" s="132"/>
      <c r="R149" s="132"/>
      <c r="S149" s="132"/>
      <c r="T149" s="132"/>
      <c r="U149" s="132"/>
      <c r="V149" s="132"/>
      <c r="W149" s="132"/>
      <c r="X149" s="132"/>
    </row>
    <row r="150" spans="1:24" ht="42.75" customHeight="1">
      <c r="A150" s="2008" t="s">
        <v>2670</v>
      </c>
      <c r="B150" s="2009" t="s">
        <v>2808</v>
      </c>
      <c r="C150" s="2020"/>
      <c r="D150" s="308"/>
      <c r="E150" s="2010"/>
      <c r="F150" s="2010"/>
      <c r="G150" s="2011"/>
      <c r="H150" s="2012">
        <v>750000</v>
      </c>
      <c r="I150" s="2010">
        <v>0</v>
      </c>
      <c r="J150" s="2013">
        <v>0</v>
      </c>
      <c r="K150" s="2014"/>
      <c r="L150" s="2010"/>
      <c r="M150" s="2011"/>
      <c r="N150" s="313"/>
      <c r="O150" s="313"/>
      <c r="P150" s="132"/>
      <c r="Q150" s="132"/>
      <c r="R150" s="132"/>
      <c r="S150" s="132"/>
      <c r="T150" s="132"/>
      <c r="U150" s="132"/>
      <c r="V150" s="132"/>
      <c r="W150" s="132"/>
      <c r="X150" s="132"/>
    </row>
    <row r="151" spans="1:24" ht="42.75" customHeight="1">
      <c r="A151" s="2008" t="s">
        <v>2670</v>
      </c>
      <c r="B151" s="2009" t="s">
        <v>2731</v>
      </c>
      <c r="C151" s="2020"/>
      <c r="D151" s="308"/>
      <c r="E151" s="2010"/>
      <c r="F151" s="2010"/>
      <c r="G151" s="2011">
        <v>1459363.9565217393</v>
      </c>
      <c r="H151" s="2012">
        <v>8119900</v>
      </c>
      <c r="I151" s="2010">
        <v>5119900</v>
      </c>
      <c r="J151" s="2013">
        <v>5119900</v>
      </c>
      <c r="K151" s="2014"/>
      <c r="L151" s="2010"/>
      <c r="M151" s="2011"/>
      <c r="N151" s="313"/>
      <c r="O151" s="313"/>
      <c r="P151" s="132"/>
      <c r="Q151" s="132"/>
      <c r="R151" s="132"/>
      <c r="S151" s="132"/>
      <c r="T151" s="132"/>
      <c r="U151" s="132"/>
      <c r="V151" s="132"/>
      <c r="W151" s="132"/>
      <c r="X151" s="132"/>
    </row>
    <row r="152" spans="1:24" ht="42.75" customHeight="1">
      <c r="A152" s="2008" t="s">
        <v>2670</v>
      </c>
      <c r="B152" s="2009" t="s">
        <v>2795</v>
      </c>
      <c r="C152" s="2020"/>
      <c r="D152" s="308"/>
      <c r="E152" s="2010"/>
      <c r="F152" s="2010"/>
      <c r="G152" s="2011"/>
      <c r="H152" s="2012"/>
      <c r="I152" s="2010"/>
      <c r="J152" s="2013"/>
      <c r="K152" s="2014"/>
      <c r="L152" s="2010"/>
      <c r="M152" s="2011"/>
      <c r="N152" s="313"/>
      <c r="O152" s="313"/>
      <c r="P152" s="132"/>
      <c r="Q152" s="132"/>
      <c r="R152" s="132"/>
      <c r="S152" s="132"/>
      <c r="T152" s="132"/>
      <c r="U152" s="132"/>
      <c r="V152" s="132"/>
      <c r="W152" s="132"/>
      <c r="X152" s="132"/>
    </row>
    <row r="153" spans="1:24" ht="42.75" customHeight="1">
      <c r="A153" s="2008" t="s">
        <v>2670</v>
      </c>
      <c r="B153" s="2009" t="s">
        <v>2809</v>
      </c>
      <c r="C153" s="2020"/>
      <c r="D153" s="308"/>
      <c r="E153" s="2010"/>
      <c r="F153" s="2010"/>
      <c r="G153" s="2011"/>
      <c r="H153" s="2012"/>
      <c r="I153" s="2010"/>
      <c r="J153" s="2013"/>
      <c r="K153" s="2014"/>
      <c r="L153" s="2010"/>
      <c r="M153" s="2011"/>
      <c r="N153" s="313"/>
      <c r="O153" s="313"/>
      <c r="P153" s="132"/>
      <c r="Q153" s="132"/>
      <c r="R153" s="132"/>
      <c r="S153" s="132"/>
      <c r="T153" s="132"/>
      <c r="U153" s="132"/>
      <c r="V153" s="132"/>
      <c r="W153" s="132"/>
      <c r="X153" s="132"/>
    </row>
    <row r="154" spans="1:24" ht="42.75" customHeight="1">
      <c r="A154" s="2008" t="s">
        <v>2670</v>
      </c>
      <c r="B154" s="2009" t="s">
        <v>2810</v>
      </c>
      <c r="C154" s="2020"/>
      <c r="D154" s="308"/>
      <c r="E154" s="2010"/>
      <c r="F154" s="2010"/>
      <c r="G154" s="2011"/>
      <c r="H154" s="2012"/>
      <c r="I154" s="2010"/>
      <c r="J154" s="2013"/>
      <c r="K154" s="2014"/>
      <c r="L154" s="2010"/>
      <c r="M154" s="2011"/>
      <c r="N154" s="313"/>
      <c r="O154" s="313"/>
      <c r="P154" s="132"/>
      <c r="Q154" s="132"/>
      <c r="R154" s="132"/>
      <c r="S154" s="132"/>
      <c r="T154" s="132"/>
      <c r="U154" s="132"/>
      <c r="V154" s="132"/>
      <c r="W154" s="132"/>
      <c r="X154" s="132"/>
    </row>
    <row r="155" spans="1:24" ht="42.75" customHeight="1">
      <c r="A155" s="2008" t="s">
        <v>2670</v>
      </c>
      <c r="B155" s="2009" t="s">
        <v>2811</v>
      </c>
      <c r="C155" s="2020"/>
      <c r="D155" s="308"/>
      <c r="E155" s="2010"/>
      <c r="F155" s="2010"/>
      <c r="G155" s="2011"/>
      <c r="H155" s="2012"/>
      <c r="I155" s="2010"/>
      <c r="J155" s="2013"/>
      <c r="K155" s="2014"/>
      <c r="L155" s="2010"/>
      <c r="M155" s="2011"/>
      <c r="N155" s="313"/>
      <c r="O155" s="313"/>
      <c r="P155" s="132"/>
      <c r="Q155" s="132"/>
      <c r="R155" s="132"/>
      <c r="S155" s="132"/>
      <c r="T155" s="132"/>
      <c r="U155" s="132"/>
      <c r="V155" s="132"/>
      <c r="W155" s="132"/>
      <c r="X155" s="132"/>
    </row>
    <row r="156" spans="1:24" ht="42.75" customHeight="1">
      <c r="A156" s="2008" t="s">
        <v>2670</v>
      </c>
      <c r="B156" s="2009" t="s">
        <v>2812</v>
      </c>
      <c r="C156" s="2020"/>
      <c r="D156" s="308"/>
      <c r="E156" s="2010"/>
      <c r="F156" s="2010"/>
      <c r="G156" s="2011"/>
      <c r="H156" s="2012"/>
      <c r="I156" s="2010"/>
      <c r="J156" s="2013"/>
      <c r="K156" s="2014"/>
      <c r="L156" s="2010"/>
      <c r="M156" s="2011"/>
      <c r="N156" s="313"/>
      <c r="O156" s="313"/>
      <c r="P156" s="132"/>
      <c r="Q156" s="132"/>
      <c r="R156" s="132"/>
      <c r="S156" s="132"/>
      <c r="T156" s="132"/>
      <c r="U156" s="132"/>
      <c r="V156" s="132"/>
      <c r="W156" s="132"/>
      <c r="X156" s="132"/>
    </row>
    <row r="157" spans="1:24" ht="42.75" customHeight="1">
      <c r="A157" s="2008" t="s">
        <v>2670</v>
      </c>
      <c r="B157" s="2009" t="s">
        <v>2813</v>
      </c>
      <c r="C157" s="2020"/>
      <c r="D157" s="308"/>
      <c r="E157" s="2010"/>
      <c r="F157" s="2010"/>
      <c r="G157" s="2011"/>
      <c r="H157" s="2012"/>
      <c r="I157" s="2010"/>
      <c r="J157" s="2013"/>
      <c r="K157" s="2014"/>
      <c r="L157" s="2010"/>
      <c r="M157" s="2011"/>
      <c r="N157" s="313"/>
      <c r="O157" s="313"/>
      <c r="P157" s="132"/>
      <c r="Q157" s="132"/>
      <c r="R157" s="132"/>
      <c r="S157" s="132"/>
      <c r="T157" s="132"/>
      <c r="U157" s="132"/>
      <c r="V157" s="132"/>
      <c r="W157" s="132"/>
      <c r="X157" s="132"/>
    </row>
    <row r="158" spans="1:24" ht="42.75" customHeight="1">
      <c r="A158" s="2008" t="s">
        <v>2670</v>
      </c>
      <c r="B158" s="2009" t="s">
        <v>2814</v>
      </c>
      <c r="C158" s="2020"/>
      <c r="D158" s="308"/>
      <c r="E158" s="2010"/>
      <c r="F158" s="2010"/>
      <c r="G158" s="2011"/>
      <c r="H158" s="2012"/>
      <c r="I158" s="2010"/>
      <c r="J158" s="2013"/>
      <c r="K158" s="2014"/>
      <c r="L158" s="2010"/>
      <c r="M158" s="2011"/>
      <c r="N158" s="313"/>
      <c r="O158" s="313"/>
      <c r="P158" s="132"/>
      <c r="Q158" s="132"/>
      <c r="R158" s="132"/>
      <c r="S158" s="132"/>
      <c r="T158" s="132"/>
      <c r="U158" s="132"/>
      <c r="V158" s="132"/>
      <c r="W158" s="132"/>
      <c r="X158" s="132"/>
    </row>
    <row r="159" spans="1:24" ht="42.75" customHeight="1">
      <c r="A159" s="2008" t="s">
        <v>2670</v>
      </c>
      <c r="B159" s="2009" t="s">
        <v>2815</v>
      </c>
      <c r="C159" s="2020"/>
      <c r="D159" s="308"/>
      <c r="E159" s="2010"/>
      <c r="F159" s="2010"/>
      <c r="G159" s="2011"/>
      <c r="H159" s="2012"/>
      <c r="I159" s="2010"/>
      <c r="J159" s="2013"/>
      <c r="K159" s="2014"/>
      <c r="L159" s="2010"/>
      <c r="M159" s="2011"/>
      <c r="N159" s="313"/>
      <c r="O159" s="313"/>
      <c r="P159" s="132"/>
      <c r="Q159" s="132"/>
      <c r="R159" s="132"/>
      <c r="S159" s="132"/>
      <c r="T159" s="132"/>
      <c r="U159" s="132"/>
      <c r="V159" s="132"/>
      <c r="W159" s="132"/>
      <c r="X159" s="132"/>
    </row>
    <row r="160" spans="1:24" ht="42.75" customHeight="1">
      <c r="A160" s="2008" t="s">
        <v>2670</v>
      </c>
      <c r="B160" s="2009" t="s">
        <v>2816</v>
      </c>
      <c r="C160" s="2020"/>
      <c r="D160" s="308"/>
      <c r="E160" s="2010"/>
      <c r="F160" s="2010"/>
      <c r="G160" s="2011"/>
      <c r="H160" s="2012"/>
      <c r="I160" s="2010"/>
      <c r="J160" s="2013"/>
      <c r="K160" s="2014"/>
      <c r="L160" s="2010"/>
      <c r="M160" s="2011"/>
      <c r="N160" s="313"/>
      <c r="O160" s="313"/>
      <c r="P160" s="132"/>
      <c r="Q160" s="132"/>
      <c r="R160" s="132"/>
      <c r="S160" s="132"/>
      <c r="T160" s="132"/>
      <c r="U160" s="132"/>
      <c r="V160" s="132"/>
      <c r="W160" s="132"/>
      <c r="X160" s="132"/>
    </row>
    <row r="161" spans="1:24" ht="42.75" customHeight="1">
      <c r="A161" s="2008" t="s">
        <v>2670</v>
      </c>
      <c r="B161" s="2009" t="s">
        <v>2817</v>
      </c>
      <c r="C161" s="2020"/>
      <c r="D161" s="308"/>
      <c r="E161" s="2010"/>
      <c r="F161" s="2010"/>
      <c r="G161" s="2011"/>
      <c r="H161" s="2012"/>
      <c r="I161" s="2010"/>
      <c r="J161" s="2013"/>
      <c r="K161" s="2014"/>
      <c r="L161" s="2010"/>
      <c r="M161" s="2011"/>
      <c r="N161" s="313"/>
      <c r="O161" s="313"/>
      <c r="P161" s="132"/>
      <c r="Q161" s="132"/>
      <c r="R161" s="132"/>
      <c r="S161" s="132"/>
      <c r="T161" s="132"/>
      <c r="U161" s="132"/>
      <c r="V161" s="132"/>
      <c r="W161" s="132"/>
      <c r="X161" s="132"/>
    </row>
    <row r="162" spans="1:24" ht="42.75" customHeight="1">
      <c r="A162" s="2008" t="s">
        <v>2670</v>
      </c>
      <c r="B162" s="2009" t="s">
        <v>2818</v>
      </c>
      <c r="C162" s="2020"/>
      <c r="D162" s="308"/>
      <c r="E162" s="2010"/>
      <c r="F162" s="2010"/>
      <c r="G162" s="2011"/>
      <c r="H162" s="2012"/>
      <c r="I162" s="2010"/>
      <c r="J162" s="2013"/>
      <c r="K162" s="2014"/>
      <c r="L162" s="2010"/>
      <c r="M162" s="2011"/>
      <c r="N162" s="313"/>
      <c r="O162" s="313"/>
      <c r="P162" s="132"/>
      <c r="Q162" s="132"/>
      <c r="R162" s="132"/>
      <c r="S162" s="132"/>
      <c r="T162" s="132"/>
      <c r="U162" s="132"/>
      <c r="V162" s="132"/>
      <c r="W162" s="132"/>
      <c r="X162" s="132"/>
    </row>
    <row r="163" spans="1:24" ht="42.75" customHeight="1">
      <c r="A163" s="2008" t="s">
        <v>2670</v>
      </c>
      <c r="B163" s="2009" t="s">
        <v>2819</v>
      </c>
      <c r="C163" s="2020"/>
      <c r="D163" s="308"/>
      <c r="E163" s="2010"/>
      <c r="F163" s="2010"/>
      <c r="G163" s="2011"/>
      <c r="H163" s="2012">
        <v>1500000</v>
      </c>
      <c r="I163" s="2010">
        <v>900000</v>
      </c>
      <c r="J163" s="2013">
        <v>900000</v>
      </c>
      <c r="K163" s="2014"/>
      <c r="L163" s="2010"/>
      <c r="M163" s="2011"/>
      <c r="N163" s="313"/>
      <c r="O163" s="313"/>
      <c r="P163" s="132"/>
      <c r="Q163" s="132"/>
      <c r="R163" s="132"/>
      <c r="S163" s="132"/>
      <c r="T163" s="132"/>
      <c r="U163" s="132"/>
      <c r="V163" s="132"/>
      <c r="W163" s="132"/>
      <c r="X163" s="132"/>
    </row>
    <row r="164" spans="1:24" ht="42.75" customHeight="1">
      <c r="A164" s="2008" t="s">
        <v>2676</v>
      </c>
      <c r="B164" s="2009" t="s">
        <v>2783</v>
      </c>
      <c r="C164" s="2020"/>
      <c r="D164" s="308"/>
      <c r="E164" s="2010"/>
      <c r="F164" s="2010"/>
      <c r="G164" s="2011"/>
      <c r="H164" s="2012"/>
      <c r="I164" s="2010">
        <v>1000000</v>
      </c>
      <c r="J164" s="2013">
        <v>1000000</v>
      </c>
      <c r="K164" s="2014"/>
      <c r="L164" s="2010"/>
      <c r="M164" s="2011"/>
      <c r="N164" s="313"/>
      <c r="O164" s="313"/>
      <c r="P164" s="132"/>
      <c r="Q164" s="132"/>
      <c r="R164" s="132"/>
      <c r="S164" s="132"/>
      <c r="T164" s="132"/>
      <c r="U164" s="132"/>
      <c r="V164" s="132"/>
      <c r="W164" s="132"/>
      <c r="X164" s="132"/>
    </row>
    <row r="165" spans="1:24" ht="42.75" customHeight="1">
      <c r="A165" s="2008" t="s">
        <v>2676</v>
      </c>
      <c r="B165" s="2009" t="s">
        <v>2820</v>
      </c>
      <c r="C165" s="2020"/>
      <c r="D165" s="308"/>
      <c r="E165" s="2010"/>
      <c r="F165" s="2010"/>
      <c r="G165" s="2011"/>
      <c r="H165" s="2012"/>
      <c r="I165" s="2010">
        <v>1000000</v>
      </c>
      <c r="J165" s="2013">
        <v>1000000</v>
      </c>
      <c r="K165" s="2014"/>
      <c r="L165" s="2010"/>
      <c r="M165" s="2011"/>
      <c r="N165" s="313"/>
      <c r="O165" s="313"/>
      <c r="P165" s="132"/>
      <c r="Q165" s="132"/>
      <c r="R165" s="132"/>
      <c r="S165" s="132"/>
      <c r="T165" s="132"/>
      <c r="U165" s="132"/>
      <c r="V165" s="132"/>
      <c r="W165" s="132"/>
      <c r="X165" s="132"/>
    </row>
    <row r="166" spans="1:24" ht="42.75" customHeight="1">
      <c r="A166" s="2008" t="s">
        <v>2676</v>
      </c>
      <c r="B166" s="2009" t="s">
        <v>2821</v>
      </c>
      <c r="C166" s="2020"/>
      <c r="D166" s="308"/>
      <c r="E166" s="2010"/>
      <c r="F166" s="2010"/>
      <c r="G166" s="2011"/>
      <c r="H166" s="2012"/>
      <c r="I166" s="2010">
        <v>4000000</v>
      </c>
      <c r="J166" s="2013">
        <v>4000000</v>
      </c>
      <c r="K166" s="2014"/>
      <c r="L166" s="2010"/>
      <c r="M166" s="2011"/>
      <c r="N166" s="313"/>
      <c r="O166" s="313"/>
      <c r="P166" s="132"/>
      <c r="Q166" s="132"/>
      <c r="R166" s="132"/>
      <c r="S166" s="132"/>
      <c r="T166" s="132"/>
      <c r="U166" s="132"/>
      <c r="V166" s="132"/>
      <c r="W166" s="132"/>
      <c r="X166" s="132"/>
    </row>
    <row r="167" spans="1:24" ht="42.75" customHeight="1">
      <c r="A167" s="2008" t="s">
        <v>2676</v>
      </c>
      <c r="B167" s="2009" t="s">
        <v>2822</v>
      </c>
      <c r="C167" s="2020"/>
      <c r="D167" s="308"/>
      <c r="E167" s="2010"/>
      <c r="F167" s="2010"/>
      <c r="G167" s="2011"/>
      <c r="H167" s="2012"/>
      <c r="I167" s="2010">
        <v>4000000</v>
      </c>
      <c r="J167" s="2013">
        <v>4000000</v>
      </c>
      <c r="K167" s="2014"/>
      <c r="L167" s="2010"/>
      <c r="M167" s="2011"/>
      <c r="N167" s="313"/>
      <c r="O167" s="313"/>
      <c r="P167" s="132"/>
      <c r="Q167" s="132"/>
      <c r="R167" s="132"/>
      <c r="S167" s="132"/>
      <c r="T167" s="132"/>
      <c r="U167" s="132"/>
      <c r="V167" s="132"/>
      <c r="W167" s="132"/>
      <c r="X167" s="132"/>
    </row>
    <row r="168" spans="1:24" ht="42.75" customHeight="1">
      <c r="A168" s="2008" t="s">
        <v>2676</v>
      </c>
      <c r="B168" s="2009" t="s">
        <v>3358</v>
      </c>
      <c r="C168" s="2020"/>
      <c r="D168" s="308"/>
      <c r="E168" s="2010"/>
      <c r="F168" s="2010"/>
      <c r="G168" s="2011">
        <v>705754.04043478263</v>
      </c>
      <c r="H168" s="2012"/>
      <c r="I168" s="2010">
        <v>49156.45</v>
      </c>
      <c r="J168" s="2013">
        <v>49156.45</v>
      </c>
      <c r="K168" s="2014"/>
      <c r="L168" s="2010"/>
      <c r="M168" s="2011"/>
      <c r="N168" s="313"/>
      <c r="O168" s="313"/>
      <c r="P168" s="132"/>
      <c r="Q168" s="132"/>
      <c r="R168" s="132"/>
      <c r="S168" s="132"/>
      <c r="T168" s="132"/>
      <c r="U168" s="132"/>
      <c r="V168" s="132"/>
      <c r="W168" s="132"/>
      <c r="X168" s="132"/>
    </row>
    <row r="169" spans="1:24" ht="42.75" customHeight="1">
      <c r="A169" s="2008" t="s">
        <v>2676</v>
      </c>
      <c r="B169" s="2009" t="s">
        <v>2823</v>
      </c>
      <c r="C169" s="2020"/>
      <c r="D169" s="308"/>
      <c r="E169" s="2010"/>
      <c r="F169" s="2010"/>
      <c r="G169" s="2011"/>
      <c r="H169" s="2012"/>
      <c r="I169" s="2010"/>
      <c r="J169" s="2013"/>
      <c r="K169" s="2014">
        <v>0</v>
      </c>
      <c r="L169" s="2010">
        <v>2000000</v>
      </c>
      <c r="M169" s="2011">
        <v>5500000</v>
      </c>
      <c r="N169" s="313"/>
      <c r="O169" s="313"/>
      <c r="P169" s="132"/>
      <c r="Q169" s="132"/>
      <c r="R169" s="132"/>
      <c r="S169" s="132"/>
      <c r="T169" s="132"/>
      <c r="U169" s="132"/>
      <c r="V169" s="132"/>
      <c r="W169" s="132"/>
      <c r="X169" s="132"/>
    </row>
    <row r="170" spans="1:24" ht="42.75" customHeight="1">
      <c r="A170" s="2008" t="s">
        <v>2676</v>
      </c>
      <c r="B170" s="2009" t="s">
        <v>2824</v>
      </c>
      <c r="C170" s="2020"/>
      <c r="D170" s="308"/>
      <c r="E170" s="2010"/>
      <c r="F170" s="2010"/>
      <c r="G170" s="2011"/>
      <c r="H170" s="2012">
        <v>0</v>
      </c>
      <c r="I170" s="2010">
        <v>0</v>
      </c>
      <c r="J170" s="2013">
        <v>0</v>
      </c>
      <c r="K170" s="2014"/>
      <c r="L170" s="2010"/>
      <c r="M170" s="2011"/>
      <c r="N170" s="313"/>
      <c r="O170" s="313"/>
      <c r="P170" s="132"/>
      <c r="Q170" s="132"/>
      <c r="R170" s="132"/>
      <c r="S170" s="132"/>
      <c r="T170" s="132"/>
      <c r="U170" s="132"/>
      <c r="V170" s="132"/>
      <c r="W170" s="132"/>
      <c r="X170" s="132"/>
    </row>
    <row r="171" spans="1:24" ht="42.75" customHeight="1">
      <c r="A171" s="2008" t="s">
        <v>2676</v>
      </c>
      <c r="B171" s="2009" t="s">
        <v>2825</v>
      </c>
      <c r="C171" s="2020"/>
      <c r="D171" s="308"/>
      <c r="E171" s="2010"/>
      <c r="F171" s="2010"/>
      <c r="G171" s="2011"/>
      <c r="H171" s="2012">
        <v>200000</v>
      </c>
      <c r="I171" s="2010">
        <v>300000</v>
      </c>
      <c r="J171" s="2013">
        <v>300000</v>
      </c>
      <c r="K171" s="2014"/>
      <c r="L171" s="2010"/>
      <c r="M171" s="2011"/>
      <c r="N171" s="313"/>
      <c r="O171" s="313"/>
      <c r="P171" s="132"/>
      <c r="Q171" s="132"/>
      <c r="R171" s="132"/>
      <c r="S171" s="132"/>
      <c r="T171" s="132"/>
      <c r="U171" s="132"/>
      <c r="V171" s="132"/>
      <c r="W171" s="132"/>
      <c r="X171" s="132"/>
    </row>
    <row r="172" spans="1:24" ht="42.75" customHeight="1">
      <c r="A172" s="2008" t="s">
        <v>2676</v>
      </c>
      <c r="B172" s="2009" t="s">
        <v>2826</v>
      </c>
      <c r="C172" s="2020"/>
      <c r="D172" s="308"/>
      <c r="E172" s="2010"/>
      <c r="F172" s="2010"/>
      <c r="G172" s="2011"/>
      <c r="H172" s="2012">
        <v>300000</v>
      </c>
      <c r="I172" s="2010">
        <v>0</v>
      </c>
      <c r="J172" s="2013">
        <v>0</v>
      </c>
      <c r="K172" s="2014"/>
      <c r="L172" s="2010"/>
      <c r="M172" s="2011"/>
      <c r="N172" s="313"/>
      <c r="O172" s="313"/>
      <c r="P172" s="132"/>
      <c r="Q172" s="132"/>
      <c r="R172" s="132"/>
      <c r="S172" s="132"/>
      <c r="T172" s="132"/>
      <c r="U172" s="132"/>
      <c r="V172" s="132"/>
      <c r="W172" s="132"/>
      <c r="X172" s="132"/>
    </row>
    <row r="173" spans="1:24" ht="42.75" customHeight="1">
      <c r="A173" s="2008" t="s">
        <v>2676</v>
      </c>
      <c r="B173" s="2009" t="s">
        <v>2827</v>
      </c>
      <c r="C173" s="2020"/>
      <c r="D173" s="308"/>
      <c r="E173" s="2010"/>
      <c r="F173" s="2010"/>
      <c r="G173" s="2011"/>
      <c r="H173" s="2012">
        <v>400000</v>
      </c>
      <c r="I173" s="2010">
        <v>1520000</v>
      </c>
      <c r="J173" s="2013">
        <v>1520000</v>
      </c>
      <c r="K173" s="2014"/>
      <c r="L173" s="2010"/>
      <c r="M173" s="2011"/>
      <c r="N173" s="313"/>
      <c r="O173" s="313"/>
      <c r="P173" s="132"/>
      <c r="Q173" s="132"/>
      <c r="R173" s="132"/>
      <c r="S173" s="132"/>
      <c r="T173" s="132"/>
      <c r="U173" s="132"/>
      <c r="V173" s="132"/>
      <c r="W173" s="132"/>
      <c r="X173" s="132"/>
    </row>
    <row r="174" spans="1:24" ht="42.75" customHeight="1">
      <c r="A174" s="2008" t="s">
        <v>2676</v>
      </c>
      <c r="B174" s="2009" t="s">
        <v>3440</v>
      </c>
      <c r="C174" s="2020"/>
      <c r="D174" s="308"/>
      <c r="E174" s="2010"/>
      <c r="F174" s="2010"/>
      <c r="G174" s="2011"/>
      <c r="H174" s="2012">
        <v>7500000</v>
      </c>
      <c r="I174" s="2010">
        <v>0</v>
      </c>
      <c r="J174" s="2013">
        <v>0</v>
      </c>
      <c r="K174" s="2014">
        <f>6000000-1000000</f>
        <v>5000000</v>
      </c>
      <c r="L174" s="2010"/>
      <c r="M174" s="2011"/>
      <c r="N174" s="313"/>
      <c r="O174" s="313"/>
      <c r="P174" s="132"/>
      <c r="Q174" s="132"/>
      <c r="R174" s="132"/>
      <c r="S174" s="132"/>
      <c r="T174" s="132"/>
      <c r="U174" s="132"/>
      <c r="V174" s="132"/>
      <c r="W174" s="132"/>
      <c r="X174" s="132"/>
    </row>
    <row r="175" spans="1:24" ht="42.75" customHeight="1">
      <c r="A175" s="2008" t="s">
        <v>2676</v>
      </c>
      <c r="B175" s="2009" t="s">
        <v>2828</v>
      </c>
      <c r="C175" s="2020"/>
      <c r="D175" s="308"/>
      <c r="E175" s="2010"/>
      <c r="F175" s="2010"/>
      <c r="G175" s="2011"/>
      <c r="H175" s="2012">
        <v>800000</v>
      </c>
      <c r="I175" s="2010">
        <v>800000</v>
      </c>
      <c r="J175" s="2013">
        <v>800000</v>
      </c>
      <c r="K175" s="2014"/>
      <c r="L175" s="2010"/>
      <c r="M175" s="2011"/>
      <c r="N175" s="313"/>
      <c r="O175" s="313"/>
      <c r="P175" s="132"/>
      <c r="Q175" s="132"/>
      <c r="R175" s="132"/>
      <c r="S175" s="132"/>
      <c r="T175" s="132"/>
      <c r="U175" s="132"/>
      <c r="V175" s="132"/>
      <c r="W175" s="132"/>
      <c r="X175" s="132"/>
    </row>
    <row r="176" spans="1:24" ht="42.75" customHeight="1">
      <c r="A176" s="2008" t="s">
        <v>2676</v>
      </c>
      <c r="B176" s="2009" t="s">
        <v>2829</v>
      </c>
      <c r="C176" s="2020"/>
      <c r="D176" s="308"/>
      <c r="E176" s="2010"/>
      <c r="F176" s="2010"/>
      <c r="G176" s="2011"/>
      <c r="H176" s="2012">
        <v>1200000</v>
      </c>
      <c r="I176" s="2010">
        <v>1000000</v>
      </c>
      <c r="J176" s="2013">
        <v>1000000</v>
      </c>
      <c r="K176" s="2014"/>
      <c r="L176" s="2010"/>
      <c r="M176" s="2011"/>
      <c r="N176" s="313"/>
      <c r="O176" s="313"/>
      <c r="P176" s="132"/>
      <c r="Q176" s="132"/>
      <c r="R176" s="132"/>
      <c r="S176" s="132"/>
      <c r="T176" s="132"/>
      <c r="U176" s="132"/>
      <c r="V176" s="132"/>
      <c r="W176" s="132"/>
      <c r="X176" s="132"/>
    </row>
    <row r="177" spans="1:24" ht="42.75" customHeight="1">
      <c r="A177" s="2008" t="s">
        <v>2676</v>
      </c>
      <c r="B177" s="2009" t="s">
        <v>2830</v>
      </c>
      <c r="C177" s="2020"/>
      <c r="D177" s="308"/>
      <c r="E177" s="2010"/>
      <c r="F177" s="2010"/>
      <c r="G177" s="2011"/>
      <c r="H177" s="2012"/>
      <c r="I177" s="2010"/>
      <c r="J177" s="2013"/>
      <c r="K177" s="2014"/>
      <c r="L177" s="2010"/>
      <c r="M177" s="2011"/>
      <c r="N177" s="313"/>
      <c r="O177" s="313"/>
      <c r="P177" s="132"/>
      <c r="Q177" s="132"/>
      <c r="R177" s="132"/>
      <c r="S177" s="132"/>
      <c r="T177" s="132"/>
      <c r="U177" s="132"/>
      <c r="V177" s="132"/>
      <c r="W177" s="132"/>
      <c r="X177" s="132"/>
    </row>
    <row r="178" spans="1:24" ht="42.75" customHeight="1">
      <c r="A178" s="2008" t="s">
        <v>2676</v>
      </c>
      <c r="B178" s="2009" t="s">
        <v>2831</v>
      </c>
      <c r="C178" s="2020"/>
      <c r="D178" s="308"/>
      <c r="E178" s="2010"/>
      <c r="F178" s="2010"/>
      <c r="G178" s="2011"/>
      <c r="H178" s="2012"/>
      <c r="I178" s="2010"/>
      <c r="J178" s="2013"/>
      <c r="K178" s="2014"/>
      <c r="L178" s="2010"/>
      <c r="M178" s="2011"/>
      <c r="N178" s="313"/>
      <c r="O178" s="313"/>
      <c r="P178" s="132"/>
      <c r="Q178" s="132"/>
      <c r="R178" s="132"/>
      <c r="S178" s="132"/>
      <c r="T178" s="132"/>
      <c r="U178" s="132"/>
      <c r="V178" s="132"/>
      <c r="W178" s="132"/>
      <c r="X178" s="132"/>
    </row>
    <row r="179" spans="1:24" ht="42.75" customHeight="1">
      <c r="A179" s="2008" t="s">
        <v>2676</v>
      </c>
      <c r="B179" s="2009" t="s">
        <v>2832</v>
      </c>
      <c r="C179" s="2020"/>
      <c r="D179" s="308"/>
      <c r="E179" s="2010"/>
      <c r="F179" s="2010"/>
      <c r="G179" s="2011"/>
      <c r="H179" s="2012"/>
      <c r="I179" s="2010"/>
      <c r="J179" s="2013"/>
      <c r="K179" s="2014"/>
      <c r="L179" s="2010"/>
      <c r="M179" s="2011"/>
      <c r="N179" s="313"/>
      <c r="O179" s="313"/>
      <c r="P179" s="132"/>
      <c r="Q179" s="132"/>
      <c r="R179" s="132"/>
      <c r="S179" s="132"/>
      <c r="T179" s="132"/>
      <c r="U179" s="132"/>
      <c r="V179" s="132"/>
      <c r="W179" s="132"/>
      <c r="X179" s="132"/>
    </row>
    <row r="180" spans="1:24" ht="42.75" customHeight="1">
      <c r="A180" s="2008" t="s">
        <v>2676</v>
      </c>
      <c r="B180" s="2009" t="s">
        <v>2833</v>
      </c>
      <c r="C180" s="2020"/>
      <c r="D180" s="308"/>
      <c r="E180" s="2010"/>
      <c r="F180" s="2010"/>
      <c r="G180" s="2011"/>
      <c r="H180" s="2012"/>
      <c r="I180" s="2010"/>
      <c r="J180" s="2013"/>
      <c r="K180" s="2014"/>
      <c r="L180" s="2010"/>
      <c r="M180" s="2011"/>
      <c r="N180" s="313"/>
      <c r="O180" s="313"/>
      <c r="P180" s="132"/>
      <c r="Q180" s="132"/>
      <c r="R180" s="132"/>
      <c r="S180" s="132"/>
      <c r="T180" s="132"/>
      <c r="U180" s="132"/>
      <c r="V180" s="132"/>
      <c r="W180" s="132"/>
      <c r="X180" s="132"/>
    </row>
    <row r="181" spans="1:24" ht="42.75" customHeight="1">
      <c r="A181" s="2008" t="s">
        <v>2676</v>
      </c>
      <c r="B181" s="2009" t="s">
        <v>2834</v>
      </c>
      <c r="C181" s="2020"/>
      <c r="D181" s="308"/>
      <c r="E181" s="2010"/>
      <c r="F181" s="2010"/>
      <c r="G181" s="2011"/>
      <c r="H181" s="2012"/>
      <c r="I181" s="2010"/>
      <c r="J181" s="2013"/>
      <c r="K181" s="2014"/>
      <c r="L181" s="2010"/>
      <c r="M181" s="2011"/>
      <c r="N181" s="313"/>
      <c r="O181" s="313"/>
      <c r="P181" s="132"/>
      <c r="Q181" s="132"/>
      <c r="R181" s="132"/>
      <c r="S181" s="132"/>
      <c r="T181" s="132"/>
      <c r="U181" s="132"/>
      <c r="V181" s="132"/>
      <c r="W181" s="132"/>
      <c r="X181" s="132"/>
    </row>
    <row r="182" spans="1:24" ht="42.75" customHeight="1">
      <c r="A182" s="2008" t="s">
        <v>2676</v>
      </c>
      <c r="B182" s="2009" t="s">
        <v>2835</v>
      </c>
      <c r="C182" s="2020"/>
      <c r="D182" s="308"/>
      <c r="E182" s="2010"/>
      <c r="F182" s="2010"/>
      <c r="G182" s="2011"/>
      <c r="H182" s="2012"/>
      <c r="I182" s="2010"/>
      <c r="J182" s="2013"/>
      <c r="K182" s="2014"/>
      <c r="L182" s="2010"/>
      <c r="M182" s="2011"/>
      <c r="N182" s="313"/>
      <c r="O182" s="313"/>
      <c r="P182" s="132"/>
      <c r="Q182" s="132"/>
      <c r="R182" s="132"/>
      <c r="S182" s="132"/>
      <c r="T182" s="132"/>
      <c r="U182" s="132"/>
      <c r="V182" s="132"/>
      <c r="W182" s="132"/>
      <c r="X182" s="132"/>
    </row>
    <row r="183" spans="1:24" ht="42.75" customHeight="1">
      <c r="A183" s="2008" t="s">
        <v>2676</v>
      </c>
      <c r="B183" s="2009" t="s">
        <v>2836</v>
      </c>
      <c r="C183" s="2020"/>
      <c r="D183" s="308"/>
      <c r="E183" s="2010"/>
      <c r="F183" s="2010"/>
      <c r="G183" s="2011"/>
      <c r="H183" s="2012"/>
      <c r="I183" s="2010"/>
      <c r="J183" s="2013"/>
      <c r="K183" s="2014"/>
      <c r="L183" s="2010"/>
      <c r="M183" s="2011"/>
      <c r="N183" s="313"/>
      <c r="O183" s="313"/>
      <c r="P183" s="132"/>
      <c r="Q183" s="132"/>
      <c r="R183" s="132"/>
      <c r="S183" s="132"/>
      <c r="T183" s="132"/>
      <c r="U183" s="132"/>
      <c r="V183" s="132"/>
      <c r="W183" s="132"/>
      <c r="X183" s="132"/>
    </row>
    <row r="184" spans="1:24" ht="42.75" customHeight="1">
      <c r="A184" s="2008" t="s">
        <v>2676</v>
      </c>
      <c r="B184" s="2009" t="s">
        <v>2837</v>
      </c>
      <c r="C184" s="2020"/>
      <c r="D184" s="308"/>
      <c r="E184" s="2010"/>
      <c r="F184" s="2010"/>
      <c r="G184" s="2011"/>
      <c r="H184" s="2012"/>
      <c r="I184" s="2010"/>
      <c r="J184" s="2013"/>
      <c r="K184" s="2014"/>
      <c r="L184" s="2010"/>
      <c r="M184" s="2011"/>
      <c r="N184" s="313"/>
      <c r="O184" s="313"/>
      <c r="P184" s="132"/>
      <c r="Q184" s="132"/>
      <c r="R184" s="132"/>
      <c r="S184" s="132"/>
      <c r="T184" s="132"/>
      <c r="U184" s="132"/>
      <c r="V184" s="132"/>
      <c r="W184" s="132"/>
      <c r="X184" s="132"/>
    </row>
    <row r="185" spans="1:24" ht="42.75" customHeight="1">
      <c r="A185" s="2008" t="s">
        <v>2676</v>
      </c>
      <c r="B185" s="2009" t="s">
        <v>2838</v>
      </c>
      <c r="C185" s="2020"/>
      <c r="D185" s="308"/>
      <c r="E185" s="2010"/>
      <c r="F185" s="2010"/>
      <c r="G185" s="2011"/>
      <c r="H185" s="2012"/>
      <c r="I185" s="2010"/>
      <c r="J185" s="2013"/>
      <c r="K185" s="2014"/>
      <c r="L185" s="2010"/>
      <c r="M185" s="2011"/>
      <c r="N185" s="313"/>
      <c r="O185" s="313"/>
      <c r="P185" s="132"/>
      <c r="Q185" s="132"/>
      <c r="R185" s="132"/>
      <c r="S185" s="132"/>
      <c r="T185" s="132"/>
      <c r="U185" s="132"/>
      <c r="V185" s="132"/>
      <c r="W185" s="132"/>
      <c r="X185" s="132"/>
    </row>
    <row r="186" spans="1:24" ht="42.75" customHeight="1">
      <c r="A186" s="2008" t="s">
        <v>2676</v>
      </c>
      <c r="B186" s="2009" t="s">
        <v>2839</v>
      </c>
      <c r="C186" s="2020"/>
      <c r="D186" s="308"/>
      <c r="E186" s="2010"/>
      <c r="F186" s="2010"/>
      <c r="G186" s="2011"/>
      <c r="H186" s="2012"/>
      <c r="I186" s="2010"/>
      <c r="J186" s="2013"/>
      <c r="K186" s="2014"/>
      <c r="L186" s="2010"/>
      <c r="M186" s="2011"/>
      <c r="N186" s="313"/>
      <c r="O186" s="313"/>
      <c r="P186" s="132"/>
      <c r="Q186" s="132"/>
      <c r="R186" s="132"/>
      <c r="S186" s="132"/>
      <c r="T186" s="132"/>
      <c r="U186" s="132"/>
      <c r="V186" s="132"/>
      <c r="W186" s="132"/>
      <c r="X186" s="132"/>
    </row>
    <row r="187" spans="1:24" ht="42.75" customHeight="1">
      <c r="A187" s="2008" t="s">
        <v>2687</v>
      </c>
      <c r="B187" s="2009" t="s">
        <v>2840</v>
      </c>
      <c r="C187" s="2020"/>
      <c r="D187" s="308"/>
      <c r="E187" s="2010"/>
      <c r="F187" s="2010"/>
      <c r="G187" s="2011"/>
      <c r="H187" s="2012">
        <v>1000000</v>
      </c>
      <c r="I187" s="2010">
        <v>0</v>
      </c>
      <c r="J187" s="2013">
        <v>0</v>
      </c>
      <c r="K187" s="2014">
        <v>1000000</v>
      </c>
      <c r="L187" s="2010"/>
      <c r="M187" s="2011"/>
      <c r="N187" s="313"/>
      <c r="O187" s="313"/>
      <c r="P187" s="132"/>
      <c r="Q187" s="132"/>
      <c r="R187" s="132"/>
      <c r="S187" s="132"/>
      <c r="T187" s="132"/>
      <c r="U187" s="132"/>
      <c r="V187" s="132"/>
      <c r="W187" s="132"/>
      <c r="X187" s="132"/>
    </row>
    <row r="188" spans="1:24" ht="42.75" customHeight="1">
      <c r="A188" s="2008" t="s">
        <v>2676</v>
      </c>
      <c r="B188" s="2009" t="s">
        <v>2841</v>
      </c>
      <c r="C188" s="2020"/>
      <c r="D188" s="308"/>
      <c r="E188" s="2010"/>
      <c r="F188" s="2010"/>
      <c r="G188" s="2011"/>
      <c r="H188" s="2012">
        <v>0</v>
      </c>
      <c r="I188" s="2010">
        <v>0</v>
      </c>
      <c r="J188" s="2013">
        <v>0</v>
      </c>
      <c r="K188" s="2014"/>
      <c r="L188" s="2010"/>
      <c r="M188" s="2011"/>
      <c r="N188" s="313"/>
      <c r="O188" s="313"/>
      <c r="P188" s="132"/>
      <c r="Q188" s="132"/>
      <c r="R188" s="132"/>
      <c r="S188" s="132"/>
      <c r="T188" s="132"/>
      <c r="U188" s="132"/>
      <c r="V188" s="132"/>
      <c r="W188" s="132"/>
      <c r="X188" s="132"/>
    </row>
    <row r="189" spans="1:24" ht="42.75" customHeight="1">
      <c r="A189" s="2008" t="s">
        <v>2676</v>
      </c>
      <c r="B189" s="2009" t="s">
        <v>2842</v>
      </c>
      <c r="C189" s="2020"/>
      <c r="D189" s="308"/>
      <c r="E189" s="2010"/>
      <c r="F189" s="2010"/>
      <c r="G189" s="2011"/>
      <c r="H189" s="2012">
        <v>85000</v>
      </c>
      <c r="I189" s="2010">
        <v>85000</v>
      </c>
      <c r="J189" s="2013">
        <v>85000</v>
      </c>
      <c r="K189" s="2014"/>
      <c r="L189" s="2010"/>
      <c r="M189" s="2011"/>
      <c r="N189" s="313"/>
      <c r="O189" s="313"/>
      <c r="P189" s="132"/>
      <c r="Q189" s="132"/>
      <c r="R189" s="132"/>
      <c r="S189" s="132"/>
      <c r="T189" s="132"/>
      <c r="U189" s="132"/>
      <c r="V189" s="132"/>
      <c r="W189" s="132"/>
      <c r="X189" s="132"/>
    </row>
    <row r="190" spans="1:24" ht="42.75" customHeight="1">
      <c r="A190" s="2008" t="s">
        <v>2676</v>
      </c>
      <c r="B190" s="2009" t="s">
        <v>2843</v>
      </c>
      <c r="C190" s="2020"/>
      <c r="D190" s="308"/>
      <c r="E190" s="2010"/>
      <c r="F190" s="2010"/>
      <c r="G190" s="2011"/>
      <c r="H190" s="2012">
        <v>0</v>
      </c>
      <c r="I190" s="2010">
        <v>0</v>
      </c>
      <c r="J190" s="2013">
        <v>0</v>
      </c>
      <c r="K190" s="2014"/>
      <c r="L190" s="2010"/>
      <c r="M190" s="2011"/>
      <c r="N190" s="313"/>
      <c r="O190" s="313"/>
      <c r="P190" s="132"/>
      <c r="Q190" s="132"/>
      <c r="R190" s="132"/>
      <c r="S190" s="132"/>
      <c r="T190" s="132"/>
      <c r="U190" s="132"/>
      <c r="V190" s="132"/>
      <c r="W190" s="132"/>
      <c r="X190" s="132"/>
    </row>
    <row r="191" spans="1:24" ht="42.75" customHeight="1">
      <c r="A191" s="2008" t="s">
        <v>2676</v>
      </c>
      <c r="B191" s="2009" t="s">
        <v>2844</v>
      </c>
      <c r="C191" s="2020"/>
      <c r="D191" s="308"/>
      <c r="E191" s="2010"/>
      <c r="F191" s="2010"/>
      <c r="G191" s="2011"/>
      <c r="H191" s="2012">
        <v>0</v>
      </c>
      <c r="I191" s="2010">
        <v>0</v>
      </c>
      <c r="J191" s="2013">
        <v>0</v>
      </c>
      <c r="K191" s="2014"/>
      <c r="L191" s="2010"/>
      <c r="M191" s="2011"/>
      <c r="N191" s="313"/>
      <c r="O191" s="313"/>
      <c r="P191" s="132"/>
      <c r="Q191" s="132"/>
      <c r="R191" s="132"/>
      <c r="S191" s="132"/>
      <c r="T191" s="132"/>
      <c r="U191" s="132"/>
      <c r="V191" s="132"/>
      <c r="W191" s="132"/>
      <c r="X191" s="132"/>
    </row>
    <row r="192" spans="1:24" ht="42.75" customHeight="1">
      <c r="A192" s="2008" t="s">
        <v>2670</v>
      </c>
      <c r="B192" s="2009" t="s">
        <v>2845</v>
      </c>
      <c r="C192" s="2020"/>
      <c r="D192" s="308"/>
      <c r="E192" s="2010"/>
      <c r="F192" s="2010"/>
      <c r="G192" s="2011"/>
      <c r="H192" s="2012"/>
      <c r="I192" s="2010"/>
      <c r="J192" s="2013"/>
      <c r="K192" s="2014"/>
      <c r="L192" s="2010"/>
      <c r="M192" s="2011"/>
      <c r="N192" s="313"/>
      <c r="O192" s="313"/>
      <c r="P192" s="132"/>
      <c r="Q192" s="132"/>
      <c r="R192" s="132"/>
      <c r="S192" s="132"/>
      <c r="T192" s="132"/>
      <c r="U192" s="132"/>
      <c r="V192" s="132"/>
      <c r="W192" s="132"/>
      <c r="X192" s="132"/>
    </row>
    <row r="193" spans="1:24" ht="42.75" customHeight="1">
      <c r="A193" s="2008" t="s">
        <v>2670</v>
      </c>
      <c r="B193" s="2009" t="s">
        <v>2846</v>
      </c>
      <c r="C193" s="2020"/>
      <c r="D193" s="308"/>
      <c r="E193" s="2010"/>
      <c r="F193" s="2010"/>
      <c r="G193" s="2011"/>
      <c r="H193" s="2012"/>
      <c r="I193" s="2010"/>
      <c r="J193" s="2013"/>
      <c r="K193" s="2014"/>
      <c r="L193" s="2010">
        <v>2000000</v>
      </c>
      <c r="M193" s="2011">
        <v>7752000</v>
      </c>
      <c r="N193" s="313"/>
      <c r="O193" s="313"/>
      <c r="P193" s="132"/>
      <c r="Q193" s="132"/>
      <c r="R193" s="132"/>
      <c r="S193" s="132"/>
      <c r="T193" s="132"/>
      <c r="U193" s="132"/>
      <c r="V193" s="132"/>
      <c r="W193" s="132"/>
      <c r="X193" s="132"/>
    </row>
    <row r="194" spans="1:24" ht="42.75" customHeight="1">
      <c r="A194" s="2008" t="s">
        <v>2670</v>
      </c>
      <c r="B194" s="2009" t="s">
        <v>2847</v>
      </c>
      <c r="C194" s="2020"/>
      <c r="D194" s="308"/>
      <c r="E194" s="2010"/>
      <c r="F194" s="2010"/>
      <c r="G194" s="2011"/>
      <c r="H194" s="2012"/>
      <c r="I194" s="2010"/>
      <c r="J194" s="2013"/>
      <c r="K194" s="2014">
        <v>1380000</v>
      </c>
      <c r="L194" s="2010">
        <v>15000000</v>
      </c>
      <c r="M194" s="2011"/>
      <c r="N194" s="313"/>
      <c r="O194" s="313"/>
      <c r="P194" s="132"/>
      <c r="Q194" s="132"/>
      <c r="R194" s="132"/>
      <c r="S194" s="132"/>
      <c r="T194" s="132"/>
      <c r="U194" s="132"/>
      <c r="V194" s="132"/>
      <c r="W194" s="132"/>
      <c r="X194" s="132"/>
    </row>
    <row r="195" spans="1:24" ht="42.75" customHeight="1">
      <c r="A195" s="2008" t="s">
        <v>2670</v>
      </c>
      <c r="B195" s="2009" t="s">
        <v>2848</v>
      </c>
      <c r="C195" s="2020"/>
      <c r="D195" s="308"/>
      <c r="E195" s="2010"/>
      <c r="F195" s="2010"/>
      <c r="G195" s="2011"/>
      <c r="H195" s="2012"/>
      <c r="I195" s="2010"/>
      <c r="J195" s="2013"/>
      <c r="K195" s="2014">
        <v>0</v>
      </c>
      <c r="L195" s="2010">
        <v>8469640</v>
      </c>
      <c r="M195" s="2011">
        <v>7572850</v>
      </c>
      <c r="N195" s="313"/>
      <c r="O195" s="313"/>
      <c r="P195" s="132"/>
      <c r="Q195" s="132"/>
      <c r="R195" s="132"/>
      <c r="S195" s="132"/>
      <c r="T195" s="132"/>
      <c r="U195" s="132"/>
      <c r="V195" s="132"/>
      <c r="W195" s="132"/>
      <c r="X195" s="132"/>
    </row>
    <row r="196" spans="1:24" ht="42.75" customHeight="1">
      <c r="A196" s="2008" t="s">
        <v>2670</v>
      </c>
      <c r="B196" s="2009" t="s">
        <v>2849</v>
      </c>
      <c r="C196" s="2020"/>
      <c r="D196" s="308"/>
      <c r="E196" s="2010"/>
      <c r="F196" s="2010"/>
      <c r="G196" s="2011"/>
      <c r="H196" s="2012"/>
      <c r="I196" s="2010"/>
      <c r="J196" s="2013"/>
      <c r="K196" s="2014"/>
      <c r="L196" s="2010">
        <v>2000000</v>
      </c>
      <c r="M196" s="2011">
        <v>7000000</v>
      </c>
      <c r="N196" s="313"/>
      <c r="O196" s="313"/>
      <c r="P196" s="132"/>
      <c r="Q196" s="132"/>
      <c r="R196" s="132"/>
      <c r="S196" s="132"/>
      <c r="T196" s="132"/>
      <c r="U196" s="132"/>
      <c r="V196" s="132"/>
      <c r="W196" s="132"/>
      <c r="X196" s="132"/>
    </row>
    <row r="197" spans="1:24" ht="42.75" customHeight="1">
      <c r="A197" s="2008" t="s">
        <v>2850</v>
      </c>
      <c r="B197" s="2009" t="s">
        <v>2851</v>
      </c>
      <c r="C197" s="2020"/>
      <c r="D197" s="308"/>
      <c r="E197" s="2010"/>
      <c r="F197" s="2010"/>
      <c r="G197" s="2011"/>
      <c r="H197" s="2012">
        <v>2000000</v>
      </c>
      <c r="I197" s="2010">
        <v>3000000</v>
      </c>
      <c r="J197" s="2013">
        <v>3000000</v>
      </c>
      <c r="K197" s="2014">
        <v>6029170</v>
      </c>
      <c r="L197" s="2010">
        <v>15000000</v>
      </c>
      <c r="M197" s="2011">
        <v>19117728</v>
      </c>
      <c r="N197" s="313"/>
      <c r="O197" s="313"/>
      <c r="P197" s="132"/>
      <c r="Q197" s="132"/>
      <c r="R197" s="132"/>
      <c r="S197" s="132"/>
      <c r="T197" s="132"/>
      <c r="U197" s="132"/>
      <c r="V197" s="132"/>
      <c r="W197" s="132"/>
      <c r="X197" s="132"/>
    </row>
    <row r="198" spans="1:24" ht="42.75" customHeight="1">
      <c r="A198" s="2008" t="s">
        <v>2850</v>
      </c>
      <c r="B198" s="2009" t="s">
        <v>2852</v>
      </c>
      <c r="C198" s="2020"/>
      <c r="D198" s="308"/>
      <c r="E198" s="2010"/>
      <c r="F198" s="2010"/>
      <c r="G198" s="2011"/>
      <c r="H198" s="2012">
        <v>2000000</v>
      </c>
      <c r="I198" s="2010">
        <v>2800000</v>
      </c>
      <c r="J198" s="2013">
        <v>2800000</v>
      </c>
      <c r="K198" s="2014">
        <v>6000000</v>
      </c>
      <c r="L198" s="2010">
        <v>15000000</v>
      </c>
      <c r="M198" s="2011">
        <v>18598491</v>
      </c>
      <c r="N198" s="313"/>
      <c r="O198" s="313"/>
      <c r="P198" s="132"/>
      <c r="Q198" s="132"/>
      <c r="R198" s="132"/>
      <c r="S198" s="132"/>
      <c r="T198" s="132"/>
      <c r="U198" s="132"/>
      <c r="V198" s="132"/>
      <c r="W198" s="132"/>
      <c r="X198" s="132"/>
    </row>
    <row r="199" spans="1:24" ht="42.75" customHeight="1">
      <c r="A199" s="2008" t="s">
        <v>2850</v>
      </c>
      <c r="B199" s="2009" t="s">
        <v>2853</v>
      </c>
      <c r="C199" s="2020"/>
      <c r="D199" s="308"/>
      <c r="E199" s="2010"/>
      <c r="F199" s="2010"/>
      <c r="G199" s="2011"/>
      <c r="H199" s="2012">
        <v>2000000</v>
      </c>
      <c r="I199" s="2010">
        <v>3851021</v>
      </c>
      <c r="J199" s="2013">
        <v>3851021</v>
      </c>
      <c r="K199" s="2014">
        <v>8649730</v>
      </c>
      <c r="L199" s="2010">
        <v>24490010</v>
      </c>
      <c r="M199" s="2011">
        <v>21562731</v>
      </c>
      <c r="N199" s="313"/>
      <c r="O199" s="313"/>
      <c r="P199" s="132"/>
      <c r="Q199" s="132"/>
      <c r="R199" s="132"/>
      <c r="S199" s="132"/>
      <c r="T199" s="132"/>
      <c r="U199" s="132"/>
      <c r="V199" s="132"/>
      <c r="W199" s="132"/>
      <c r="X199" s="132"/>
    </row>
    <row r="200" spans="1:24" ht="42.75" customHeight="1">
      <c r="A200" s="2008" t="s">
        <v>2687</v>
      </c>
      <c r="B200" s="2009" t="s">
        <v>2854</v>
      </c>
      <c r="C200" s="2020"/>
      <c r="D200" s="308"/>
      <c r="E200" s="2010"/>
      <c r="F200" s="2010"/>
      <c r="G200" s="2011"/>
      <c r="H200" s="2012">
        <v>1200000</v>
      </c>
      <c r="I200" s="2010">
        <v>0</v>
      </c>
      <c r="J200" s="2013">
        <v>0</v>
      </c>
      <c r="K200" s="2014"/>
      <c r="L200" s="2010"/>
      <c r="M200" s="2011"/>
      <c r="N200" s="313"/>
      <c r="O200" s="313"/>
      <c r="P200" s="132"/>
      <c r="Q200" s="132"/>
      <c r="R200" s="132"/>
      <c r="S200" s="132"/>
      <c r="T200" s="132"/>
      <c r="U200" s="132"/>
      <c r="V200" s="132"/>
      <c r="W200" s="132"/>
      <c r="X200" s="132"/>
    </row>
    <row r="201" spans="1:24" ht="42.75" customHeight="1">
      <c r="A201" s="2008" t="s">
        <v>2687</v>
      </c>
      <c r="B201" s="2009" t="s">
        <v>2855</v>
      </c>
      <c r="C201" s="2020"/>
      <c r="D201" s="308"/>
      <c r="E201" s="2010"/>
      <c r="F201" s="2010"/>
      <c r="G201" s="2011"/>
      <c r="H201" s="2012">
        <v>700000</v>
      </c>
      <c r="I201" s="2010">
        <v>0</v>
      </c>
      <c r="J201" s="2013">
        <v>0</v>
      </c>
      <c r="K201" s="2014"/>
      <c r="L201" s="2010"/>
      <c r="M201" s="2011"/>
      <c r="N201" s="313"/>
      <c r="O201" s="313"/>
      <c r="P201" s="132"/>
      <c r="Q201" s="132"/>
      <c r="R201" s="132"/>
      <c r="S201" s="132"/>
      <c r="T201" s="132"/>
      <c r="U201" s="132"/>
      <c r="V201" s="132"/>
      <c r="W201" s="132"/>
      <c r="X201" s="132"/>
    </row>
    <row r="202" spans="1:24" ht="42.75" customHeight="1">
      <c r="A202" s="2008" t="s">
        <v>2856</v>
      </c>
      <c r="B202" s="2009" t="s">
        <v>2857</v>
      </c>
      <c r="C202" s="2020"/>
      <c r="D202" s="308"/>
      <c r="E202" s="2010"/>
      <c r="F202" s="2010"/>
      <c r="G202" s="2011"/>
      <c r="H202" s="2012">
        <v>350000</v>
      </c>
      <c r="I202" s="2010">
        <v>350000</v>
      </c>
      <c r="J202" s="2013">
        <v>350000</v>
      </c>
      <c r="K202" s="2014">
        <v>1150000</v>
      </c>
      <c r="L202" s="2010"/>
      <c r="M202" s="2011"/>
      <c r="N202" s="313"/>
      <c r="O202" s="313"/>
      <c r="P202" s="132"/>
      <c r="Q202" s="132"/>
      <c r="R202" s="132"/>
      <c r="S202" s="132"/>
      <c r="T202" s="132"/>
      <c r="U202" s="132"/>
      <c r="V202" s="132"/>
      <c r="W202" s="132"/>
      <c r="X202" s="132"/>
    </row>
    <row r="203" spans="1:24" ht="42.75" customHeight="1">
      <c r="A203" s="2008" t="s">
        <v>2856</v>
      </c>
      <c r="B203" s="2009" t="s">
        <v>2858</v>
      </c>
      <c r="C203" s="2020"/>
      <c r="D203" s="308"/>
      <c r="E203" s="2010"/>
      <c r="F203" s="2010"/>
      <c r="G203" s="2011"/>
      <c r="H203" s="2012">
        <v>150000</v>
      </c>
      <c r="I203" s="2010">
        <v>150000</v>
      </c>
      <c r="J203" s="2013">
        <v>150000</v>
      </c>
      <c r="K203" s="2014"/>
      <c r="L203" s="2010"/>
      <c r="M203" s="2011"/>
      <c r="N203" s="313"/>
      <c r="O203" s="313"/>
      <c r="P203" s="132"/>
      <c r="Q203" s="132"/>
      <c r="R203" s="132"/>
      <c r="S203" s="132"/>
      <c r="T203" s="132"/>
      <c r="U203" s="132"/>
      <c r="V203" s="132"/>
      <c r="W203" s="132"/>
      <c r="X203" s="132"/>
    </row>
    <row r="204" spans="1:24" ht="42.75" customHeight="1">
      <c r="A204" s="2008" t="s">
        <v>2856</v>
      </c>
      <c r="B204" s="2009" t="s">
        <v>2859</v>
      </c>
      <c r="C204" s="2020"/>
      <c r="D204" s="308"/>
      <c r="E204" s="2010"/>
      <c r="F204" s="2010"/>
      <c r="G204" s="2011"/>
      <c r="H204" s="2012">
        <v>350000</v>
      </c>
      <c r="I204" s="2010">
        <v>350000</v>
      </c>
      <c r="J204" s="2013">
        <v>350000</v>
      </c>
      <c r="K204" s="2014">
        <v>1150000</v>
      </c>
      <c r="L204" s="2010"/>
      <c r="M204" s="2011"/>
      <c r="N204" s="313"/>
      <c r="O204" s="313"/>
      <c r="P204" s="132"/>
      <c r="Q204" s="132"/>
      <c r="R204" s="132"/>
      <c r="S204" s="132"/>
      <c r="T204" s="132"/>
      <c r="U204" s="132"/>
      <c r="V204" s="132"/>
      <c r="W204" s="132"/>
      <c r="X204" s="132"/>
    </row>
    <row r="205" spans="1:24" ht="42.75" customHeight="1">
      <c r="A205" s="2008" t="s">
        <v>2856</v>
      </c>
      <c r="B205" s="2009" t="s">
        <v>2860</v>
      </c>
      <c r="C205" s="2020"/>
      <c r="D205" s="308"/>
      <c r="E205" s="2010"/>
      <c r="F205" s="2010"/>
      <c r="G205" s="2011"/>
      <c r="H205" s="2012">
        <v>150000</v>
      </c>
      <c r="I205" s="2010">
        <v>150000</v>
      </c>
      <c r="J205" s="2013">
        <v>150000</v>
      </c>
      <c r="K205" s="2014"/>
      <c r="L205" s="2010"/>
      <c r="M205" s="2011"/>
      <c r="N205" s="313"/>
      <c r="O205" s="313"/>
      <c r="P205" s="132"/>
      <c r="Q205" s="132"/>
      <c r="R205" s="132"/>
      <c r="S205" s="132"/>
      <c r="T205" s="132"/>
      <c r="U205" s="132"/>
      <c r="V205" s="132"/>
      <c r="W205" s="132"/>
      <c r="X205" s="132"/>
    </row>
    <row r="206" spans="1:24" ht="42.75" customHeight="1">
      <c r="A206" s="2008" t="s">
        <v>3442</v>
      </c>
      <c r="B206" s="2009" t="s">
        <v>3441</v>
      </c>
      <c r="C206" s="2020"/>
      <c r="D206" s="308"/>
      <c r="E206" s="2010"/>
      <c r="F206" s="2010"/>
      <c r="G206" s="2011">
        <v>34610</v>
      </c>
      <c r="H206" s="2012">
        <v>235000</v>
      </c>
      <c r="I206" s="2010">
        <v>235000</v>
      </c>
      <c r="J206" s="2013">
        <v>235000</v>
      </c>
      <c r="K206" s="2014">
        <v>235000</v>
      </c>
      <c r="L206" s="2010">
        <v>235000</v>
      </c>
      <c r="M206" s="2011">
        <v>235000</v>
      </c>
      <c r="N206" s="313"/>
      <c r="O206" s="313"/>
      <c r="P206" s="132"/>
      <c r="Q206" s="132"/>
      <c r="R206" s="132"/>
      <c r="S206" s="132"/>
      <c r="T206" s="132"/>
      <c r="U206" s="132"/>
      <c r="V206" s="132"/>
      <c r="W206" s="132"/>
      <c r="X206" s="132"/>
    </row>
    <row r="207" spans="1:24" ht="42.75" customHeight="1">
      <c r="A207" s="2008" t="s">
        <v>2850</v>
      </c>
      <c r="B207" s="2009" t="s">
        <v>4014</v>
      </c>
      <c r="C207" s="2020" t="s">
        <v>1173</v>
      </c>
      <c r="D207" s="308"/>
      <c r="E207" s="2010"/>
      <c r="F207" s="2010"/>
      <c r="G207" s="2011"/>
      <c r="H207" s="2012"/>
      <c r="I207" s="2010"/>
      <c r="J207" s="2013"/>
      <c r="K207" s="2014">
        <v>2057113.15</v>
      </c>
      <c r="L207" s="2010"/>
      <c r="M207" s="2011"/>
      <c r="N207" s="313"/>
      <c r="O207" s="313"/>
      <c r="P207" s="132"/>
      <c r="Q207" s="132"/>
      <c r="R207" s="132"/>
      <c r="S207" s="132"/>
      <c r="T207" s="132"/>
      <c r="U207" s="132"/>
      <c r="V207" s="132"/>
      <c r="W207" s="132"/>
      <c r="X207" s="132"/>
    </row>
    <row r="208" spans="1:24" ht="42.75" customHeight="1">
      <c r="A208" s="2008" t="s">
        <v>2850</v>
      </c>
      <c r="B208" s="2009" t="s">
        <v>4015</v>
      </c>
      <c r="C208" s="2020" t="s">
        <v>427</v>
      </c>
      <c r="D208" s="308"/>
      <c r="E208" s="2010"/>
      <c r="F208" s="2010"/>
      <c r="G208" s="2011"/>
      <c r="H208" s="2012"/>
      <c r="I208" s="2010"/>
      <c r="J208" s="2013"/>
      <c r="K208" s="2014">
        <v>2942886.85</v>
      </c>
      <c r="L208" s="2010"/>
      <c r="M208" s="2011"/>
      <c r="N208" s="313"/>
      <c r="O208" s="313"/>
      <c r="P208" s="132"/>
      <c r="Q208" s="132"/>
      <c r="R208" s="132"/>
      <c r="S208" s="132"/>
      <c r="T208" s="132"/>
      <c r="U208" s="132"/>
      <c r="V208" s="132"/>
      <c r="W208" s="132"/>
      <c r="X208" s="132"/>
    </row>
    <row r="209" spans="1:24" ht="42.75" customHeight="1">
      <c r="A209" s="2008" t="s">
        <v>2850</v>
      </c>
      <c r="B209" s="2009" t="s">
        <v>4016</v>
      </c>
      <c r="C209" s="2020" t="s">
        <v>473</v>
      </c>
      <c r="D209" s="308"/>
      <c r="E209" s="2010"/>
      <c r="F209" s="2010"/>
      <c r="G209" s="2011"/>
      <c r="H209" s="2012"/>
      <c r="I209" s="2010"/>
      <c r="J209" s="2013"/>
      <c r="K209" s="2014">
        <v>1380000</v>
      </c>
      <c r="L209" s="2010"/>
      <c r="M209" s="2011"/>
      <c r="N209" s="313"/>
      <c r="O209" s="313"/>
      <c r="P209" s="132"/>
      <c r="Q209" s="132"/>
      <c r="R209" s="132"/>
      <c r="S209" s="132"/>
      <c r="T209" s="132"/>
      <c r="U209" s="132"/>
      <c r="V209" s="132"/>
      <c r="W209" s="132"/>
      <c r="X209" s="132"/>
    </row>
    <row r="210" spans="1:24" ht="42.75" customHeight="1">
      <c r="A210" s="2008" t="s">
        <v>2850</v>
      </c>
      <c r="B210" s="2009" t="s">
        <v>4017</v>
      </c>
      <c r="C210" s="2020" t="s">
        <v>1360</v>
      </c>
      <c r="D210" s="308"/>
      <c r="E210" s="2010"/>
      <c r="F210" s="2010"/>
      <c r="G210" s="2011"/>
      <c r="H210" s="2012"/>
      <c r="I210" s="2010"/>
      <c r="J210" s="2013"/>
      <c r="K210" s="2014">
        <v>0</v>
      </c>
      <c r="L210" s="2010"/>
      <c r="M210" s="2014">
        <v>1000000</v>
      </c>
      <c r="N210" s="313"/>
      <c r="O210" s="313"/>
      <c r="P210" s="132"/>
      <c r="Q210" s="132"/>
      <c r="R210" s="132"/>
      <c r="S210" s="132"/>
      <c r="T210" s="132"/>
      <c r="U210" s="132"/>
      <c r="V210" s="132"/>
      <c r="W210" s="132"/>
      <c r="X210" s="132"/>
    </row>
    <row r="211" spans="1:24" ht="42.75" customHeight="1">
      <c r="A211" s="2008" t="s">
        <v>2850</v>
      </c>
      <c r="B211" s="2009" t="s">
        <v>4018</v>
      </c>
      <c r="C211" s="2020" t="s">
        <v>1361</v>
      </c>
      <c r="D211" s="308"/>
      <c r="E211" s="2010"/>
      <c r="F211" s="2010"/>
      <c r="G211" s="2011"/>
      <c r="H211" s="2012"/>
      <c r="I211" s="2010"/>
      <c r="J211" s="2013"/>
      <c r="K211" s="2014">
        <v>0</v>
      </c>
      <c r="L211" s="2010"/>
      <c r="M211" s="2014">
        <v>1000000</v>
      </c>
      <c r="N211" s="182"/>
      <c r="O211" s="182"/>
      <c r="P211" s="132"/>
      <c r="Q211" s="132"/>
      <c r="R211" s="132"/>
      <c r="S211" s="132"/>
      <c r="T211" s="132"/>
      <c r="U211" s="132"/>
      <c r="V211" s="132"/>
      <c r="W211" s="132"/>
      <c r="X211" s="132"/>
    </row>
    <row r="212" spans="1:24" ht="42.75" customHeight="1">
      <c r="A212" s="2008" t="s">
        <v>2850</v>
      </c>
      <c r="B212" s="2009" t="s">
        <v>4019</v>
      </c>
      <c r="C212" s="2020" t="s">
        <v>1362</v>
      </c>
      <c r="D212" s="308"/>
      <c r="E212" s="2010"/>
      <c r="F212" s="2010"/>
      <c r="G212" s="2011"/>
      <c r="H212" s="2012"/>
      <c r="I212" s="2010"/>
      <c r="J212" s="2013"/>
      <c r="K212" s="2014">
        <v>0</v>
      </c>
      <c r="L212" s="2010"/>
      <c r="M212" s="2014">
        <v>1000000</v>
      </c>
      <c r="N212" s="123"/>
      <c r="O212" s="123"/>
      <c r="P212" s="132"/>
      <c r="Q212" s="132"/>
      <c r="R212" s="132"/>
      <c r="S212" s="132"/>
      <c r="T212" s="132"/>
      <c r="U212" s="132"/>
      <c r="V212" s="132"/>
      <c r="W212" s="132"/>
      <c r="X212" s="132"/>
    </row>
    <row r="213" spans="1:24" ht="42.75" customHeight="1">
      <c r="A213" s="2008" t="s">
        <v>2850</v>
      </c>
      <c r="B213" s="2009" t="s">
        <v>4020</v>
      </c>
      <c r="C213" s="2020" t="s">
        <v>486</v>
      </c>
      <c r="D213" s="308"/>
      <c r="E213" s="2010"/>
      <c r="F213" s="2010"/>
      <c r="G213" s="2011"/>
      <c r="H213" s="2012"/>
      <c r="I213" s="2010"/>
      <c r="J213" s="2013"/>
      <c r="K213" s="2014">
        <v>1500000</v>
      </c>
      <c r="L213" s="2010"/>
      <c r="M213" s="2011"/>
      <c r="N213" s="123"/>
      <c r="O213" s="123"/>
      <c r="P213" s="132"/>
      <c r="Q213" s="132"/>
      <c r="R213" s="132"/>
      <c r="S213" s="132"/>
      <c r="T213" s="132"/>
      <c r="U213" s="132"/>
      <c r="V213" s="132"/>
      <c r="W213" s="132"/>
      <c r="X213" s="132"/>
    </row>
    <row r="214" spans="1:24" ht="42.75" customHeight="1">
      <c r="A214" s="2008" t="s">
        <v>2850</v>
      </c>
      <c r="B214" s="2009" t="s">
        <v>4021</v>
      </c>
      <c r="C214" s="2020" t="s">
        <v>487</v>
      </c>
      <c r="D214" s="308"/>
      <c r="E214" s="2010"/>
      <c r="F214" s="2010"/>
      <c r="G214" s="2011"/>
      <c r="H214" s="2012"/>
      <c r="I214" s="2010"/>
      <c r="J214" s="2013"/>
      <c r="K214" s="2014">
        <v>1500000</v>
      </c>
      <c r="L214" s="2010"/>
      <c r="M214" s="2011"/>
      <c r="N214" s="123"/>
      <c r="O214" s="123"/>
      <c r="P214" s="132"/>
      <c r="Q214" s="132"/>
      <c r="R214" s="132"/>
      <c r="S214" s="132"/>
      <c r="T214" s="132"/>
      <c r="U214" s="132"/>
      <c r="V214" s="132"/>
      <c r="W214" s="132"/>
      <c r="X214" s="132"/>
    </row>
    <row r="215" spans="1:24" ht="42.75" customHeight="1">
      <c r="A215" s="2008"/>
      <c r="B215" s="2009"/>
      <c r="C215" s="2020" t="s">
        <v>812</v>
      </c>
      <c r="D215" s="308"/>
      <c r="E215" s="2010"/>
      <c r="F215" s="2010"/>
      <c r="G215" s="2011"/>
      <c r="H215" s="2012"/>
      <c r="I215" s="2010"/>
      <c r="J215" s="2013"/>
      <c r="K215" s="2014"/>
      <c r="L215" s="2010"/>
      <c r="M215" s="2011"/>
      <c r="N215" s="123"/>
      <c r="O215" s="123"/>
      <c r="P215" s="79"/>
      <c r="Q215" s="79"/>
      <c r="R215" s="79"/>
      <c r="S215" s="79"/>
      <c r="T215" s="79"/>
      <c r="U215" s="79"/>
      <c r="V215" s="79"/>
      <c r="W215" s="79"/>
      <c r="X215" s="79"/>
    </row>
    <row r="216" spans="1:24" ht="42.75" customHeight="1">
      <c r="A216" s="2008"/>
      <c r="B216" s="2009"/>
      <c r="C216" s="2020" t="s">
        <v>813</v>
      </c>
      <c r="D216" s="308"/>
      <c r="E216" s="2010"/>
      <c r="F216" s="2010"/>
      <c r="G216" s="2011"/>
      <c r="H216" s="2012"/>
      <c r="I216" s="2010"/>
      <c r="J216" s="2013"/>
      <c r="K216" s="2014"/>
      <c r="L216" s="2010"/>
      <c r="M216" s="2011"/>
      <c r="N216" s="123"/>
      <c r="O216" s="123"/>
      <c r="P216" s="132"/>
      <c r="Q216" s="132"/>
      <c r="R216" s="132"/>
      <c r="S216" s="132"/>
      <c r="T216" s="132"/>
      <c r="U216" s="132"/>
      <c r="V216" s="132"/>
      <c r="W216" s="132"/>
      <c r="X216" s="132"/>
    </row>
    <row r="217" spans="1:24" ht="42.75" customHeight="1">
      <c r="A217" s="2008"/>
      <c r="B217" s="2009"/>
      <c r="C217" s="2020" t="s">
        <v>814</v>
      </c>
      <c r="D217" s="308"/>
      <c r="E217" s="2010"/>
      <c r="F217" s="2010"/>
      <c r="G217" s="2011"/>
      <c r="H217" s="2012"/>
      <c r="I217" s="2010"/>
      <c r="J217" s="2013"/>
      <c r="K217" s="2014"/>
      <c r="L217" s="2010"/>
      <c r="M217" s="2011"/>
      <c r="N217" s="123"/>
      <c r="O217" s="123"/>
      <c r="P217" s="123"/>
      <c r="Q217" s="123"/>
    </row>
    <row r="218" spans="1:24" ht="42.75" customHeight="1">
      <c r="A218" s="2008"/>
      <c r="B218" s="2009"/>
      <c r="C218" s="2020" t="s">
        <v>815</v>
      </c>
      <c r="D218" s="308"/>
      <c r="E218" s="2010"/>
      <c r="F218" s="2010"/>
      <c r="G218" s="2011"/>
      <c r="H218" s="2012"/>
      <c r="I218" s="2010"/>
      <c r="J218" s="2013"/>
      <c r="K218" s="2014"/>
      <c r="L218" s="2010"/>
      <c r="M218" s="2011"/>
      <c r="N218" s="123"/>
      <c r="O218" s="123"/>
      <c r="P218" s="123"/>
      <c r="Q218" s="123"/>
    </row>
    <row r="219" spans="1:24" ht="42.75" customHeight="1">
      <c r="A219" s="2008"/>
      <c r="B219" s="2009"/>
      <c r="C219" s="2020" t="s">
        <v>816</v>
      </c>
      <c r="D219" s="308"/>
      <c r="E219" s="2010"/>
      <c r="F219" s="2010"/>
      <c r="G219" s="2011"/>
      <c r="H219" s="2012"/>
      <c r="I219" s="2010"/>
      <c r="J219" s="2013"/>
      <c r="K219" s="2014"/>
      <c r="L219" s="2010"/>
      <c r="M219" s="2011"/>
    </row>
    <row r="220" spans="1:24" ht="42.75" customHeight="1">
      <c r="A220" s="2008"/>
      <c r="B220" s="2009"/>
      <c r="C220" s="2020" t="s">
        <v>817</v>
      </c>
      <c r="D220" s="308"/>
      <c r="E220" s="2010"/>
      <c r="F220" s="2010"/>
      <c r="G220" s="2011"/>
      <c r="H220" s="2012"/>
      <c r="I220" s="2010"/>
      <c r="J220" s="2013"/>
      <c r="K220" s="2014"/>
      <c r="L220" s="2010"/>
      <c r="M220" s="2011"/>
    </row>
    <row r="221" spans="1:24" ht="42.75" customHeight="1">
      <c r="A221" s="2008"/>
      <c r="B221" s="2009"/>
      <c r="C221" s="2020" t="s">
        <v>818</v>
      </c>
      <c r="D221" s="308"/>
      <c r="E221" s="2010"/>
      <c r="F221" s="2010"/>
      <c r="G221" s="2011"/>
      <c r="H221" s="2012"/>
      <c r="I221" s="2010"/>
      <c r="J221" s="2013"/>
      <c r="K221" s="2014"/>
      <c r="L221" s="2010"/>
      <c r="M221" s="2011"/>
    </row>
    <row r="222" spans="1:24" ht="12.75" customHeight="1">
      <c r="A222" s="1649" t="s">
        <v>1812</v>
      </c>
      <c r="B222" s="1645"/>
      <c r="C222" s="1650"/>
      <c r="D222" s="308">
        <v>3</v>
      </c>
      <c r="E222" s="2015"/>
      <c r="F222" s="2015"/>
      <c r="G222" s="2016"/>
      <c r="H222" s="2017"/>
      <c r="I222" s="2015"/>
      <c r="J222" s="2018"/>
      <c r="K222" s="2019"/>
      <c r="L222" s="2015"/>
      <c r="M222" s="2016"/>
    </row>
    <row r="223" spans="1:24">
      <c r="A223" s="219" t="s">
        <v>524</v>
      </c>
      <c r="B223" s="1647"/>
      <c r="C223" s="1648"/>
      <c r="D223" s="220">
        <v>1</v>
      </c>
      <c r="E223" s="107">
        <f t="shared" ref="E223:M223" si="0">SUM(E4:E222)</f>
        <v>76418007.712280706</v>
      </c>
      <c r="F223" s="107">
        <f t="shared" si="0"/>
        <v>48901543.004508018</v>
      </c>
      <c r="G223" s="105">
        <f t="shared" si="0"/>
        <v>103482437.58913049</v>
      </c>
      <c r="H223" s="106">
        <f t="shared" si="0"/>
        <v>142719850</v>
      </c>
      <c r="I223" s="107">
        <f t="shared" si="0"/>
        <v>154392764.67000002</v>
      </c>
      <c r="J223" s="108">
        <f t="shared" si="0"/>
        <v>154392764.67000002</v>
      </c>
      <c r="K223" s="109">
        <f t="shared" si="0"/>
        <v>130973032.78999999</v>
      </c>
      <c r="L223" s="107">
        <f t="shared" si="0"/>
        <v>106148700</v>
      </c>
      <c r="M223" s="105">
        <f t="shared" si="0"/>
        <v>112325232</v>
      </c>
    </row>
    <row r="224" spans="1:24" s="576" customFormat="1">
      <c r="A224" s="1063" t="str">
        <f>head27a</f>
        <v>References</v>
      </c>
      <c r="B224" s="877"/>
      <c r="C224" s="877"/>
      <c r="D224" s="874"/>
      <c r="E224" s="878"/>
      <c r="F224" s="878"/>
      <c r="G224" s="878"/>
      <c r="H224" s="878"/>
      <c r="I224" s="878"/>
      <c r="J224" s="878"/>
      <c r="K224" s="878"/>
      <c r="L224" s="878"/>
      <c r="M224" s="878"/>
    </row>
    <row r="225" spans="1:13" s="576" customFormat="1">
      <c r="A225" s="1025" t="s">
        <v>1183</v>
      </c>
      <c r="B225" s="877"/>
      <c r="C225" s="877"/>
      <c r="D225" s="874"/>
      <c r="E225" s="878"/>
      <c r="F225" s="878"/>
      <c r="G225" s="878"/>
      <c r="H225" s="878"/>
      <c r="I225" s="878"/>
      <c r="J225" s="878"/>
      <c r="K225" s="878"/>
      <c r="L225" s="878"/>
      <c r="M225" s="878"/>
    </row>
    <row r="226" spans="1:13" s="576" customFormat="1">
      <c r="A226" s="1025" t="s">
        <v>1811</v>
      </c>
      <c r="B226" s="898"/>
      <c r="C226" s="898"/>
      <c r="D226" s="874"/>
      <c r="E226" s="877"/>
      <c r="F226" s="877"/>
      <c r="G226" s="878"/>
      <c r="H226" s="878"/>
      <c r="I226" s="878"/>
      <c r="J226" s="878"/>
      <c r="K226" s="878"/>
      <c r="L226" s="878"/>
      <c r="M226" s="878"/>
    </row>
    <row r="227" spans="1:13">
      <c r="A227" s="26" t="s">
        <v>1814</v>
      </c>
    </row>
    <row r="228" spans="1:13">
      <c r="A228" s="258" t="s">
        <v>362</v>
      </c>
      <c r="B228" s="258"/>
      <c r="C228" s="258"/>
      <c r="E228" s="315">
        <f>E223-'A5-Capex'!C40</f>
        <v>0</v>
      </c>
      <c r="F228" s="315">
        <f>F223-'A5-Capex'!D40</f>
        <v>312.37450801581144</v>
      </c>
      <c r="G228" s="315">
        <f>G223-'A5-Capex'!E40</f>
        <v>-0.92086951434612274</v>
      </c>
      <c r="H228" s="315">
        <f>H223-'A5-Capex'!F40</f>
        <v>0</v>
      </c>
      <c r="I228" s="315">
        <f>I223-'A5-Capex'!G40</f>
        <v>-0.32999998331069946</v>
      </c>
      <c r="J228" s="315">
        <f>J223-'A5-Capex'!H40</f>
        <v>-0.32999998331069946</v>
      </c>
      <c r="K228" s="315">
        <f>K223-'A5-Capex'!J40</f>
        <v>-17.21000000834465</v>
      </c>
      <c r="L228" s="315">
        <f>L223-'A5-Capex'!K40</f>
        <v>0</v>
      </c>
      <c r="M228" s="315">
        <f>M223-'A5-Capex'!L40</f>
        <v>0</v>
      </c>
    </row>
    <row r="229" spans="1:13">
      <c r="E229" s="316"/>
    </row>
    <row r="230" spans="1:13">
      <c r="E230" s="316"/>
    </row>
  </sheetData>
  <mergeCells count="3">
    <mergeCell ref="H2:J2"/>
    <mergeCell ref="K2:M2"/>
    <mergeCell ref="D2:D3"/>
  </mergeCells>
  <phoneticPr fontId="5"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K198"/>
  <sheetViews>
    <sheetView showGridLines="0" zoomScaleNormal="100" workbookViewId="0">
      <pane xSplit="2" ySplit="3" topLeftCell="C49" activePane="bottomRight" state="frozen"/>
      <selection pane="topRight"/>
      <selection pane="bottomLeft"/>
      <selection pane="bottomRight" activeCell="I120" sqref="I120"/>
    </sheetView>
  </sheetViews>
  <sheetFormatPr defaultColWidth="9.140625" defaultRowHeight="11.25" customHeight="1"/>
  <cols>
    <col min="1" max="1" width="29.28515625" style="26" customWidth="1"/>
    <col min="2" max="2" width="15.7109375" style="26" customWidth="1"/>
    <col min="3" max="11" width="9.28515625" style="26" customWidth="1"/>
    <col min="12" max="16384" width="9.140625" style="26"/>
  </cols>
  <sheetData>
    <row r="1" spans="1:11" s="56" customFormat="1" ht="12.75">
      <c r="A1" s="24" t="str">
        <f>muni&amp;" - "&amp;TableA7</f>
        <v>LIM333 Greater Tzaneen - Supporting Table SA7 Measureable performance objectives</v>
      </c>
      <c r="B1" s="24"/>
      <c r="C1" s="24"/>
      <c r="D1" s="24"/>
      <c r="E1" s="24"/>
      <c r="F1" s="24"/>
      <c r="G1" s="24"/>
      <c r="H1" s="24"/>
      <c r="I1" s="24"/>
      <c r="J1" s="24"/>
      <c r="K1" s="24"/>
    </row>
    <row r="2" spans="1:11" ht="28.5" customHeight="1">
      <c r="A2" s="2884" t="s">
        <v>662</v>
      </c>
      <c r="B2" s="2882" t="s">
        <v>358</v>
      </c>
      <c r="C2" s="22" t="str">
        <f>head1b</f>
        <v>2016/17</v>
      </c>
      <c r="D2" s="27" t="str">
        <f>head1A</f>
        <v>2017/18</v>
      </c>
      <c r="E2" s="23" t="str">
        <f>Head1</f>
        <v>2018/19</v>
      </c>
      <c r="F2" s="2842" t="str">
        <f>Head2</f>
        <v>Current Year 2019/20</v>
      </c>
      <c r="G2" s="2843"/>
      <c r="H2" s="2847"/>
      <c r="I2" s="2839" t="str">
        <f>Head3</f>
        <v>2020/21 Medium Term Revenue &amp; Expenditure Framework</v>
      </c>
      <c r="J2" s="2840"/>
      <c r="K2" s="2841"/>
    </row>
    <row r="3" spans="1:11" ht="25.5">
      <c r="A3" s="2885"/>
      <c r="B3" s="2883"/>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c r="A4" s="1332" t="s">
        <v>1211</v>
      </c>
      <c r="B4" s="2021"/>
      <c r="C4" s="2631"/>
      <c r="D4" s="2632"/>
      <c r="E4" s="2632"/>
      <c r="F4" s="2632"/>
      <c r="G4" s="2632"/>
      <c r="H4" s="2633"/>
      <c r="I4" s="2633"/>
      <c r="J4" s="2632"/>
      <c r="K4" s="2632"/>
    </row>
    <row r="5" spans="1:11" ht="11.25" customHeight="1">
      <c r="A5" s="1335" t="s">
        <v>1212</v>
      </c>
      <c r="B5" s="2024"/>
      <c r="C5" s="2631"/>
      <c r="D5" s="2632"/>
      <c r="E5" s="2632"/>
      <c r="F5" s="2632"/>
      <c r="G5" s="2632"/>
      <c r="H5" s="2632"/>
      <c r="I5" s="2632"/>
      <c r="J5" s="2632"/>
      <c r="K5" s="2632"/>
    </row>
    <row r="6" spans="1:11" ht="11.25" customHeight="1">
      <c r="A6" s="2621" t="s">
        <v>2561</v>
      </c>
      <c r="B6" s="2025"/>
      <c r="C6" s="2631"/>
      <c r="D6" s="2632"/>
      <c r="E6" s="2632"/>
      <c r="F6" s="2632"/>
      <c r="G6" s="2632"/>
      <c r="H6" s="2632"/>
      <c r="I6" s="2632"/>
      <c r="J6" s="2632"/>
      <c r="K6" s="2632"/>
    </row>
    <row r="7" spans="1:11" ht="11.25" customHeight="1">
      <c r="A7" s="2622" t="s">
        <v>2562</v>
      </c>
      <c r="B7" s="2626" t="s">
        <v>1471</v>
      </c>
      <c r="C7" s="2635">
        <v>50</v>
      </c>
      <c r="D7" s="2635">
        <v>1237</v>
      </c>
      <c r="E7" s="2635">
        <v>1237</v>
      </c>
      <c r="F7" s="2635">
        <v>600</v>
      </c>
      <c r="G7" s="2635">
        <v>600</v>
      </c>
      <c r="H7" s="2635">
        <v>2400</v>
      </c>
      <c r="I7" s="2635">
        <v>2400</v>
      </c>
      <c r="J7" s="2635">
        <v>2400</v>
      </c>
      <c r="K7" s="2635">
        <v>2400</v>
      </c>
    </row>
    <row r="8" spans="1:11" ht="11.25" customHeight="1">
      <c r="A8" s="2622" t="s">
        <v>2563</v>
      </c>
      <c r="B8" s="2626" t="s">
        <v>1471</v>
      </c>
      <c r="C8" s="2626"/>
      <c r="D8" s="2626">
        <v>64</v>
      </c>
      <c r="E8" s="2626">
        <v>64</v>
      </c>
      <c r="F8" s="2626">
        <v>45</v>
      </c>
      <c r="G8" s="2626">
        <v>45</v>
      </c>
      <c r="H8" s="2626">
        <v>50</v>
      </c>
      <c r="I8" s="2626">
        <v>50</v>
      </c>
      <c r="J8" s="2626">
        <v>50</v>
      </c>
      <c r="K8" s="2626">
        <v>50</v>
      </c>
    </row>
    <row r="9" spans="1:11" ht="11.25" customHeight="1">
      <c r="A9" s="2622" t="s">
        <v>2564</v>
      </c>
      <c r="B9" s="2626" t="s">
        <v>1471</v>
      </c>
      <c r="C9" s="2626" t="s">
        <v>2573</v>
      </c>
      <c r="D9" s="2626">
        <v>7583</v>
      </c>
      <c r="E9" s="2626">
        <v>7583</v>
      </c>
      <c r="F9" s="2626">
        <v>1084</v>
      </c>
      <c r="G9" s="2626">
        <v>1084</v>
      </c>
      <c r="H9" s="2626">
        <v>1159</v>
      </c>
      <c r="I9" s="2626">
        <v>502</v>
      </c>
      <c r="J9" s="2626">
        <v>502</v>
      </c>
      <c r="K9" s="2626">
        <v>502</v>
      </c>
    </row>
    <row r="10" spans="1:11" ht="11.25" customHeight="1">
      <c r="A10" s="2027"/>
      <c r="B10" s="2627"/>
      <c r="C10" s="2636"/>
      <c r="D10" s="2636"/>
      <c r="E10" s="2636"/>
      <c r="F10" s="2636"/>
      <c r="G10" s="2636"/>
      <c r="H10" s="2636"/>
      <c r="I10" s="2637"/>
      <c r="J10" s="2637"/>
      <c r="K10" s="2637"/>
    </row>
    <row r="11" spans="1:11" ht="11.25" customHeight="1">
      <c r="A11" s="2621" t="s">
        <v>2565</v>
      </c>
      <c r="B11" s="2628"/>
      <c r="C11" s="2633"/>
      <c r="D11" s="2633"/>
      <c r="E11" s="2633"/>
      <c r="F11" s="2633"/>
      <c r="G11" s="2633"/>
      <c r="H11" s="2636"/>
      <c r="I11" s="2638"/>
      <c r="J11" s="2638"/>
      <c r="K11" s="2638"/>
    </row>
    <row r="12" spans="1:11" ht="11.25" customHeight="1">
      <c r="A12" s="2623" t="s">
        <v>2566</v>
      </c>
      <c r="B12" s="2629" t="s">
        <v>1471</v>
      </c>
      <c r="C12" s="2634"/>
      <c r="D12" s="2634">
        <v>1</v>
      </c>
      <c r="E12" s="2634">
        <v>1</v>
      </c>
      <c r="F12" s="2634">
        <v>1</v>
      </c>
      <c r="G12" s="2634">
        <v>1</v>
      </c>
      <c r="H12" s="2634">
        <v>1</v>
      </c>
      <c r="I12" s="2634">
        <v>1</v>
      </c>
      <c r="J12" s="2634">
        <v>1</v>
      </c>
      <c r="K12" s="2634">
        <v>1</v>
      </c>
    </row>
    <row r="13" spans="1:11" ht="11.25" customHeight="1">
      <c r="A13" s="2622" t="s">
        <v>2567</v>
      </c>
      <c r="B13" s="2626" t="s">
        <v>2572</v>
      </c>
      <c r="C13" s="2639">
        <v>1</v>
      </c>
      <c r="D13" s="2639">
        <v>1</v>
      </c>
      <c r="E13" s="2639">
        <v>0.54</v>
      </c>
      <c r="F13" s="2639">
        <v>1</v>
      </c>
      <c r="G13" s="2639">
        <v>1</v>
      </c>
      <c r="H13" s="2639">
        <v>1</v>
      </c>
      <c r="I13" s="2639">
        <v>1</v>
      </c>
      <c r="J13" s="2639">
        <v>1</v>
      </c>
      <c r="K13" s="2639">
        <v>1</v>
      </c>
    </row>
    <row r="14" spans="1:11" ht="11.25" customHeight="1">
      <c r="A14" s="2624" t="s">
        <v>2568</v>
      </c>
      <c r="B14" s="2626" t="s">
        <v>1471</v>
      </c>
      <c r="C14" s="2640">
        <v>5</v>
      </c>
      <c r="D14" s="2640">
        <v>5</v>
      </c>
      <c r="E14" s="2640">
        <v>0.01</v>
      </c>
      <c r="F14" s="2640">
        <v>5</v>
      </c>
      <c r="G14" s="2640">
        <v>5</v>
      </c>
      <c r="H14" s="2640">
        <v>2</v>
      </c>
      <c r="I14" s="2640">
        <v>2</v>
      </c>
      <c r="J14" s="2640">
        <v>3</v>
      </c>
      <c r="K14" s="2640">
        <v>2</v>
      </c>
    </row>
    <row r="15" spans="1:11" ht="11.25" customHeight="1">
      <c r="A15" s="2621" t="s">
        <v>2569</v>
      </c>
      <c r="B15" s="2028"/>
      <c r="C15" s="2641"/>
      <c r="D15" s="2641"/>
      <c r="E15" s="2641"/>
      <c r="F15" s="2641"/>
      <c r="G15" s="2641"/>
      <c r="H15" s="2641"/>
      <c r="I15" s="2642"/>
      <c r="J15" s="2642"/>
      <c r="K15" s="2642"/>
    </row>
    <row r="17" spans="1:11" ht="11.25" customHeight="1">
      <c r="A17" s="2622" t="s">
        <v>2570</v>
      </c>
      <c r="B17" s="2626" t="s">
        <v>1471</v>
      </c>
      <c r="C17" s="2643">
        <v>4</v>
      </c>
      <c r="D17" s="2644">
        <v>4</v>
      </c>
      <c r="E17" s="2644">
        <v>2</v>
      </c>
      <c r="F17" s="2644">
        <v>6</v>
      </c>
      <c r="G17" s="2644">
        <v>6</v>
      </c>
      <c r="H17" s="2644">
        <v>5</v>
      </c>
      <c r="I17" s="2644">
        <v>5</v>
      </c>
      <c r="J17" s="2644">
        <v>5</v>
      </c>
      <c r="K17" s="2644">
        <v>5</v>
      </c>
    </row>
    <row r="18" spans="1:11" ht="11.25" customHeight="1">
      <c r="A18" s="2625" t="s">
        <v>2571</v>
      </c>
      <c r="B18" s="2630" t="s">
        <v>1471</v>
      </c>
      <c r="C18" s="2646">
        <v>41787</v>
      </c>
      <c r="D18" s="2645">
        <v>41421</v>
      </c>
      <c r="E18" s="2645">
        <v>41787</v>
      </c>
      <c r="F18" s="2645">
        <v>42521</v>
      </c>
      <c r="G18" s="2645">
        <v>42489</v>
      </c>
      <c r="H18" s="2645">
        <v>42489</v>
      </c>
      <c r="I18" s="2647">
        <v>1</v>
      </c>
      <c r="J18" s="2647">
        <v>1</v>
      </c>
      <c r="K18" s="2647">
        <v>1</v>
      </c>
    </row>
    <row r="19" spans="1:11" ht="11.25" customHeight="1">
      <c r="A19" s="2648"/>
      <c r="B19" s="2649"/>
      <c r="C19" s="2650"/>
      <c r="D19" s="2650"/>
      <c r="E19" s="2650"/>
      <c r="F19" s="2650"/>
      <c r="G19" s="2650"/>
      <c r="H19" s="2650"/>
      <c r="I19" s="2651"/>
      <c r="J19" s="2651"/>
      <c r="K19" s="2651"/>
    </row>
    <row r="20" spans="1:11" ht="11.25" customHeight="1">
      <c r="A20" s="2652"/>
      <c r="B20" s="2649"/>
      <c r="C20" s="2650"/>
      <c r="D20" s="2650"/>
      <c r="E20" s="2650"/>
      <c r="F20" s="2650"/>
      <c r="G20" s="2650"/>
      <c r="H20" s="2650"/>
      <c r="I20" s="2651"/>
      <c r="J20" s="2651"/>
      <c r="K20" s="2651"/>
    </row>
    <row r="22" spans="1:11" ht="11.25" customHeight="1">
      <c r="A22" s="2621" t="s">
        <v>2574</v>
      </c>
      <c r="B22" s="2028"/>
      <c r="C22" s="2641"/>
      <c r="D22" s="2641"/>
      <c r="E22" s="2641"/>
      <c r="F22" s="2641"/>
      <c r="G22" s="2641"/>
      <c r="H22" s="2641"/>
      <c r="I22" s="2642"/>
      <c r="J22" s="2642"/>
      <c r="K22" s="2642"/>
    </row>
    <row r="23" spans="1:11" ht="11.25" customHeight="1">
      <c r="A23" s="2624" t="s">
        <v>2575</v>
      </c>
      <c r="B23" s="2626" t="s">
        <v>1471</v>
      </c>
      <c r="C23" s="2644">
        <v>2</v>
      </c>
      <c r="D23" s="2644">
        <v>2</v>
      </c>
      <c r="E23" s="2644">
        <v>0</v>
      </c>
      <c r="F23" s="2644">
        <v>2</v>
      </c>
      <c r="G23" s="2644">
        <v>2</v>
      </c>
      <c r="H23" s="2644">
        <v>2</v>
      </c>
      <c r="I23" s="2644">
        <v>2</v>
      </c>
      <c r="J23" s="2644">
        <v>2</v>
      </c>
      <c r="K23" s="2644">
        <v>2</v>
      </c>
    </row>
    <row r="24" spans="1:11" ht="11.25" customHeight="1">
      <c r="A24" s="2653" t="s">
        <v>2576</v>
      </c>
      <c r="B24" s="2626"/>
      <c r="C24" s="2644"/>
      <c r="D24" s="2644"/>
      <c r="E24" s="2644"/>
      <c r="F24" s="2654"/>
      <c r="G24" s="2644"/>
      <c r="H24" s="2654">
        <v>0</v>
      </c>
      <c r="I24" s="2654">
        <v>1</v>
      </c>
      <c r="J24" s="2654">
        <v>1</v>
      </c>
      <c r="K24" s="2654">
        <v>1</v>
      </c>
    </row>
    <row r="25" spans="1:11" ht="11.25" customHeight="1">
      <c r="A25" s="2655" t="s">
        <v>2577</v>
      </c>
      <c r="B25" s="2626" t="s">
        <v>1471</v>
      </c>
      <c r="C25" s="2644">
        <v>7</v>
      </c>
      <c r="D25" s="2644">
        <v>7</v>
      </c>
      <c r="E25" s="2644">
        <v>6</v>
      </c>
      <c r="F25" s="2644">
        <v>7</v>
      </c>
      <c r="G25" s="2644">
        <v>7</v>
      </c>
      <c r="H25" s="2644">
        <v>7</v>
      </c>
      <c r="I25" s="2644">
        <v>7</v>
      </c>
      <c r="J25" s="2644">
        <v>7</v>
      </c>
      <c r="K25" s="2644">
        <v>7</v>
      </c>
    </row>
    <row r="26" spans="1:11" ht="11.25" customHeight="1">
      <c r="A26" s="2655"/>
      <c r="B26" s="2630"/>
      <c r="C26" s="2656"/>
      <c r="D26" s="2656"/>
      <c r="E26" s="2656"/>
      <c r="F26" s="2656"/>
      <c r="G26" s="2656"/>
      <c r="H26" s="2656"/>
      <c r="I26" s="2656"/>
      <c r="J26" s="2656"/>
      <c r="K26" s="2656"/>
    </row>
    <row r="27" spans="1:11" ht="11.25" customHeight="1">
      <c r="A27" s="2621" t="s">
        <v>2578</v>
      </c>
      <c r="B27" s="2031"/>
      <c r="C27" s="2641"/>
      <c r="D27" s="2641"/>
      <c r="E27" s="2641"/>
      <c r="F27" s="2642"/>
      <c r="G27" s="2641"/>
      <c r="H27" s="2641"/>
      <c r="I27" s="2642"/>
      <c r="J27" s="2642"/>
      <c r="K27" s="2642"/>
    </row>
    <row r="28" spans="1:11" ht="11.25" customHeight="1">
      <c r="A28" s="2621"/>
      <c r="B28" s="2657"/>
      <c r="C28" s="2632"/>
      <c r="D28" s="2632"/>
      <c r="E28" s="2632"/>
      <c r="F28" s="2658"/>
      <c r="G28" s="2632"/>
      <c r="H28" s="2632"/>
      <c r="I28" s="2658"/>
      <c r="J28" s="2658"/>
      <c r="K28" s="2658"/>
    </row>
    <row r="29" spans="1:11" ht="11.25" customHeight="1">
      <c r="A29" s="2622" t="s">
        <v>2579</v>
      </c>
      <c r="B29" s="2626" t="s">
        <v>1471</v>
      </c>
      <c r="C29" s="2635"/>
      <c r="D29" s="2634"/>
      <c r="E29" s="2634"/>
      <c r="F29" s="2634">
        <v>8695</v>
      </c>
      <c r="G29" s="2634"/>
      <c r="H29" s="2634">
        <v>44537</v>
      </c>
      <c r="I29" s="2634">
        <v>8695</v>
      </c>
      <c r="J29" s="2634">
        <v>8695</v>
      </c>
      <c r="K29" s="2634">
        <v>8695</v>
      </c>
    </row>
    <row r="30" spans="1:11" ht="11.25" customHeight="1">
      <c r="A30" s="2622" t="s">
        <v>2580</v>
      </c>
      <c r="B30" s="2626" t="s">
        <v>2581</v>
      </c>
      <c r="C30" s="2659">
        <v>13</v>
      </c>
      <c r="D30" s="2659">
        <v>15</v>
      </c>
      <c r="E30" s="2659">
        <v>17.5</v>
      </c>
      <c r="F30" s="2660">
        <v>11</v>
      </c>
      <c r="G30" s="2659">
        <v>11</v>
      </c>
      <c r="H30" s="2659">
        <v>10</v>
      </c>
      <c r="I30" s="2660">
        <v>15.7</v>
      </c>
      <c r="J30" s="2660">
        <v>10.7</v>
      </c>
      <c r="K30" s="2660">
        <v>10</v>
      </c>
    </row>
    <row r="31" spans="1:11" ht="11.25" customHeight="1">
      <c r="A31" s="2622" t="s">
        <v>2582</v>
      </c>
      <c r="B31" s="2626" t="s">
        <v>2572</v>
      </c>
      <c r="C31" s="2662">
        <v>0.6</v>
      </c>
      <c r="D31" s="2662">
        <v>0.7</v>
      </c>
      <c r="E31" s="2662">
        <v>0.4</v>
      </c>
      <c r="F31" s="2636">
        <v>0.7</v>
      </c>
      <c r="G31" s="2662">
        <v>0.7</v>
      </c>
      <c r="H31" s="2662">
        <v>0.08</v>
      </c>
      <c r="I31" s="2636">
        <v>0.1</v>
      </c>
      <c r="J31" s="2636">
        <v>0.1</v>
      </c>
      <c r="K31" s="2636">
        <v>0.1</v>
      </c>
    </row>
    <row r="32" spans="1:11" ht="11.25" customHeight="1">
      <c r="A32" s="2622" t="s">
        <v>2583</v>
      </c>
      <c r="B32" s="2626" t="s">
        <v>1471</v>
      </c>
      <c r="C32" s="2663"/>
      <c r="D32" s="2663"/>
      <c r="E32" s="2663"/>
      <c r="F32" s="2635">
        <v>50</v>
      </c>
      <c r="G32" s="2663"/>
      <c r="H32" s="2635">
        <v>20</v>
      </c>
      <c r="I32" s="2635">
        <v>50</v>
      </c>
      <c r="J32" s="2635">
        <v>40</v>
      </c>
      <c r="K32" s="2635">
        <v>30</v>
      </c>
    </row>
    <row r="33" spans="1:11" ht="11.25" customHeight="1">
      <c r="A33" s="2664" t="s">
        <v>2584</v>
      </c>
      <c r="B33" s="2626" t="s">
        <v>1471</v>
      </c>
      <c r="C33" s="2663"/>
      <c r="D33" s="2663"/>
      <c r="E33" s="2663"/>
      <c r="F33" s="2635">
        <v>12</v>
      </c>
      <c r="G33" s="2663"/>
      <c r="H33" s="2635">
        <v>12</v>
      </c>
      <c r="I33" s="2635">
        <v>12</v>
      </c>
      <c r="J33" s="2635">
        <v>12</v>
      </c>
      <c r="K33" s="2635">
        <v>12</v>
      </c>
    </row>
    <row r="34" spans="1:11" ht="11.25" customHeight="1">
      <c r="A34" s="2664" t="s">
        <v>2585</v>
      </c>
      <c r="B34" s="2626" t="s">
        <v>1471</v>
      </c>
      <c r="C34" s="2663"/>
      <c r="D34" s="2663"/>
      <c r="E34" s="2663"/>
      <c r="F34" s="2635">
        <v>70</v>
      </c>
      <c r="G34" s="2663"/>
      <c r="H34" s="2635">
        <v>0</v>
      </c>
      <c r="I34" s="2635">
        <v>70</v>
      </c>
      <c r="J34" s="2635">
        <v>70</v>
      </c>
      <c r="K34" s="2635">
        <v>70</v>
      </c>
    </row>
    <row r="35" spans="1:11" ht="11.25" customHeight="1">
      <c r="A35" s="2664" t="s">
        <v>2586</v>
      </c>
      <c r="B35" s="2626" t="s">
        <v>1471</v>
      </c>
      <c r="C35" s="2663"/>
      <c r="D35" s="2663"/>
      <c r="E35" s="2663"/>
      <c r="F35" s="2635">
        <v>12</v>
      </c>
      <c r="G35" s="2663"/>
      <c r="H35" s="2635">
        <v>12</v>
      </c>
      <c r="I35" s="2635">
        <v>12</v>
      </c>
      <c r="J35" s="2635">
        <v>12</v>
      </c>
      <c r="K35" s="2635">
        <v>12</v>
      </c>
    </row>
    <row r="36" spans="1:11" ht="11.25" customHeight="1">
      <c r="A36" s="2664"/>
      <c r="B36" s="2630"/>
      <c r="C36" s="2665"/>
      <c r="D36" s="2665"/>
      <c r="E36" s="2665"/>
      <c r="F36" s="2666"/>
      <c r="G36" s="2665"/>
      <c r="H36" s="2666"/>
      <c r="I36" s="2666"/>
      <c r="J36" s="2666"/>
      <c r="K36" s="2666"/>
    </row>
    <row r="37" spans="1:11" ht="11.25" customHeight="1">
      <c r="A37" s="2621" t="s">
        <v>2587</v>
      </c>
      <c r="B37" s="2028"/>
      <c r="C37" s="2641"/>
      <c r="D37" s="2641"/>
      <c r="E37" s="2641"/>
      <c r="F37" s="2642"/>
      <c r="G37" s="2641"/>
      <c r="H37" s="2641"/>
      <c r="I37" s="2642"/>
      <c r="J37" s="2642"/>
      <c r="K37" s="2642"/>
    </row>
    <row r="38" spans="1:11" ht="11.25" customHeight="1">
      <c r="A38" s="2664" t="s">
        <v>2588</v>
      </c>
      <c r="B38" s="2626" t="s">
        <v>2589</v>
      </c>
      <c r="C38" s="2661"/>
      <c r="D38" s="2661"/>
      <c r="E38" s="2661"/>
      <c r="F38" s="2635">
        <v>10500</v>
      </c>
      <c r="G38" s="2661"/>
      <c r="H38" s="2635">
        <v>10500</v>
      </c>
      <c r="I38" s="2635">
        <v>10500</v>
      </c>
      <c r="J38" s="2635">
        <v>10500</v>
      </c>
      <c r="K38" s="2635">
        <v>10500</v>
      </c>
    </row>
    <row r="39" spans="1:11" ht="11.25" customHeight="1">
      <c r="A39" s="2664" t="s">
        <v>2590</v>
      </c>
      <c r="B39" s="2626" t="s">
        <v>2591</v>
      </c>
      <c r="C39" s="2661"/>
      <c r="D39" s="2661"/>
      <c r="E39" s="2661"/>
      <c r="F39" s="2635">
        <v>7000</v>
      </c>
      <c r="G39" s="2661"/>
      <c r="H39" s="2635">
        <v>7000</v>
      </c>
      <c r="I39" s="2635">
        <v>7000</v>
      </c>
      <c r="J39" s="2635">
        <v>7000</v>
      </c>
      <c r="K39" s="2635">
        <v>7000</v>
      </c>
    </row>
    <row r="40" spans="1:11" ht="11.25" customHeight="1">
      <c r="A40" s="2664" t="s">
        <v>2592</v>
      </c>
      <c r="B40" s="2626" t="s">
        <v>2572</v>
      </c>
      <c r="C40" s="2661"/>
      <c r="D40" s="2661"/>
      <c r="E40" s="2661"/>
      <c r="F40" s="2636">
        <v>0.6</v>
      </c>
      <c r="G40" s="2661"/>
      <c r="H40" s="2667">
        <v>0.6</v>
      </c>
      <c r="I40" s="2636">
        <v>0.6</v>
      </c>
      <c r="J40" s="2636">
        <v>0.6</v>
      </c>
      <c r="K40" s="2636">
        <v>0.6</v>
      </c>
    </row>
    <row r="41" spans="1:11" ht="11.25" customHeight="1">
      <c r="A41" s="2622" t="s">
        <v>2593</v>
      </c>
      <c r="B41" s="2626" t="s">
        <v>2591</v>
      </c>
      <c r="C41" s="2667"/>
      <c r="D41" s="2667" t="s">
        <v>2594</v>
      </c>
      <c r="E41" s="2667"/>
      <c r="F41" s="2668">
        <v>0.5</v>
      </c>
      <c r="G41" s="2667"/>
      <c r="H41" s="2635">
        <v>0</v>
      </c>
      <c r="I41" s="2668">
        <v>0.5</v>
      </c>
      <c r="J41" s="2668">
        <v>0.5</v>
      </c>
      <c r="K41" s="2668">
        <v>0.5</v>
      </c>
    </row>
    <row r="42" spans="1:11" ht="11.25" customHeight="1">
      <c r="A42" s="2669" t="s">
        <v>2595</v>
      </c>
      <c r="B42" s="2626" t="s">
        <v>2596</v>
      </c>
      <c r="C42" s="2663">
        <v>36240806</v>
      </c>
      <c r="D42" s="2663">
        <v>40387346</v>
      </c>
      <c r="E42" s="2663">
        <v>43227293</v>
      </c>
      <c r="F42" s="2663">
        <v>48420444</v>
      </c>
      <c r="G42" s="2663">
        <v>48420444</v>
      </c>
      <c r="H42" s="2663" t="s">
        <v>2597</v>
      </c>
      <c r="I42" s="2663" t="s">
        <v>2597</v>
      </c>
      <c r="J42" s="2663">
        <v>20726466.579999998</v>
      </c>
      <c r="K42" s="2663">
        <v>21842533.780000001</v>
      </c>
    </row>
    <row r="43" spans="1:11" ht="11.25" customHeight="1">
      <c r="A43" s="2670" t="s">
        <v>2598</v>
      </c>
      <c r="B43" s="2025" t="s">
        <v>1471</v>
      </c>
      <c r="C43" s="2632"/>
      <c r="D43" s="2632"/>
      <c r="E43" s="2632"/>
      <c r="F43" s="2671">
        <v>8</v>
      </c>
      <c r="G43" s="2632"/>
      <c r="H43" s="2671">
        <v>8</v>
      </c>
      <c r="I43" s="2671">
        <v>8</v>
      </c>
      <c r="J43" s="2671">
        <v>8</v>
      </c>
      <c r="K43" s="2671">
        <v>8</v>
      </c>
    </row>
    <row r="44" spans="1:11" ht="11.25" customHeight="1">
      <c r="A44" s="2670" t="s">
        <v>2599</v>
      </c>
      <c r="B44" s="2025" t="s">
        <v>1471</v>
      </c>
      <c r="C44" s="2632"/>
      <c r="D44" s="2632"/>
      <c r="E44" s="2632"/>
      <c r="F44" s="2671">
        <v>9</v>
      </c>
      <c r="G44" s="2632"/>
      <c r="H44" s="2671">
        <v>0</v>
      </c>
      <c r="I44" s="2671">
        <v>9</v>
      </c>
      <c r="J44" s="2671">
        <v>9</v>
      </c>
      <c r="K44" s="2671">
        <v>9</v>
      </c>
    </row>
    <row r="45" spans="1:11" ht="11.25" customHeight="1">
      <c r="A45" s="2670"/>
      <c r="B45" s="2025"/>
      <c r="C45" s="2632"/>
      <c r="D45" s="2632"/>
      <c r="E45" s="2632"/>
      <c r="F45" s="2671"/>
      <c r="G45" s="2632"/>
      <c r="H45" s="2671"/>
      <c r="I45" s="2671"/>
      <c r="J45" s="2671"/>
      <c r="K45" s="2671"/>
    </row>
    <row r="46" spans="1:11" ht="11.25" customHeight="1">
      <c r="A46" s="2621" t="s">
        <v>2600</v>
      </c>
      <c r="B46" s="2021"/>
      <c r="C46" s="2632"/>
      <c r="D46" s="2632"/>
      <c r="E46" s="2632"/>
      <c r="F46" s="2658"/>
      <c r="G46" s="2632"/>
      <c r="H46" s="2632"/>
      <c r="I46" s="2658"/>
      <c r="J46" s="2658"/>
      <c r="K46" s="2658"/>
    </row>
    <row r="47" spans="1:11" ht="11.25" customHeight="1">
      <c r="A47" s="2669" t="s">
        <v>2601</v>
      </c>
      <c r="B47" s="2636" t="s">
        <v>1471</v>
      </c>
      <c r="C47" s="2672">
        <v>10</v>
      </c>
      <c r="D47" s="2672">
        <v>15</v>
      </c>
      <c r="E47" s="2672">
        <v>15</v>
      </c>
      <c r="F47" s="2672">
        <v>15</v>
      </c>
      <c r="G47" s="2672">
        <v>15</v>
      </c>
      <c r="H47" s="2672">
        <v>9</v>
      </c>
      <c r="I47" s="2672">
        <v>15</v>
      </c>
      <c r="J47" s="2672">
        <v>15</v>
      </c>
      <c r="K47" s="2672">
        <v>15</v>
      </c>
    </row>
    <row r="48" spans="1:11" ht="11.25" customHeight="1">
      <c r="A48" s="2622" t="s">
        <v>2602</v>
      </c>
      <c r="B48" s="2673" t="s">
        <v>1471</v>
      </c>
      <c r="C48" s="2673"/>
      <c r="D48" s="2673"/>
      <c r="E48" s="2673"/>
      <c r="F48" s="2673">
        <v>4</v>
      </c>
      <c r="G48" s="2673"/>
      <c r="H48" s="2673">
        <v>1</v>
      </c>
      <c r="I48" s="2673">
        <v>4</v>
      </c>
      <c r="J48" s="2673">
        <v>4</v>
      </c>
      <c r="K48" s="2673">
        <v>4</v>
      </c>
    </row>
    <row r="49" spans="1:11" ht="11.25" customHeight="1">
      <c r="A49" s="2622" t="s">
        <v>2603</v>
      </c>
      <c r="B49" s="2673" t="s">
        <v>1471</v>
      </c>
      <c r="C49" s="2673"/>
      <c r="D49" s="2673"/>
      <c r="E49" s="2673"/>
      <c r="F49" s="2673">
        <v>4</v>
      </c>
      <c r="G49" s="2673"/>
      <c r="H49" s="2673">
        <v>0</v>
      </c>
      <c r="I49" s="2673">
        <v>4</v>
      </c>
      <c r="J49" s="2673">
        <v>4</v>
      </c>
      <c r="K49" s="2673">
        <v>4</v>
      </c>
    </row>
    <row r="50" spans="1:11" ht="11.25" customHeight="1">
      <c r="A50" s="2622" t="s">
        <v>2604</v>
      </c>
      <c r="B50" s="2673"/>
      <c r="C50" s="2673"/>
      <c r="D50" s="2673"/>
      <c r="E50" s="2673"/>
      <c r="F50" s="2673">
        <v>1</v>
      </c>
      <c r="G50" s="2673"/>
      <c r="H50" s="2673">
        <v>0</v>
      </c>
      <c r="I50" s="2673">
        <v>1</v>
      </c>
      <c r="J50" s="2673"/>
      <c r="K50" s="2673"/>
    </row>
    <row r="51" spans="1:11" ht="11.25" customHeight="1">
      <c r="A51" s="2622" t="s">
        <v>2605</v>
      </c>
      <c r="B51" s="2673"/>
      <c r="C51" s="2673"/>
      <c r="D51" s="2673"/>
      <c r="E51" s="2673"/>
      <c r="F51" s="2673" t="s">
        <v>2606</v>
      </c>
      <c r="G51" s="2673"/>
      <c r="H51" s="2673" t="s">
        <v>3207</v>
      </c>
      <c r="I51" s="2673" t="s">
        <v>2606</v>
      </c>
      <c r="J51" s="2673" t="s">
        <v>3208</v>
      </c>
      <c r="K51" s="2673" t="s">
        <v>3209</v>
      </c>
    </row>
    <row r="52" spans="1:11" ht="11.25" customHeight="1">
      <c r="A52" s="2622" t="s">
        <v>2607</v>
      </c>
      <c r="B52" s="2673"/>
      <c r="C52" s="2673"/>
      <c r="D52" s="2673"/>
      <c r="E52" s="2673"/>
      <c r="F52" s="2673">
        <v>40</v>
      </c>
      <c r="G52" s="2673"/>
      <c r="H52" s="2673">
        <v>40</v>
      </c>
      <c r="I52" s="2673">
        <v>40</v>
      </c>
      <c r="J52" s="2673">
        <v>55</v>
      </c>
      <c r="K52" s="2673">
        <v>60</v>
      </c>
    </row>
    <row r="53" spans="1:11" ht="11.25" customHeight="1">
      <c r="A53" s="2622" t="s">
        <v>2608</v>
      </c>
      <c r="B53" s="2636" t="s">
        <v>2572</v>
      </c>
      <c r="C53" s="2636">
        <v>1</v>
      </c>
      <c r="D53" s="2636">
        <v>1</v>
      </c>
      <c r="E53" s="2636">
        <v>1</v>
      </c>
      <c r="F53" s="2636">
        <v>1</v>
      </c>
      <c r="G53" s="2636">
        <v>1</v>
      </c>
      <c r="H53" s="2636">
        <v>1</v>
      </c>
      <c r="I53" s="2636">
        <v>1</v>
      </c>
      <c r="J53" s="2636">
        <v>1</v>
      </c>
      <c r="K53" s="2636">
        <v>1</v>
      </c>
    </row>
    <row r="54" spans="1:11" ht="11.25" customHeight="1">
      <c r="A54" s="2622" t="s">
        <v>2609</v>
      </c>
      <c r="B54" s="2636"/>
      <c r="C54" s="2672"/>
      <c r="D54" s="2672"/>
      <c r="E54" s="2672"/>
      <c r="F54" s="2672">
        <v>96400</v>
      </c>
      <c r="G54" s="2672"/>
      <c r="H54" s="2672">
        <v>96200</v>
      </c>
      <c r="I54" s="2672">
        <v>96400</v>
      </c>
      <c r="J54" s="2672">
        <v>96600</v>
      </c>
      <c r="K54" s="2672">
        <v>96800</v>
      </c>
    </row>
    <row r="55" spans="1:11" ht="11.25" customHeight="1">
      <c r="A55" s="2674" t="s">
        <v>2610</v>
      </c>
      <c r="B55" s="2636"/>
      <c r="C55" s="2672"/>
      <c r="D55" s="2672"/>
      <c r="E55" s="2672"/>
      <c r="F55" s="2672">
        <v>1</v>
      </c>
      <c r="G55" s="2672"/>
      <c r="H55" s="2672">
        <v>0</v>
      </c>
      <c r="I55" s="2672">
        <v>1</v>
      </c>
      <c r="J55" s="2675"/>
      <c r="K55" s="2675"/>
    </row>
    <row r="56" spans="1:11" ht="11.25" customHeight="1">
      <c r="A56" s="2676" t="s">
        <v>2611</v>
      </c>
      <c r="B56" s="2636"/>
      <c r="C56" s="2672"/>
      <c r="D56" s="2672"/>
      <c r="E56" s="2672"/>
      <c r="F56" s="2672">
        <v>1</v>
      </c>
      <c r="G56" s="2672"/>
      <c r="H56" s="2672">
        <v>0</v>
      </c>
      <c r="I56" s="2672">
        <v>1</v>
      </c>
      <c r="J56" s="2675"/>
      <c r="K56" s="2675"/>
    </row>
    <row r="57" spans="1:11" ht="11.25" customHeight="1">
      <c r="A57" s="2622" t="s">
        <v>2612</v>
      </c>
      <c r="B57" s="2673" t="s">
        <v>1471</v>
      </c>
      <c r="C57" s="2673"/>
      <c r="D57" s="2673"/>
      <c r="E57" s="2673"/>
      <c r="F57" s="2673">
        <v>60</v>
      </c>
      <c r="G57" s="2673"/>
      <c r="H57" s="2673">
        <v>140</v>
      </c>
      <c r="I57" s="2673">
        <v>60</v>
      </c>
      <c r="J57" s="2673">
        <v>60</v>
      </c>
      <c r="K57" s="2673">
        <v>60</v>
      </c>
    </row>
    <row r="58" spans="1:11" ht="11.25" customHeight="1">
      <c r="A58" s="2622" t="s">
        <v>2613</v>
      </c>
      <c r="B58" s="2677" t="s">
        <v>2572</v>
      </c>
      <c r="C58" s="2636">
        <v>0.8</v>
      </c>
      <c r="D58" s="2636">
        <v>0.79</v>
      </c>
      <c r="E58" s="2636">
        <v>0.83399999999999996</v>
      </c>
      <c r="F58" s="2636">
        <v>0.8</v>
      </c>
      <c r="G58" s="2636">
        <v>0.8</v>
      </c>
      <c r="H58" s="2636">
        <v>0.87</v>
      </c>
      <c r="I58" s="2636">
        <v>0.85</v>
      </c>
      <c r="J58" s="2636">
        <v>0.85</v>
      </c>
      <c r="K58" s="2636">
        <v>0.85</v>
      </c>
    </row>
    <row r="59" spans="1:11" ht="11.25" customHeight="1">
      <c r="A59" s="2678" t="s">
        <v>2614</v>
      </c>
      <c r="B59" s="2627" t="s">
        <v>1471</v>
      </c>
      <c r="C59" s="2636"/>
      <c r="D59" s="2636"/>
      <c r="E59" s="2636"/>
      <c r="F59" s="2634">
        <v>13</v>
      </c>
      <c r="G59" s="2636"/>
      <c r="H59" s="2634">
        <v>0</v>
      </c>
      <c r="I59" s="2634">
        <v>13</v>
      </c>
      <c r="J59" s="2634">
        <v>13</v>
      </c>
      <c r="K59" s="2634">
        <v>13</v>
      </c>
    </row>
    <row r="60" spans="1:11" ht="11.25" customHeight="1">
      <c r="A60" s="2678" t="s">
        <v>2615</v>
      </c>
      <c r="B60" s="2627"/>
      <c r="C60" s="2636"/>
      <c r="D60" s="2636"/>
      <c r="E60" s="2636"/>
      <c r="F60" s="2634">
        <v>333</v>
      </c>
      <c r="G60" s="2636"/>
      <c r="H60" s="2634">
        <v>578</v>
      </c>
      <c r="I60" s="2634">
        <v>333</v>
      </c>
      <c r="J60" s="2634">
        <v>333</v>
      </c>
      <c r="K60" s="2634">
        <v>333</v>
      </c>
    </row>
    <row r="61" spans="1:11" ht="11.25" customHeight="1">
      <c r="A61" s="2679" t="s">
        <v>2616</v>
      </c>
      <c r="B61" s="2627" t="s">
        <v>1471</v>
      </c>
      <c r="C61" s="2636"/>
      <c r="D61" s="2636"/>
      <c r="E61" s="2636"/>
      <c r="F61" s="2634">
        <v>267</v>
      </c>
      <c r="G61" s="2636"/>
      <c r="H61" s="2634">
        <v>88</v>
      </c>
      <c r="I61" s="2634">
        <v>267</v>
      </c>
      <c r="J61" s="2634">
        <v>267</v>
      </c>
      <c r="K61" s="2634">
        <v>267</v>
      </c>
    </row>
    <row r="62" spans="1:11" ht="11.25" customHeight="1">
      <c r="A62" s="2680" t="s">
        <v>2617</v>
      </c>
      <c r="B62" s="2627" t="s">
        <v>1471</v>
      </c>
      <c r="C62" s="2636"/>
      <c r="D62" s="2636"/>
      <c r="E62" s="2636"/>
      <c r="F62" s="2634">
        <v>0</v>
      </c>
      <c r="G62" s="2636"/>
      <c r="H62" s="2634">
        <v>2</v>
      </c>
      <c r="I62" s="2634">
        <v>0</v>
      </c>
      <c r="J62" s="2634">
        <v>0</v>
      </c>
      <c r="K62" s="2634">
        <v>0</v>
      </c>
    </row>
    <row r="64" spans="1:11" ht="11.25" customHeight="1">
      <c r="A64" s="2681" t="s">
        <v>2618</v>
      </c>
      <c r="B64" s="2627"/>
      <c r="C64" s="2636"/>
      <c r="D64" s="2636"/>
      <c r="E64" s="2636"/>
      <c r="F64" s="2638"/>
      <c r="G64" s="2636"/>
      <c r="H64" s="2636"/>
      <c r="I64" s="2638"/>
      <c r="J64" s="2638"/>
      <c r="K64" s="2638"/>
    </row>
    <row r="65" spans="1:11" ht="11.25" customHeight="1">
      <c r="A65" s="2669" t="s">
        <v>2619</v>
      </c>
      <c r="B65" s="2636" t="s">
        <v>2572</v>
      </c>
      <c r="C65" s="2682"/>
      <c r="D65" s="2682"/>
      <c r="E65" s="2682"/>
      <c r="F65" s="2683">
        <v>1</v>
      </c>
      <c r="G65" s="2682"/>
      <c r="H65" s="2683">
        <v>1</v>
      </c>
      <c r="I65" s="2683">
        <v>1</v>
      </c>
      <c r="J65" s="2683">
        <v>1</v>
      </c>
      <c r="K65" s="2683">
        <v>1</v>
      </c>
    </row>
    <row r="66" spans="1:11" ht="11.25" customHeight="1">
      <c r="A66" s="2669"/>
      <c r="B66" s="2677"/>
      <c r="C66" s="2684"/>
      <c r="D66" s="2684"/>
      <c r="E66" s="2684"/>
      <c r="F66" s="2685"/>
      <c r="G66" s="2684"/>
      <c r="H66" s="2685"/>
      <c r="I66" s="2685"/>
      <c r="J66" s="2685"/>
      <c r="K66" s="2685"/>
    </row>
    <row r="67" spans="1:11" ht="11.25" customHeight="1">
      <c r="A67" s="2621" t="s">
        <v>2620</v>
      </c>
      <c r="B67" s="2621"/>
      <c r="C67" s="2621"/>
      <c r="D67" s="2621"/>
      <c r="E67" s="2621"/>
      <c r="F67" s="2686"/>
      <c r="G67" s="2621"/>
      <c r="H67" s="2621"/>
      <c r="I67" s="2686"/>
      <c r="J67" s="2686"/>
      <c r="K67" s="2686"/>
    </row>
    <row r="68" spans="1:11" ht="11.25" customHeight="1">
      <c r="A68" s="2687" t="s">
        <v>2621</v>
      </c>
      <c r="B68" s="2636" t="s">
        <v>1471</v>
      </c>
      <c r="C68" s="2635">
        <v>0</v>
      </c>
      <c r="D68" s="2635">
        <v>4</v>
      </c>
      <c r="E68" s="2635"/>
      <c r="F68" s="2635">
        <v>4</v>
      </c>
      <c r="G68" s="2635"/>
      <c r="H68" s="2635">
        <v>10</v>
      </c>
      <c r="I68" s="2635">
        <v>4</v>
      </c>
      <c r="J68" s="2635">
        <v>4</v>
      </c>
      <c r="K68" s="2635">
        <v>4</v>
      </c>
    </row>
    <row r="69" spans="1:11" ht="11.25" customHeight="1">
      <c r="A69" s="2687" t="s">
        <v>2622</v>
      </c>
      <c r="B69" s="2677" t="s">
        <v>1471</v>
      </c>
      <c r="C69" s="2635"/>
      <c r="D69" s="2635"/>
      <c r="E69" s="2635"/>
      <c r="F69" s="2635">
        <v>4</v>
      </c>
      <c r="G69" s="2635"/>
      <c r="H69" s="2635">
        <v>4</v>
      </c>
      <c r="I69" s="2635">
        <v>4</v>
      </c>
      <c r="J69" s="2635">
        <v>4</v>
      </c>
      <c r="K69" s="2635">
        <v>4</v>
      </c>
    </row>
    <row r="70" spans="1:11" ht="11.25" customHeight="1">
      <c r="A70" s="2687" t="s">
        <v>2623</v>
      </c>
      <c r="B70" s="2626" t="s">
        <v>2572</v>
      </c>
      <c r="C70" s="2635"/>
      <c r="D70" s="2635"/>
      <c r="E70" s="2635"/>
      <c r="F70" s="2688">
        <v>1</v>
      </c>
      <c r="G70" s="2635"/>
      <c r="H70" s="2688">
        <v>1</v>
      </c>
      <c r="I70" s="2688">
        <v>1</v>
      </c>
      <c r="J70" s="2688">
        <v>1</v>
      </c>
      <c r="K70" s="2688">
        <v>1</v>
      </c>
    </row>
    <row r="71" spans="1:11" ht="11.25" customHeight="1">
      <c r="A71" s="2687" t="s">
        <v>2624</v>
      </c>
      <c r="B71" s="2626" t="s">
        <v>1471</v>
      </c>
      <c r="C71" s="2635">
        <v>12</v>
      </c>
      <c r="D71" s="2635">
        <v>12</v>
      </c>
      <c r="E71" s="2635">
        <v>12</v>
      </c>
      <c r="F71" s="2635">
        <v>12</v>
      </c>
      <c r="G71" s="2635">
        <v>12</v>
      </c>
      <c r="H71" s="2635">
        <v>12</v>
      </c>
      <c r="I71" s="2635">
        <v>12</v>
      </c>
      <c r="J71" s="2635">
        <v>12</v>
      </c>
      <c r="K71" s="2635">
        <v>12</v>
      </c>
    </row>
    <row r="72" spans="1:11" ht="11.25" customHeight="1">
      <c r="A72" s="2687"/>
      <c r="B72" s="2689"/>
      <c r="C72" s="2666"/>
      <c r="D72" s="2666"/>
      <c r="E72" s="2666"/>
      <c r="F72" s="2666"/>
      <c r="G72" s="2666"/>
      <c r="H72" s="2666"/>
      <c r="I72" s="2666"/>
      <c r="J72" s="2666"/>
      <c r="K72" s="2666"/>
    </row>
    <row r="73" spans="1:11" ht="11.25" customHeight="1">
      <c r="A73" s="2621" t="s">
        <v>2625</v>
      </c>
      <c r="B73" s="2025"/>
      <c r="C73" s="2632"/>
      <c r="D73" s="2632"/>
      <c r="E73" s="2632"/>
      <c r="F73" s="2658"/>
      <c r="G73" s="2632"/>
      <c r="H73" s="2632"/>
      <c r="I73" s="2658"/>
      <c r="J73" s="2658"/>
      <c r="K73" s="2658"/>
    </row>
    <row r="74" spans="1:11" ht="11.25" customHeight="1">
      <c r="A74" s="2687" t="s">
        <v>2626</v>
      </c>
      <c r="B74" s="2636" t="s">
        <v>1471</v>
      </c>
      <c r="C74" s="2690"/>
      <c r="D74" s="2690"/>
      <c r="E74" s="2690"/>
      <c r="F74" s="2690">
        <v>18770</v>
      </c>
      <c r="G74" s="2690"/>
      <c r="H74" s="2690">
        <v>18770</v>
      </c>
      <c r="I74" s="2690">
        <v>18770</v>
      </c>
      <c r="J74" s="2690">
        <v>18770</v>
      </c>
      <c r="K74" s="2690">
        <v>18770</v>
      </c>
    </row>
    <row r="75" spans="1:11" ht="11.25" customHeight="1">
      <c r="A75" s="2691" t="s">
        <v>2627</v>
      </c>
      <c r="B75" s="2636" t="s">
        <v>2572</v>
      </c>
      <c r="C75" s="2688"/>
      <c r="D75" s="2688"/>
      <c r="E75" s="2688"/>
      <c r="F75" s="2688">
        <v>1</v>
      </c>
      <c r="G75" s="2688"/>
      <c r="H75" s="2688">
        <v>1</v>
      </c>
      <c r="I75" s="2688">
        <v>1</v>
      </c>
      <c r="J75" s="2688">
        <v>1</v>
      </c>
      <c r="K75" s="2688">
        <v>1</v>
      </c>
    </row>
    <row r="76" spans="1:11" ht="11.25" customHeight="1">
      <c r="A76" s="2669" t="s">
        <v>2628</v>
      </c>
      <c r="B76" s="2636" t="s">
        <v>1471</v>
      </c>
      <c r="C76" s="2690"/>
      <c r="D76" s="2690"/>
      <c r="E76" s="2690"/>
      <c r="F76" s="2690">
        <v>1</v>
      </c>
      <c r="G76" s="2690"/>
      <c r="H76" s="2690">
        <v>1</v>
      </c>
      <c r="I76" s="2690">
        <v>1</v>
      </c>
      <c r="J76" s="2690">
        <v>1</v>
      </c>
      <c r="K76" s="2690">
        <v>1</v>
      </c>
    </row>
    <row r="77" spans="1:11" ht="11.25" customHeight="1">
      <c r="A77" s="2687" t="s">
        <v>2629</v>
      </c>
      <c r="B77" s="2636" t="s">
        <v>2630</v>
      </c>
      <c r="C77" s="2692">
        <v>20.100000000000001</v>
      </c>
      <c r="D77" s="2692">
        <v>15.6</v>
      </c>
      <c r="E77" s="2692">
        <v>21.01</v>
      </c>
      <c r="F77" s="2693">
        <v>17.399999999999999</v>
      </c>
      <c r="G77" s="2692">
        <v>17.399999999999999</v>
      </c>
      <c r="H77" s="2692">
        <v>22.7</v>
      </c>
      <c r="I77" s="2693">
        <v>19.8</v>
      </c>
      <c r="J77" s="2693">
        <v>16.8</v>
      </c>
      <c r="K77" s="2693">
        <v>13.8</v>
      </c>
    </row>
    <row r="78" spans="1:11" ht="11.25" customHeight="1">
      <c r="A78" s="2687" t="s">
        <v>2631</v>
      </c>
      <c r="B78" s="2636" t="s">
        <v>2630</v>
      </c>
      <c r="C78" s="2692">
        <v>1.3</v>
      </c>
      <c r="D78" s="2692">
        <v>1</v>
      </c>
      <c r="E78" s="2692">
        <v>0.6</v>
      </c>
      <c r="F78" s="2694">
        <v>1.2</v>
      </c>
      <c r="G78" s="2692">
        <v>1.2</v>
      </c>
      <c r="H78" s="2692">
        <v>0.1</v>
      </c>
      <c r="I78" s="2694">
        <v>0.15</v>
      </c>
      <c r="J78" s="2695">
        <v>0.2</v>
      </c>
      <c r="K78" s="2694">
        <v>0.25</v>
      </c>
    </row>
    <row r="79" spans="1:11" ht="11.25" customHeight="1">
      <c r="A79" s="2687" t="s">
        <v>2632</v>
      </c>
      <c r="B79" s="2636" t="s">
        <v>2572</v>
      </c>
      <c r="C79" s="2688">
        <v>0.4</v>
      </c>
      <c r="D79" s="2688">
        <v>0.37</v>
      </c>
      <c r="E79" s="2688">
        <v>0.38</v>
      </c>
      <c r="F79" s="2696">
        <v>0.41799999999999998</v>
      </c>
      <c r="G79" s="2696">
        <v>0.41799999999999998</v>
      </c>
      <c r="H79" s="2696">
        <v>0.72</v>
      </c>
      <c r="I79" s="2696">
        <v>0.7</v>
      </c>
      <c r="J79" s="2696">
        <v>0.69</v>
      </c>
      <c r="K79" s="2696">
        <v>0.68</v>
      </c>
    </row>
    <row r="80" spans="1:11" ht="11.25" customHeight="1">
      <c r="A80" s="2687" t="s">
        <v>2633</v>
      </c>
      <c r="B80" s="2677" t="s">
        <v>2572</v>
      </c>
      <c r="C80" s="2697"/>
      <c r="D80" s="2697"/>
      <c r="E80" s="2697"/>
      <c r="F80" s="2697">
        <v>1</v>
      </c>
      <c r="G80" s="2697"/>
      <c r="H80" s="2697">
        <v>1</v>
      </c>
      <c r="I80" s="2697">
        <v>1</v>
      </c>
      <c r="J80" s="2697">
        <v>1</v>
      </c>
      <c r="K80" s="2697">
        <v>1</v>
      </c>
    </row>
    <row r="81" spans="1:11" ht="11.25" customHeight="1">
      <c r="A81" s="2687" t="s">
        <v>2634</v>
      </c>
      <c r="B81" s="2677" t="s">
        <v>2572</v>
      </c>
      <c r="C81" s="2697"/>
      <c r="D81" s="2697"/>
      <c r="E81" s="2697"/>
      <c r="F81" s="2697">
        <v>1</v>
      </c>
      <c r="G81" s="2697"/>
      <c r="H81" s="2697">
        <v>1</v>
      </c>
      <c r="I81" s="2697">
        <v>1</v>
      </c>
      <c r="J81" s="2697">
        <v>1</v>
      </c>
      <c r="K81" s="2697">
        <v>1</v>
      </c>
    </row>
    <row r="82" spans="1:11" ht="11.25" customHeight="1">
      <c r="A82" s="2687" t="s">
        <v>2635</v>
      </c>
      <c r="B82" s="2677" t="s">
        <v>2572</v>
      </c>
      <c r="C82" s="2697"/>
      <c r="D82" s="2697"/>
      <c r="E82" s="2697"/>
      <c r="F82" s="2697">
        <v>0.2</v>
      </c>
      <c r="G82" s="2697"/>
      <c r="H82" s="2697">
        <v>0.22</v>
      </c>
      <c r="I82" s="2697">
        <v>0.2</v>
      </c>
      <c r="J82" s="2697">
        <v>0.18</v>
      </c>
      <c r="K82" s="2697">
        <v>0.16</v>
      </c>
    </row>
    <row r="83" spans="1:11" ht="11.25" customHeight="1">
      <c r="A83" s="2687" t="s">
        <v>2636</v>
      </c>
      <c r="B83" s="2677" t="s">
        <v>2572</v>
      </c>
      <c r="C83" s="2697"/>
      <c r="D83" s="2697"/>
      <c r="E83" s="2697"/>
      <c r="F83" s="2697">
        <v>1</v>
      </c>
      <c r="G83" s="2697"/>
      <c r="H83" s="2697">
        <v>0.2</v>
      </c>
      <c r="I83" s="2697">
        <v>1</v>
      </c>
      <c r="J83" s="2697">
        <v>1</v>
      </c>
      <c r="K83" s="2697">
        <v>1</v>
      </c>
    </row>
    <row r="84" spans="1:11" ht="11.25" customHeight="1">
      <c r="A84" s="2687" t="s">
        <v>2637</v>
      </c>
      <c r="B84" s="2677" t="s">
        <v>2572</v>
      </c>
      <c r="C84" s="2697">
        <v>1</v>
      </c>
      <c r="D84" s="2697">
        <v>0.98</v>
      </c>
      <c r="E84" s="2697"/>
      <c r="F84" s="2697">
        <v>1</v>
      </c>
      <c r="G84" s="2697"/>
      <c r="H84" s="2697">
        <v>1</v>
      </c>
      <c r="I84" s="2697">
        <v>1</v>
      </c>
      <c r="J84" s="2697">
        <v>1</v>
      </c>
      <c r="K84" s="2697">
        <v>1</v>
      </c>
    </row>
    <row r="85" spans="1:11" ht="11.25" customHeight="1">
      <c r="A85" s="2698" t="s">
        <v>2638</v>
      </c>
      <c r="B85" s="2677" t="s">
        <v>1471</v>
      </c>
      <c r="C85" s="2697"/>
      <c r="D85" s="2697"/>
      <c r="E85" s="2697"/>
      <c r="F85" s="2699">
        <v>1</v>
      </c>
      <c r="G85" s="2697"/>
      <c r="H85" s="2699">
        <v>1</v>
      </c>
      <c r="I85" s="2699">
        <v>1</v>
      </c>
      <c r="J85" s="2699">
        <v>1</v>
      </c>
      <c r="K85" s="2699">
        <v>1</v>
      </c>
    </row>
    <row r="86" spans="1:11" ht="11.25" customHeight="1" thickBot="1">
      <c r="A86" s="2687" t="s">
        <v>2639</v>
      </c>
      <c r="B86" s="2677" t="s">
        <v>2572</v>
      </c>
      <c r="C86" s="2697">
        <v>1</v>
      </c>
      <c r="D86" s="2697">
        <v>1</v>
      </c>
      <c r="E86" s="2697">
        <v>0.2</v>
      </c>
      <c r="F86" s="2697">
        <v>1</v>
      </c>
      <c r="G86" s="2697">
        <v>1</v>
      </c>
      <c r="H86" s="2697">
        <v>1</v>
      </c>
      <c r="I86" s="2697">
        <v>1</v>
      </c>
      <c r="J86" s="2697">
        <v>1</v>
      </c>
      <c r="K86" s="2697">
        <v>1</v>
      </c>
    </row>
    <row r="87" spans="1:11" ht="11.25" customHeight="1" thickBot="1">
      <c r="A87" s="2700" t="s">
        <v>2640</v>
      </c>
      <c r="B87" s="2677" t="s">
        <v>2572</v>
      </c>
      <c r="C87" s="2697"/>
      <c r="D87" s="2697"/>
      <c r="E87" s="2697"/>
      <c r="F87" s="2699">
        <v>0</v>
      </c>
      <c r="G87" s="2697"/>
      <c r="H87" s="2699">
        <v>2</v>
      </c>
      <c r="I87" s="2699">
        <v>0</v>
      </c>
      <c r="J87" s="2699">
        <v>0</v>
      </c>
      <c r="K87" s="2699">
        <v>0</v>
      </c>
    </row>
    <row r="88" spans="1:11" ht="11.25" customHeight="1">
      <c r="A88" s="2687" t="s">
        <v>2641</v>
      </c>
      <c r="B88" s="2677" t="s">
        <v>1471</v>
      </c>
      <c r="C88" s="2697"/>
      <c r="D88" s="2697"/>
      <c r="E88" s="2697"/>
      <c r="F88" s="2699">
        <v>1</v>
      </c>
      <c r="G88" s="2697"/>
      <c r="H88" s="2699">
        <v>1</v>
      </c>
      <c r="I88" s="2699">
        <v>1</v>
      </c>
      <c r="J88" s="2699">
        <v>1</v>
      </c>
      <c r="K88" s="2699">
        <v>1</v>
      </c>
    </row>
    <row r="89" spans="1:11" ht="11.25" customHeight="1">
      <c r="A89" s="2687" t="s">
        <v>2642</v>
      </c>
      <c r="B89" s="2677" t="s">
        <v>1471</v>
      </c>
      <c r="C89" s="2697"/>
      <c r="D89" s="2697"/>
      <c r="E89" s="2697"/>
      <c r="F89" s="2699">
        <v>36732</v>
      </c>
      <c r="G89" s="2697"/>
      <c r="H89" s="2699">
        <v>36732</v>
      </c>
      <c r="I89" s="2699">
        <v>36732</v>
      </c>
      <c r="J89" s="2699">
        <v>36732</v>
      </c>
      <c r="K89" s="2699">
        <v>36732</v>
      </c>
    </row>
    <row r="90" spans="1:11" ht="11.25" customHeight="1">
      <c r="A90" s="2687" t="s">
        <v>2643</v>
      </c>
      <c r="B90" s="2677" t="s">
        <v>2572</v>
      </c>
      <c r="C90" s="2697">
        <v>0.35</v>
      </c>
      <c r="D90" s="2697">
        <v>0.77</v>
      </c>
      <c r="E90" s="2697">
        <v>0.56000000000000005</v>
      </c>
      <c r="F90" s="2697">
        <v>1</v>
      </c>
      <c r="G90" s="2697">
        <v>1</v>
      </c>
      <c r="H90" s="2697">
        <v>1</v>
      </c>
      <c r="I90" s="2697">
        <v>1</v>
      </c>
      <c r="J90" s="2697">
        <v>1</v>
      </c>
      <c r="K90" s="2697">
        <v>1</v>
      </c>
    </row>
    <row r="91" spans="1:11" ht="11.25" customHeight="1">
      <c r="A91" s="2687"/>
      <c r="B91" s="2677"/>
      <c r="C91" s="2701"/>
      <c r="D91" s="2701"/>
      <c r="E91" s="2701"/>
      <c r="F91" s="2701"/>
      <c r="G91" s="2701"/>
      <c r="H91" s="2701"/>
      <c r="I91" s="2701"/>
      <c r="J91" s="2701"/>
      <c r="K91" s="2701"/>
    </row>
    <row r="92" spans="1:11" ht="11.25" customHeight="1">
      <c r="A92" s="2621" t="s">
        <v>2644</v>
      </c>
      <c r="B92" s="2621"/>
      <c r="C92" s="2621"/>
      <c r="D92" s="2621"/>
      <c r="E92" s="2621"/>
      <c r="F92" s="2686"/>
      <c r="G92" s="2621"/>
      <c r="H92" s="2621"/>
      <c r="I92" s="2686"/>
      <c r="J92" s="2686"/>
      <c r="K92" s="2686"/>
    </row>
    <row r="93" spans="1:11" ht="11.25" customHeight="1">
      <c r="A93" s="2687" t="s">
        <v>2645</v>
      </c>
      <c r="B93" s="2636" t="s">
        <v>1471</v>
      </c>
      <c r="C93" s="2692">
        <v>0</v>
      </c>
      <c r="D93" s="2692">
        <v>0</v>
      </c>
      <c r="E93" s="2692">
        <v>0</v>
      </c>
      <c r="F93" s="2692">
        <v>4</v>
      </c>
      <c r="G93" s="2692">
        <v>4</v>
      </c>
      <c r="H93" s="2692">
        <v>1</v>
      </c>
      <c r="I93" s="2692">
        <v>1</v>
      </c>
      <c r="J93" s="2692">
        <v>1</v>
      </c>
      <c r="K93" s="2692">
        <v>1</v>
      </c>
    </row>
    <row r="94" spans="1:11" ht="11.25" customHeight="1">
      <c r="A94" s="2702" t="s">
        <v>2646</v>
      </c>
      <c r="B94" s="2636" t="s">
        <v>2647</v>
      </c>
      <c r="C94" s="2703">
        <v>41517</v>
      </c>
      <c r="D94" s="2703">
        <v>41514</v>
      </c>
      <c r="E94" s="2703">
        <v>41880</v>
      </c>
      <c r="F94" s="2692">
        <v>41881</v>
      </c>
      <c r="G94" s="2703">
        <v>41882</v>
      </c>
      <c r="H94" s="2692">
        <v>1</v>
      </c>
      <c r="I94" s="2692">
        <v>1</v>
      </c>
      <c r="J94" s="2692">
        <v>1</v>
      </c>
      <c r="K94" s="2692">
        <v>1</v>
      </c>
    </row>
    <row r="95" spans="1:11" ht="11.25" customHeight="1">
      <c r="A95" s="2687" t="s">
        <v>2648</v>
      </c>
      <c r="B95" s="2677" t="s">
        <v>1471</v>
      </c>
      <c r="C95" s="2704">
        <v>9</v>
      </c>
      <c r="D95" s="2704">
        <v>10</v>
      </c>
      <c r="E95" s="2704">
        <v>4</v>
      </c>
      <c r="F95" s="2704">
        <v>4</v>
      </c>
      <c r="G95" s="2704">
        <v>4</v>
      </c>
      <c r="H95" s="2704">
        <v>6</v>
      </c>
      <c r="I95" s="2704">
        <v>6</v>
      </c>
      <c r="J95" s="2704">
        <v>6</v>
      </c>
      <c r="K95" s="2704">
        <v>6</v>
      </c>
    </row>
    <row r="96" spans="1:11" ht="11.25" customHeight="1">
      <c r="A96" s="2687" t="s">
        <v>2649</v>
      </c>
      <c r="B96" s="2636" t="s">
        <v>1471</v>
      </c>
      <c r="C96" s="2635">
        <v>3</v>
      </c>
      <c r="D96" s="2635">
        <v>12</v>
      </c>
      <c r="E96" s="2635"/>
      <c r="F96" s="2635"/>
      <c r="G96" s="2635"/>
      <c r="H96" s="2635">
        <v>12</v>
      </c>
      <c r="I96" s="2635">
        <v>10</v>
      </c>
      <c r="J96" s="2635">
        <v>10</v>
      </c>
      <c r="K96" s="2635">
        <v>10</v>
      </c>
    </row>
    <row r="97" spans="1:11" ht="11.25" customHeight="1">
      <c r="A97" s="2687" t="s">
        <v>2650</v>
      </c>
      <c r="B97" s="2677" t="s">
        <v>1471</v>
      </c>
      <c r="C97" s="2704"/>
      <c r="D97" s="2704"/>
      <c r="E97" s="2704"/>
      <c r="F97" s="2704"/>
      <c r="G97" s="2704"/>
      <c r="H97" s="2704">
        <v>12</v>
      </c>
      <c r="I97" s="2704">
        <v>12</v>
      </c>
      <c r="J97" s="2704">
        <v>12</v>
      </c>
      <c r="K97" s="2704">
        <v>12</v>
      </c>
    </row>
    <row r="98" spans="1:11" ht="11.25" customHeight="1">
      <c r="A98" s="2687" t="s">
        <v>2651</v>
      </c>
      <c r="B98" s="2677" t="s">
        <v>1471</v>
      </c>
      <c r="C98" s="2704"/>
      <c r="D98" s="2704"/>
      <c r="E98" s="2704"/>
      <c r="F98" s="2704"/>
      <c r="G98" s="2704"/>
      <c r="H98" s="2704">
        <v>44</v>
      </c>
      <c r="I98" s="2704">
        <v>44</v>
      </c>
      <c r="J98" s="2704">
        <v>44</v>
      </c>
      <c r="K98" s="2704">
        <v>44</v>
      </c>
    </row>
    <row r="99" spans="1:11" ht="11.25" customHeight="1">
      <c r="A99" s="2687" t="s">
        <v>2652</v>
      </c>
      <c r="B99" s="2677" t="s">
        <v>1471</v>
      </c>
      <c r="C99" s="2704"/>
      <c r="D99" s="2704"/>
      <c r="E99" s="2704"/>
      <c r="F99" s="2704"/>
      <c r="G99" s="2704"/>
      <c r="H99" s="2704">
        <v>0</v>
      </c>
      <c r="I99" s="2704">
        <v>12</v>
      </c>
      <c r="J99" s="2704">
        <v>12</v>
      </c>
      <c r="K99" s="2704">
        <v>12</v>
      </c>
    </row>
    <row r="100" spans="1:11" ht="11.25" customHeight="1">
      <c r="A100" s="2687" t="s">
        <v>2653</v>
      </c>
      <c r="B100" s="2677" t="s">
        <v>1471</v>
      </c>
      <c r="C100" s="2704"/>
      <c r="D100" s="2704"/>
      <c r="E100" s="2704"/>
      <c r="F100" s="2704"/>
      <c r="G100" s="2704"/>
      <c r="H100" s="2704">
        <v>0</v>
      </c>
      <c r="I100" s="2704">
        <v>4</v>
      </c>
      <c r="J100" s="2704">
        <v>4</v>
      </c>
      <c r="K100" s="2704">
        <v>4</v>
      </c>
    </row>
    <row r="101" spans="1:11" ht="11.25" customHeight="1">
      <c r="A101" s="2687" t="s">
        <v>2654</v>
      </c>
      <c r="B101" s="2677" t="s">
        <v>2572</v>
      </c>
      <c r="C101" s="2705">
        <v>1</v>
      </c>
      <c r="D101" s="2705">
        <v>1</v>
      </c>
      <c r="E101" s="2705">
        <v>1</v>
      </c>
      <c r="F101" s="2705">
        <v>1</v>
      </c>
      <c r="G101" s="2705">
        <v>1</v>
      </c>
      <c r="H101" s="2705">
        <v>1</v>
      </c>
      <c r="I101" s="2705">
        <v>1</v>
      </c>
      <c r="J101" s="2705">
        <v>1</v>
      </c>
      <c r="K101" s="2705">
        <v>1</v>
      </c>
    </row>
    <row r="102" spans="1:11" ht="11.25" customHeight="1">
      <c r="A102" s="2687" t="s">
        <v>2655</v>
      </c>
      <c r="B102" s="2677" t="s">
        <v>2572</v>
      </c>
      <c r="C102" s="2705">
        <v>1</v>
      </c>
      <c r="D102" s="2705">
        <v>1</v>
      </c>
      <c r="E102" s="2705">
        <v>1</v>
      </c>
      <c r="F102" s="2705">
        <v>1</v>
      </c>
      <c r="G102" s="2705">
        <v>1</v>
      </c>
      <c r="H102" s="2705">
        <v>1</v>
      </c>
      <c r="I102" s="2705">
        <v>1</v>
      </c>
      <c r="J102" s="2705">
        <v>1</v>
      </c>
      <c r="K102" s="2705">
        <v>1</v>
      </c>
    </row>
    <row r="103" spans="1:11" ht="11.25" customHeight="1">
      <c r="A103" s="2687" t="s">
        <v>2656</v>
      </c>
      <c r="B103" s="2677" t="s">
        <v>1471</v>
      </c>
      <c r="C103" s="2704">
        <v>55</v>
      </c>
      <c r="D103" s="2704">
        <v>124</v>
      </c>
      <c r="E103" s="2704">
        <v>180</v>
      </c>
      <c r="F103" s="2704">
        <v>0</v>
      </c>
      <c r="G103" s="2704">
        <v>1</v>
      </c>
      <c r="H103" s="2704">
        <v>40</v>
      </c>
      <c r="I103" s="2704">
        <v>40</v>
      </c>
      <c r="J103" s="2704">
        <v>30</v>
      </c>
      <c r="K103" s="2704">
        <v>20</v>
      </c>
    </row>
    <row r="104" spans="1:11" ht="11.25" customHeight="1">
      <c r="A104" s="2687" t="s">
        <v>2657</v>
      </c>
      <c r="B104" s="2677" t="s">
        <v>2658</v>
      </c>
      <c r="C104" s="2704" t="s">
        <v>3210</v>
      </c>
      <c r="D104" s="2704" t="s">
        <v>2659</v>
      </c>
      <c r="E104" s="2704" t="s">
        <v>2659</v>
      </c>
      <c r="F104" s="2704" t="s">
        <v>3211</v>
      </c>
      <c r="G104" s="2704" t="s">
        <v>3211</v>
      </c>
      <c r="H104" s="2704" t="s">
        <v>2659</v>
      </c>
      <c r="I104" s="2704" t="s">
        <v>2660</v>
      </c>
      <c r="J104" s="2704" t="s">
        <v>2660</v>
      </c>
      <c r="K104" s="2704" t="s">
        <v>2660</v>
      </c>
    </row>
    <row r="105" spans="1:11" ht="11.25" customHeight="1">
      <c r="A105" s="2687" t="s">
        <v>2661</v>
      </c>
      <c r="B105" s="2677" t="s">
        <v>1471</v>
      </c>
      <c r="C105" s="2704">
        <v>4</v>
      </c>
      <c r="D105" s="2704">
        <v>4</v>
      </c>
      <c r="E105" s="2704">
        <v>4</v>
      </c>
      <c r="F105" s="2704">
        <v>4</v>
      </c>
      <c r="G105" s="2704">
        <v>4</v>
      </c>
      <c r="H105" s="2704">
        <v>4</v>
      </c>
      <c r="I105" s="2704">
        <v>4</v>
      </c>
      <c r="J105" s="2704">
        <v>4</v>
      </c>
      <c r="K105" s="2704">
        <v>4</v>
      </c>
    </row>
    <row r="106" spans="1:11" ht="11.25" customHeight="1">
      <c r="A106" s="2687"/>
      <c r="B106" s="2677"/>
      <c r="C106" s="2706"/>
      <c r="D106" s="2706"/>
      <c r="E106" s="2706"/>
      <c r="F106" s="2706"/>
      <c r="G106" s="2706"/>
      <c r="H106" s="2706"/>
      <c r="I106" s="2706"/>
      <c r="J106" s="2706"/>
      <c r="K106" s="2706"/>
    </row>
    <row r="107" spans="1:11" ht="11.25" customHeight="1">
      <c r="A107" s="2621" t="s">
        <v>2662</v>
      </c>
      <c r="B107" s="2621"/>
      <c r="C107" s="2621"/>
      <c r="D107" s="2621"/>
      <c r="E107" s="2621"/>
      <c r="F107" s="2686"/>
      <c r="G107" s="2621"/>
      <c r="H107" s="2621"/>
      <c r="I107" s="2686"/>
      <c r="J107" s="2686"/>
      <c r="K107" s="2686"/>
    </row>
    <row r="108" spans="1:11" ht="11.25" customHeight="1">
      <c r="A108" s="2707" t="s">
        <v>2663</v>
      </c>
      <c r="B108" s="2636" t="s">
        <v>2572</v>
      </c>
      <c r="C108" s="2667">
        <v>3.5000000000000003E-2</v>
      </c>
      <c r="D108" s="2667">
        <v>7.2999999999999995E-2</v>
      </c>
      <c r="E108" s="2667">
        <v>7.2999999999999995E-2</v>
      </c>
      <c r="F108" s="2667">
        <v>1.4999999999999999E-2</v>
      </c>
      <c r="G108" s="2667">
        <v>1.4999999999999999E-2</v>
      </c>
      <c r="H108" s="2667">
        <v>1.4999999999999999E-2</v>
      </c>
      <c r="I108" s="2667">
        <v>1.4999999999999999E-2</v>
      </c>
      <c r="J108" s="2667">
        <v>1.2E-2</v>
      </c>
      <c r="K108" s="2667">
        <v>1.2E-2</v>
      </c>
    </row>
    <row r="109" spans="1:11" ht="11.25" customHeight="1">
      <c r="A109" s="2707" t="s">
        <v>2664</v>
      </c>
      <c r="B109" s="2636"/>
      <c r="C109" s="2667"/>
      <c r="D109" s="2667"/>
      <c r="E109" s="2667"/>
      <c r="F109" s="2708">
        <v>26</v>
      </c>
      <c r="G109" s="2708">
        <v>26</v>
      </c>
      <c r="H109" s="2708">
        <v>26</v>
      </c>
      <c r="I109" s="2708">
        <v>26</v>
      </c>
      <c r="J109" s="2708">
        <v>26</v>
      </c>
      <c r="K109" s="2708">
        <v>26</v>
      </c>
    </row>
    <row r="110" spans="1:11" ht="11.25" customHeight="1">
      <c r="A110" s="2707" t="s">
        <v>2665</v>
      </c>
      <c r="B110" s="2636" t="s">
        <v>1471</v>
      </c>
      <c r="C110" s="2635"/>
      <c r="D110" s="2635"/>
      <c r="E110" s="2635"/>
      <c r="F110" s="2635">
        <v>55</v>
      </c>
      <c r="G110" s="2635">
        <v>55</v>
      </c>
      <c r="H110" s="2635">
        <v>55</v>
      </c>
      <c r="I110" s="2635">
        <v>55</v>
      </c>
      <c r="J110" s="2635">
        <v>26</v>
      </c>
      <c r="K110" s="2635">
        <v>26</v>
      </c>
    </row>
    <row r="111" spans="1:11" ht="11.25" customHeight="1">
      <c r="A111" s="2707" t="s">
        <v>2666</v>
      </c>
      <c r="B111" s="2636" t="s">
        <v>1471</v>
      </c>
      <c r="C111" s="2635"/>
      <c r="D111" s="2635"/>
      <c r="E111" s="2635"/>
      <c r="F111" s="2635">
        <v>2</v>
      </c>
      <c r="G111" s="2635">
        <v>2</v>
      </c>
      <c r="H111" s="2635">
        <v>2</v>
      </c>
      <c r="I111" s="2635">
        <v>2</v>
      </c>
      <c r="J111" s="2635">
        <v>2</v>
      </c>
      <c r="K111" s="2635">
        <v>2</v>
      </c>
    </row>
    <row r="112" spans="1:11" ht="11.25" customHeight="1">
      <c r="A112" s="2707" t="s">
        <v>2667</v>
      </c>
      <c r="B112" s="2636" t="s">
        <v>1471</v>
      </c>
      <c r="C112" s="2635">
        <v>1</v>
      </c>
      <c r="D112" s="2635">
        <v>1</v>
      </c>
      <c r="E112" s="2635"/>
      <c r="F112" s="2635">
        <v>32</v>
      </c>
      <c r="G112" s="2635">
        <v>32</v>
      </c>
      <c r="H112" s="2635">
        <v>32</v>
      </c>
      <c r="I112" s="2635">
        <v>32</v>
      </c>
      <c r="J112" s="2635">
        <v>32</v>
      </c>
      <c r="K112" s="2635">
        <v>32</v>
      </c>
    </row>
    <row r="113" spans="1:11" ht="11.25" customHeight="1">
      <c r="A113" s="2707" t="s">
        <v>2668</v>
      </c>
      <c r="B113" s="2636"/>
      <c r="C113" s="2635"/>
      <c r="D113" s="2635"/>
      <c r="E113" s="2635"/>
      <c r="F113" s="2635">
        <v>5</v>
      </c>
      <c r="G113" s="2635">
        <v>5</v>
      </c>
      <c r="H113" s="2635">
        <v>5</v>
      </c>
      <c r="I113" s="2635">
        <v>5</v>
      </c>
      <c r="J113" s="2635">
        <v>5</v>
      </c>
      <c r="K113" s="2635">
        <v>5</v>
      </c>
    </row>
    <row r="114" spans="1:11" ht="11.25" customHeight="1">
      <c r="A114" s="2707" t="s">
        <v>2669</v>
      </c>
      <c r="B114" s="2636"/>
      <c r="C114" s="2635"/>
      <c r="D114" s="2635"/>
      <c r="E114" s="2635"/>
      <c r="F114" s="2635">
        <v>7</v>
      </c>
      <c r="G114" s="2635">
        <v>7</v>
      </c>
      <c r="H114" s="2635">
        <v>7</v>
      </c>
      <c r="I114" s="2635">
        <v>7</v>
      </c>
      <c r="J114" s="2635">
        <v>7</v>
      </c>
      <c r="K114" s="2635">
        <v>7</v>
      </c>
    </row>
    <row r="115" spans="1:11" ht="11.25" customHeight="1">
      <c r="A115" s="1336" t="s">
        <v>1213</v>
      </c>
      <c r="B115" s="2025"/>
      <c r="C115" s="2022"/>
      <c r="D115" s="2023"/>
      <c r="E115" s="2023"/>
      <c r="F115" s="2023"/>
      <c r="G115" s="2023"/>
      <c r="H115" s="2023"/>
      <c r="I115" s="2023"/>
      <c r="J115" s="2023"/>
      <c r="K115" s="2023"/>
    </row>
    <row r="116" spans="1:11" ht="11.25" customHeight="1">
      <c r="A116" s="2026" t="s">
        <v>955</v>
      </c>
      <c r="B116" s="2025"/>
      <c r="C116" s="2022"/>
      <c r="D116" s="2023"/>
      <c r="E116" s="2023"/>
      <c r="F116" s="2023"/>
      <c r="G116" s="2023"/>
      <c r="H116" s="2023"/>
      <c r="I116" s="2023"/>
      <c r="J116" s="2023"/>
      <c r="K116" s="2023"/>
    </row>
    <row r="117" spans="1:11" ht="11.25" customHeight="1">
      <c r="A117" s="2027"/>
      <c r="B117" s="2025"/>
      <c r="C117" s="2022"/>
      <c r="D117" s="2023"/>
      <c r="E117" s="2023"/>
      <c r="F117" s="2023"/>
      <c r="G117" s="2023"/>
      <c r="H117" s="2023"/>
      <c r="I117" s="2023"/>
      <c r="J117" s="2023"/>
      <c r="K117" s="2023"/>
    </row>
    <row r="118" spans="1:11" ht="11.25" customHeight="1">
      <c r="A118" s="1336" t="s">
        <v>1215</v>
      </c>
      <c r="B118" s="2028"/>
      <c r="C118" s="2029"/>
      <c r="D118" s="2030"/>
      <c r="E118" s="2030"/>
      <c r="F118" s="2030"/>
      <c r="G118" s="2030"/>
      <c r="H118" s="2030"/>
      <c r="I118" s="2030"/>
      <c r="J118" s="2030"/>
      <c r="K118" s="2030"/>
    </row>
    <row r="119" spans="1:11" ht="11.25" customHeight="1">
      <c r="A119" s="2026" t="s">
        <v>955</v>
      </c>
      <c r="B119" s="2025"/>
      <c r="C119" s="2022"/>
      <c r="D119" s="2023"/>
      <c r="E119" s="2023"/>
      <c r="F119" s="2023"/>
      <c r="G119" s="2023"/>
      <c r="H119" s="2023"/>
      <c r="I119" s="2023"/>
      <c r="J119" s="2023"/>
      <c r="K119" s="2023"/>
    </row>
    <row r="120" spans="1:11" ht="11.25" customHeight="1">
      <c r="A120" s="2027"/>
      <c r="B120" s="2021"/>
      <c r="C120" s="2022"/>
      <c r="D120" s="2023"/>
      <c r="E120" s="2023"/>
      <c r="F120" s="2023"/>
      <c r="G120" s="2023"/>
      <c r="H120" s="2023"/>
      <c r="I120" s="2023"/>
      <c r="J120" s="2023"/>
      <c r="K120" s="2023"/>
    </row>
    <row r="121" spans="1:11" ht="11.25" customHeight="1">
      <c r="A121" s="1336" t="s">
        <v>1216</v>
      </c>
      <c r="B121" s="2028"/>
      <c r="C121" s="2029"/>
      <c r="D121" s="2030"/>
      <c r="E121" s="2030"/>
      <c r="F121" s="2030"/>
      <c r="G121" s="2030"/>
      <c r="H121" s="2030"/>
      <c r="I121" s="2030"/>
      <c r="J121" s="2030"/>
      <c r="K121" s="2030"/>
    </row>
    <row r="122" spans="1:11" ht="11.25" customHeight="1">
      <c r="A122" s="2026" t="s">
        <v>955</v>
      </c>
      <c r="B122" s="2025"/>
      <c r="C122" s="2022"/>
      <c r="D122" s="2023"/>
      <c r="E122" s="2023"/>
      <c r="F122" s="2023"/>
      <c r="G122" s="2023"/>
      <c r="H122" s="2023"/>
      <c r="I122" s="2023"/>
      <c r="J122" s="2023"/>
      <c r="K122" s="2023"/>
    </row>
    <row r="123" spans="1:11" ht="11.25" customHeight="1">
      <c r="A123" s="2027"/>
      <c r="B123" s="2025"/>
      <c r="C123" s="2022"/>
      <c r="D123" s="2023"/>
      <c r="E123" s="2023"/>
      <c r="F123" s="2023"/>
      <c r="G123" s="2023"/>
      <c r="H123" s="2023"/>
      <c r="I123" s="2023"/>
      <c r="J123" s="2023"/>
      <c r="K123" s="2023"/>
    </row>
    <row r="124" spans="1:11" ht="11.25" customHeight="1">
      <c r="A124" s="1335" t="s">
        <v>1214</v>
      </c>
      <c r="B124" s="2028"/>
      <c r="C124" s="2029"/>
      <c r="D124" s="2030"/>
      <c r="E124" s="2030"/>
      <c r="F124" s="2030"/>
      <c r="G124" s="2030"/>
      <c r="H124" s="2030"/>
      <c r="I124" s="2030"/>
      <c r="J124" s="2030"/>
      <c r="K124" s="2030"/>
    </row>
    <row r="125" spans="1:11" ht="11.25" customHeight="1">
      <c r="A125" s="1336" t="s">
        <v>1213</v>
      </c>
      <c r="B125" s="2025"/>
      <c r="C125" s="2022"/>
      <c r="D125" s="2023"/>
      <c r="E125" s="2023"/>
      <c r="F125" s="2023"/>
      <c r="G125" s="2023"/>
      <c r="H125" s="2023"/>
      <c r="I125" s="2023"/>
      <c r="J125" s="2023"/>
      <c r="K125" s="2023"/>
    </row>
    <row r="126" spans="1:11" ht="11.25" customHeight="1">
      <c r="A126" s="2026" t="s">
        <v>955</v>
      </c>
      <c r="B126" s="2025"/>
      <c r="C126" s="2022"/>
      <c r="D126" s="2023"/>
      <c r="E126" s="2023"/>
      <c r="F126" s="2023"/>
      <c r="G126" s="2023"/>
      <c r="H126" s="2023"/>
      <c r="I126" s="2023"/>
      <c r="J126" s="2023"/>
      <c r="K126" s="2023"/>
    </row>
    <row r="127" spans="1:11" ht="11.25" customHeight="1">
      <c r="A127" s="2027"/>
      <c r="B127" s="2025"/>
      <c r="C127" s="2022"/>
      <c r="D127" s="2023"/>
      <c r="E127" s="2023"/>
      <c r="F127" s="2023"/>
      <c r="G127" s="2023"/>
      <c r="H127" s="2023"/>
      <c r="I127" s="2023"/>
      <c r="J127" s="2023"/>
      <c r="K127" s="2023"/>
    </row>
    <row r="128" spans="1:11" ht="11.25" customHeight="1">
      <c r="A128" s="1336" t="s">
        <v>1215</v>
      </c>
      <c r="B128" s="2031"/>
      <c r="C128" s="2029"/>
      <c r="D128" s="2030"/>
      <c r="E128" s="2030"/>
      <c r="F128" s="2030"/>
      <c r="G128" s="2030"/>
      <c r="H128" s="2030"/>
      <c r="I128" s="2030"/>
      <c r="J128" s="2030"/>
      <c r="K128" s="2030"/>
    </row>
    <row r="129" spans="1:11" ht="11.25" customHeight="1">
      <c r="A129" s="2026" t="s">
        <v>955</v>
      </c>
      <c r="B129" s="2025"/>
      <c r="C129" s="2022"/>
      <c r="D129" s="2023"/>
      <c r="E129" s="2023"/>
      <c r="F129" s="2023"/>
      <c r="G129" s="2023"/>
      <c r="H129" s="2023"/>
      <c r="I129" s="2023"/>
      <c r="J129" s="2023"/>
      <c r="K129" s="2023"/>
    </row>
    <row r="130" spans="1:11" ht="11.25" customHeight="1">
      <c r="A130" s="2027"/>
      <c r="B130" s="2025"/>
      <c r="C130" s="2022"/>
      <c r="D130" s="2023"/>
      <c r="E130" s="2023"/>
      <c r="F130" s="2023"/>
      <c r="G130" s="2023"/>
      <c r="H130" s="2023"/>
      <c r="I130" s="2023"/>
      <c r="J130" s="2023"/>
      <c r="K130" s="2023"/>
    </row>
    <row r="131" spans="1:11" ht="11.25" customHeight="1">
      <c r="A131" s="1336" t="s">
        <v>1216</v>
      </c>
      <c r="B131" s="2028"/>
      <c r="C131" s="2029"/>
      <c r="D131" s="2030"/>
      <c r="E131" s="2030"/>
      <c r="F131" s="2030"/>
      <c r="G131" s="2030"/>
      <c r="H131" s="2030"/>
      <c r="I131" s="2030"/>
      <c r="J131" s="2030"/>
      <c r="K131" s="2030"/>
    </row>
    <row r="132" spans="1:11" ht="11.25" customHeight="1">
      <c r="A132" s="2026" t="s">
        <v>955</v>
      </c>
      <c r="B132" s="2025"/>
      <c r="C132" s="2022"/>
      <c r="D132" s="2023"/>
      <c r="E132" s="2023"/>
      <c r="F132" s="2023"/>
      <c r="G132" s="2023"/>
      <c r="H132" s="2023"/>
      <c r="I132" s="2023"/>
      <c r="J132" s="2023"/>
      <c r="K132" s="2023"/>
    </row>
    <row r="133" spans="1:11" ht="11.25" customHeight="1">
      <c r="A133" s="2032"/>
      <c r="B133" s="2033"/>
      <c r="C133" s="2034"/>
      <c r="D133" s="2035"/>
      <c r="E133" s="2035"/>
      <c r="F133" s="2035"/>
      <c r="G133" s="2035"/>
      <c r="H133" s="2035"/>
      <c r="I133" s="2035"/>
      <c r="J133" s="2035"/>
      <c r="K133" s="2035"/>
    </row>
    <row r="134" spans="1:11" ht="11.25" customHeight="1">
      <c r="A134" s="1332" t="s">
        <v>1217</v>
      </c>
      <c r="B134" s="2025"/>
      <c r="C134" s="2022"/>
      <c r="D134" s="2023"/>
      <c r="E134" s="2023"/>
      <c r="F134" s="2023"/>
      <c r="G134" s="2023"/>
      <c r="H134" s="2023"/>
      <c r="I134" s="2023"/>
      <c r="J134" s="2023"/>
      <c r="K134" s="2023"/>
    </row>
    <row r="135" spans="1:11" ht="11.25" customHeight="1">
      <c r="A135" s="1335" t="s">
        <v>1212</v>
      </c>
      <c r="B135" s="2025"/>
      <c r="C135" s="2022"/>
      <c r="D135" s="2023"/>
      <c r="E135" s="2023"/>
      <c r="F135" s="2023"/>
      <c r="G135" s="2023"/>
      <c r="H135" s="2023"/>
      <c r="I135" s="2023"/>
      <c r="J135" s="2023"/>
      <c r="K135" s="2023"/>
    </row>
    <row r="136" spans="1:11" ht="11.25" customHeight="1">
      <c r="A136" s="1336" t="s">
        <v>1213</v>
      </c>
      <c r="B136" s="2021"/>
      <c r="C136" s="2022"/>
      <c r="D136" s="2023"/>
      <c r="E136" s="2023"/>
      <c r="F136" s="2023"/>
      <c r="G136" s="2023"/>
      <c r="H136" s="2023"/>
      <c r="I136" s="2023"/>
      <c r="J136" s="2023"/>
      <c r="K136" s="2023"/>
    </row>
    <row r="137" spans="1:11" ht="11.25" customHeight="1">
      <c r="A137" s="2026" t="s">
        <v>955</v>
      </c>
      <c r="B137" s="2025"/>
      <c r="C137" s="2022"/>
      <c r="D137" s="2023"/>
      <c r="E137" s="2023"/>
      <c r="F137" s="2023"/>
      <c r="G137" s="2023"/>
      <c r="H137" s="2023"/>
      <c r="I137" s="2023"/>
      <c r="J137" s="2023"/>
      <c r="K137" s="2023"/>
    </row>
    <row r="138" spans="1:11" ht="11.25" customHeight="1">
      <c r="A138" s="2027"/>
      <c r="B138" s="2025"/>
      <c r="C138" s="2022"/>
      <c r="D138" s="2023"/>
      <c r="E138" s="2023"/>
      <c r="F138" s="2023"/>
      <c r="G138" s="2023"/>
      <c r="H138" s="2023"/>
      <c r="I138" s="2023"/>
      <c r="J138" s="2023"/>
      <c r="K138" s="2023"/>
    </row>
    <row r="139" spans="1:11" ht="11.25" customHeight="1">
      <c r="A139" s="1336" t="s">
        <v>1215</v>
      </c>
      <c r="B139" s="2028"/>
      <c r="C139" s="2029"/>
      <c r="D139" s="2030"/>
      <c r="E139" s="2030"/>
      <c r="F139" s="2030"/>
      <c r="G139" s="2030"/>
      <c r="H139" s="2030"/>
      <c r="I139" s="2030"/>
      <c r="J139" s="2030"/>
      <c r="K139" s="2030"/>
    </row>
    <row r="140" spans="1:11" ht="11.25" customHeight="1">
      <c r="A140" s="2026" t="s">
        <v>955</v>
      </c>
      <c r="B140" s="2025"/>
      <c r="C140" s="2022"/>
      <c r="D140" s="2023"/>
      <c r="E140" s="2023"/>
      <c r="F140" s="2023"/>
      <c r="G140" s="2023"/>
      <c r="H140" s="2023"/>
      <c r="I140" s="2023"/>
      <c r="J140" s="2023"/>
      <c r="K140" s="2023"/>
    </row>
    <row r="141" spans="1:11" ht="11.25" customHeight="1">
      <c r="A141" s="2027"/>
      <c r="B141" s="2025"/>
      <c r="C141" s="2022"/>
      <c r="D141" s="2023"/>
      <c r="E141" s="2023"/>
      <c r="F141" s="2023"/>
      <c r="G141" s="2023"/>
      <c r="H141" s="2023"/>
      <c r="I141" s="2023"/>
      <c r="J141" s="2023"/>
      <c r="K141" s="2023"/>
    </row>
    <row r="142" spans="1:11" ht="11.25" customHeight="1">
      <c r="A142" s="1336" t="s">
        <v>1216</v>
      </c>
      <c r="B142" s="2028"/>
      <c r="C142" s="2029"/>
      <c r="D142" s="2030"/>
      <c r="E142" s="2030"/>
      <c r="F142" s="2030"/>
      <c r="G142" s="2030"/>
      <c r="H142" s="2030"/>
      <c r="I142" s="2030"/>
      <c r="J142" s="2030"/>
      <c r="K142" s="2030"/>
    </row>
    <row r="143" spans="1:11" ht="11.25" customHeight="1">
      <c r="A143" s="2026" t="s">
        <v>955</v>
      </c>
      <c r="B143" s="2025"/>
      <c r="C143" s="2022"/>
      <c r="D143" s="2023"/>
      <c r="E143" s="2023"/>
      <c r="F143" s="2023"/>
      <c r="G143" s="2023"/>
      <c r="H143" s="2023"/>
      <c r="I143" s="2023"/>
      <c r="J143" s="2023"/>
      <c r="K143" s="2023"/>
    </row>
    <row r="144" spans="1:11" ht="11.25" customHeight="1">
      <c r="A144" s="2027"/>
      <c r="B144" s="2021"/>
      <c r="C144" s="2022"/>
      <c r="D144" s="2023"/>
      <c r="E144" s="2023"/>
      <c r="F144" s="2023"/>
      <c r="G144" s="2023"/>
      <c r="H144" s="2023"/>
      <c r="I144" s="2023"/>
      <c r="J144" s="2023"/>
      <c r="K144" s="2023"/>
    </row>
    <row r="145" spans="1:11" ht="11.25" customHeight="1">
      <c r="A145" s="1335" t="s">
        <v>1214</v>
      </c>
      <c r="B145" s="2028"/>
      <c r="C145" s="2029"/>
      <c r="D145" s="2030"/>
      <c r="E145" s="2030"/>
      <c r="F145" s="2030"/>
      <c r="G145" s="2030"/>
      <c r="H145" s="2030"/>
      <c r="I145" s="2030"/>
      <c r="J145" s="2030"/>
      <c r="K145" s="2030"/>
    </row>
    <row r="146" spans="1:11" ht="11.25" customHeight="1">
      <c r="A146" s="1336" t="s">
        <v>1213</v>
      </c>
      <c r="B146" s="2025"/>
      <c r="C146" s="2022"/>
      <c r="D146" s="2023"/>
      <c r="E146" s="2023"/>
      <c r="F146" s="2023"/>
      <c r="G146" s="2023"/>
      <c r="H146" s="2023"/>
      <c r="I146" s="2023"/>
      <c r="J146" s="2023"/>
      <c r="K146" s="2023"/>
    </row>
    <row r="147" spans="1:11" ht="11.25" customHeight="1">
      <c r="A147" s="2026" t="s">
        <v>955</v>
      </c>
      <c r="B147" s="2025"/>
      <c r="C147" s="2022"/>
      <c r="D147" s="2023"/>
      <c r="E147" s="2023"/>
      <c r="F147" s="2023"/>
      <c r="G147" s="2023"/>
      <c r="H147" s="2023"/>
      <c r="I147" s="2023"/>
      <c r="J147" s="2023"/>
      <c r="K147" s="2023"/>
    </row>
    <row r="148" spans="1:11" ht="11.25" customHeight="1">
      <c r="A148" s="2027"/>
      <c r="B148" s="2025"/>
      <c r="C148" s="2022"/>
      <c r="D148" s="2023"/>
      <c r="E148" s="2023"/>
      <c r="F148" s="2023"/>
      <c r="G148" s="2023"/>
      <c r="H148" s="2023"/>
      <c r="I148" s="2023"/>
      <c r="J148" s="2023"/>
      <c r="K148" s="2023"/>
    </row>
    <row r="149" spans="1:11" ht="11.25" customHeight="1">
      <c r="A149" s="1336" t="s">
        <v>1215</v>
      </c>
      <c r="B149" s="2028"/>
      <c r="C149" s="2029"/>
      <c r="D149" s="2030"/>
      <c r="E149" s="2030"/>
      <c r="F149" s="2030"/>
      <c r="G149" s="2030"/>
      <c r="H149" s="2030"/>
      <c r="I149" s="2030"/>
      <c r="J149" s="2030"/>
      <c r="K149" s="2030"/>
    </row>
    <row r="150" spans="1:11" ht="11.25" customHeight="1">
      <c r="A150" s="2026" t="s">
        <v>955</v>
      </c>
      <c r="B150" s="2025"/>
      <c r="C150" s="2022"/>
      <c r="D150" s="2023"/>
      <c r="E150" s="2023"/>
      <c r="F150" s="2023"/>
      <c r="G150" s="2023"/>
      <c r="H150" s="2023"/>
      <c r="I150" s="2023"/>
      <c r="J150" s="2023"/>
      <c r="K150" s="2023"/>
    </row>
    <row r="151" spans="1:11" ht="11.25" customHeight="1">
      <c r="A151" s="2027"/>
      <c r="B151" s="2025"/>
      <c r="C151" s="2022"/>
      <c r="D151" s="2023"/>
      <c r="E151" s="2023"/>
      <c r="F151" s="2023"/>
      <c r="G151" s="2023"/>
      <c r="H151" s="2023"/>
      <c r="I151" s="2023"/>
      <c r="J151" s="2023"/>
      <c r="K151" s="2023"/>
    </row>
    <row r="152" spans="1:11" ht="11.25" customHeight="1">
      <c r="A152" s="1336" t="s">
        <v>1216</v>
      </c>
      <c r="B152" s="2031"/>
      <c r="C152" s="2029"/>
      <c r="D152" s="2030"/>
      <c r="E152" s="2030"/>
      <c r="F152" s="2030"/>
      <c r="G152" s="2030"/>
      <c r="H152" s="2030"/>
      <c r="I152" s="2030"/>
      <c r="J152" s="2030"/>
      <c r="K152" s="2030"/>
    </row>
    <row r="153" spans="1:11" ht="11.25" customHeight="1">
      <c r="A153" s="2026" t="s">
        <v>955</v>
      </c>
      <c r="B153" s="2025"/>
      <c r="C153" s="2022"/>
      <c r="D153" s="2023"/>
      <c r="E153" s="2023"/>
      <c r="F153" s="2023"/>
      <c r="G153" s="2023"/>
      <c r="H153" s="2023"/>
      <c r="I153" s="2023"/>
      <c r="J153" s="2023"/>
      <c r="K153" s="2023"/>
    </row>
    <row r="154" spans="1:11" ht="11.25" customHeight="1">
      <c r="A154" s="2026"/>
      <c r="B154" s="2033"/>
      <c r="C154" s="2034"/>
      <c r="D154" s="2035"/>
      <c r="E154" s="2035"/>
      <c r="F154" s="2035"/>
      <c r="G154" s="2035"/>
      <c r="H154" s="2035"/>
      <c r="I154" s="2035"/>
      <c r="J154" s="2035"/>
      <c r="K154" s="2035"/>
    </row>
    <row r="155" spans="1:11" ht="11.25" customHeight="1">
      <c r="A155" s="1332" t="s">
        <v>1218</v>
      </c>
      <c r="B155" s="2025"/>
      <c r="C155" s="2022"/>
      <c r="D155" s="2023"/>
      <c r="E155" s="2023"/>
      <c r="F155" s="2023"/>
      <c r="G155" s="2023"/>
      <c r="H155" s="2023"/>
      <c r="I155" s="2023"/>
      <c r="J155" s="2023"/>
      <c r="K155" s="2023"/>
    </row>
    <row r="156" spans="1:11" ht="11.25" customHeight="1">
      <c r="A156" s="1335" t="s">
        <v>1212</v>
      </c>
      <c r="B156" s="2025"/>
      <c r="C156" s="2022"/>
      <c r="D156" s="2023"/>
      <c r="E156" s="2023"/>
      <c r="F156" s="2023"/>
      <c r="G156" s="2023"/>
      <c r="H156" s="2023"/>
      <c r="I156" s="2023"/>
      <c r="J156" s="2023"/>
      <c r="K156" s="2023"/>
    </row>
    <row r="157" spans="1:11" ht="11.25" customHeight="1">
      <c r="A157" s="1336" t="s">
        <v>1213</v>
      </c>
      <c r="B157" s="2025"/>
      <c r="C157" s="2022"/>
      <c r="D157" s="2023"/>
      <c r="E157" s="2023"/>
      <c r="F157" s="2023"/>
      <c r="G157" s="2023"/>
      <c r="H157" s="2023"/>
      <c r="I157" s="2023"/>
      <c r="J157" s="2023"/>
      <c r="K157" s="2023"/>
    </row>
    <row r="158" spans="1:11" ht="11.25" customHeight="1">
      <c r="A158" s="2026" t="s">
        <v>955</v>
      </c>
      <c r="B158" s="2025"/>
      <c r="C158" s="2022"/>
      <c r="D158" s="2023"/>
      <c r="E158" s="2023"/>
      <c r="F158" s="2023"/>
      <c r="G158" s="2023"/>
      <c r="H158" s="2023"/>
      <c r="I158" s="2023"/>
      <c r="J158" s="2023"/>
      <c r="K158" s="2023"/>
    </row>
    <row r="159" spans="1:11" ht="11.25" customHeight="1">
      <c r="A159" s="2027"/>
      <c r="B159" s="2025"/>
      <c r="C159" s="2022"/>
      <c r="D159" s="2023"/>
      <c r="E159" s="2023"/>
      <c r="F159" s="2023"/>
      <c r="G159" s="2023"/>
      <c r="H159" s="2023"/>
      <c r="I159" s="2023"/>
      <c r="J159" s="2023"/>
      <c r="K159" s="2023"/>
    </row>
    <row r="160" spans="1:11" ht="11.25" customHeight="1">
      <c r="A160" s="1336" t="s">
        <v>1215</v>
      </c>
      <c r="B160" s="2028"/>
      <c r="C160" s="2029"/>
      <c r="D160" s="2030"/>
      <c r="E160" s="2030"/>
      <c r="F160" s="2030"/>
      <c r="G160" s="2030"/>
      <c r="H160" s="2030"/>
      <c r="I160" s="2030"/>
      <c r="J160" s="2030"/>
      <c r="K160" s="2030"/>
    </row>
    <row r="161" spans="1:11" ht="11.25" customHeight="1">
      <c r="A161" s="2026" t="s">
        <v>955</v>
      </c>
      <c r="B161" s="2025"/>
      <c r="C161" s="2022"/>
      <c r="D161" s="2023"/>
      <c r="E161" s="2023"/>
      <c r="F161" s="2023"/>
      <c r="G161" s="2023"/>
      <c r="H161" s="2023"/>
      <c r="I161" s="2023"/>
      <c r="J161" s="2023"/>
      <c r="K161" s="2023"/>
    </row>
    <row r="162" spans="1:11" ht="11.25" customHeight="1">
      <c r="A162" s="2027"/>
      <c r="B162" s="2025"/>
      <c r="C162" s="2022"/>
      <c r="D162" s="2023"/>
      <c r="E162" s="2023"/>
      <c r="F162" s="2023"/>
      <c r="G162" s="2023"/>
      <c r="H162" s="2023"/>
      <c r="I162" s="2023"/>
      <c r="J162" s="2023"/>
      <c r="K162" s="2023"/>
    </row>
    <row r="163" spans="1:11" ht="11.25" customHeight="1">
      <c r="A163" s="1336" t="s">
        <v>1216</v>
      </c>
      <c r="B163" s="2028"/>
      <c r="C163" s="2029"/>
      <c r="D163" s="2030"/>
      <c r="E163" s="2030"/>
      <c r="F163" s="2030"/>
      <c r="G163" s="2030"/>
      <c r="H163" s="2030"/>
      <c r="I163" s="2030"/>
      <c r="J163" s="2030"/>
      <c r="K163" s="2030"/>
    </row>
    <row r="164" spans="1:11" ht="11.25" customHeight="1">
      <c r="A164" s="2026" t="s">
        <v>955</v>
      </c>
      <c r="B164" s="2025"/>
      <c r="C164" s="2022"/>
      <c r="D164" s="2023"/>
      <c r="E164" s="2023"/>
      <c r="F164" s="2023"/>
      <c r="G164" s="2023"/>
      <c r="H164" s="2023"/>
      <c r="I164" s="2023"/>
      <c r="J164" s="2023"/>
      <c r="K164" s="2023"/>
    </row>
    <row r="165" spans="1:11" ht="11.25" customHeight="1">
      <c r="A165" s="2027"/>
      <c r="B165" s="2025"/>
      <c r="C165" s="2022"/>
      <c r="D165" s="2023"/>
      <c r="E165" s="2023"/>
      <c r="F165" s="2023"/>
      <c r="G165" s="2023"/>
      <c r="H165" s="2023"/>
      <c r="I165" s="2023"/>
      <c r="J165" s="2023"/>
      <c r="K165" s="2023"/>
    </row>
    <row r="166" spans="1:11" ht="11.25" customHeight="1">
      <c r="A166" s="1335" t="s">
        <v>1214</v>
      </c>
      <c r="B166" s="2028"/>
      <c r="C166" s="2029"/>
      <c r="D166" s="2030"/>
      <c r="E166" s="2030"/>
      <c r="F166" s="2030"/>
      <c r="G166" s="2030"/>
      <c r="H166" s="2030"/>
      <c r="I166" s="2030"/>
      <c r="J166" s="2030"/>
      <c r="K166" s="2030"/>
    </row>
    <row r="167" spans="1:11" ht="11.25" customHeight="1">
      <c r="A167" s="1336" t="s">
        <v>1213</v>
      </c>
      <c r="B167" s="2025"/>
      <c r="C167" s="2022"/>
      <c r="D167" s="2023"/>
      <c r="E167" s="2023"/>
      <c r="F167" s="2023"/>
      <c r="G167" s="2023"/>
      <c r="H167" s="2023"/>
      <c r="I167" s="2023"/>
      <c r="J167" s="2023"/>
      <c r="K167" s="2023"/>
    </row>
    <row r="168" spans="1:11" ht="11.25" customHeight="1">
      <c r="A168" s="2026" t="s">
        <v>955</v>
      </c>
      <c r="B168" s="2025"/>
      <c r="C168" s="2022"/>
      <c r="D168" s="2023"/>
      <c r="E168" s="2023"/>
      <c r="F168" s="2023"/>
      <c r="G168" s="2023"/>
      <c r="H168" s="2023"/>
      <c r="I168" s="2023"/>
      <c r="J168" s="2023"/>
      <c r="K168" s="2023"/>
    </row>
    <row r="169" spans="1:11" ht="11.25" customHeight="1">
      <c r="A169" s="2027"/>
      <c r="B169" s="2025"/>
      <c r="C169" s="2022"/>
      <c r="D169" s="2023"/>
      <c r="E169" s="2023"/>
      <c r="F169" s="2023"/>
      <c r="G169" s="2023"/>
      <c r="H169" s="2023"/>
      <c r="I169" s="2023"/>
      <c r="J169" s="2023"/>
      <c r="K169" s="2023"/>
    </row>
    <row r="170" spans="1:11" ht="11.25" customHeight="1">
      <c r="A170" s="1336" t="s">
        <v>1215</v>
      </c>
      <c r="B170" s="2028"/>
      <c r="C170" s="2029"/>
      <c r="D170" s="2030"/>
      <c r="E170" s="2030"/>
      <c r="F170" s="2030"/>
      <c r="G170" s="2030"/>
      <c r="H170" s="2030"/>
      <c r="I170" s="2030"/>
      <c r="J170" s="2030"/>
      <c r="K170" s="2030"/>
    </row>
    <row r="171" spans="1:11" ht="11.25" customHeight="1">
      <c r="A171" s="2026" t="s">
        <v>955</v>
      </c>
      <c r="B171" s="2025"/>
      <c r="C171" s="2022"/>
      <c r="D171" s="2023"/>
      <c r="E171" s="2023"/>
      <c r="F171" s="2023"/>
      <c r="G171" s="2023"/>
      <c r="H171" s="2023"/>
      <c r="I171" s="2023"/>
      <c r="J171" s="2023"/>
      <c r="K171" s="2023"/>
    </row>
    <row r="172" spans="1:11" ht="11.25" customHeight="1">
      <c r="A172" s="2027"/>
      <c r="B172" s="2025"/>
      <c r="C172" s="2022"/>
      <c r="D172" s="2023"/>
      <c r="E172" s="2023"/>
      <c r="F172" s="2023"/>
      <c r="G172" s="2023"/>
      <c r="H172" s="2023"/>
      <c r="I172" s="2023"/>
      <c r="J172" s="2023"/>
      <c r="K172" s="2023"/>
    </row>
    <row r="173" spans="1:11" ht="11.25" customHeight="1">
      <c r="A173" s="1336" t="s">
        <v>1216</v>
      </c>
      <c r="B173" s="2028"/>
      <c r="C173" s="2029"/>
      <c r="D173" s="2030"/>
      <c r="E173" s="2030"/>
      <c r="F173" s="2030"/>
      <c r="G173" s="2030"/>
      <c r="H173" s="2030"/>
      <c r="I173" s="2030"/>
      <c r="J173" s="2030"/>
      <c r="K173" s="2030"/>
    </row>
    <row r="174" spans="1:11" ht="11.25" customHeight="1">
      <c r="A174" s="2026" t="s">
        <v>955</v>
      </c>
      <c r="B174" s="2025"/>
      <c r="C174" s="2022"/>
      <c r="D174" s="2023"/>
      <c r="E174" s="2023"/>
      <c r="F174" s="2023"/>
      <c r="G174" s="2023"/>
      <c r="H174" s="2023"/>
      <c r="I174" s="2023"/>
      <c r="J174" s="2023"/>
      <c r="K174" s="2023"/>
    </row>
    <row r="175" spans="1:11" ht="11.25" customHeight="1">
      <c r="A175" s="2026"/>
      <c r="B175" s="2025"/>
      <c r="C175" s="2022"/>
      <c r="D175" s="2023"/>
      <c r="E175" s="2023"/>
      <c r="F175" s="2023"/>
      <c r="G175" s="2023"/>
      <c r="H175" s="2023"/>
      <c r="I175" s="2023"/>
      <c r="J175" s="2023"/>
      <c r="K175" s="2023"/>
    </row>
    <row r="176" spans="1:11" ht="11.25" customHeight="1">
      <c r="A176" s="2036" t="s">
        <v>1219</v>
      </c>
      <c r="B176" s="2033"/>
      <c r="C176" s="2034"/>
      <c r="D176" s="2035"/>
      <c r="E176" s="2035"/>
      <c r="F176" s="2035"/>
      <c r="G176" s="2035"/>
      <c r="H176" s="2035"/>
      <c r="I176" s="2035"/>
      <c r="J176" s="2035"/>
      <c r="K176" s="2035"/>
    </row>
    <row r="177" spans="1:11" ht="11.25" customHeight="1">
      <c r="A177" s="2886" t="s">
        <v>148</v>
      </c>
      <c r="B177" s="2886"/>
      <c r="C177" s="2886"/>
      <c r="D177" s="2886"/>
      <c r="E177" s="2886"/>
      <c r="F177" s="2886"/>
      <c r="G177" s="2886"/>
      <c r="H177" s="2886"/>
      <c r="I177" s="2886"/>
      <c r="J177" s="2886"/>
      <c r="K177" s="2886"/>
    </row>
    <row r="178" spans="1:11" ht="11.25" customHeight="1">
      <c r="A178" s="328" t="s">
        <v>1210</v>
      </c>
      <c r="B178" s="20"/>
      <c r="C178" s="329"/>
      <c r="D178" s="329"/>
      <c r="E178" s="329"/>
      <c r="F178" s="330"/>
      <c r="G178" s="330"/>
      <c r="H178" s="330"/>
      <c r="I178" s="330"/>
      <c r="J178" s="330"/>
      <c r="K178" s="330"/>
    </row>
    <row r="179" spans="1:11" ht="11.25" customHeight="1">
      <c r="A179" s="328" t="s">
        <v>1184</v>
      </c>
      <c r="B179" s="20"/>
      <c r="C179" s="329"/>
      <c r="D179" s="329"/>
      <c r="E179" s="329"/>
      <c r="F179" s="330"/>
      <c r="G179" s="330"/>
      <c r="H179" s="330"/>
      <c r="I179" s="330"/>
      <c r="J179" s="330"/>
      <c r="K179" s="330"/>
    </row>
    <row r="180" spans="1:11" ht="12.75">
      <c r="B180" s="331"/>
    </row>
    <row r="181" spans="1:11" ht="12.75" customHeight="1">
      <c r="A181" s="24" t="str">
        <f>muni&amp;" - "&amp;"Entities measureable performance objectives"</f>
        <v>LIM333 Greater Tzaneen - Entities measureable performance objectives</v>
      </c>
      <c r="B181" s="24"/>
      <c r="C181" s="24"/>
      <c r="D181" s="24"/>
      <c r="E181" s="24"/>
      <c r="F181" s="24"/>
      <c r="G181" s="24"/>
      <c r="H181" s="24"/>
      <c r="I181" s="24"/>
      <c r="J181" s="24"/>
      <c r="K181" s="24"/>
    </row>
    <row r="182" spans="1:11" ht="28.5" customHeight="1">
      <c r="A182" s="2884" t="str">
        <f>A2</f>
        <v>Description</v>
      </c>
      <c r="B182" s="2882" t="s">
        <v>358</v>
      </c>
      <c r="C182" s="22" t="str">
        <f>head1b</f>
        <v>2016/17</v>
      </c>
      <c r="D182" s="27" t="str">
        <f>head1A</f>
        <v>2017/18</v>
      </c>
      <c r="E182" s="23" t="str">
        <f>Head1</f>
        <v>2018/19</v>
      </c>
      <c r="F182" s="2842" t="str">
        <f>Head2</f>
        <v>Current Year 2019/20</v>
      </c>
      <c r="G182" s="2843"/>
      <c r="H182" s="2847"/>
      <c r="I182" s="2839" t="str">
        <f>Head3</f>
        <v>2020/21 Medium Term Revenue &amp; Expenditure Framework</v>
      </c>
      <c r="J182" s="2840"/>
      <c r="K182" s="2841"/>
    </row>
    <row r="183" spans="1:11" ht="25.5">
      <c r="A183" s="2885"/>
      <c r="B183" s="2883"/>
      <c r="C183" s="259" t="str">
        <f>Head5</f>
        <v>Audited Outcome</v>
      </c>
      <c r="D183" s="260" t="str">
        <f>Head5</f>
        <v>Audited Outcome</v>
      </c>
      <c r="E183" s="261" t="str">
        <f>Head5</f>
        <v>Audited Outcome</v>
      </c>
      <c r="F183" s="172" t="str">
        <f>Head6</f>
        <v>Original Budget</v>
      </c>
      <c r="G183" s="260" t="str">
        <f>Head7</f>
        <v>Adjusted Budget</v>
      </c>
      <c r="H183" s="261" t="str">
        <f>Head8</f>
        <v>Full Year Forecast</v>
      </c>
      <c r="I183" s="172" t="str">
        <f>Head9</f>
        <v>Budget Year 2020/21</v>
      </c>
      <c r="J183" s="260" t="str">
        <f>Head10</f>
        <v>Budget Year +1 2021/22</v>
      </c>
      <c r="K183" s="261" t="str">
        <f>Head11</f>
        <v>Budget Year +2 2022/23</v>
      </c>
    </row>
    <row r="184" spans="1:11" ht="11.25" customHeight="1">
      <c r="A184" s="1334" t="s">
        <v>1220</v>
      </c>
      <c r="B184" s="2021"/>
      <c r="C184" s="2037"/>
      <c r="D184" s="2038"/>
      <c r="E184" s="2039"/>
      <c r="F184" s="2040"/>
      <c r="G184" s="2038"/>
      <c r="H184" s="2041"/>
      <c r="I184" s="2042"/>
      <c r="J184" s="2038"/>
      <c r="K184" s="2039"/>
    </row>
    <row r="185" spans="1:11" ht="11.25" customHeight="1">
      <c r="A185" s="2043" t="s">
        <v>955</v>
      </c>
      <c r="B185" s="2025"/>
      <c r="C185" s="2037"/>
      <c r="D185" s="2038"/>
      <c r="E185" s="2039"/>
      <c r="F185" s="2040"/>
      <c r="G185" s="2038"/>
      <c r="H185" s="2041"/>
      <c r="I185" s="2044"/>
      <c r="J185" s="2038"/>
      <c r="K185" s="2039"/>
    </row>
    <row r="186" spans="1:11" ht="11.25" customHeight="1">
      <c r="A186" s="2043"/>
      <c r="B186" s="2025"/>
      <c r="C186" s="2037"/>
      <c r="D186" s="2038"/>
      <c r="E186" s="2039"/>
      <c r="F186" s="2040"/>
      <c r="G186" s="2038"/>
      <c r="H186" s="2041"/>
      <c r="I186" s="2044"/>
      <c r="J186" s="2038"/>
      <c r="K186" s="2039"/>
    </row>
    <row r="187" spans="1:11" ht="11.25" customHeight="1">
      <c r="A187" s="2045"/>
      <c r="B187" s="2025"/>
      <c r="C187" s="2037"/>
      <c r="D187" s="2038"/>
      <c r="E187" s="2039"/>
      <c r="F187" s="2040"/>
      <c r="G187" s="2038"/>
      <c r="H187" s="2041"/>
      <c r="I187" s="2044"/>
      <c r="J187" s="2038"/>
      <c r="K187" s="2039"/>
    </row>
    <row r="188" spans="1:11" ht="11.25" customHeight="1">
      <c r="A188" s="1334" t="s">
        <v>1221</v>
      </c>
      <c r="B188" s="2046"/>
      <c r="C188" s="2047"/>
      <c r="D188" s="2048"/>
      <c r="E188" s="2049"/>
      <c r="F188" s="2050"/>
      <c r="G188" s="2048"/>
      <c r="H188" s="2051"/>
      <c r="I188" s="2042"/>
      <c r="J188" s="2048"/>
      <c r="K188" s="2049"/>
    </row>
    <row r="189" spans="1:11" ht="11.25" customHeight="1">
      <c r="A189" s="2459" t="str">
        <f>$A$119</f>
        <v>Insert measure/s description</v>
      </c>
      <c r="B189" s="2025"/>
      <c r="C189" s="2037"/>
      <c r="D189" s="2038"/>
      <c r="E189" s="2039"/>
      <c r="F189" s="2040"/>
      <c r="G189" s="2038"/>
      <c r="H189" s="2041"/>
      <c r="I189" s="2044"/>
      <c r="J189" s="2038"/>
      <c r="K189" s="2039"/>
    </row>
    <row r="190" spans="1:11" ht="11.25" customHeight="1">
      <c r="A190" s="2043"/>
      <c r="B190" s="2025"/>
      <c r="C190" s="2037"/>
      <c r="D190" s="2038"/>
      <c r="E190" s="2039"/>
      <c r="F190" s="2040"/>
      <c r="G190" s="2038"/>
      <c r="H190" s="2041"/>
      <c r="I190" s="2044"/>
      <c r="J190" s="2038"/>
      <c r="K190" s="2039"/>
    </row>
    <row r="191" spans="1:11" ht="11.25" customHeight="1">
      <c r="A191" s="2043"/>
      <c r="B191" s="2052"/>
      <c r="C191" s="2053"/>
      <c r="D191" s="2054"/>
      <c r="E191" s="2055"/>
      <c r="F191" s="2056"/>
      <c r="G191" s="2054"/>
      <c r="H191" s="2057"/>
      <c r="I191" s="2058"/>
      <c r="J191" s="2054"/>
      <c r="K191" s="2055"/>
    </row>
    <row r="192" spans="1:11" ht="11.25" customHeight="1">
      <c r="A192" s="1334" t="s">
        <v>1222</v>
      </c>
      <c r="B192" s="2059"/>
      <c r="C192" s="2060"/>
      <c r="D192" s="2061"/>
      <c r="E192" s="2062"/>
      <c r="F192" s="2063"/>
      <c r="G192" s="2061"/>
      <c r="H192" s="2064"/>
      <c r="I192" s="2065"/>
      <c r="J192" s="2061"/>
      <c r="K192" s="2062"/>
    </row>
    <row r="193" spans="1:11" ht="11.25" customHeight="1">
      <c r="A193" s="2459" t="str">
        <f>$A$119</f>
        <v>Insert measure/s description</v>
      </c>
      <c r="B193" s="2025"/>
      <c r="C193" s="2066"/>
      <c r="D193" s="2067"/>
      <c r="E193" s="2068"/>
      <c r="F193" s="2069"/>
      <c r="G193" s="2067"/>
      <c r="H193" s="2070"/>
      <c r="I193" s="2071"/>
      <c r="J193" s="2067"/>
      <c r="K193" s="2068"/>
    </row>
    <row r="194" spans="1:11" ht="11.25" customHeight="1">
      <c r="A194" s="2043"/>
      <c r="B194" s="2052"/>
      <c r="C194" s="2053"/>
      <c r="D194" s="2054"/>
      <c r="E194" s="2055"/>
      <c r="F194" s="2056"/>
      <c r="G194" s="2054"/>
      <c r="H194" s="2057"/>
      <c r="I194" s="2058"/>
      <c r="J194" s="2054"/>
      <c r="K194" s="2055"/>
    </row>
    <row r="195" spans="1:11" ht="11.25" customHeight="1">
      <c r="A195" s="2043"/>
      <c r="B195" s="2052"/>
      <c r="C195" s="2053"/>
      <c r="D195" s="2054"/>
      <c r="E195" s="2055"/>
      <c r="F195" s="2056"/>
      <c r="G195" s="2054"/>
      <c r="H195" s="2057"/>
      <c r="I195" s="2058"/>
      <c r="J195" s="2054"/>
      <c r="K195" s="2055"/>
    </row>
    <row r="196" spans="1:11" ht="11.25" customHeight="1">
      <c r="A196" s="2036" t="s">
        <v>1223</v>
      </c>
      <c r="B196" s="2072"/>
      <c r="C196" s="2073"/>
      <c r="D196" s="2074"/>
      <c r="E196" s="2075"/>
      <c r="F196" s="2076"/>
      <c r="G196" s="2074"/>
      <c r="H196" s="2077"/>
      <c r="I196" s="2078"/>
      <c r="J196" s="2074"/>
      <c r="K196" s="2075"/>
    </row>
    <row r="197" spans="1:11" ht="11.25" customHeight="1">
      <c r="A197" s="2886" t="s">
        <v>149</v>
      </c>
      <c r="B197" s="2886"/>
      <c r="C197" s="2886"/>
      <c r="D197" s="2886"/>
      <c r="E197" s="2886"/>
      <c r="F197" s="2886"/>
      <c r="G197" s="2886"/>
      <c r="H197" s="2886"/>
      <c r="I197" s="2886"/>
      <c r="J197" s="2886"/>
      <c r="K197" s="2886"/>
    </row>
    <row r="198" spans="1:11" ht="11.25" customHeight="1">
      <c r="A198" s="328" t="s">
        <v>1185</v>
      </c>
      <c r="B198" s="20"/>
      <c r="C198" s="329"/>
      <c r="D198" s="329"/>
      <c r="E198" s="329"/>
      <c r="F198" s="330"/>
      <c r="G198" s="330"/>
      <c r="H198" s="330"/>
      <c r="I198" s="330"/>
      <c r="J198" s="330"/>
      <c r="K198" s="330"/>
    </row>
  </sheetData>
  <mergeCells count="10">
    <mergeCell ref="B2:B3"/>
    <mergeCell ref="A2:A3"/>
    <mergeCell ref="F2:H2"/>
    <mergeCell ref="I2:K2"/>
    <mergeCell ref="A197:K197"/>
    <mergeCell ref="A177:K177"/>
    <mergeCell ref="A182:A183"/>
    <mergeCell ref="B182:B183"/>
    <mergeCell ref="F182:H182"/>
    <mergeCell ref="I182:K182"/>
  </mergeCells>
  <phoneticPr fontId="5" type="noConversion"/>
  <printOptions horizontalCentered="1"/>
  <pageMargins left="0" right="0" top="0.78740157480314965" bottom="0.59055118110236227" header="0.51181102362204722" footer="0.39370078740157483"/>
  <pageSetup paperSize="8" scale="33" orientation="landscape" r:id="rId1"/>
  <headerFooter alignWithMargins="0"/>
  <rowBreaks count="1" manualBreakCount="1">
    <brk id="180"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27" activePane="bottomRight" state="frozen"/>
      <selection pane="topRight"/>
      <selection pane="bottomLeft"/>
      <selection pane="bottomRight" activeCell="E28" sqref="E28"/>
    </sheetView>
  </sheetViews>
  <sheetFormatPr defaultColWidth="9.140625" defaultRowHeight="12.75"/>
  <cols>
    <col min="1" max="1" width="29.28515625" style="26" customWidth="1"/>
    <col min="2" max="2" width="25.140625" style="26" customWidth="1"/>
    <col min="3" max="12" width="8.7109375" style="26" customWidth="1"/>
    <col min="13" max="16384" width="9.140625" style="26"/>
  </cols>
  <sheetData>
    <row r="1" spans="1:12" s="56" customFormat="1">
      <c r="A1" s="24" t="str">
        <f>muni&amp;" - "&amp;TableA8</f>
        <v>LIM333 Greater Tzaneen - Supporting Table SA8 Performance indicators and benchmarks</v>
      </c>
      <c r="B1" s="24"/>
      <c r="C1" s="24"/>
      <c r="D1" s="24"/>
      <c r="E1" s="24"/>
      <c r="F1" s="24"/>
      <c r="G1" s="24"/>
      <c r="H1" s="24"/>
      <c r="I1" s="24"/>
      <c r="J1" s="24"/>
      <c r="K1" s="24"/>
      <c r="L1" s="24"/>
    </row>
    <row r="2" spans="1:12" ht="28.5" customHeight="1">
      <c r="A2" s="2884" t="s">
        <v>289</v>
      </c>
      <c r="B2" s="2882" t="s">
        <v>949</v>
      </c>
      <c r="C2" s="22" t="str">
        <f>head1b</f>
        <v>2016/17</v>
      </c>
      <c r="D2" s="27" t="str">
        <f>head1A</f>
        <v>2017/18</v>
      </c>
      <c r="E2" s="23" t="str">
        <f>Head1</f>
        <v>2018/19</v>
      </c>
      <c r="F2" s="2842" t="str">
        <f>Head2</f>
        <v>Current Year 2019/20</v>
      </c>
      <c r="G2" s="2843"/>
      <c r="H2" s="2843"/>
      <c r="I2" s="2843"/>
      <c r="J2" s="2839" t="str">
        <f>Head3</f>
        <v>2020/21 Medium Term Revenue &amp; Expenditure Framework</v>
      </c>
      <c r="K2" s="2840"/>
      <c r="L2" s="2841"/>
    </row>
    <row r="3" spans="1:12" ht="38.25">
      <c r="A3" s="2885"/>
      <c r="B3" s="2883"/>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2">
      <c r="A4" s="332" t="s">
        <v>681</v>
      </c>
      <c r="B4" s="333"/>
      <c r="C4" s="334"/>
      <c r="D4" s="306"/>
      <c r="E4" s="335"/>
      <c r="F4" s="336"/>
      <c r="G4" s="306"/>
      <c r="H4" s="335"/>
      <c r="I4" s="337"/>
      <c r="J4" s="334"/>
      <c r="K4" s="306"/>
      <c r="L4" s="335"/>
    </row>
    <row r="5" spans="1:12" ht="5.25" customHeight="1">
      <c r="A5" s="344"/>
      <c r="B5" s="338"/>
      <c r="C5" s="339"/>
      <c r="D5" s="340"/>
      <c r="E5" s="341"/>
      <c r="F5" s="342"/>
      <c r="G5" s="340"/>
      <c r="H5" s="341"/>
      <c r="I5" s="343"/>
      <c r="J5" s="339"/>
      <c r="K5" s="340"/>
      <c r="L5" s="341"/>
    </row>
    <row r="6" spans="1:12">
      <c r="A6" s="2579" t="s">
        <v>825</v>
      </c>
      <c r="B6" s="338"/>
      <c r="C6" s="2079"/>
      <c r="D6" s="2080"/>
      <c r="E6" s="2081"/>
      <c r="F6" s="2082"/>
      <c r="G6" s="2080"/>
      <c r="H6" s="2081"/>
      <c r="I6" s="2083"/>
      <c r="J6" s="345"/>
      <c r="K6" s="346"/>
      <c r="L6" s="347"/>
    </row>
    <row r="7" spans="1:12" ht="25.5">
      <c r="A7" s="344" t="s">
        <v>512</v>
      </c>
      <c r="B7" s="338" t="s">
        <v>1272</v>
      </c>
      <c r="C7" s="339">
        <f>IF(ISERROR(('A4-FinPerf RE'!C28-'A7-CFlow'!C35)/'A4-FinPerf RE'!C35),0,(('A4-FinPerf RE'!C28-'A7-CFlow'!C35)/'A4-FinPerf RE'!C35))</f>
        <v>3.9504211653895636E-2</v>
      </c>
      <c r="D7" s="340">
        <f>IF(ISERROR(('A4-FinPerf RE'!D28-'A7-CFlow'!D35)/'A4-FinPerf RE'!D35),0,(('A4-FinPerf RE'!D28-'A7-CFlow'!D35)/'A4-FinPerf RE'!D35))</f>
        <v>2.6439225425160699E-2</v>
      </c>
      <c r="E7" s="341">
        <f>IF(ISERROR(('A4-FinPerf RE'!E28-'A7-CFlow'!E35)/'A4-FinPerf RE'!E35),0,(('A4-FinPerf RE'!E28-'A7-CFlow'!E35)/'A4-FinPerf RE'!E35))</f>
        <v>1.4566896053021167E-2</v>
      </c>
      <c r="F7" s="342">
        <f>IF(ISERROR(('A4-FinPerf RE'!F28-'A7-CFlow'!F35)/'A4-FinPerf RE'!F35),0,(('A4-FinPerf RE'!F28-'A7-CFlow'!F35)/'A4-FinPerf RE'!F35))</f>
        <v>4.1358803484073399E-2</v>
      </c>
      <c r="G7" s="340">
        <f>IF(ISERROR(('A4-FinPerf RE'!G28-'A7-CFlow'!G35)/'A4-FinPerf RE'!G35),0,(('A4-FinPerf RE'!G28-'A7-CFlow'!G35)/'A4-FinPerf RE'!G35))</f>
        <v>3.2013022830249219E-2</v>
      </c>
      <c r="H7" s="341">
        <f>IF(ISERROR(('A4-FinPerf RE'!H28-'A7-CFlow'!H35)/'A4-FinPerf RE'!H35),0,(('A4-FinPerf RE'!H28-'A7-CFlow'!H35)/'A4-FinPerf RE'!H35))</f>
        <v>3.1446595648999334E-2</v>
      </c>
      <c r="I7" s="343">
        <f>IF(ISERROR(('A4-FinPerf RE'!I28-'A7-CFlow'!I35)/'A4-FinPerf RE'!I35),0,(('A4-FinPerf RE'!I28-'A7-CFlow'!I35)/'A4-FinPerf RE'!I35))</f>
        <v>3.1446595648999334E-2</v>
      </c>
      <c r="J7" s="339">
        <f>IF(ISERROR(('A4-FinPerf RE'!J28-'A7-CFlow'!J35)/'A4-FinPerf RE'!J35),0,(('A4-FinPerf RE'!J28-'A7-CFlow'!J35)/'A4-FinPerf RE'!J35))</f>
        <v>1.929421094082627E-2</v>
      </c>
      <c r="K7" s="340">
        <f>IF(ISERROR(('A4-FinPerf RE'!K28-'A7-CFlow'!K35)/'A4-FinPerf RE'!K35),0,(('A4-FinPerf RE'!K28-'A7-CFlow'!K35)/'A4-FinPerf RE'!K35))</f>
        <v>1.9965846480960864E-2</v>
      </c>
      <c r="L7" s="341">
        <f>IF(ISERROR(('A4-FinPerf RE'!L28-'A7-CFlow'!L35)/'A4-FinPerf RE'!L35),0,(('A4-FinPerf RE'!L28-'A7-CFlow'!L35)/'A4-FinPerf RE'!L35))</f>
        <v>2.0047988725742379E-2</v>
      </c>
    </row>
    <row r="8" spans="1:12" ht="25.5">
      <c r="A8" s="344" t="s">
        <v>1939</v>
      </c>
      <c r="B8" s="338" t="s">
        <v>1950</v>
      </c>
      <c r="C8" s="339">
        <f>IF(ISERROR(('A4-FinPerf RE'!C28-'A7-CFlow'!C35)/('A4-FinPerf RE'!C21-'A4-FinPerf RE'!C18)),0,(('A4-FinPerf RE'!C28-'A7-CFlow'!C35)/('A4-FinPerf RE'!C21-'A4-FinPerf RE'!C18)))</f>
        <v>6.7070003487096769E-2</v>
      </c>
      <c r="D8" s="340">
        <f>IF(ISERROR(('A4-FinPerf RE'!D28-'A7-CFlow'!D35)/('A4-FinPerf RE'!D21-'A4-FinPerf RE'!D18)),0,(('A4-FinPerf RE'!D28-'A7-CFlow'!D35)/('A4-FinPerf RE'!D21-'A4-FinPerf RE'!D18)))</f>
        <v>4.5610884052081899E-2</v>
      </c>
      <c r="E8" s="341">
        <f>IF(ISERROR(('A4-FinPerf RE'!E28-'A7-CFlow'!E35)/('A4-FinPerf RE'!E21-'A4-FinPerf RE'!E18)),0,(('A4-FinPerf RE'!E28-'A7-CFlow'!E35)/('A4-FinPerf RE'!E21-'A4-FinPerf RE'!E18)))</f>
        <v>2.4964000507258374E-2</v>
      </c>
      <c r="F8" s="342">
        <f>IF(ISERROR(('A4-FinPerf RE'!F28-'A7-CFlow'!F35)/('A4-FinPerf RE'!F21-'A4-FinPerf RE'!F18)),0,(('A4-FinPerf RE'!F28-'A7-CFlow'!F35)/('A4-FinPerf RE'!F21-'A4-FinPerf RE'!F18)))</f>
        <v>6.4422649646496841E-2</v>
      </c>
      <c r="G8" s="340">
        <f>IF(ISERROR(('A4-FinPerf RE'!G28-'A7-CFlow'!G35)/('A4-FinPerf RE'!G21-'A4-FinPerf RE'!G18)),0,(('A4-FinPerf RE'!G28-'A7-CFlow'!G35)/('A4-FinPerf RE'!G21-'A4-FinPerf RE'!G18)))</f>
        <v>4.7231831717125153E-2</v>
      </c>
      <c r="H8" s="341">
        <f>IF(ISERROR(('A4-FinPerf RE'!H28-'A7-CFlow'!H35)/('A4-FinPerf RE'!H21-'A4-FinPerf RE'!H18)),0,(('A4-FinPerf RE'!H28-'A7-CFlow'!H35)/('A4-FinPerf RE'!H21-'A4-FinPerf RE'!H18)))</f>
        <v>4.5468539211656209E-2</v>
      </c>
      <c r="I8" s="343">
        <f>IF(ISERROR(('A4-FinPerf RE'!I28-'A7-CFlow'!I35)/('A4-FinPerf RE'!I21-'A4-FinPerf RE'!I18)),0,(('A4-FinPerf RE'!I28-'A7-CFlow'!I35)/('A4-FinPerf RE'!I21-'A4-FinPerf RE'!I18)))</f>
        <v>4.5468539211656209E-2</v>
      </c>
      <c r="J8" s="339">
        <f>IF(ISERROR(('A4-FinPerf RE'!J28-'A7-CFlow'!J35)/('A4-FinPerf RE'!J21-'A4-FinPerf RE'!J18)),0,(('A4-FinPerf RE'!J28-'A7-CFlow'!J35)/('A4-FinPerf RE'!J21-'A4-FinPerf RE'!J18)))</f>
        <v>2.8460260461631897E-2</v>
      </c>
      <c r="K8" s="340">
        <f>IF(ISERROR(('A4-FinPerf RE'!K28-'A7-CFlow'!K35)/('A4-FinPerf RE'!K21-'A4-FinPerf RE'!K18)),0,(('A4-FinPerf RE'!K28-'A7-CFlow'!K35)/('A4-FinPerf RE'!K21-'A4-FinPerf RE'!K18)))</f>
        <v>2.9092844613788981E-2</v>
      </c>
      <c r="L8" s="341">
        <f>IF(ISERROR(('A4-FinPerf RE'!L28-'A7-CFlow'!L35)/('A4-FinPerf RE'!L21-'A4-FinPerf RE'!L18)),0,(('A4-FinPerf RE'!L28-'A7-CFlow'!L35)/('A4-FinPerf RE'!L21-'A4-FinPerf RE'!L18)))</f>
        <v>2.916278597682059E-2</v>
      </c>
    </row>
    <row r="9" spans="1:12" ht="25.5">
      <c r="A9" s="344" t="s">
        <v>783</v>
      </c>
      <c r="B9" s="338" t="s">
        <v>320</v>
      </c>
      <c r="C9" s="339">
        <f>IF(ISERROR(C49/C48),0,(C49/C48))</f>
        <v>0</v>
      </c>
      <c r="D9" s="340">
        <f>IF(ISERROR(D49/D48),0,(D49/D48))</f>
        <v>0</v>
      </c>
      <c r="E9" s="341">
        <f t="shared" ref="E9:L9" si="0">IF(ISERROR(E49/E48),0,(E49/E48))</f>
        <v>2.220728842528795</v>
      </c>
      <c r="F9" s="342">
        <f t="shared" si="0"/>
        <v>0.34500603760565812</v>
      </c>
      <c r="G9" s="340">
        <f t="shared" si="0"/>
        <v>0.36467791691962398</v>
      </c>
      <c r="H9" s="341">
        <f t="shared" si="0"/>
        <v>0.36467791691962398</v>
      </c>
      <c r="I9" s="343">
        <f t="shared" si="0"/>
        <v>0.39891375067646068</v>
      </c>
      <c r="J9" s="339">
        <f t="shared" si="0"/>
        <v>0.7136909718092066</v>
      </c>
      <c r="K9" s="340">
        <f t="shared" si="0"/>
        <v>0</v>
      </c>
      <c r="L9" s="341">
        <f t="shared" si="0"/>
        <v>0</v>
      </c>
    </row>
    <row r="10" spans="1:12">
      <c r="A10" s="348" t="s">
        <v>295</v>
      </c>
      <c r="B10" s="338"/>
      <c r="C10" s="349"/>
      <c r="D10" s="350"/>
      <c r="E10" s="351"/>
      <c r="F10" s="352"/>
      <c r="G10" s="350"/>
      <c r="H10" s="351"/>
      <c r="I10" s="353"/>
      <c r="J10" s="349"/>
      <c r="K10" s="350"/>
      <c r="L10" s="351"/>
    </row>
    <row r="11" spans="1:12" ht="25.5">
      <c r="A11" s="344" t="s">
        <v>294</v>
      </c>
      <c r="B11" s="338" t="s">
        <v>247</v>
      </c>
      <c r="C11" s="339">
        <f>IF(ISERROR(('A6-FinPos'!C37/'A6-FinPos'!C46)),0,(('A6-FinPos'!C37/'A6-FinPos'!C46)))</f>
        <v>0</v>
      </c>
      <c r="D11" s="340">
        <f>IF(ISERROR(('A6-FinPos'!D37/'A6-FinPos'!D46)),0,(('A6-FinPos'!D37/'A6-FinPos'!D46)))</f>
        <v>0</v>
      </c>
      <c r="E11" s="341">
        <f>IF(ISERROR(('A6-FinPos'!E37/'A6-FinPos'!E46)),0,(('A6-FinPos'!E37/'A6-FinPos'!E46)))</f>
        <v>0</v>
      </c>
      <c r="F11" s="342">
        <f>IF(ISERROR(('A6-FinPos'!F37/'A6-FinPos'!F46)),0,(('A6-FinPos'!F37/'A6-FinPos'!F46)))</f>
        <v>3.8676896664855764</v>
      </c>
      <c r="G11" s="340">
        <f>IF(ISERROR(('A6-FinPos'!G37/'A6-FinPos'!G46)),0,(('A6-FinPos'!G37/'A6-FinPos'!G46)))</f>
        <v>0</v>
      </c>
      <c r="H11" s="341">
        <f>IF(ISERROR(('A6-FinPos'!H37/'A6-FinPos'!H46)),0,(('A6-FinPos'!H37/'A6-FinPos'!H46)))</f>
        <v>0</v>
      </c>
      <c r="I11" s="343">
        <f>IF(ISERROR(('A6-FinPos'!I37/'A6-FinPos'!I46)),0,(('A6-FinPos'!I37/'A6-FinPos'!I46)))</f>
        <v>0</v>
      </c>
      <c r="J11" s="339">
        <f>IF(ISERROR(('A6-FinPos'!J37/'A6-FinPos'!J46)),0,(('A6-FinPos'!J37/'A6-FinPos'!J46)))</f>
        <v>0</v>
      </c>
      <c r="K11" s="340">
        <f>IF(ISERROR(('A6-FinPos'!K37/'A6-FinPos'!K46)),0,(('A6-FinPos'!K37/'A6-FinPos'!K46)))</f>
        <v>0</v>
      </c>
      <c r="L11" s="341">
        <f>IF(ISERROR(('A6-FinPos'!L37/'A6-FinPos'!L46)),0,(('A6-FinPos'!L37/'A6-FinPos'!L46)))</f>
        <v>0</v>
      </c>
    </row>
    <row r="12" spans="1:12">
      <c r="A12" s="348" t="s">
        <v>296</v>
      </c>
      <c r="B12" s="338"/>
      <c r="C12" s="349"/>
      <c r="D12" s="350"/>
      <c r="E12" s="351"/>
      <c r="F12" s="352"/>
      <c r="G12" s="350"/>
      <c r="H12" s="351"/>
      <c r="I12" s="353"/>
      <c r="J12" s="349"/>
      <c r="K12" s="350"/>
      <c r="L12" s="351"/>
    </row>
    <row r="13" spans="1:12">
      <c r="A13" s="344" t="s">
        <v>513</v>
      </c>
      <c r="B13" s="338" t="s">
        <v>1276</v>
      </c>
      <c r="C13" s="354">
        <f>IF(ISERROR('A6-FinPos'!C12/'A6-FinPos'!C34),0,('A6-FinPos'!C12/'A6-FinPos'!C34))</f>
        <v>1.6426533848565028</v>
      </c>
      <c r="D13" s="355">
        <f>IF(ISERROR('A6-FinPos'!D12/'A6-FinPos'!D34),0,('A6-FinPos'!D12/'A6-FinPos'!D34))</f>
        <v>1.5085538504455256</v>
      </c>
      <c r="E13" s="356">
        <f>IF(ISERROR('A6-FinPos'!E12/'A6-FinPos'!E34),0,('A6-FinPos'!E12/'A6-FinPos'!E34))</f>
        <v>1.3816729395183827</v>
      </c>
      <c r="F13" s="357">
        <f>IF(ISERROR('A6-FinPos'!F12/'A6-FinPos'!F34),0,('A6-FinPos'!F12/'A6-FinPos'!F34))</f>
        <v>2.9259676394223315</v>
      </c>
      <c r="G13" s="355">
        <f>IF(ISERROR('A6-FinPos'!G12/'A6-FinPos'!G34),0,('A6-FinPos'!G12/'A6-FinPos'!G34))</f>
        <v>1.8781748763973023</v>
      </c>
      <c r="H13" s="356">
        <f>IF(ISERROR('A6-FinPos'!H12/'A6-FinPos'!H34),0,('A6-FinPos'!H12/'A6-FinPos'!H34))</f>
        <v>1.4849383549698796</v>
      </c>
      <c r="I13" s="358">
        <f>IF(ISERROR('A6-FinPos'!I12/'A6-FinPos'!I34),0,('A6-FinPos'!I12/'A6-FinPos'!I34))</f>
        <v>1.4849383549698796</v>
      </c>
      <c r="J13" s="354">
        <f>IF(ISERROR('A6-FinPos'!J12/'A6-FinPos'!J34),0,('A6-FinPos'!J12/'A6-FinPos'!J34))</f>
        <v>1.4591186120966078</v>
      </c>
      <c r="K13" s="355">
        <f>IF(ISERROR('A6-FinPos'!K12/'A6-FinPos'!K34),0,('A6-FinPos'!K12/'A6-FinPos'!K34))</f>
        <v>1.4410778631968444</v>
      </c>
      <c r="L13" s="356">
        <f>IF(ISERROR('A6-FinPos'!L12/'A6-FinPos'!L34),0,('A6-FinPos'!L12/'A6-FinPos'!L34))</f>
        <v>1.4285834697030169</v>
      </c>
    </row>
    <row r="14" spans="1:12" ht="25.5">
      <c r="A14" s="344" t="s">
        <v>1273</v>
      </c>
      <c r="B14" s="338" t="s">
        <v>1225</v>
      </c>
      <c r="C14" s="354">
        <f>IF(ISERROR(('A6-FinPos'!C12-'SA8'!C45)/'A6-FinPos'!C34),0,(('A6-FinPos'!C12-'SA8'!C45)/'A6-FinPos'!C34))</f>
        <v>1.6426533848565028</v>
      </c>
      <c r="D14" s="355">
        <f>IF(ISERROR(('A6-FinPos'!D12-'SA8'!D45)/'A6-FinPos'!D34),0,(('A6-FinPos'!D12-'SA8'!D45)/'A6-FinPos'!D34))</f>
        <v>1.5085538504455256</v>
      </c>
      <c r="E14" s="356">
        <f>IF(ISERROR(('A6-FinPos'!E12-'SA8'!E45)/'A6-FinPos'!E34),0,(('A6-FinPos'!E12-'SA8'!E45)/'A6-FinPos'!E34))</f>
        <v>0.23251105591443513</v>
      </c>
      <c r="F14" s="357">
        <f>IF(ISERROR(('A6-FinPos'!F12-'SA8'!F45)/'A6-FinPos'!F34),0,(('A6-FinPos'!F12-'SA8'!F45)/'A6-FinPos'!F34))</f>
        <v>1.2692933952822392</v>
      </c>
      <c r="G14" s="355">
        <f>IF(ISERROR(('A6-FinPos'!G12-'SA8'!G45)/'A6-FinPos'!G34),0,(('A6-FinPos'!G12-'SA8'!G45)/'A6-FinPos'!G34))</f>
        <v>0.67627896638059304</v>
      </c>
      <c r="H14" s="356">
        <f>IF(ISERROR(('A6-FinPos'!H12-'SA8'!H45)/'A6-FinPos'!H34),0,(('A6-FinPos'!H12-'SA8'!H45)/'A6-FinPos'!H34))</f>
        <v>0.37686455161964938</v>
      </c>
      <c r="I14" s="358">
        <f>IF(ISERROR(('A6-FinPos'!I12-'SA8'!I45)/'A6-FinPos'!I34),0,(('A6-FinPos'!I12-'SA8'!I45)/'A6-FinPos'!I34))</f>
        <v>0.37686455161964938</v>
      </c>
      <c r="J14" s="354">
        <f>IF(ISERROR(('A6-FinPos'!J12-'SA8'!J45)/'A6-FinPos'!J34),0,(('A6-FinPos'!J12-'SA8'!J45)/'A6-FinPos'!J34))</f>
        <v>0.70213264196487857</v>
      </c>
      <c r="K14" s="355">
        <f>IF(ISERROR(('A6-FinPos'!K12-'SA8'!K45)/'A6-FinPos'!K34),0,(('A6-FinPos'!K12-'SA8'!K45)/'A6-FinPos'!K34))</f>
        <v>0.99465403816457698</v>
      </c>
      <c r="L14" s="356">
        <f>IF(ISERROR(('A6-FinPos'!L12-'SA8'!L45)/'A6-FinPos'!L34),0,(('A6-FinPos'!L12-'SA8'!L45)/'A6-FinPos'!L34))</f>
        <v>1.164045880659732</v>
      </c>
    </row>
    <row r="15" spans="1:12">
      <c r="A15" s="344" t="s">
        <v>297</v>
      </c>
      <c r="B15" s="338" t="s">
        <v>772</v>
      </c>
      <c r="C15" s="354">
        <f>IF(ISERROR(('A6-FinPos'!C6+'A6-FinPos'!C7)/'A6-FinPos'!C34),0,(('A6-FinPos'!C6+'A6-FinPos'!C7)/'A6-FinPos'!C34))</f>
        <v>0.11781346621506322</v>
      </c>
      <c r="D15" s="355">
        <f>IF(ISERROR(('A6-FinPos'!D6+'A6-FinPos'!D7)/'A6-FinPos'!D34),0,(('A6-FinPos'!D6+'A6-FinPos'!D7)/'A6-FinPos'!D34))</f>
        <v>2.7470596836529786E-2</v>
      </c>
      <c r="E15" s="356">
        <f>IF(ISERROR(('A6-FinPos'!E6+'A6-FinPos'!E7)/'A6-FinPos'!E34),0,(('A6-FinPos'!E6+'A6-FinPos'!E7)/'A6-FinPos'!E34))</f>
        <v>0.12709664128145917</v>
      </c>
      <c r="F15" s="357">
        <f>IF(ISERROR(('A6-FinPos'!F6+'A6-FinPos'!F7)/'A6-FinPos'!F34),0,(('A6-FinPos'!F6+'A6-FinPos'!F7)/'A6-FinPos'!F34))</f>
        <v>3.4789462839234182E-2</v>
      </c>
      <c r="G15" s="355">
        <f>IF(ISERROR(('A6-FinPos'!G6+'A6-FinPos'!G7)/'A6-FinPos'!G34),0,(('A6-FinPos'!G6+'A6-FinPos'!G7)/'A6-FinPos'!G34))</f>
        <v>0.27889094520202201</v>
      </c>
      <c r="H15" s="356">
        <f>IF(ISERROR(('A6-FinPos'!H6+'A6-FinPos'!H7)/'A6-FinPos'!H34),0,(('A6-FinPos'!H6+'A6-FinPos'!H7)/'A6-FinPos'!H34))</f>
        <v>0.13507497568551627</v>
      </c>
      <c r="I15" s="358">
        <f>IF(ISERROR(('A6-FinPos'!I6+'A6-FinPos'!I7)/'A6-FinPos'!I34),0,(('A6-FinPos'!I6+'A6-FinPos'!I7)/'A6-FinPos'!I34))</f>
        <v>0.13507497568551627</v>
      </c>
      <c r="J15" s="354">
        <f>IF(ISERROR(('A6-FinPos'!J6+'A6-FinPos'!J7)/'A6-FinPos'!J34),0,(('A6-FinPos'!J6+'A6-FinPos'!J7)/'A6-FinPos'!J34))</f>
        <v>0.13799476569278588</v>
      </c>
      <c r="K15" s="355">
        <f>IF(ISERROR(('A6-FinPos'!K6+'A6-FinPos'!K7)/'A6-FinPos'!K34),0,(('A6-FinPos'!K6+'A6-FinPos'!K7)/'A6-FinPos'!K34))</f>
        <v>0.13871752561588607</v>
      </c>
      <c r="L15" s="356">
        <f>IF(ISERROR(('A6-FinPos'!L6+'A6-FinPos'!L7)/'A6-FinPos'!L34),0,(('A6-FinPos'!L6+'A6-FinPos'!L7)/'A6-FinPos'!L34))</f>
        <v>0.14004429698648269</v>
      </c>
    </row>
    <row r="16" spans="1:12">
      <c r="A16" s="348" t="s">
        <v>773</v>
      </c>
      <c r="B16" s="338"/>
      <c r="C16" s="359"/>
      <c r="D16" s="360"/>
      <c r="E16" s="361"/>
      <c r="F16" s="362"/>
      <c r="G16" s="360"/>
      <c r="H16" s="361"/>
      <c r="I16" s="363"/>
      <c r="J16" s="359"/>
      <c r="K16" s="360"/>
      <c r="L16" s="361"/>
    </row>
    <row r="17" spans="1:13" ht="25.5">
      <c r="A17" s="344" t="s">
        <v>774</v>
      </c>
      <c r="B17" s="338" t="s">
        <v>1226</v>
      </c>
      <c r="C17" s="364"/>
      <c r="D17" s="365">
        <f>IF(ISERROR(('A7-CFlow'!C6+'A7-CFlow'!C7+'A7-CFlow'!C22+'A7-CFlow'!C23)/SUM('A4-FinPerf RE'!C5:C10)),0,('A7-CFlow'!C6+'A7-CFlow'!C7+'A7-CFlow'!C22+'A7-CFlow'!C23)/(SUM('A4-FinPerf RE'!C5:C10)))</f>
        <v>0.98167158395673648</v>
      </c>
      <c r="E17" s="365">
        <f>IF(ISERROR(('A7-CFlow'!D6+'A7-CFlow'!D7+'A7-CFlow'!D22+'A7-CFlow'!D23)/SUM('A4-FinPerf RE'!D5:D10)),0,('A7-CFlow'!D6+'A7-CFlow'!D7+'A7-CFlow'!D22+'A7-CFlow'!D23)/(SUM('A4-FinPerf RE'!D5:D10)))</f>
        <v>0.9356556978231596</v>
      </c>
      <c r="F17" s="367">
        <f>IF(ISERROR(('A7-CFlow'!E6+'A7-CFlow'!E7+'A7-CFlow'!E22+'A7-CFlow'!E23)/SUM('A4-FinPerf RE'!E5:E10)),0,('A7-CFlow'!E6+'A7-CFlow'!E7+'A7-CFlow'!E22+'A7-CFlow'!E23)/(SUM('A4-FinPerf RE'!E5:E10)))</f>
        <v>1.0273269677849375</v>
      </c>
      <c r="G17" s="365">
        <f>IF(ISERROR(('A7-CFlow'!F6+'A7-CFlow'!F7+'A7-CFlow'!F22+'A7-CFlow'!F23)/SUM('A4-FinPerf RE'!F5:F10)),0,('A7-CFlow'!F6+'A7-CFlow'!F7+'A7-CFlow'!F22+'A7-CFlow'!F23)/(SUM('A4-FinPerf RE'!F5:F10)))</f>
        <v>0.9168926784935425</v>
      </c>
      <c r="H17" s="366">
        <f>IF(ISERROR(('A7-CFlow'!G6+'A7-CFlow'!G7+'A7-CFlow'!G22+'A7-CFlow'!G23)/SUM('A4-FinPerf RE'!G5:G10)),0,('A7-CFlow'!G6+'A7-CFlow'!G7+'A7-CFlow'!G22+'A7-CFlow'!G23)/(SUM('A4-FinPerf RE'!G5:G10)))</f>
        <v>0.91686231884544478</v>
      </c>
      <c r="I17" s="368">
        <f>IF(ISERROR(('A7-CFlow'!H6+'A7-CFlow'!H7+'A7-CFlow'!H22+'A7-CFlow'!H23)/SUM('A4-FinPerf RE'!H5:H10)),0,('A7-CFlow'!H6+'A7-CFlow'!H7+'A7-CFlow'!H22+'A7-CFlow'!H23)/(SUM('A4-FinPerf RE'!H5:H10)))</f>
        <v>0.81418478593354426</v>
      </c>
      <c r="J17" s="364">
        <f>IF(ISERROR(('A7-CFlow'!I6+'A7-CFlow'!I7+'A7-CFlow'!I22+'A7-CFlow'!I23)/SUM('A4-FinPerf RE'!I5:I10)),0,('A7-CFlow'!I6+'A7-CFlow'!I7+'A7-CFlow'!I22+'A7-CFlow'!I23)/(SUM('A4-FinPerf RE'!I5:I10)))</f>
        <v>0.81418478593354426</v>
      </c>
      <c r="K17" s="365">
        <f>IF(ISERROR(('A7-CFlow'!J6+'A7-CFlow'!J7+'A7-CFlow'!J22+'A7-CFlow'!J23)/SUM('A4-FinPerf RE'!J5:J10)),0,('A7-CFlow'!J6+'A7-CFlow'!J7+'A7-CFlow'!J22+'A7-CFlow'!J23)/(SUM('A4-FinPerf RE'!J5:J10)))</f>
        <v>0.89999999999999991</v>
      </c>
      <c r="L17" s="366">
        <f>IF(ISERROR(('A7-CFlow'!K6+'A7-CFlow'!K7+'A7-CFlow'!K22+'A7-CFlow'!K23)/SUM('A4-FinPerf RE'!K5:K10)),0,('A7-CFlow'!K6+'A7-CFlow'!K7+'A7-CFlow'!K22+'A7-CFlow'!K23)/(SUM('A4-FinPerf RE'!K5:K10)))</f>
        <v>0.89999999991618507</v>
      </c>
    </row>
    <row r="18" spans="1:13" ht="25.5" customHeight="1">
      <c r="A18" s="2589" t="s">
        <v>1980</v>
      </c>
      <c r="B18" s="338"/>
      <c r="C18" s="364">
        <f>IF(ISERROR(('A7-CFlow'!C6+'A7-CFlow'!C7)/SUM('A4-FinPerf RE'!C5:C10)),0,(('A7-CFlow'!C6+'A7-CFlow'!C7)/SUM('A4-FinPerf RE'!C5:C10)))</f>
        <v>0.98167158395673648</v>
      </c>
      <c r="D18" s="365">
        <f>IF(ISERROR(('A7-CFlow'!D6+'A7-CFlow'!D7)/SUM('A4-FinPerf RE'!D5:D10)),0,(('A7-CFlow'!D6+'A7-CFlow'!D7)/SUM('A4-FinPerf RE'!D5:D10)))</f>
        <v>0.9356556978231596</v>
      </c>
      <c r="E18" s="368">
        <f>IF(ISERROR(('A7-CFlow'!E6+'A7-CFlow'!E7)/SUM('A4-FinPerf RE'!E5:E10)),0,(('A7-CFlow'!E6+'A7-CFlow'!E7)/SUM('A4-FinPerf RE'!E5:E10)))</f>
        <v>1.0273269677849375</v>
      </c>
      <c r="F18" s="367">
        <f>IF(ISERROR(('A7-CFlow'!F6+'A7-CFlow'!F7)/SUM('A4-FinPerf RE'!F5:F10)),0,(('A7-CFlow'!F6+'A7-CFlow'!F7)/SUM('A4-FinPerf RE'!F5:F10)))</f>
        <v>0.9168926784935425</v>
      </c>
      <c r="G18" s="365">
        <f>IF(ISERROR(('A7-CFlow'!G6+'A7-CFlow'!G7)/SUM('A4-FinPerf RE'!G5:G10)),0,(('A7-CFlow'!G6+'A7-CFlow'!G7)/SUM('A4-FinPerf RE'!G5:G10)))</f>
        <v>0.91686231884544478</v>
      </c>
      <c r="H18" s="366">
        <f>IF(ISERROR(('A7-CFlow'!H6+'A7-CFlow'!H7)/SUM('A4-FinPerf RE'!H5:H10)),0,(('A7-CFlow'!H6+'A7-CFlow'!H7)/SUM('A4-FinPerf RE'!H5:H10)))</f>
        <v>0.81418478593354426</v>
      </c>
      <c r="I18" s="368">
        <f>IF(ISERROR(('A7-CFlow'!I6+'A7-CFlow'!I7)/SUM('A4-FinPerf RE'!I5:I10)),0,(('A7-CFlow'!I6+'A7-CFlow'!I7)/SUM('A4-FinPerf RE'!I5:I10)))</f>
        <v>0.81418478593354426</v>
      </c>
      <c r="J18" s="364">
        <f>IF(ISERROR(('A7-CFlow'!J6+'A7-CFlow'!J7)/SUM('A4-FinPerf RE'!J5:J10)),0,(('A7-CFlow'!J6+'A7-CFlow'!J7)/SUM('A4-FinPerf RE'!J5:J10)))</f>
        <v>0.89999999999999991</v>
      </c>
      <c r="K18" s="365">
        <f>IF(ISERROR(('A7-CFlow'!K6+'A7-CFlow'!K7)/SUM('A4-FinPerf RE'!K5:K10)),0,(('A7-CFlow'!K6+'A7-CFlow'!K7)/SUM('A4-FinPerf RE'!K5:K10)))</f>
        <v>0.89999999991618507</v>
      </c>
      <c r="L18" s="366">
        <f>IF(ISERROR(('A7-CFlow'!L6+'A7-CFlow'!L7)/SUM('A4-FinPerf RE'!L5:L10)),0,(('A7-CFlow'!L6+'A7-CFlow'!L7)/SUM('A4-FinPerf RE'!L5:L10)))</f>
        <v>0.90000000000521718</v>
      </c>
    </row>
    <row r="19" spans="1:13" ht="25.5">
      <c r="A19" s="344" t="s">
        <v>421</v>
      </c>
      <c r="B19" s="338" t="s">
        <v>1191</v>
      </c>
      <c r="C19" s="339">
        <f>IF(ISERROR(('A6-FinPos'!C8+'A6-FinPos'!C9+'A6-FinPos'!C10+'A6-FinPos'!C15)/'A4-FinPerf RE'!C21),0,(('A6-FinPos'!C8+'A6-FinPos'!C9+'A6-FinPos'!C10+'A6-FinPos'!C15)/'A4-FinPerf RE'!C21))</f>
        <v>0.37052893389768499</v>
      </c>
      <c r="D19" s="340">
        <f>IF(ISERROR(('A6-FinPos'!D8+'A6-FinPos'!D9+'A6-FinPos'!D10+'A6-FinPos'!D15)/'A4-FinPerf RE'!D21),0,(('A6-FinPos'!D8+'A6-FinPos'!D9+'A6-FinPos'!D10+'A6-FinPos'!D15)/'A4-FinPerf RE'!D21))</f>
        <v>0.37489783508879293</v>
      </c>
      <c r="E19" s="341">
        <f>IF(ISERROR(('A6-FinPos'!E8+'A6-FinPos'!E9+'A6-FinPos'!E10+'A6-FinPos'!E15)/'A4-FinPerf RE'!E21),0,(('A6-FinPos'!E8+'A6-FinPos'!E9+'A6-FinPos'!E10+'A6-FinPos'!E15)/'A4-FinPerf RE'!E21))</f>
        <v>0.36690405452675318</v>
      </c>
      <c r="F19" s="342">
        <f>IF(ISERROR(('A6-FinPos'!F8+'A6-FinPos'!F9+'A6-FinPos'!F10+'A6-FinPos'!F15)/'A4-FinPerf RE'!F21),0,(('A6-FinPos'!F8+'A6-FinPos'!F9+'A6-FinPos'!F10+'A6-FinPos'!F15)/'A4-FinPerf RE'!F21))</f>
        <v>0.34473684345631117</v>
      </c>
      <c r="G19" s="340">
        <f>IF(ISERROR(('A6-FinPos'!G8+'A6-FinPos'!G9+'A6-FinPos'!G10+'A6-FinPos'!G15)/'A4-FinPerf RE'!G21),0,(('A6-FinPos'!G8+'A6-FinPos'!G9+'A6-FinPos'!G10+'A6-FinPos'!G15)/'A4-FinPerf RE'!G21))</f>
        <v>0.34491870347789616</v>
      </c>
      <c r="H19" s="341">
        <f>IF(ISERROR(('A6-FinPos'!H8+'A6-FinPos'!H9+'A6-FinPos'!H10+'A6-FinPos'!H15)/'A4-FinPerf RE'!H21),0,(('A6-FinPos'!H8+'A6-FinPos'!H9+'A6-FinPos'!H10+'A6-FinPos'!H15)/'A4-FinPerf RE'!H21))</f>
        <v>0.30743999730481109</v>
      </c>
      <c r="I19" s="343">
        <f>IF(ISERROR(('A6-FinPos'!I8+'A6-FinPos'!I9+'A6-FinPos'!I10+'A6-FinPos'!I15)/'A4-FinPerf RE'!I21),0,(('A6-FinPos'!I8+'A6-FinPos'!I9+'A6-FinPos'!I10+'A6-FinPos'!I15)/'A4-FinPerf RE'!I21))</f>
        <v>0.30743999730481109</v>
      </c>
      <c r="J19" s="339">
        <f>IF(ISERROR(('A6-FinPos'!J8+'A6-FinPos'!J9+'A6-FinPos'!J10+'A6-FinPos'!J15)/'A4-FinPerf RE'!J21),0,(('A6-FinPos'!J8+'A6-FinPos'!J9+'A6-FinPos'!J10+'A6-FinPos'!J15)/'A4-FinPerf RE'!J21))</f>
        <v>0.30512104686757913</v>
      </c>
      <c r="K19" s="340">
        <f>IF(ISERROR(('A6-FinPos'!K8+'A6-FinPos'!K9+'A6-FinPos'!K10+'A6-FinPos'!K15)/'A4-FinPerf RE'!K21),0,(('A6-FinPos'!K8+'A6-FinPos'!K9+'A6-FinPos'!K10+'A6-FinPos'!K15)/'A4-FinPerf RE'!K21))</f>
        <v>0.29066897418989684</v>
      </c>
      <c r="L19" s="341">
        <f>IF(ISERROR(('A6-FinPos'!L8+'A6-FinPos'!L9+'A6-FinPos'!L10+'A6-FinPos'!L15)/'A4-FinPerf RE'!L21),0,(('A6-FinPos'!L8+'A6-FinPos'!L9+'A6-FinPos'!L10+'A6-FinPos'!L15)/'A4-FinPerf RE'!L21))</f>
        <v>0.27625179048637449</v>
      </c>
    </row>
    <row r="20" spans="1:13" ht="25.5">
      <c r="A20" s="344" t="s">
        <v>1495</v>
      </c>
      <c r="B20" s="338" t="s">
        <v>489</v>
      </c>
      <c r="C20" s="2084"/>
      <c r="D20" s="2085"/>
      <c r="E20" s="2022"/>
      <c r="F20" s="2086"/>
      <c r="G20" s="2085"/>
      <c r="H20" s="2022"/>
      <c r="I20" s="2087"/>
      <c r="J20" s="2084"/>
      <c r="K20" s="2085"/>
      <c r="L20" s="2022"/>
    </row>
    <row r="21" spans="1:13">
      <c r="A21" s="348" t="s">
        <v>678</v>
      </c>
      <c r="B21" s="338"/>
      <c r="C21" s="349"/>
      <c r="D21" s="350"/>
      <c r="E21" s="351"/>
      <c r="F21" s="352"/>
      <c r="G21" s="350"/>
      <c r="H21" s="351"/>
      <c r="I21" s="353"/>
      <c r="J21" s="349"/>
      <c r="K21" s="350"/>
      <c r="L21" s="351"/>
    </row>
    <row r="22" spans="1:13" ht="24.75" customHeight="1">
      <c r="A22" s="344" t="s">
        <v>679</v>
      </c>
      <c r="B22" s="338" t="s">
        <v>287</v>
      </c>
      <c r="C22" s="2084"/>
      <c r="D22" s="2085"/>
      <c r="E22" s="2022"/>
      <c r="F22" s="2086"/>
      <c r="G22" s="2085"/>
      <c r="H22" s="2022"/>
      <c r="I22" s="2087"/>
      <c r="J22" s="2084"/>
      <c r="K22" s="2085"/>
      <c r="L22" s="2022"/>
    </row>
    <row r="23" spans="1:13">
      <c r="A23" s="2589" t="s">
        <v>1952</v>
      </c>
      <c r="B23" s="338"/>
      <c r="C23" s="364">
        <f>IF(ISERROR('SA3'!C35/'A7-CFlow'!C40),0,('SA3'!C35/'A7-CFlow'!C40))</f>
        <v>5.4888657729347141</v>
      </c>
      <c r="D23" s="365">
        <f>IF(ISERROR('SA3'!D35/'A7-CFlow'!D40),0,('SA3'!D35/'A7-CFlow'!D40))</f>
        <v>25.830856462573212</v>
      </c>
      <c r="E23" s="366">
        <f>IF(ISERROR('SA3'!E35/'A7-CFlow'!E40),0,('SA3'!E35/'A7-CFlow'!E40))</f>
        <v>5.3784035262502714</v>
      </c>
      <c r="F23" s="367">
        <f>IF(ISERROR('SA3'!F35/'A7-CFlow'!F40),0,('SA3'!F35/'A7-CFlow'!F40))</f>
        <v>28.597891065065063</v>
      </c>
      <c r="G23" s="365">
        <f>IF(ISERROR('SA3'!G35/'A7-CFlow'!G40),0,('SA3'!G35/'A7-CFlow'!G40))</f>
        <v>2.2746136773170398</v>
      </c>
      <c r="H23" s="366">
        <f>IF(ISERROR('SA3'!H35/'A7-CFlow'!H40),0,('SA3'!H35/'A7-CFlow'!H40))</f>
        <v>5.4696084763906319</v>
      </c>
      <c r="I23" s="368">
        <f>IF(ISERROR('SA3'!I35/'A7-CFlow'!I40),0,('SA3'!I35/'A7-CFlow'!I40))</f>
        <v>5.4696084763906319</v>
      </c>
      <c r="J23" s="364">
        <f>IF(ISERROR('SA3'!J35/'A7-CFlow'!J40),0,('SA3'!J35/'A7-CFlow'!J40))</f>
        <v>5.2772924436736819</v>
      </c>
      <c r="K23" s="365">
        <f>IF(ISERROR('SA3'!K35/'A7-CFlow'!K40),0,('SA3'!K35/'A7-CFlow'!K40))</f>
        <v>5.2116194839857677</v>
      </c>
      <c r="L23" s="366">
        <f>IF(ISERROR('SA3'!L35/'A7-CFlow'!L40),0,('SA3'!L35/'A7-CFlow'!L40))</f>
        <v>5.1493066483097154</v>
      </c>
      <c r="M23" s="240"/>
    </row>
    <row r="24" spans="1:13" ht="8.25" customHeight="1">
      <c r="A24" s="344"/>
      <c r="B24" s="338"/>
      <c r="C24" s="2088"/>
      <c r="D24" s="2089"/>
      <c r="E24" s="2090"/>
      <c r="F24" s="2091"/>
      <c r="G24" s="2089"/>
      <c r="H24" s="2090"/>
      <c r="I24" s="2092"/>
      <c r="J24" s="2088"/>
      <c r="K24" s="2089"/>
      <c r="L24" s="2090"/>
      <c r="M24" s="240"/>
    </row>
    <row r="25" spans="1:13">
      <c r="A25" s="348" t="s">
        <v>680</v>
      </c>
      <c r="B25" s="338"/>
      <c r="C25" s="349"/>
      <c r="D25" s="350"/>
      <c r="E25" s="351"/>
      <c r="F25" s="352"/>
      <c r="G25" s="350"/>
      <c r="H25" s="351"/>
      <c r="I25" s="353"/>
      <c r="J25" s="349"/>
      <c r="K25" s="350"/>
      <c r="L25" s="351"/>
      <c r="M25" s="240"/>
    </row>
    <row r="26" spans="1:13" ht="21" customHeight="1">
      <c r="A26" s="2888" t="s">
        <v>290</v>
      </c>
      <c r="B26" s="1174" t="s">
        <v>2000</v>
      </c>
      <c r="C26" s="2093"/>
      <c r="D26" s="2094"/>
      <c r="E26" s="2095"/>
      <c r="F26" s="2096"/>
      <c r="G26" s="2094"/>
      <c r="H26" s="2095"/>
      <c r="I26" s="2095"/>
      <c r="J26" s="2097"/>
      <c r="K26" s="2094"/>
      <c r="L26" s="2095"/>
    </row>
    <row r="27" spans="1:13" ht="21" customHeight="1">
      <c r="A27" s="2888"/>
      <c r="B27" s="1174" t="s">
        <v>1999</v>
      </c>
      <c r="C27" s="1402">
        <v>59812445</v>
      </c>
      <c r="D27" s="1402">
        <v>108946468</v>
      </c>
      <c r="E27" s="1404">
        <v>123565476</v>
      </c>
      <c r="F27" s="2098">
        <v>129085000</v>
      </c>
      <c r="G27" s="2098">
        <v>129085000</v>
      </c>
      <c r="H27" s="1404">
        <v>129085000</v>
      </c>
      <c r="I27" s="1957">
        <v>129085000</v>
      </c>
      <c r="J27" s="2098">
        <v>129085000</v>
      </c>
      <c r="K27" s="1402">
        <v>129085001</v>
      </c>
      <c r="L27" s="1404">
        <v>129085001</v>
      </c>
    </row>
    <row r="28" spans="1:13" ht="41.25" customHeight="1">
      <c r="A28" s="2889"/>
      <c r="B28" s="1891" t="s">
        <v>2009</v>
      </c>
      <c r="C28" s="2711">
        <v>21.92</v>
      </c>
      <c r="D28" s="885">
        <v>22.01</v>
      </c>
      <c r="E28" s="885">
        <v>20.62</v>
      </c>
      <c r="F28" s="885">
        <v>20.62</v>
      </c>
      <c r="G28" s="2594">
        <v>20.62</v>
      </c>
      <c r="H28" s="2593">
        <v>20.62</v>
      </c>
      <c r="I28" s="2593">
        <v>20.62</v>
      </c>
      <c r="J28" s="885">
        <v>20.62</v>
      </c>
      <c r="K28" s="885">
        <v>20.62</v>
      </c>
      <c r="L28" s="885">
        <v>20.62</v>
      </c>
    </row>
    <row r="29" spans="1:13" ht="21" customHeight="1">
      <c r="A29" s="2887" t="s">
        <v>1127</v>
      </c>
      <c r="B29" s="1892" t="s">
        <v>2001</v>
      </c>
      <c r="C29" s="2098"/>
      <c r="D29" s="1402"/>
      <c r="E29" s="1957"/>
      <c r="F29" s="1403"/>
      <c r="G29" s="1402"/>
      <c r="H29" s="1957"/>
      <c r="I29" s="1957"/>
      <c r="J29" s="2098"/>
      <c r="K29" s="1402"/>
      <c r="L29" s="1957"/>
    </row>
    <row r="30" spans="1:13" ht="21" customHeight="1">
      <c r="A30" s="2888"/>
      <c r="B30" s="1174" t="s">
        <v>1999</v>
      </c>
      <c r="C30" s="2093"/>
      <c r="D30" s="2094"/>
      <c r="E30" s="2095"/>
      <c r="F30" s="2096"/>
      <c r="G30" s="2094"/>
      <c r="H30" s="2095"/>
      <c r="I30" s="2095"/>
      <c r="J30" s="2097"/>
      <c r="K30" s="2094"/>
      <c r="L30" s="2095"/>
    </row>
    <row r="31" spans="1:13" ht="41.25" customHeight="1">
      <c r="A31" s="2889"/>
      <c r="B31" s="1891" t="s">
        <v>2009</v>
      </c>
      <c r="C31" s="1402"/>
      <c r="D31" s="2590"/>
      <c r="E31" s="2591"/>
      <c r="F31" s="2592"/>
      <c r="G31" s="2590"/>
      <c r="H31" s="2591"/>
      <c r="I31" s="2593"/>
      <c r="J31" s="2592"/>
      <c r="K31" s="2590"/>
      <c r="L31" s="2591"/>
    </row>
    <row r="32" spans="1:13" ht="25.5">
      <c r="A32" s="344" t="s">
        <v>424</v>
      </c>
      <c r="B32" s="338" t="s">
        <v>1455</v>
      </c>
      <c r="C32" s="364">
        <f>IF(ISERROR('A4-FinPerf RE'!C24/'A4-FinPerf RE'!C21),0,('A4-FinPerf RE'!C24/'A4-FinPerf RE'!C21))</f>
        <v>0.24617321838887354</v>
      </c>
      <c r="D32" s="365">
        <f>IF(ISERROR('A4-FinPerf RE'!D24/'A4-FinPerf RE'!D21),0,('A4-FinPerf RE'!D24/'A4-FinPerf RE'!D21))</f>
        <v>0.2573996642938835</v>
      </c>
      <c r="E32" s="366">
        <f>IF(ISERROR('A4-FinPerf RE'!E24/'A4-FinPerf RE'!E21),0,('A4-FinPerf RE'!E24/'A4-FinPerf RE'!E21))</f>
        <v>0.27368852505805735</v>
      </c>
      <c r="F32" s="367">
        <f>IF(ISERROR('A4-FinPerf RE'!F24/'A4-FinPerf RE'!F21),0,('A4-FinPerf RE'!F24/'A4-FinPerf RE'!F21))</f>
        <v>0.2816240863512503</v>
      </c>
      <c r="G32" s="365">
        <f>IF(ISERROR('A4-FinPerf RE'!G24/'A4-FinPerf RE'!G21),0,('A4-FinPerf RE'!G24/'A4-FinPerf RE'!G21))</f>
        <v>0.26145260162521888</v>
      </c>
      <c r="H32" s="366">
        <f>IF(ISERROR('A4-FinPerf RE'!H24/'A4-FinPerf RE'!H21),0,('A4-FinPerf RE'!H24/'A4-FinPerf RE'!H21))</f>
        <v>0.24569100816858103</v>
      </c>
      <c r="I32" s="368">
        <f>IF(ISERROR('A4-FinPerf RE'!I24/'A4-FinPerf RE'!I21),0,('A4-FinPerf RE'!I24/'A4-FinPerf RE'!I21))</f>
        <v>0.24569100816858103</v>
      </c>
      <c r="J32" s="364">
        <f>IF(ISERROR('A4-FinPerf RE'!J24/'A4-FinPerf RE'!J21),0,('A4-FinPerf RE'!J24/'A4-FinPerf RE'!J21))</f>
        <v>0.26244568485235165</v>
      </c>
      <c r="K32" s="365">
        <f>IF(ISERROR('A4-FinPerf RE'!K24/'A4-FinPerf RE'!K21),0,('A4-FinPerf RE'!K24/'A4-FinPerf RE'!K21))</f>
        <v>0.26151175711804664</v>
      </c>
      <c r="L32" s="366">
        <f>IF(ISERROR('A4-FinPerf RE'!L24/'A4-FinPerf RE'!L21),0,('A4-FinPerf RE'!L24/'A4-FinPerf RE'!L21))</f>
        <v>0.26032387362507342</v>
      </c>
    </row>
    <row r="33" spans="1:13" ht="25.5">
      <c r="A33" s="2589" t="s">
        <v>624</v>
      </c>
      <c r="B33" s="1174" t="s">
        <v>625</v>
      </c>
      <c r="C33" s="364">
        <f>IF(ISERROR('SA22'!C102/'A4-FinPerf RE'!C21),0,('SA22'!C102/'A4-FinPerf RE'!C21))</f>
        <v>0.26737722834196354</v>
      </c>
      <c r="D33" s="365">
        <f>IF(ISERROR('SA22'!D102/'A4-FinPerf RE'!D21),0,('SA22'!D102/'A4-FinPerf RE'!D21))</f>
        <v>0.28032041292252391</v>
      </c>
      <c r="E33" s="366">
        <f>IF(ISERROR('SA22'!E102/'A4-FinPerf RE'!E21),0,('SA22'!E102/'A4-FinPerf RE'!E21))</f>
        <v>0.29844710874017266</v>
      </c>
      <c r="F33" s="367">
        <f>IF(ISERROR('SA22'!F102/'A4-FinPerf RE'!F21),0,('SA22'!F102/'A4-FinPerf RE'!F21))</f>
        <v>0.30443993244542156</v>
      </c>
      <c r="G33" s="365">
        <f>IF(ISERROR('SA22'!G102/'A4-FinPerf RE'!G21),0,('SA22'!G102/'A4-FinPerf RE'!G21))</f>
        <v>0.28377611246250189</v>
      </c>
      <c r="H33" s="366">
        <f>IF(ISERROR('SA22'!H102/'A4-FinPerf RE'!H21),0,('SA22'!H102/'A4-FinPerf RE'!H21))</f>
        <v>0.26779264033021211</v>
      </c>
      <c r="I33" s="368"/>
      <c r="J33" s="364">
        <f>IF(ISERROR('SA22'!I102/'A4-FinPerf RE'!J21),0,('SA22'!I102/'A4-FinPerf RE'!J21))</f>
        <v>0.28449688985595584</v>
      </c>
      <c r="K33" s="365">
        <f>IF(ISERROR('SA22'!J102/'A4-FinPerf RE'!K21),0,('SA22'!J102/'A4-FinPerf RE'!K21))</f>
        <v>0.28349650263878523</v>
      </c>
      <c r="L33" s="366">
        <f>IF(ISERROR('SA22'!K102/'A4-FinPerf RE'!L21),0,('SA22'!K102/'A4-FinPerf RE'!L21))</f>
        <v>0.28222131364770392</v>
      </c>
    </row>
    <row r="34" spans="1:13" ht="25.5">
      <c r="A34" s="2589" t="s">
        <v>521</v>
      </c>
      <c r="B34" s="1174" t="s">
        <v>522</v>
      </c>
      <c r="C34" s="365">
        <f>IF(ISERROR('A9-Asset'!C169/'A4-FinPerf RE'!C21),0,('A9-Asset'!C169/'A4-FinPerf RE'!C21))</f>
        <v>2.7100694010254618E-2</v>
      </c>
      <c r="D34" s="365">
        <f>IF(ISERROR('A9-Asset'!D169/'A4-FinPerf RE'!D21),0,('A9-Asset'!D169/'A4-FinPerf RE'!D21))</f>
        <v>3.9516420587187129E-2</v>
      </c>
      <c r="E34" s="366">
        <f>IF(ISERROR('A9-Asset'!E169/'A4-FinPerf RE'!E21),0,('A9-Asset'!E169/'A4-FinPerf RE'!E21))</f>
        <v>3.300983626315452E-2</v>
      </c>
      <c r="F34" s="367">
        <f>IF(ISERROR('A9-Asset'!F169/'A4-FinPerf RE'!F21),0,('A9-Asset'!F169/'A4-FinPerf RE'!F21))</f>
        <v>3.9023620472647409E-2</v>
      </c>
      <c r="G34" s="365">
        <f>IF(ISERROR('A9-Asset'!G169/'A4-FinPerf RE'!G21),0,('A9-Asset'!G169/'A4-FinPerf RE'!G21))</f>
        <v>2.9334939780339114E-2</v>
      </c>
      <c r="H34" s="366">
        <f>IF(ISERROR('A9-Asset'!H169/'A4-FinPerf RE'!H21),0,('A9-Asset'!H169/'A4-FinPerf RE'!H21))</f>
        <v>2.8541086314244665E-2</v>
      </c>
      <c r="I34" s="368"/>
      <c r="J34" s="364">
        <f>IF(ISERROR('A9-Asset'!I169/'A4-FinPerf RE'!J21),0,('A9-Asset'!I169/'A4-FinPerf RE'!J21))</f>
        <v>4.2713433669111706E-2</v>
      </c>
      <c r="K34" s="365">
        <f>IF(ISERROR('A9-Asset'!J169/'A4-FinPerf RE'!K21),0,('A9-Asset'!J169/'A4-FinPerf RE'!K21))</f>
        <v>4.2533944248668916E-2</v>
      </c>
      <c r="L34" s="1569">
        <f>IF(ISERROR('A9-Asset'!K169/'A4-FinPerf RE'!L21),0,('A9-Asset'!K169/'A4-FinPerf RE'!L21))</f>
        <v>4.2311996245351521E-2</v>
      </c>
    </row>
    <row r="35" spans="1:13" ht="25.5">
      <c r="A35" s="2589" t="s">
        <v>1271</v>
      </c>
      <c r="B35" s="1174" t="s">
        <v>523</v>
      </c>
      <c r="C35" s="364">
        <f>IF(ISERROR(('A4-FinPerf RE'!C28+'A4-FinPerf RE'!C27)/'A4-FinPerf RE'!C21),0,(('A4-FinPerf RE'!C28+'A4-FinPerf RE'!C27)/'A4-FinPerf RE'!C21))</f>
        <v>0.13046379454716409</v>
      </c>
      <c r="D35" s="365">
        <f>IF(ISERROR(('A4-FinPerf RE'!D28+'A4-FinPerf RE'!D27)/'A4-FinPerf RE'!D21),0,(('A4-FinPerf RE'!D28+'A4-FinPerf RE'!D27)/'A4-FinPerf RE'!D21))</f>
        <v>0.1268769501220943</v>
      </c>
      <c r="E35" s="366">
        <f>IF(ISERROR(('A4-FinPerf RE'!E28+'A4-FinPerf RE'!E27)/'A4-FinPerf RE'!E21),0,(('A4-FinPerf RE'!E28+'A4-FinPerf RE'!E27)/'A4-FinPerf RE'!E21))</f>
        <v>0.12792477105277988</v>
      </c>
      <c r="F35" s="367">
        <f>IF(ISERROR(('A4-FinPerf RE'!F28+'A4-FinPerf RE'!F27)/'A4-FinPerf RE'!F21),0,(('A4-FinPerf RE'!F28+'A4-FinPerf RE'!F27)/'A4-FinPerf RE'!F21))</f>
        <v>0.12905750829040891</v>
      </c>
      <c r="G35" s="365">
        <f>IF(ISERROR(('A4-FinPerf RE'!G28+'A4-FinPerf RE'!G27)/'A4-FinPerf RE'!G21),0,(('A4-FinPerf RE'!G28+'A4-FinPerf RE'!G27)/'A4-FinPerf RE'!G21))</f>
        <v>0.11406310742193015</v>
      </c>
      <c r="H35" s="366">
        <f>IF(ISERROR(('A4-FinPerf RE'!H28+'A4-FinPerf RE'!H27)/'A4-FinPerf RE'!H21),0,(('A4-FinPerf RE'!H28+'A4-FinPerf RE'!H27)/'A4-FinPerf RE'!H21))</f>
        <v>0.11100937698665767</v>
      </c>
      <c r="I35" s="368">
        <f>IF(ISERROR(('A4-FinPerf RE'!I28+'A4-FinPerf RE'!I27)/'A4-FinPerf RE'!I21),0,(('A4-FinPerf RE'!I28+'A4-FinPerf RE'!I27)/'A4-FinPerf RE'!I21))</f>
        <v>0.11100937698665767</v>
      </c>
      <c r="J35" s="364">
        <f>IF(ISERROR(('A4-FinPerf RE'!J28+'A4-FinPerf RE'!J27)/'A4-FinPerf RE'!J21),0,(('A4-FinPerf RE'!J28+'A4-FinPerf RE'!J27)/'A4-FinPerf RE'!J21))</f>
        <v>0.11293294138043214</v>
      </c>
      <c r="K35" s="365">
        <f>IF(ISERROR(('A4-FinPerf RE'!K28+'A4-FinPerf RE'!K27)/'A4-FinPerf RE'!K21),0,(('A4-FinPerf RE'!K28+'A4-FinPerf RE'!K27)/'A4-FinPerf RE'!K21))</f>
        <v>0.10516970804095352</v>
      </c>
      <c r="L35" s="366">
        <f>IF(ISERROR(('A4-FinPerf RE'!L28+'A4-FinPerf RE'!L27)/'A4-FinPerf RE'!L21),0,(('A4-FinPerf RE'!L28+'A4-FinPerf RE'!L27)/'A4-FinPerf RE'!L21))</f>
        <v>0.1035555362725612</v>
      </c>
    </row>
    <row r="36" spans="1:13" ht="25.5">
      <c r="A36" s="369" t="s">
        <v>1442</v>
      </c>
      <c r="B36" s="370"/>
      <c r="C36" s="371"/>
      <c r="D36" s="372"/>
      <c r="E36" s="373"/>
      <c r="F36" s="374"/>
      <c r="G36" s="372"/>
      <c r="H36" s="373"/>
      <c r="I36" s="375"/>
      <c r="J36" s="371"/>
      <c r="K36" s="372"/>
      <c r="L36" s="373"/>
    </row>
    <row r="37" spans="1:13" ht="38.25">
      <c r="A37" s="344" t="s">
        <v>1443</v>
      </c>
      <c r="B37" s="338" t="s">
        <v>1496</v>
      </c>
      <c r="C37" s="354">
        <f>IF(ISERROR(('A4-FinPerf RE'!C21-'A4-FinPerf RE'!C18)/('A7-CFlow'!D11-'A7-CFlow'!D35)),0,(('A4-FinPerf RE'!C21-'A4-FinPerf RE'!C18)/('A7-CFlow'!D11-'A7-CFlow'!D35)))</f>
        <v>25.541461994439931</v>
      </c>
      <c r="D37" s="355">
        <f>IF(ISERROR(('A4-FinPerf RE'!D21-'A4-FinPerf RE'!D18)/('A7-CFlow'!E11-'A7-CFlow'!E35)),0,(('A4-FinPerf RE'!D21-'A4-FinPerf RE'!D18)/('A7-CFlow'!E11-'A7-CFlow'!E35)))</f>
        <v>46.400927223844967</v>
      </c>
      <c r="E37" s="356">
        <f>IF(ISERROR(('A4-FinPerf RE'!E21-'A4-FinPerf RE'!E18)/('A7-CFlow'!F11-'A7-CFlow'!F35)),0,(('A4-FinPerf RE'!E21-'A4-FinPerf RE'!E18)/('A7-CFlow'!F11-'A7-CFlow'!F35)))</f>
        <v>17.535231628595788</v>
      </c>
      <c r="F37" s="357">
        <f>IF(ISERROR(('A4-FinPerf RE'!F21-'A4-FinPerf RE'!F18)/('A7-CFlow'!G11-'A7-CFlow'!G35)),0,(('A4-FinPerf RE'!F21-'A4-FinPerf RE'!F18)/('A7-CFlow'!G11-'A7-CFlow'!G35)))</f>
        <v>21.213340638204016</v>
      </c>
      <c r="G37" s="355">
        <f>F37</f>
        <v>21.213340638204016</v>
      </c>
      <c r="H37" s="356">
        <f>G37</f>
        <v>21.213340638204016</v>
      </c>
      <c r="I37" s="358">
        <f>IF(ISERROR(('A4-FinPerf RE'!I21-'A4-FinPerf RE'!I18)/('A7-CFlow'!J11-'A7-CFlow'!J35)),0,(('A4-FinPerf RE'!I21-'A4-FinPerf RE'!I18)/('A7-CFlow'!J11-'A7-CFlow'!J35)))</f>
        <v>30.792862021350139</v>
      </c>
      <c r="J37" s="354">
        <f>IF(ISERROR(('A4-FinPerf RE'!J21-'A4-FinPerf RE'!J18)/('A7-CFlow'!K11-'A7-CFlow'!K35)),0,(('A4-FinPerf RE'!J21-'A4-FinPerf RE'!J18)/('A7-CFlow'!K11-'A7-CFlow'!K35)))</f>
        <v>27.207604021779851</v>
      </c>
      <c r="K37" s="355">
        <f>IF(ISERROR(('A4-FinPerf RE'!K21-'A4-FinPerf RE'!K18)/('A7-CFlow'!L11-'A7-CFlow'!L35)),0,(('A4-FinPerf RE'!K21-'A4-FinPerf RE'!K18)/('A7-CFlow'!L11-'A7-CFlow'!L35)))</f>
        <v>25.868585898896033</v>
      </c>
      <c r="L37" s="356">
        <f>IF(ISERROR(('A4-FinPerf RE'!L21-'A4-FinPerf RE'!L18)/('A7-CFlow'!L11-'A7-CFlow'!L35)),0,(('A4-FinPerf RE'!L21-'A4-FinPerf RE'!L18)/('A7-CFlow'!L11-'A7-CFlow'!L35)))</f>
        <v>27.059015997438514</v>
      </c>
    </row>
    <row r="38" spans="1:13" ht="25.5">
      <c r="A38" s="344" t="s">
        <v>1444</v>
      </c>
      <c r="B38" s="338" t="s">
        <v>637</v>
      </c>
      <c r="C38" s="364">
        <f>IF(ISERROR(('A6-FinPos'!C8+'A6-FinPos'!C9+'A6-FinPos'!C10)/SUM('A4-FinPerf RE'!C5:C11)),0,(('A6-FinPos'!C8+'A6-FinPos'!C9+'A6-FinPos'!C10)/SUM('A4-FinPerf RE'!C5:C11)))</f>
        <v>0.758562433084642</v>
      </c>
      <c r="D38" s="365">
        <f>IF(ISERROR(('A6-FinPos'!D8+'A6-FinPos'!D9+'A6-FinPos'!D10)/SUM('A4-FinPerf RE'!D5:D11)),0,(('A6-FinPos'!D8+'A6-FinPos'!D9+'A6-FinPos'!D10)/SUM('A4-FinPerf RE'!D5:D11)))</f>
        <v>0.70097642531956295</v>
      </c>
      <c r="E38" s="366">
        <f>IF(ISERROR(('A6-FinPos'!E8+'A6-FinPos'!E9+'A6-FinPos'!E10)/SUM('A4-FinPerf RE'!E5:E11)),0,(('A6-FinPos'!E8+'A6-FinPos'!E9+'A6-FinPos'!E10)/SUM('A4-FinPerf RE'!E5:E11)))</f>
        <v>0.66343472421886496</v>
      </c>
      <c r="F38" s="367">
        <f>IF(ISERROR(('A6-FinPos'!F8+'A6-FinPos'!F9+'A6-FinPos'!F10)/SUM('A4-FinPerf RE'!F5:F11)),0,(('A6-FinPos'!F8+'A6-FinPos'!F9+'A6-FinPos'!F10)/SUM('A4-FinPerf RE'!F5:F11)))</f>
        <v>0.60335274324639576</v>
      </c>
      <c r="G38" s="365">
        <f>IF(ISERROR(('A6-FinPos'!G8+'A6-FinPos'!G9+'A6-FinPos'!G10)/SUM('A4-FinPerf RE'!G5:G11)),0,(('A6-FinPos'!G8+'A6-FinPos'!G9+'A6-FinPos'!G10)/SUM('A4-FinPerf RE'!G5:G11)))</f>
        <v>0.60923208501652459</v>
      </c>
      <c r="H38" s="366">
        <f>IF(ISERROR(('A6-FinPos'!H8+'A6-FinPos'!H9+'A6-FinPos'!H10)/SUM('A4-FinPerf RE'!H5:H11)),0,(('A6-FinPos'!H8+'A6-FinPos'!H9+'A6-FinPos'!H10)/SUM('A4-FinPerf RE'!H5:H11)))</f>
        <v>0.5484818506557142</v>
      </c>
      <c r="I38" s="368">
        <f>IF(ISERROR(('A6-FinPos'!I8+'A6-FinPos'!I9+'A6-FinPos'!I10)/SUM('A4-FinPerf RE'!I5:I11)),0,(('A6-FinPos'!I8+'A6-FinPos'!I9+'A6-FinPos'!I10)/SUM('A4-FinPerf RE'!I5:I11)))</f>
        <v>0.5484818506557142</v>
      </c>
      <c r="J38" s="364">
        <f>IF(ISERROR(('A6-FinPos'!J8+'A6-FinPos'!J9+'A6-FinPos'!J10)/SUM('A4-FinPerf RE'!J5:J11)),0,(('A6-FinPos'!J8+'A6-FinPos'!J9+'A6-FinPos'!J10)/SUM('A4-FinPerf RE'!J5:J11)))</f>
        <v>0.54270161151435337</v>
      </c>
      <c r="K38" s="365">
        <f>IF(ISERROR(('A6-FinPos'!K8+'A6-FinPos'!K9+'A6-FinPos'!K10)/SUM('A4-FinPerf RE'!K5:K11)),0,(('A6-FinPos'!K8+'A6-FinPos'!K9+'A6-FinPos'!K10)/SUM('A4-FinPerf RE'!K5:K11)))</f>
        <v>0.51917018908427215</v>
      </c>
      <c r="L38" s="366">
        <f>IF(ISERROR(('A6-FinPos'!L8+'A6-FinPos'!L9+'A6-FinPos'!L10)/SUM('A4-FinPerf RE'!L5:L11)),0,(('A6-FinPos'!L8+'A6-FinPos'!L9+'A6-FinPos'!L10)/SUM('A4-FinPerf RE'!L5:L11)))</f>
        <v>0.49600001235842034</v>
      </c>
    </row>
    <row r="39" spans="1:13" ht="25.5">
      <c r="A39" s="376" t="s">
        <v>1445</v>
      </c>
      <c r="B39" s="377" t="s">
        <v>1364</v>
      </c>
      <c r="C39" s="378">
        <f>IF(ISERROR('A7-CFlow'!C40/'SA8'!C46),0,('A7-CFlow'!C40/'SA8'!C46))</f>
        <v>0.44493487003659937</v>
      </c>
      <c r="D39" s="379">
        <f>IF(ISERROR('A7-CFlow'!D40/'SA8'!D46),0,('A7-CFlow'!D40/'SA8'!D46))</f>
        <v>0.10062172692375493</v>
      </c>
      <c r="E39" s="380">
        <f>IF(ISERROR('A7-CFlow'!E40/'SA8'!E46),0,('A7-CFlow'!E40/'SA8'!E46))</f>
        <v>0.52350721665438105</v>
      </c>
      <c r="F39" s="381">
        <f>IF(ISERROR('A7-CFlow'!F40/'SA8'!F46),0,('A7-CFlow'!F40/'SA8'!F46))</f>
        <v>8.2445975199167146E-2</v>
      </c>
      <c r="G39" s="379">
        <f>IF(ISERROR('A7-CFlow'!G40/'SA8'!G46),0,('A7-CFlow'!G40/'SA8'!G46))</f>
        <v>1.1067098785232088</v>
      </c>
      <c r="H39" s="380">
        <f>IF(ISERROR('A7-CFlow'!H40/'SA8'!H46),0,('A7-CFlow'!H40/'SA8'!H46))</f>
        <v>0.50386267794422479</v>
      </c>
      <c r="I39" s="382">
        <f>IF(ISERROR('A7-CFlow'!I40/'SA8'!I46),0,('A7-CFlow'!I40/'SA8'!I46))</f>
        <v>0.50386267794422479</v>
      </c>
      <c r="J39" s="378">
        <f>IF(ISERROR('A7-CFlow'!J40/'SA8'!J46),0,('A7-CFlow'!J40/'SA8'!J46))</f>
        <v>0.51061795506528773</v>
      </c>
      <c r="K39" s="379">
        <f>IF(ISERROR('A7-CFlow'!K40/'SA8'!K46),0,('A7-CFlow'!K40/'SA8'!K46))</f>
        <v>0.50349238042861655</v>
      </c>
      <c r="L39" s="380">
        <f>IF(ISERROR('A7-CFlow'!L40/'SA8'!L46),0,('A7-CFlow'!L40/'SA8'!L46))</f>
        <v>0.49380179844544075</v>
      </c>
    </row>
    <row r="40" spans="1:13">
      <c r="A40" s="229" t="str">
        <f>head27a</f>
        <v>References</v>
      </c>
    </row>
    <row r="41" spans="1:13">
      <c r="A41" s="328" t="s">
        <v>1126</v>
      </c>
    </row>
    <row r="42" spans="1:13">
      <c r="A42" s="328" t="s">
        <v>1125</v>
      </c>
    </row>
    <row r="44" spans="1:13">
      <c r="A44" s="331" t="s">
        <v>674</v>
      </c>
    </row>
    <row r="45" spans="1:13">
      <c r="A45" s="26" t="s">
        <v>1269</v>
      </c>
      <c r="C45" s="87"/>
      <c r="D45" s="87"/>
      <c r="E45" s="1962">
        <v>383822364</v>
      </c>
      <c r="F45" s="1962">
        <v>344810128</v>
      </c>
      <c r="G45" s="1962">
        <v>344810128</v>
      </c>
      <c r="H45" s="1962">
        <v>344810128</v>
      </c>
      <c r="I45" s="1962">
        <v>344810128</v>
      </c>
      <c r="J45" s="1962">
        <v>241367000</v>
      </c>
      <c r="K45" s="1962">
        <v>144820000</v>
      </c>
      <c r="L45" s="1962">
        <v>86892000</v>
      </c>
      <c r="M45" s="240"/>
    </row>
    <row r="46" spans="1:13">
      <c r="A46" s="26" t="s">
        <v>1274</v>
      </c>
      <c r="C46" s="79">
        <f>(('A4-FinPerf RE'!C24+'A4-FinPerf RE'!C25+'A4-FinPerf RE'!C26+'A4-FinPerf RE'!C28+'A4-FinPerf RE'!C29+'A4-FinPerf RE'!C31+'SA1'!C101+'A7-CFlow'!C35)+(('A4-FinPerf RE'!C30+'A4-FinPerf RE'!C33)*'SA8'!C47))/12</f>
        <v>73158840.410333335</v>
      </c>
      <c r="D46" s="79">
        <f>(('A4-FinPerf RE'!D24+'A4-FinPerf RE'!D25+'A4-FinPerf RE'!D26+'A4-FinPerf RE'!D28+'A4-FinPerf RE'!D29+'A4-FinPerf RE'!D31+'SA1'!D101+'A7-CFlow'!D35)+(('A4-FinPerf RE'!D30+'A4-FinPerf RE'!D33)*'SA8'!D47))/12</f>
        <v>80056864.916500002</v>
      </c>
      <c r="E46" s="79">
        <f>(('A4-FinPerf RE'!E24+'A4-FinPerf RE'!E25+'A4-FinPerf RE'!E26+'A4-FinPerf RE'!E28+'A4-FinPerf RE'!E29+'A4-FinPerf RE'!E31+'SA1'!E101+'A7-CFlow'!E35)+(('A4-FinPerf RE'!E30+'A4-FinPerf RE'!E33)*'SA8'!E47))/12</f>
        <v>81088723.611666664</v>
      </c>
      <c r="F46" s="79">
        <f>(('A4-FinPerf RE'!F24+'A4-FinPerf RE'!F25+'A4-FinPerf RE'!F26+'A4-FinPerf RE'!F28+'A4-FinPerf RE'!F29+'A4-FinPerf RE'!F31+'SA1'!F101+'A7-CFlow'!F35)+(('A4-FinPerf RE'!F30+'A4-FinPerf RE'!F33)*'SA8'!F47))/12</f>
        <v>87825606.397499993</v>
      </c>
      <c r="G46" s="79">
        <f>(('A4-FinPerf RE'!G24+'A4-FinPerf RE'!G25+'A4-FinPerf RE'!G26+'A4-FinPerf RE'!G28+'A4-FinPerf RE'!G29+'A4-FinPerf RE'!G31+'SA1'!G101+'A7-CFlow'!G35)+(('A4-FinPerf RE'!G30+'A4-FinPerf RE'!G33)*'SA8'!G47))/12</f>
        <v>82258955.606666669</v>
      </c>
      <c r="H46" s="79">
        <f>(('A4-FinPerf RE'!H24+'A4-FinPerf RE'!H25+'A4-FinPerf RE'!H26+'A4-FinPerf RE'!H28+'A4-FinPerf RE'!H29+'A4-FinPerf RE'!H31+'SA1'!H101+'A7-CFlow'!H35)+(('A4-FinPerf RE'!H30+'A4-FinPerf RE'!H33)*'SA8'!H47))/12</f>
        <v>83420739.161499992</v>
      </c>
      <c r="I46" s="79">
        <f>(('A4-FinPerf RE'!I24+'A4-FinPerf RE'!I25+'A4-FinPerf RE'!I26+'A4-FinPerf RE'!I28+'A4-FinPerf RE'!I29+'A4-FinPerf RE'!I31+'SA1'!I101+'A7-CFlow'!I35)+(('A4-FinPerf RE'!I30+'A4-FinPerf RE'!I33)*'SA8'!I47))/12</f>
        <v>83420739.161499992</v>
      </c>
      <c r="J46" s="79">
        <f>(('A4-FinPerf RE'!J24+'A4-FinPerf RE'!J25+'A4-FinPerf RE'!J26+'A4-FinPerf RE'!J28+'A4-FinPerf RE'!J29+'A4-FinPerf RE'!J31+'SA1'!J101+'A7-CFlow'!J35)+(('A4-FinPerf RE'!J30+'A4-FinPerf RE'!J33)*'SA8'!J47))/12</f>
        <v>86170099.317262799</v>
      </c>
      <c r="K46" s="79">
        <f>(('A4-FinPerf RE'!K24+'A4-FinPerf RE'!K25+'A4-FinPerf RE'!K26+'A4-FinPerf RE'!K28+'A4-FinPerf RE'!K29+'A4-FinPerf RE'!K31+'SA1'!K101+'A7-CFlow'!K35)+(('A4-FinPerf RE'!K30+'A4-FinPerf RE'!K33)*'SA8'!K47))/12</f>
        <v>89375731.589322969</v>
      </c>
      <c r="L46" s="79">
        <f>(('A4-FinPerf RE'!L24+'A4-FinPerf RE'!L25+'A4-FinPerf RE'!L26+'A4-FinPerf RE'!L28+'A4-FinPerf RE'!L29+'A4-FinPerf RE'!L31+'SA1'!L101+'A7-CFlow'!L35)+(('A4-FinPerf RE'!L30+'A4-FinPerf RE'!L33)*'SA8'!L47))/12</f>
        <v>93154783.933824345</v>
      </c>
    </row>
    <row r="47" spans="1:13">
      <c r="A47" s="26" t="s">
        <v>1275</v>
      </c>
      <c r="C47" s="2099">
        <v>0.4</v>
      </c>
      <c r="D47" s="385">
        <f>$C$47</f>
        <v>0.4</v>
      </c>
      <c r="E47" s="385">
        <f t="shared" ref="E47:L47" si="1">$C$47</f>
        <v>0.4</v>
      </c>
      <c r="F47" s="385">
        <f t="shared" si="1"/>
        <v>0.4</v>
      </c>
      <c r="G47" s="385">
        <f t="shared" si="1"/>
        <v>0.4</v>
      </c>
      <c r="H47" s="385">
        <f t="shared" si="1"/>
        <v>0.4</v>
      </c>
      <c r="I47" s="385">
        <f t="shared" si="1"/>
        <v>0.4</v>
      </c>
      <c r="J47" s="385">
        <f t="shared" si="1"/>
        <v>0.4</v>
      </c>
      <c r="K47" s="385">
        <f t="shared" si="1"/>
        <v>0.4</v>
      </c>
      <c r="L47" s="385">
        <f t="shared" si="1"/>
        <v>0.4</v>
      </c>
    </row>
    <row r="48" spans="1:13">
      <c r="A48" s="26" t="s">
        <v>784</v>
      </c>
      <c r="C48" s="1570">
        <f>'A5-Capex'!C40-'A5-Capex'!C70-'A5-Capex'!C71</f>
        <v>17730146.712280706</v>
      </c>
      <c r="D48" s="1570">
        <f>'A5-Capex'!D40-'A5-Capex'!D70-'A5-Capex'!D71</f>
        <v>12940839.630000003</v>
      </c>
      <c r="E48" s="1570">
        <f>'A5-Capex'!E40-'A5-Capex'!E70-'A5-Capex'!E71</f>
        <v>18012104.510000005</v>
      </c>
      <c r="F48" s="1570">
        <f>'A5-Capex'!F40-'A5-Capex'!F70-'A5-Capex'!F71</f>
        <v>57970000</v>
      </c>
      <c r="G48" s="1570">
        <f>'A5-Capex'!G40-'A5-Capex'!G70-'A5-Capex'!G71</f>
        <v>54842915</v>
      </c>
      <c r="H48" s="1570">
        <f>'A5-Capex'!H40-'A5-Capex'!H70-'A5-Capex'!H71</f>
        <v>54842915</v>
      </c>
      <c r="I48" s="1570">
        <f>'A5-Capex'!I40-'A5-Capex'!I70-'A5-Capex'!I71</f>
        <v>50136150.899999976</v>
      </c>
      <c r="J48" s="1570">
        <f>'A5-Capex'!J40-'A5-Capex'!J70-'A5-Capex'!J71</f>
        <v>42035000</v>
      </c>
      <c r="K48" s="1570">
        <f>'A5-Capex'!K40-'A5-Capex'!K70-'A5-Capex'!K71</f>
        <v>9319000</v>
      </c>
      <c r="L48" s="1570">
        <f>'A5-Capex'!L40-'A5-Capex'!L70-'A5-Capex'!L71</f>
        <v>9721432</v>
      </c>
    </row>
    <row r="49" spans="1:12">
      <c r="A49" s="26" t="s">
        <v>1122</v>
      </c>
      <c r="C49" s="1570">
        <f>'A7-CFlow'!C31+'A7-CFlow'!C32</f>
        <v>0</v>
      </c>
      <c r="D49" s="1570">
        <f>'A7-CFlow'!D31+'A7-CFlow'!D32</f>
        <v>0</v>
      </c>
      <c r="E49" s="1570">
        <f>'A7-CFlow'!E31+'A7-CFlow'!E32</f>
        <v>40000000</v>
      </c>
      <c r="F49" s="1570">
        <f>'A7-CFlow'!F31+'A7-CFlow'!F32</f>
        <v>20000000</v>
      </c>
      <c r="G49" s="1570">
        <f>'A7-CFlow'!G31+'A7-CFlow'!G32</f>
        <v>20000000</v>
      </c>
      <c r="H49" s="1570">
        <f>'A7-CFlow'!H31+'A7-CFlow'!H32</f>
        <v>20000000</v>
      </c>
      <c r="I49" s="1570">
        <f>'A7-CFlow'!I31+'A7-CFlow'!I32</f>
        <v>20000000</v>
      </c>
      <c r="J49" s="1570">
        <f>'A7-CFlow'!J31+'A7-CFlow'!J32</f>
        <v>30000000</v>
      </c>
      <c r="K49" s="1570">
        <f>'A7-CFlow'!K31+'A7-CFlow'!K32</f>
        <v>0</v>
      </c>
      <c r="L49" s="1570">
        <f>'A7-CFlow'!L31+'A7-CFlow'!L32</f>
        <v>0</v>
      </c>
    </row>
  </sheetData>
  <dataConsolidate/>
  <mergeCells count="6">
    <mergeCell ref="A29:A31"/>
    <mergeCell ref="A2:A3"/>
    <mergeCell ref="J2:L2"/>
    <mergeCell ref="B2:B3"/>
    <mergeCell ref="F2:I2"/>
    <mergeCell ref="A26:A28"/>
  </mergeCells>
  <phoneticPr fontId="5" type="noConversion"/>
  <dataValidations count="1">
    <dataValidation type="decimal" allowBlank="1" showInputMessage="1" showErrorMessage="1" sqref="C20:L20 C22:L22 C24:L24 C47 E45:L45 C26:L31">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M320"/>
  <sheetViews>
    <sheetView showGridLines="0" topLeftCell="A16" zoomScale="110" zoomScaleNormal="110" workbookViewId="0">
      <selection activeCell="L60" sqref="L60:M60"/>
    </sheetView>
  </sheetViews>
  <sheetFormatPr defaultColWidth="9.140625" defaultRowHeight="11.25" customHeight="1"/>
  <cols>
    <col min="1" max="1" width="35.28515625" style="26" customWidth="1"/>
    <col min="2" max="2" width="3.7109375" style="26" customWidth="1"/>
    <col min="3" max="3" width="32.42578125" style="26" customWidth="1"/>
    <col min="4" max="12" width="9.28515625" style="26" customWidth="1"/>
    <col min="13" max="16384" width="9.140625" style="26"/>
  </cols>
  <sheetData>
    <row r="1" spans="1:13" s="56" customFormat="1" ht="12.75">
      <c r="A1" s="24" t="str">
        <f>muni&amp;" - "&amp;TableA9</f>
        <v>LIM333 Greater Tzaneen - Supporting Table SA9 Social, economic and demographic statistics and assumptions</v>
      </c>
      <c r="B1" s="1657"/>
      <c r="C1" s="24"/>
      <c r="D1" s="24"/>
      <c r="E1" s="24"/>
      <c r="F1" s="24"/>
      <c r="G1" s="24"/>
      <c r="H1" s="24"/>
      <c r="I1" s="24"/>
      <c r="J1" s="24"/>
      <c r="K1" s="24"/>
      <c r="L1" s="24"/>
      <c r="M1" s="24"/>
    </row>
    <row r="2" spans="1:13" ht="33.75" customHeight="1">
      <c r="A2" s="2890" t="s">
        <v>550</v>
      </c>
      <c r="B2" s="2895" t="s">
        <v>1744</v>
      </c>
      <c r="C2" s="2890" t="s">
        <v>949</v>
      </c>
      <c r="D2" s="2890" t="str">
        <f>Head44</f>
        <v>2001 Census</v>
      </c>
      <c r="E2" s="2890" t="s">
        <v>173</v>
      </c>
      <c r="F2" s="2890" t="str">
        <f>Head45</f>
        <v>2011 Census</v>
      </c>
      <c r="G2" s="1719" t="str">
        <f>head1b</f>
        <v>2016/17</v>
      </c>
      <c r="H2" s="1720" t="str">
        <f>head1A</f>
        <v>2017/18</v>
      </c>
      <c r="I2" s="1721" t="str">
        <f>Head1</f>
        <v>2018/19</v>
      </c>
      <c r="J2" s="1722" t="str">
        <f>Head2</f>
        <v>Current Year 2019/20</v>
      </c>
      <c r="K2" s="2893" t="str">
        <f>Head3</f>
        <v>2020/21 Medium Term Revenue &amp; Expenditure Framework</v>
      </c>
      <c r="L2" s="2893"/>
      <c r="M2" s="2894"/>
    </row>
    <row r="3" spans="1:13" ht="25.15" customHeight="1">
      <c r="A3" s="2891"/>
      <c r="B3" s="2896"/>
      <c r="C3" s="2891"/>
      <c r="D3" s="2891"/>
      <c r="E3" s="2891"/>
      <c r="F3" s="2891"/>
      <c r="G3" s="859" t="str">
        <f t="shared" ref="G3:M3" si="0">Head5A</f>
        <v>Outcome</v>
      </c>
      <c r="H3" s="860" t="str">
        <f t="shared" si="0"/>
        <v>Outcome</v>
      </c>
      <c r="I3" s="1723" t="str">
        <f t="shared" si="0"/>
        <v>Outcome</v>
      </c>
      <c r="J3" s="1724" t="str">
        <f>Head6</f>
        <v>Original Budget</v>
      </c>
      <c r="K3" s="1725" t="str">
        <f t="shared" si="0"/>
        <v>Outcome</v>
      </c>
      <c r="L3" s="860" t="str">
        <f t="shared" si="0"/>
        <v>Outcome</v>
      </c>
      <c r="M3" s="1726" t="str">
        <f t="shared" si="0"/>
        <v>Outcome</v>
      </c>
    </row>
    <row r="4" spans="1:13" ht="11.25" customHeight="1">
      <c r="A4" s="387" t="s">
        <v>554</v>
      </c>
      <c r="B4" s="1733"/>
      <c r="C4" s="1658"/>
      <c r="D4" s="388"/>
      <c r="E4" s="388"/>
      <c r="F4" s="388"/>
      <c r="G4" s="336"/>
      <c r="H4" s="306"/>
      <c r="I4" s="389"/>
      <c r="J4" s="390"/>
      <c r="K4" s="337"/>
      <c r="L4" s="306"/>
      <c r="M4" s="335"/>
    </row>
    <row r="5" spans="1:13" ht="11.25" customHeight="1">
      <c r="A5" s="177" t="s">
        <v>980</v>
      </c>
      <c r="B5" s="1734"/>
      <c r="C5" s="2100"/>
      <c r="D5" s="2101" t="s">
        <v>3111</v>
      </c>
      <c r="E5" s="2101" t="s">
        <v>3112</v>
      </c>
      <c r="F5" s="2101" t="s">
        <v>3113</v>
      </c>
      <c r="G5" s="2102"/>
      <c r="H5" s="2103"/>
      <c r="I5" s="2104"/>
      <c r="J5" s="2105"/>
      <c r="K5" s="2106"/>
      <c r="L5" s="2103"/>
      <c r="M5" s="2107"/>
    </row>
    <row r="6" spans="1:13" ht="11.25" customHeight="1">
      <c r="A6" s="391" t="s">
        <v>978</v>
      </c>
      <c r="B6" s="1735"/>
      <c r="C6" s="2100"/>
      <c r="D6" s="2101" t="s">
        <v>3117</v>
      </c>
      <c r="E6" s="2101" t="s">
        <v>3118</v>
      </c>
      <c r="F6" s="2101" t="s">
        <v>3119</v>
      </c>
      <c r="G6" s="2108"/>
      <c r="H6" s="2109"/>
      <c r="I6" s="2110"/>
      <c r="J6" s="2111"/>
      <c r="K6" s="2112"/>
      <c r="L6" s="2109"/>
      <c r="M6" s="2113"/>
    </row>
    <row r="7" spans="1:13" ht="11.25" customHeight="1">
      <c r="A7" s="391" t="s">
        <v>109</v>
      </c>
      <c r="B7" s="1735"/>
      <c r="C7" s="2100"/>
      <c r="D7" s="2101" t="s">
        <v>3120</v>
      </c>
      <c r="E7" s="2101" t="s">
        <v>3121</v>
      </c>
      <c r="F7" s="2101" t="s">
        <v>3122</v>
      </c>
      <c r="G7" s="2108"/>
      <c r="H7" s="2109"/>
      <c r="I7" s="2110"/>
      <c r="J7" s="2111"/>
      <c r="K7" s="2112"/>
      <c r="L7" s="2109"/>
      <c r="M7" s="2113"/>
    </row>
    <row r="8" spans="1:13" ht="11.25" customHeight="1">
      <c r="A8" s="391" t="s">
        <v>979</v>
      </c>
      <c r="B8" s="1735"/>
      <c r="C8" s="2100"/>
      <c r="D8" s="2101" t="s">
        <v>3123</v>
      </c>
      <c r="E8" s="2101" t="s">
        <v>3124</v>
      </c>
      <c r="F8" s="2101" t="s">
        <v>3125</v>
      </c>
      <c r="G8" s="2108"/>
      <c r="H8" s="2109"/>
      <c r="I8" s="2110"/>
      <c r="J8" s="2111"/>
      <c r="K8" s="2112"/>
      <c r="L8" s="2109"/>
      <c r="M8" s="2113"/>
    </row>
    <row r="9" spans="1:13" ht="11.25" customHeight="1">
      <c r="A9" s="391" t="s">
        <v>110</v>
      </c>
      <c r="B9" s="1735"/>
      <c r="C9" s="2100"/>
      <c r="D9" s="2101" t="s">
        <v>3126</v>
      </c>
      <c r="E9" s="2101" t="s">
        <v>3127</v>
      </c>
      <c r="F9" s="2101" t="s">
        <v>3128</v>
      </c>
      <c r="G9" s="2108"/>
      <c r="H9" s="2109"/>
      <c r="I9" s="2110"/>
      <c r="J9" s="2111"/>
      <c r="K9" s="2112"/>
      <c r="L9" s="2109"/>
      <c r="M9" s="2113"/>
    </row>
    <row r="10" spans="1:13" ht="12.75" customHeight="1">
      <c r="A10" s="945" t="s">
        <v>981</v>
      </c>
      <c r="B10" s="1736"/>
      <c r="C10" s="2114"/>
      <c r="D10" s="2115" t="s">
        <v>3129</v>
      </c>
      <c r="E10" s="2115" t="s">
        <v>3130</v>
      </c>
      <c r="F10" s="2115" t="s">
        <v>3131</v>
      </c>
      <c r="G10" s="2116"/>
      <c r="H10" s="2117"/>
      <c r="I10" s="2118"/>
      <c r="J10" s="2119"/>
      <c r="K10" s="2120"/>
      <c r="L10" s="2117"/>
      <c r="M10" s="2121"/>
    </row>
    <row r="11" spans="1:13" ht="11.25" customHeight="1">
      <c r="A11" s="391"/>
      <c r="B11" s="1735"/>
      <c r="C11" s="1659"/>
      <c r="D11" s="393"/>
      <c r="E11" s="393"/>
      <c r="F11" s="393"/>
      <c r="G11" s="318"/>
      <c r="H11" s="308"/>
      <c r="I11" s="395"/>
      <c r="J11" s="310"/>
      <c r="K11" s="396"/>
      <c r="L11" s="308"/>
      <c r="M11" s="317"/>
    </row>
    <row r="12" spans="1:13" ht="11.25" customHeight="1">
      <c r="A12" s="394" t="s">
        <v>1943</v>
      </c>
      <c r="B12" s="1734" t="s">
        <v>1904</v>
      </c>
      <c r="C12" s="1659"/>
      <c r="D12" s="393"/>
      <c r="E12" s="393"/>
      <c r="F12" s="393"/>
      <c r="G12" s="318"/>
      <c r="H12" s="308"/>
      <c r="I12" s="395"/>
      <c r="J12" s="310"/>
      <c r="K12" s="396"/>
      <c r="L12" s="308"/>
      <c r="M12" s="317"/>
    </row>
    <row r="13" spans="1:13" ht="11.25" customHeight="1">
      <c r="A13" s="1731" t="s">
        <v>1903</v>
      </c>
      <c r="B13" s="1664"/>
      <c r="C13" s="2100" t="e">
        <v>#N/A</v>
      </c>
      <c r="D13" s="2122">
        <v>27624</v>
      </c>
      <c r="E13" s="2122">
        <v>4193</v>
      </c>
      <c r="F13" s="2122">
        <v>14571</v>
      </c>
      <c r="G13" s="2040"/>
      <c r="H13" s="2038"/>
      <c r="I13" s="2123"/>
      <c r="J13" s="2124"/>
      <c r="K13" s="2041"/>
      <c r="L13" s="2038"/>
      <c r="M13" s="2039"/>
    </row>
    <row r="14" spans="1:13" ht="11.25" customHeight="1">
      <c r="A14" s="1731" t="s">
        <v>1919</v>
      </c>
      <c r="B14" s="1664"/>
      <c r="C14" s="2100" t="s">
        <v>3100</v>
      </c>
      <c r="D14" s="2122">
        <v>15702</v>
      </c>
      <c r="E14" s="2122">
        <v>6776</v>
      </c>
      <c r="F14" s="2122">
        <v>7645</v>
      </c>
      <c r="G14" s="2040"/>
      <c r="H14" s="2038"/>
      <c r="I14" s="2123"/>
      <c r="J14" s="2124"/>
      <c r="K14" s="2041"/>
      <c r="L14" s="2038"/>
      <c r="M14" s="2039"/>
    </row>
    <row r="15" spans="1:13" ht="11.25" customHeight="1">
      <c r="A15" s="1731" t="s">
        <v>1920</v>
      </c>
      <c r="B15" s="1664"/>
      <c r="C15" s="2100" t="s">
        <v>3101</v>
      </c>
      <c r="D15" s="2122">
        <v>24734</v>
      </c>
      <c r="E15" s="2122">
        <v>13628</v>
      </c>
      <c r="F15" s="2122">
        <v>12995</v>
      </c>
      <c r="G15" s="2040"/>
      <c r="H15" s="2038"/>
      <c r="I15" s="2123"/>
      <c r="J15" s="2124"/>
      <c r="K15" s="2041"/>
      <c r="L15" s="2038"/>
      <c r="M15" s="2039"/>
    </row>
    <row r="16" spans="1:13" ht="11.25" customHeight="1">
      <c r="A16" s="1731" t="s">
        <v>1921</v>
      </c>
      <c r="B16" s="1664"/>
      <c r="C16" s="2100" t="s">
        <v>3102</v>
      </c>
      <c r="D16" s="2122">
        <v>14275</v>
      </c>
      <c r="E16" s="2122">
        <v>24910</v>
      </c>
      <c r="F16" s="2122">
        <v>27200</v>
      </c>
      <c r="G16" s="2040"/>
      <c r="H16" s="2038"/>
      <c r="I16" s="2123"/>
      <c r="J16" s="2124"/>
      <c r="K16" s="2041"/>
      <c r="L16" s="2038"/>
      <c r="M16" s="2039"/>
    </row>
    <row r="17" spans="1:13" ht="11.25" customHeight="1">
      <c r="A17" s="1731" t="s">
        <v>1922</v>
      </c>
      <c r="B17" s="1664"/>
      <c r="C17" s="2100" t="s">
        <v>3103</v>
      </c>
      <c r="D17" s="2122">
        <v>7312</v>
      </c>
      <c r="E17" s="2122">
        <v>20860</v>
      </c>
      <c r="F17" s="2122">
        <v>23922</v>
      </c>
      <c r="G17" s="2040"/>
      <c r="H17" s="2038"/>
      <c r="I17" s="2123"/>
      <c r="J17" s="2124"/>
      <c r="K17" s="2041"/>
      <c r="L17" s="2038"/>
      <c r="M17" s="2039"/>
    </row>
    <row r="18" spans="1:13" ht="11.25" customHeight="1">
      <c r="A18" s="1731" t="s">
        <v>1923</v>
      </c>
      <c r="B18" s="1664"/>
      <c r="C18" s="2100" t="s">
        <v>3104</v>
      </c>
      <c r="D18" s="2122">
        <v>3801</v>
      </c>
      <c r="E18" s="2122">
        <v>8157</v>
      </c>
      <c r="F18" s="2122">
        <v>9613</v>
      </c>
      <c r="G18" s="2040"/>
      <c r="H18" s="2038"/>
      <c r="I18" s="2123"/>
      <c r="J18" s="2124"/>
      <c r="K18" s="2041"/>
      <c r="L18" s="2038"/>
      <c r="M18" s="2039"/>
    </row>
    <row r="19" spans="1:13" ht="11.25" customHeight="1">
      <c r="A19" s="1731" t="s">
        <v>1924</v>
      </c>
      <c r="B19" s="1664"/>
      <c r="C19" s="2100" t="s">
        <v>3105</v>
      </c>
      <c r="D19" s="2122">
        <v>2358</v>
      </c>
      <c r="E19" s="2122">
        <v>4433</v>
      </c>
      <c r="F19" s="2122">
        <v>5474</v>
      </c>
      <c r="G19" s="2040"/>
      <c r="H19" s="2038"/>
      <c r="I19" s="2123"/>
      <c r="J19" s="2124"/>
      <c r="K19" s="2041"/>
      <c r="L19" s="2038"/>
      <c r="M19" s="2039"/>
    </row>
    <row r="20" spans="1:13" ht="11.25" customHeight="1">
      <c r="A20" s="1731" t="s">
        <v>1925</v>
      </c>
      <c r="B20" s="1664"/>
      <c r="C20" s="2100" t="s">
        <v>3106</v>
      </c>
      <c r="D20" s="2122">
        <v>1016</v>
      </c>
      <c r="E20" s="2122">
        <v>1906</v>
      </c>
      <c r="F20" s="2122">
        <v>4227</v>
      </c>
      <c r="G20" s="2040"/>
      <c r="H20" s="2038"/>
      <c r="I20" s="2123"/>
      <c r="J20" s="2124"/>
      <c r="K20" s="2041"/>
      <c r="L20" s="2038"/>
      <c r="M20" s="2039"/>
    </row>
    <row r="21" spans="1:13" ht="11.25" customHeight="1">
      <c r="A21" s="1731" t="s">
        <v>1926</v>
      </c>
      <c r="B21" s="1664"/>
      <c r="C21" s="2100" t="s">
        <v>3107</v>
      </c>
      <c r="D21" s="2122">
        <v>280</v>
      </c>
      <c r="E21" s="2122">
        <v>1095</v>
      </c>
      <c r="F21" s="2122">
        <v>2285</v>
      </c>
      <c r="G21" s="2040"/>
      <c r="H21" s="2038"/>
      <c r="I21" s="2123"/>
      <c r="J21" s="2124"/>
      <c r="K21" s="2041"/>
      <c r="L21" s="2038"/>
      <c r="M21" s="2039"/>
    </row>
    <row r="22" spans="1:13" ht="11.25" customHeight="1">
      <c r="A22" s="1731" t="s">
        <v>1927</v>
      </c>
      <c r="B22" s="1664"/>
      <c r="C22" s="2100" t="s">
        <v>3108</v>
      </c>
      <c r="D22" s="2122">
        <v>90</v>
      </c>
      <c r="E22" s="2122">
        <v>419</v>
      </c>
      <c r="F22" s="2122">
        <v>594</v>
      </c>
      <c r="G22" s="2040"/>
      <c r="H22" s="2038"/>
      <c r="I22" s="2123"/>
      <c r="J22" s="2124"/>
      <c r="K22" s="2041"/>
      <c r="L22" s="2038"/>
      <c r="M22" s="2039"/>
    </row>
    <row r="23" spans="1:13" ht="11.25" customHeight="1">
      <c r="A23" s="1731" t="s">
        <v>1928</v>
      </c>
      <c r="B23" s="1664"/>
      <c r="C23" s="2100" t="s">
        <v>3109</v>
      </c>
      <c r="D23" s="2122">
        <v>131</v>
      </c>
      <c r="E23" s="2122">
        <v>68</v>
      </c>
      <c r="F23" s="2122">
        <v>200</v>
      </c>
      <c r="G23" s="2040"/>
      <c r="H23" s="2038"/>
      <c r="I23" s="2123"/>
      <c r="J23" s="2124"/>
      <c r="K23" s="2041"/>
      <c r="L23" s="2038"/>
      <c r="M23" s="2039"/>
    </row>
    <row r="24" spans="1:13" ht="11.25" customHeight="1">
      <c r="A24" s="1731" t="s">
        <v>1929</v>
      </c>
      <c r="B24" s="1664"/>
      <c r="C24" s="2100" t="s">
        <v>3110</v>
      </c>
      <c r="D24" s="2122">
        <v>54</v>
      </c>
      <c r="E24" s="2122">
        <v>0</v>
      </c>
      <c r="F24" s="2122">
        <v>188</v>
      </c>
      <c r="G24" s="2040"/>
      <c r="H24" s="2038"/>
      <c r="I24" s="2123"/>
      <c r="J24" s="2124"/>
      <c r="K24" s="2041"/>
      <c r="L24" s="2038"/>
      <c r="M24" s="2039"/>
    </row>
    <row r="25" spans="1:13" ht="3.75" customHeight="1">
      <c r="A25" s="1732"/>
      <c r="B25" s="1674"/>
      <c r="C25" s="2114"/>
      <c r="D25" s="2125"/>
      <c r="E25" s="2125"/>
      <c r="F25" s="2125"/>
      <c r="G25" s="2126"/>
      <c r="H25" s="2127"/>
      <c r="I25" s="2128"/>
      <c r="J25" s="2129"/>
      <c r="K25" s="2130"/>
      <c r="L25" s="2127"/>
      <c r="M25" s="2131"/>
    </row>
    <row r="26" spans="1:13" ht="11.25" customHeight="1">
      <c r="A26" s="391"/>
      <c r="B26" s="1735"/>
      <c r="C26" s="1660"/>
      <c r="D26" s="397"/>
      <c r="E26" s="397"/>
      <c r="F26" s="397"/>
      <c r="G26" s="326"/>
      <c r="H26" s="324"/>
      <c r="I26" s="398"/>
      <c r="J26" s="399"/>
      <c r="K26" s="327"/>
      <c r="L26" s="324"/>
      <c r="M26" s="325"/>
    </row>
    <row r="27" spans="1:13" ht="11.25" customHeight="1">
      <c r="A27" s="394" t="s">
        <v>1944</v>
      </c>
      <c r="B27" s="1734"/>
      <c r="C27" s="1660"/>
      <c r="D27" s="397"/>
      <c r="E27" s="397"/>
      <c r="F27" s="397"/>
      <c r="G27" s="326"/>
      <c r="H27" s="324"/>
      <c r="I27" s="398"/>
      <c r="J27" s="399"/>
      <c r="K27" s="327"/>
      <c r="L27" s="324"/>
      <c r="M27" s="325"/>
    </row>
    <row r="28" spans="1:13" ht="12.75" customHeight="1">
      <c r="A28" s="1731" t="s">
        <v>1946</v>
      </c>
      <c r="B28" s="1664">
        <v>13</v>
      </c>
      <c r="C28" s="2100"/>
      <c r="D28" s="2133"/>
      <c r="E28" s="2133"/>
      <c r="F28" s="2133"/>
      <c r="G28" s="2134"/>
      <c r="H28" s="2135"/>
      <c r="I28" s="2136"/>
      <c r="J28" s="2137"/>
      <c r="K28" s="2138"/>
      <c r="L28" s="2135"/>
      <c r="M28" s="2139"/>
    </row>
    <row r="29" spans="1:13" ht="12.75" customHeight="1">
      <c r="A29" s="2132" t="s">
        <v>956</v>
      </c>
      <c r="B29" s="1664">
        <v>2</v>
      </c>
      <c r="C29" s="2100"/>
      <c r="D29" s="2133">
        <v>27624</v>
      </c>
      <c r="E29" s="2133">
        <v>4193</v>
      </c>
      <c r="F29" s="2133">
        <v>14571</v>
      </c>
      <c r="G29" s="2134"/>
      <c r="H29" s="2135"/>
      <c r="I29" s="2136"/>
      <c r="J29" s="2137"/>
      <c r="K29" s="2138"/>
      <c r="L29" s="2135"/>
      <c r="M29" s="2139"/>
    </row>
    <row r="30" spans="1:13" ht="4.5" customHeight="1">
      <c r="A30" s="946"/>
      <c r="B30" s="1661"/>
      <c r="C30" s="1662"/>
      <c r="D30" s="947"/>
      <c r="E30" s="947"/>
      <c r="F30" s="947"/>
      <c r="G30" s="948"/>
      <c r="H30" s="949"/>
      <c r="I30" s="950"/>
      <c r="J30" s="951"/>
      <c r="K30" s="952"/>
      <c r="L30" s="949"/>
      <c r="M30" s="953"/>
    </row>
    <row r="31" spans="1:13" ht="11.25" customHeight="1">
      <c r="A31" s="394" t="s">
        <v>1574</v>
      </c>
      <c r="B31" s="1734"/>
      <c r="C31" s="1660"/>
      <c r="D31" s="397"/>
      <c r="E31" s="397"/>
      <c r="F31" s="397"/>
      <c r="G31" s="326"/>
      <c r="H31" s="324"/>
      <c r="I31" s="398"/>
      <c r="J31" s="399"/>
      <c r="K31" s="327"/>
      <c r="L31" s="324"/>
      <c r="M31" s="325"/>
    </row>
    <row r="32" spans="1:13" ht="11.25" customHeight="1">
      <c r="A32" s="2132" t="s">
        <v>1575</v>
      </c>
      <c r="B32" s="1664"/>
      <c r="C32" s="2100"/>
      <c r="D32" s="2133" t="s">
        <v>3111</v>
      </c>
      <c r="E32" s="2133" t="s">
        <v>3112</v>
      </c>
      <c r="F32" s="2133" t="s">
        <v>3113</v>
      </c>
      <c r="G32" s="1951"/>
      <c r="H32" s="1951"/>
      <c r="I32" s="1952"/>
      <c r="J32" s="1963"/>
      <c r="K32" s="1955"/>
      <c r="L32" s="1951"/>
      <c r="M32" s="1954"/>
    </row>
    <row r="33" spans="1:13" ht="11.25" customHeight="1">
      <c r="A33" s="2132" t="s">
        <v>1576</v>
      </c>
      <c r="B33" s="1664"/>
      <c r="C33" s="2100"/>
      <c r="D33" s="2133">
        <v>0</v>
      </c>
      <c r="E33" s="2133">
        <v>0</v>
      </c>
      <c r="F33" s="2133">
        <v>0</v>
      </c>
      <c r="G33" s="1951"/>
      <c r="H33" s="1951"/>
      <c r="I33" s="1952"/>
      <c r="J33" s="1963"/>
      <c r="K33" s="1955"/>
      <c r="L33" s="1951"/>
      <c r="M33" s="1954"/>
    </row>
    <row r="34" spans="1:13" ht="11.25" customHeight="1">
      <c r="A34" s="2132" t="s">
        <v>1577</v>
      </c>
      <c r="B34" s="1664"/>
      <c r="C34" s="2100"/>
      <c r="D34" s="2133" t="s">
        <v>3114</v>
      </c>
      <c r="E34" s="2133" t="s">
        <v>3115</v>
      </c>
      <c r="F34" s="2133" t="s">
        <v>3116</v>
      </c>
      <c r="G34" s="1951"/>
      <c r="H34" s="1951"/>
      <c r="I34" s="1952"/>
      <c r="J34" s="1963"/>
      <c r="K34" s="1955"/>
      <c r="L34" s="1951"/>
      <c r="M34" s="1954"/>
    </row>
    <row r="35" spans="1:13" ht="11.25" customHeight="1">
      <c r="A35" s="2132" t="s">
        <v>1578</v>
      </c>
      <c r="B35" s="1664"/>
      <c r="C35" s="2100"/>
      <c r="D35" s="2133"/>
      <c r="E35" s="2133"/>
      <c r="F35" s="2133"/>
      <c r="G35" s="1951"/>
      <c r="H35" s="1951"/>
      <c r="I35" s="1952"/>
      <c r="J35" s="1963"/>
      <c r="K35" s="1955"/>
      <c r="L35" s="1951"/>
      <c r="M35" s="1954"/>
    </row>
    <row r="36" spans="1:13" ht="12.75" customHeight="1">
      <c r="A36" s="2140" t="s">
        <v>254</v>
      </c>
      <c r="B36" s="1674"/>
      <c r="C36" s="2114"/>
      <c r="D36" s="2141"/>
      <c r="E36" s="2141"/>
      <c r="F36" s="2141"/>
      <c r="G36" s="2142"/>
      <c r="H36" s="2142"/>
      <c r="I36" s="2143"/>
      <c r="J36" s="2144"/>
      <c r="K36" s="2145"/>
      <c r="L36" s="2142"/>
      <c r="M36" s="2146"/>
    </row>
    <row r="37" spans="1:13" ht="11.25" customHeight="1">
      <c r="A37" s="394"/>
      <c r="B37" s="1734"/>
      <c r="C37" s="1660"/>
      <c r="D37" s="397"/>
      <c r="E37" s="397"/>
      <c r="F37" s="397"/>
      <c r="G37" s="326"/>
      <c r="H37" s="324"/>
      <c r="I37" s="398"/>
      <c r="J37" s="399"/>
      <c r="K37" s="327"/>
      <c r="L37" s="324"/>
      <c r="M37" s="325"/>
    </row>
    <row r="38" spans="1:13" ht="11.25" customHeight="1">
      <c r="A38" s="394" t="s">
        <v>1819</v>
      </c>
      <c r="B38" s="1734">
        <v>3</v>
      </c>
      <c r="C38" s="1660"/>
      <c r="D38" s="397"/>
      <c r="E38" s="397"/>
      <c r="F38" s="397"/>
      <c r="G38" s="326"/>
      <c r="H38" s="324"/>
      <c r="I38" s="398"/>
      <c r="J38" s="399"/>
      <c r="K38" s="327"/>
      <c r="L38" s="324"/>
      <c r="M38" s="325"/>
    </row>
    <row r="39" spans="1:13" ht="11.25" customHeight="1">
      <c r="A39" s="2132" t="s">
        <v>793</v>
      </c>
      <c r="B39" s="1664"/>
      <c r="C39" s="2100"/>
      <c r="D39" s="2133">
        <v>59183</v>
      </c>
      <c r="E39" s="2133">
        <v>78737</v>
      </c>
      <c r="F39" s="2133">
        <v>98021</v>
      </c>
      <c r="G39" s="2147"/>
      <c r="H39" s="2148"/>
      <c r="I39" s="2149"/>
      <c r="J39" s="2150"/>
      <c r="K39" s="2151"/>
      <c r="L39" s="2148"/>
      <c r="M39" s="2152"/>
    </row>
    <row r="40" spans="1:13" ht="11.25" customHeight="1">
      <c r="A40" s="2132" t="s">
        <v>794</v>
      </c>
      <c r="B40" s="1664"/>
      <c r="C40" s="2100"/>
      <c r="D40" s="2153">
        <v>3470</v>
      </c>
      <c r="E40" s="2141">
        <v>2643</v>
      </c>
      <c r="F40" s="2141">
        <v>2756</v>
      </c>
      <c r="G40" s="2154"/>
      <c r="H40" s="2155"/>
      <c r="I40" s="2156"/>
      <c r="J40" s="2157"/>
      <c r="K40" s="2158"/>
      <c r="L40" s="2155"/>
      <c r="M40" s="2159"/>
    </row>
    <row r="41" spans="1:13" ht="11.25" customHeight="1">
      <c r="A41" s="1663" t="s">
        <v>1167</v>
      </c>
      <c r="B41" s="1664"/>
      <c r="C41" s="1665"/>
      <c r="D41" s="1666">
        <f>SUM(D39:D40)</f>
        <v>62653</v>
      </c>
      <c r="E41" s="1666">
        <f t="shared" ref="E41:M41" si="1">SUM(E39:E40)</f>
        <v>81380</v>
      </c>
      <c r="F41" s="1666">
        <f t="shared" si="1"/>
        <v>100777</v>
      </c>
      <c r="G41" s="1667">
        <f t="shared" si="1"/>
        <v>0</v>
      </c>
      <c r="H41" s="1668">
        <f t="shared" si="1"/>
        <v>0</v>
      </c>
      <c r="I41" s="1669">
        <f t="shared" si="1"/>
        <v>0</v>
      </c>
      <c r="J41" s="1670">
        <f t="shared" si="1"/>
        <v>0</v>
      </c>
      <c r="K41" s="1671">
        <f t="shared" si="1"/>
        <v>0</v>
      </c>
      <c r="L41" s="1668">
        <f t="shared" si="1"/>
        <v>0</v>
      </c>
      <c r="M41" s="1672">
        <f t="shared" si="1"/>
        <v>0</v>
      </c>
    </row>
    <row r="42" spans="1:13" ht="11.25" customHeight="1">
      <c r="A42" s="2132" t="s">
        <v>1820</v>
      </c>
      <c r="B42" s="1664">
        <v>4</v>
      </c>
      <c r="C42" s="2100"/>
      <c r="D42" s="2133"/>
      <c r="E42" s="2133"/>
      <c r="F42" s="2133"/>
      <c r="G42" s="2147"/>
      <c r="H42" s="2148"/>
      <c r="I42" s="2149"/>
      <c r="J42" s="2150"/>
      <c r="K42" s="2151"/>
      <c r="L42" s="2148"/>
      <c r="M42" s="2152"/>
    </row>
    <row r="43" spans="1:13" ht="11.25" customHeight="1">
      <c r="A43" s="2132" t="s">
        <v>446</v>
      </c>
      <c r="B43" s="1664"/>
      <c r="C43" s="2100"/>
      <c r="D43" s="2133"/>
      <c r="E43" s="2133"/>
      <c r="F43" s="2133"/>
      <c r="G43" s="2147"/>
      <c r="H43" s="2148"/>
      <c r="I43" s="2149"/>
      <c r="J43" s="2150"/>
      <c r="K43" s="2151"/>
      <c r="L43" s="2148"/>
      <c r="M43" s="2152"/>
    </row>
    <row r="44" spans="1:13" ht="11.25" customHeight="1">
      <c r="A44" s="2132" t="s">
        <v>1821</v>
      </c>
      <c r="B44" s="1664">
        <v>5</v>
      </c>
      <c r="C44" s="2100"/>
      <c r="D44" s="2160"/>
      <c r="E44" s="2133"/>
      <c r="F44" s="2133"/>
      <c r="G44" s="2147"/>
      <c r="H44" s="2148"/>
      <c r="I44" s="2149"/>
      <c r="J44" s="2150"/>
      <c r="K44" s="2151"/>
      <c r="L44" s="2148"/>
      <c r="M44" s="2152"/>
    </row>
    <row r="45" spans="1:13" ht="12.75" customHeight="1">
      <c r="A45" s="1673" t="s">
        <v>255</v>
      </c>
      <c r="B45" s="1674"/>
      <c r="C45" s="1675"/>
      <c r="D45" s="1676">
        <f>SUM(D42:D44)</f>
        <v>0</v>
      </c>
      <c r="E45" s="1677">
        <f t="shared" ref="E45:M45" si="2">SUM(E42:E44)</f>
        <v>0</v>
      </c>
      <c r="F45" s="1677">
        <f t="shared" si="2"/>
        <v>0</v>
      </c>
      <c r="G45" s="1678">
        <f t="shared" si="2"/>
        <v>0</v>
      </c>
      <c r="H45" s="1679">
        <f t="shared" si="2"/>
        <v>0</v>
      </c>
      <c r="I45" s="1680">
        <f t="shared" si="2"/>
        <v>0</v>
      </c>
      <c r="J45" s="1681">
        <f t="shared" si="2"/>
        <v>0</v>
      </c>
      <c r="K45" s="1682">
        <f t="shared" si="2"/>
        <v>0</v>
      </c>
      <c r="L45" s="1679">
        <f t="shared" si="2"/>
        <v>0</v>
      </c>
      <c r="M45" s="1683">
        <f t="shared" si="2"/>
        <v>0</v>
      </c>
    </row>
    <row r="46" spans="1:13" ht="11.25" customHeight="1">
      <c r="A46" s="391"/>
      <c r="B46" s="1735"/>
      <c r="C46" s="1660"/>
      <c r="D46" s="393"/>
      <c r="E46" s="393"/>
      <c r="F46" s="393"/>
      <c r="G46" s="321"/>
      <c r="H46" s="400"/>
      <c r="I46" s="401"/>
      <c r="J46" s="320"/>
      <c r="K46" s="402"/>
      <c r="L46" s="400"/>
      <c r="M46" s="319"/>
    </row>
    <row r="47" spans="1:13" ht="11.25" customHeight="1">
      <c r="A47" s="403" t="s">
        <v>1822</v>
      </c>
      <c r="B47" s="1735">
        <v>6</v>
      </c>
      <c r="C47" s="1660"/>
      <c r="D47" s="404"/>
      <c r="E47" s="404"/>
      <c r="F47" s="404"/>
      <c r="G47" s="367"/>
      <c r="H47" s="365"/>
      <c r="I47" s="405"/>
      <c r="J47" s="406"/>
      <c r="K47" s="375"/>
      <c r="L47" s="372"/>
      <c r="M47" s="373"/>
    </row>
    <row r="48" spans="1:13" ht="11.25" customHeight="1">
      <c r="A48" s="391" t="s">
        <v>913</v>
      </c>
      <c r="B48" s="1735"/>
      <c r="C48" s="1660"/>
      <c r="D48" s="407"/>
      <c r="E48" s="1460"/>
      <c r="F48" s="1460"/>
      <c r="G48" s="2091">
        <f>[3]SA9!G48</f>
        <v>5.8000000000000003E-2</v>
      </c>
      <c r="H48" s="2089">
        <f>[3]SA9!H48</f>
        <v>6.6000000000000003E-2</v>
      </c>
      <c r="I48" s="2161">
        <f>[3]SA9!I48</f>
        <v>6.4000000000000001E-2</v>
      </c>
      <c r="J48" s="2162">
        <f>[3]SA9!J48</f>
        <v>5.2999999999999999E-2</v>
      </c>
      <c r="K48" s="2092">
        <v>4.4999999999999998E-2</v>
      </c>
      <c r="L48" s="2089">
        <v>4.5999999999999999E-2</v>
      </c>
      <c r="M48" s="2090">
        <v>4.5999999999999999E-2</v>
      </c>
    </row>
    <row r="49" spans="1:13" ht="11.25" customHeight="1">
      <c r="A49" s="391" t="s">
        <v>982</v>
      </c>
      <c r="B49" s="1735"/>
      <c r="C49" s="1660"/>
      <c r="D49" s="407"/>
      <c r="E49" s="1460"/>
      <c r="F49" s="1460"/>
      <c r="G49" s="2091">
        <f>[3]SA9!G49</f>
        <v>6.7500000000000004E-2</v>
      </c>
      <c r="H49" s="2089">
        <f>[3]SA9!H49</f>
        <v>6.7500000000000004E-2</v>
      </c>
      <c r="I49" s="2161">
        <f>[3]SA9!I49</f>
        <v>6.7500000000000004E-2</v>
      </c>
      <c r="J49" s="2162">
        <f>[3]SA9!J49</f>
        <v>6.7500000000000004E-2</v>
      </c>
      <c r="K49" s="2092">
        <v>6.7500000000000004E-2</v>
      </c>
      <c r="L49" s="2089">
        <v>6.7500000000000004E-2</v>
      </c>
      <c r="M49" s="2090">
        <v>6.7500000000000004E-2</v>
      </c>
    </row>
    <row r="50" spans="1:13" ht="11.25" customHeight="1">
      <c r="A50" s="391" t="s">
        <v>983</v>
      </c>
      <c r="B50" s="1735"/>
      <c r="C50" s="1660"/>
      <c r="D50" s="408"/>
      <c r="E50" s="1461"/>
      <c r="F50" s="1461"/>
      <c r="G50" s="2091" t="str">
        <f>[3]SA9!G50</f>
        <v>variable</v>
      </c>
      <c r="H50" s="2089" t="str">
        <f>[3]SA9!H50</f>
        <v>variable</v>
      </c>
      <c r="I50" s="2161" t="str">
        <f>[3]SA9!I50</f>
        <v>variable</v>
      </c>
      <c r="J50" s="2162" t="str">
        <f>[3]SA9!J50</f>
        <v>variable</v>
      </c>
      <c r="K50" s="2092" t="s">
        <v>3436</v>
      </c>
      <c r="L50" s="2089" t="s">
        <v>3436</v>
      </c>
      <c r="M50" s="2090" t="s">
        <v>3436</v>
      </c>
    </row>
    <row r="51" spans="1:13" ht="11.25" customHeight="1">
      <c r="A51" s="391" t="s">
        <v>984</v>
      </c>
      <c r="B51" s="1735"/>
      <c r="C51" s="1660"/>
      <c r="D51" s="407"/>
      <c r="E51" s="1460"/>
      <c r="F51" s="1460"/>
      <c r="G51" s="2163">
        <f>[3]SA9!G51</f>
        <v>5.8000000000000003E-2</v>
      </c>
      <c r="H51" s="2164">
        <f>[3]SA9!H51</f>
        <v>7.5999999999999998E-2</v>
      </c>
      <c r="I51" s="2165">
        <f>[3]SA9!I51</f>
        <v>7.3999999999999996E-2</v>
      </c>
      <c r="J51" s="2162">
        <f>[3]SA9!J51</f>
        <v>7.0000000000000007E-2</v>
      </c>
      <c r="K51" s="2166">
        <v>0</v>
      </c>
      <c r="L51" s="2164">
        <v>0</v>
      </c>
      <c r="M51" s="2167">
        <v>0</v>
      </c>
    </row>
    <row r="52" spans="1:13" ht="11.25" customHeight="1">
      <c r="A52" s="391" t="s">
        <v>626</v>
      </c>
      <c r="B52" s="1735"/>
      <c r="C52" s="1660"/>
      <c r="D52" s="407"/>
      <c r="E52" s="1460"/>
      <c r="F52" s="1460"/>
      <c r="G52" s="2163">
        <f>[3]SA9!G52</f>
        <v>0.122</v>
      </c>
      <c r="H52" s="2164">
        <f>[3]SA9!H52</f>
        <v>8.6400000000000005E-2</v>
      </c>
      <c r="I52" s="2165">
        <f>[3]SA9!I52</f>
        <v>1.8800000000000001E-2</v>
      </c>
      <c r="J52" s="2162">
        <f>[3]SA9!J52</f>
        <v>6.8400000000000002E-2</v>
      </c>
      <c r="K52" s="2166">
        <v>8.1000000000000003E-2</v>
      </c>
      <c r="L52" s="2164">
        <v>5.1999999999999998E-2</v>
      </c>
      <c r="M52" s="2167">
        <v>8.8999999999999996E-2</v>
      </c>
    </row>
    <row r="53" spans="1:13" ht="12.75" customHeight="1">
      <c r="A53" s="391" t="s">
        <v>627</v>
      </c>
      <c r="B53" s="1735"/>
      <c r="C53" s="1660"/>
      <c r="D53" s="407"/>
      <c r="E53" s="1460"/>
      <c r="F53" s="1460"/>
      <c r="G53" s="2163">
        <f>[3]SA9!G53</f>
        <v>0.06</v>
      </c>
      <c r="H53" s="2164">
        <f>[3]SA9!H53</f>
        <v>6.6000000000000003E-2</v>
      </c>
      <c r="I53" s="2165">
        <f>[3]SA9!I53</f>
        <v>6.4000000000000001E-2</v>
      </c>
      <c r="J53" s="2162">
        <f>[3]SA9!J53</f>
        <v>5.2999999999999999E-2</v>
      </c>
      <c r="K53" s="2166">
        <v>0.65</v>
      </c>
      <c r="L53" s="2164">
        <v>4.5999999999999999E-2</v>
      </c>
      <c r="M53" s="2167">
        <v>4.5999999999999999E-2</v>
      </c>
    </row>
    <row r="54" spans="1:13" ht="11.25" customHeight="1">
      <c r="A54" s="392"/>
      <c r="B54" s="1735"/>
      <c r="C54" s="1660"/>
      <c r="D54" s="393"/>
      <c r="E54" s="393"/>
      <c r="F54" s="393"/>
      <c r="G54" s="322"/>
      <c r="H54" s="409"/>
      <c r="I54" s="405"/>
      <c r="J54" s="323"/>
      <c r="K54" s="368"/>
      <c r="L54" s="365"/>
      <c r="M54" s="366"/>
    </row>
    <row r="55" spans="1:13" ht="11.25" customHeight="1">
      <c r="A55" s="403" t="s">
        <v>1823</v>
      </c>
      <c r="B55" s="1735">
        <v>7</v>
      </c>
      <c r="C55" s="1660"/>
      <c r="D55" s="393"/>
      <c r="E55" s="393"/>
      <c r="F55" s="393"/>
      <c r="G55" s="322"/>
      <c r="H55" s="409"/>
      <c r="I55" s="405"/>
      <c r="J55" s="323"/>
      <c r="K55" s="368"/>
      <c r="L55" s="365"/>
      <c r="M55" s="366"/>
    </row>
    <row r="56" spans="1:13" ht="11.25" customHeight="1">
      <c r="A56" s="391" t="s">
        <v>985</v>
      </c>
      <c r="B56" s="1735"/>
      <c r="C56" s="1660"/>
      <c r="D56" s="407"/>
      <c r="E56" s="1460"/>
      <c r="F56" s="1460"/>
      <c r="G56" s="2091"/>
      <c r="H56" s="2089"/>
      <c r="I56" s="2161"/>
      <c r="J56" s="2162"/>
      <c r="K56" s="2092">
        <v>0.9</v>
      </c>
      <c r="L56" s="2089">
        <v>0.9</v>
      </c>
      <c r="M56" s="2090">
        <v>0.9</v>
      </c>
    </row>
    <row r="57" spans="1:13" ht="11.25" customHeight="1">
      <c r="A57" s="391" t="s">
        <v>986</v>
      </c>
      <c r="B57" s="1735"/>
      <c r="C57" s="1660"/>
      <c r="D57" s="407"/>
      <c r="E57" s="1460"/>
      <c r="F57" s="1460"/>
      <c r="G57" s="2091"/>
      <c r="H57" s="2089"/>
      <c r="I57" s="2161"/>
      <c r="J57" s="2162"/>
      <c r="K57" s="2092">
        <v>0.9</v>
      </c>
      <c r="L57" s="2089">
        <v>0.9</v>
      </c>
      <c r="M57" s="2090">
        <v>0.9</v>
      </c>
    </row>
    <row r="58" spans="1:13" ht="11.25" customHeight="1">
      <c r="A58" s="391" t="s">
        <v>505</v>
      </c>
      <c r="B58" s="1735"/>
      <c r="C58" s="1660"/>
      <c r="D58" s="407"/>
      <c r="E58" s="1460"/>
      <c r="F58" s="1460"/>
      <c r="G58" s="2091"/>
      <c r="H58" s="2089"/>
      <c r="I58" s="2161"/>
      <c r="J58" s="2162"/>
      <c r="K58" s="2092">
        <v>0.9</v>
      </c>
      <c r="L58" s="2089">
        <v>0.9</v>
      </c>
      <c r="M58" s="2090">
        <v>0.9</v>
      </c>
    </row>
    <row r="59" spans="1:13" ht="11.25" customHeight="1">
      <c r="A59" s="391" t="s">
        <v>506</v>
      </c>
      <c r="B59" s="1735"/>
      <c r="C59" s="1660"/>
      <c r="D59" s="407"/>
      <c r="E59" s="1460"/>
      <c r="F59" s="1460"/>
      <c r="G59" s="2091"/>
      <c r="H59" s="2089"/>
      <c r="I59" s="2161"/>
      <c r="J59" s="2162"/>
      <c r="K59" s="2092">
        <v>0.9</v>
      </c>
      <c r="L59" s="2089">
        <v>0.9</v>
      </c>
      <c r="M59" s="2090">
        <v>0.9</v>
      </c>
    </row>
    <row r="60" spans="1:13" ht="13.5" customHeight="1">
      <c r="A60" s="391" t="s">
        <v>507</v>
      </c>
      <c r="B60" s="1735"/>
      <c r="C60" s="1660"/>
      <c r="D60" s="407"/>
      <c r="E60" s="1460"/>
      <c r="F60" s="1460"/>
      <c r="G60" s="2091"/>
      <c r="H60" s="2089"/>
      <c r="I60" s="2161"/>
      <c r="J60" s="2162"/>
      <c r="K60" s="2092">
        <v>0.92</v>
      </c>
      <c r="L60" s="2089">
        <v>0.92</v>
      </c>
      <c r="M60" s="2090">
        <v>0.92</v>
      </c>
    </row>
    <row r="61" spans="1:13" s="576" customFormat="1" ht="3.75" customHeight="1">
      <c r="A61" s="410"/>
      <c r="B61" s="1684"/>
      <c r="C61" s="1685"/>
      <c r="D61" s="411"/>
      <c r="E61" s="411"/>
      <c r="F61" s="411"/>
      <c r="G61" s="412"/>
      <c r="H61" s="413"/>
      <c r="I61" s="414"/>
      <c r="J61" s="415"/>
      <c r="K61" s="416"/>
      <c r="L61" s="417"/>
      <c r="M61" s="418"/>
    </row>
    <row r="62" spans="1:13" s="576" customFormat="1" ht="18.75" customHeight="1">
      <c r="A62" s="1686" t="s">
        <v>1824</v>
      </c>
      <c r="B62" s="124"/>
      <c r="C62" s="26"/>
      <c r="D62" s="26"/>
      <c r="E62" s="26"/>
      <c r="F62" s="26"/>
      <c r="G62" s="182"/>
      <c r="H62" s="182"/>
      <c r="I62" s="182"/>
      <c r="J62" s="182"/>
      <c r="K62" s="182"/>
      <c r="L62" s="182"/>
      <c r="M62" s="182"/>
    </row>
    <row r="63" spans="1:13" s="576" customFormat="1" ht="25.15" customHeight="1">
      <c r="A63" s="2892" t="s">
        <v>1825</v>
      </c>
      <c r="B63" s="1687"/>
      <c r="C63" s="1688"/>
      <c r="D63" s="1689"/>
      <c r="E63" s="1690" t="str">
        <f>head1b</f>
        <v>2016/17</v>
      </c>
      <c r="F63" s="956" t="str">
        <f>head1A</f>
        <v>2017/18</v>
      </c>
      <c r="G63" s="957" t="str">
        <f>Head1</f>
        <v>2018/19</v>
      </c>
      <c r="H63" s="2853" t="str">
        <f>Head2</f>
        <v>Current Year 2019/20</v>
      </c>
      <c r="I63" s="2854"/>
      <c r="J63" s="2855"/>
      <c r="K63" s="2853" t="str">
        <f>Head3</f>
        <v>2020/21 Medium Term Revenue &amp; Expenditure Framework</v>
      </c>
      <c r="L63" s="2854"/>
      <c r="M63" s="2855"/>
    </row>
    <row r="64" spans="1:13" s="576" customFormat="1" ht="25.15" customHeight="1">
      <c r="A64" s="2892"/>
      <c r="B64" s="1691" t="s">
        <v>1744</v>
      </c>
      <c r="C64" s="1385"/>
      <c r="D64" s="1386"/>
      <c r="E64" s="1692" t="str">
        <f>Head5A</f>
        <v>Outcome</v>
      </c>
      <c r="F64" s="1693" t="str">
        <f>Head5A</f>
        <v>Outcome</v>
      </c>
      <c r="G64" s="1694" t="str">
        <f>Head5A</f>
        <v>Outcome</v>
      </c>
      <c r="H64" s="1695" t="str">
        <f>Head6</f>
        <v>Original Budget</v>
      </c>
      <c r="I64" s="1693" t="str">
        <f>Head7</f>
        <v>Adjusted Budget</v>
      </c>
      <c r="J64" s="1694" t="str">
        <f>Head8</f>
        <v>Full Year Forecast</v>
      </c>
      <c r="K64" s="1695" t="str">
        <f>Head9</f>
        <v>Budget Year 2020/21</v>
      </c>
      <c r="L64" s="1693" t="str">
        <f>Head10</f>
        <v>Budget Year +1 2021/22</v>
      </c>
      <c r="M64" s="1694" t="str">
        <f>Head11</f>
        <v>Budget Year +2 2022/23</v>
      </c>
    </row>
    <row r="65" spans="1:13" s="576" customFormat="1" ht="11.25" customHeight="1">
      <c r="A65" s="26"/>
      <c r="B65" s="1696"/>
      <c r="C65" s="1697" t="s">
        <v>172</v>
      </c>
      <c r="D65" s="1727"/>
      <c r="E65" s="423"/>
      <c r="F65" s="1698"/>
      <c r="G65" s="1699"/>
      <c r="H65" s="1700"/>
      <c r="I65" s="1701"/>
      <c r="J65" s="1702"/>
      <c r="K65" s="1703"/>
      <c r="L65" s="1701"/>
      <c r="M65" s="1704"/>
    </row>
    <row r="66" spans="1:13" s="576" customFormat="1" ht="11.25" customHeight="1">
      <c r="A66" s="26"/>
      <c r="B66" s="1696"/>
      <c r="C66" s="1705" t="s">
        <v>1615</v>
      </c>
      <c r="D66" s="1728"/>
      <c r="E66" s="967"/>
      <c r="F66" s="963"/>
      <c r="G66" s="966"/>
      <c r="H66" s="902"/>
      <c r="I66" s="900"/>
      <c r="J66" s="903"/>
      <c r="K66" s="904"/>
      <c r="L66" s="900"/>
      <c r="M66" s="901"/>
    </row>
    <row r="67" spans="1:13" ht="11.25" customHeight="1">
      <c r="B67" s="1696"/>
      <c r="C67" s="1706" t="s">
        <v>1448</v>
      </c>
      <c r="D67" s="1728"/>
      <c r="E67" s="1804">
        <f>E113+E159+E205</f>
        <v>17723</v>
      </c>
      <c r="F67" s="1800">
        <f t="shared" ref="F67:M67" si="3">F113+F159+F205</f>
        <v>17793</v>
      </c>
      <c r="G67" s="1801">
        <f t="shared" si="3"/>
        <v>17793</v>
      </c>
      <c r="H67" s="1802">
        <f t="shared" si="3"/>
        <v>17793</v>
      </c>
      <c r="I67" s="1800">
        <f t="shared" si="3"/>
        <v>17793</v>
      </c>
      <c r="J67" s="1803">
        <f t="shared" si="3"/>
        <v>17793</v>
      </c>
      <c r="K67" s="1804">
        <f t="shared" si="3"/>
        <v>17793</v>
      </c>
      <c r="L67" s="1800">
        <f t="shared" si="3"/>
        <v>17793</v>
      </c>
      <c r="M67" s="1801">
        <f t="shared" si="3"/>
        <v>17793</v>
      </c>
    </row>
    <row r="68" spans="1:13" ht="11.25" customHeight="1">
      <c r="B68" s="1696"/>
      <c r="C68" s="1706" t="s">
        <v>1614</v>
      </c>
      <c r="D68" s="1728"/>
      <c r="E68" s="1804">
        <f t="shared" ref="E68:M70" si="4">E114+E160+E206</f>
        <v>24969</v>
      </c>
      <c r="F68" s="1800">
        <f t="shared" si="4"/>
        <v>34755</v>
      </c>
      <c r="G68" s="1801">
        <f t="shared" si="4"/>
        <v>34755</v>
      </c>
      <c r="H68" s="1802">
        <f t="shared" si="4"/>
        <v>34755</v>
      </c>
      <c r="I68" s="1800">
        <f t="shared" si="4"/>
        <v>34755</v>
      </c>
      <c r="J68" s="1803">
        <f t="shared" si="4"/>
        <v>34755</v>
      </c>
      <c r="K68" s="1804">
        <f t="shared" si="4"/>
        <v>34755</v>
      </c>
      <c r="L68" s="1800">
        <f t="shared" si="4"/>
        <v>34755</v>
      </c>
      <c r="M68" s="1801">
        <f t="shared" si="4"/>
        <v>34755</v>
      </c>
    </row>
    <row r="69" spans="1:13" ht="11.25" customHeight="1">
      <c r="B69" s="1707">
        <v>8</v>
      </c>
      <c r="C69" s="1706" t="s">
        <v>111</v>
      </c>
      <c r="D69" s="1728"/>
      <c r="E69" s="1804">
        <f t="shared" si="4"/>
        <v>17540</v>
      </c>
      <c r="F69" s="1800">
        <f t="shared" si="4"/>
        <v>17540</v>
      </c>
      <c r="G69" s="1801">
        <f t="shared" si="4"/>
        <v>17540</v>
      </c>
      <c r="H69" s="1802">
        <f t="shared" si="4"/>
        <v>17540</v>
      </c>
      <c r="I69" s="1800">
        <f t="shared" si="4"/>
        <v>17540</v>
      </c>
      <c r="J69" s="1803">
        <f t="shared" si="4"/>
        <v>17540</v>
      </c>
      <c r="K69" s="1804">
        <f t="shared" si="4"/>
        <v>17540</v>
      </c>
      <c r="L69" s="1800">
        <f t="shared" si="4"/>
        <v>17540</v>
      </c>
      <c r="M69" s="1801">
        <f t="shared" si="4"/>
        <v>17540</v>
      </c>
    </row>
    <row r="70" spans="1:13" ht="11.25" customHeight="1">
      <c r="B70" s="1707">
        <v>10</v>
      </c>
      <c r="C70" s="1706" t="s">
        <v>112</v>
      </c>
      <c r="D70" s="1728"/>
      <c r="E70" s="1804">
        <f t="shared" si="4"/>
        <v>25183</v>
      </c>
      <c r="F70" s="1800">
        <f t="shared" si="4"/>
        <v>25183</v>
      </c>
      <c r="G70" s="1801">
        <f t="shared" si="4"/>
        <v>25183</v>
      </c>
      <c r="H70" s="1802">
        <f t="shared" si="4"/>
        <v>25183</v>
      </c>
      <c r="I70" s="1800">
        <f t="shared" si="4"/>
        <v>25183</v>
      </c>
      <c r="J70" s="1803">
        <f t="shared" si="4"/>
        <v>25183</v>
      </c>
      <c r="K70" s="1804">
        <f t="shared" si="4"/>
        <v>25183</v>
      </c>
      <c r="L70" s="1800">
        <f t="shared" si="4"/>
        <v>25183</v>
      </c>
      <c r="M70" s="1801">
        <f t="shared" si="4"/>
        <v>25183</v>
      </c>
    </row>
    <row r="71" spans="1:13" ht="11.25" customHeight="1">
      <c r="B71" s="1707"/>
      <c r="C71" s="1708" t="s">
        <v>323</v>
      </c>
      <c r="D71" s="1728"/>
      <c r="E71" s="1789">
        <f>SUM(E67:E70)</f>
        <v>85415</v>
      </c>
      <c r="F71" s="1785">
        <f t="shared" ref="F71:M71" si="5">SUM(F67:F70)</f>
        <v>95271</v>
      </c>
      <c r="G71" s="1786">
        <f t="shared" si="5"/>
        <v>95271</v>
      </c>
      <c r="H71" s="1787">
        <f t="shared" si="5"/>
        <v>95271</v>
      </c>
      <c r="I71" s="1785">
        <f t="shared" si="5"/>
        <v>95271</v>
      </c>
      <c r="J71" s="1788">
        <f t="shared" si="5"/>
        <v>95271</v>
      </c>
      <c r="K71" s="1789">
        <f t="shared" si="5"/>
        <v>95271</v>
      </c>
      <c r="L71" s="1785">
        <f t="shared" si="5"/>
        <v>95271</v>
      </c>
      <c r="M71" s="1786">
        <f t="shared" si="5"/>
        <v>95271</v>
      </c>
    </row>
    <row r="72" spans="1:13" ht="11.25" customHeight="1">
      <c r="B72" s="1707">
        <v>9</v>
      </c>
      <c r="C72" s="1706" t="s">
        <v>435</v>
      </c>
      <c r="D72" s="1728"/>
      <c r="E72" s="1804">
        <f t="shared" ref="E72:M74" si="6">E118+E164+E210</f>
        <v>23511</v>
      </c>
      <c r="F72" s="1800">
        <f t="shared" si="6"/>
        <v>23511</v>
      </c>
      <c r="G72" s="1801">
        <f t="shared" si="6"/>
        <v>23511</v>
      </c>
      <c r="H72" s="1802">
        <f t="shared" si="6"/>
        <v>23511</v>
      </c>
      <c r="I72" s="1800">
        <f t="shared" si="6"/>
        <v>23511</v>
      </c>
      <c r="J72" s="1803">
        <f t="shared" si="6"/>
        <v>23511</v>
      </c>
      <c r="K72" s="1804">
        <f t="shared" si="6"/>
        <v>23511</v>
      </c>
      <c r="L72" s="1800">
        <f t="shared" si="6"/>
        <v>23511</v>
      </c>
      <c r="M72" s="1801">
        <f t="shared" si="6"/>
        <v>23511</v>
      </c>
    </row>
    <row r="73" spans="1:13" ht="11.25" customHeight="1">
      <c r="B73" s="1707">
        <v>10</v>
      </c>
      <c r="C73" s="1706" t="s">
        <v>436</v>
      </c>
      <c r="D73" s="1728"/>
      <c r="E73" s="1804">
        <f t="shared" si="6"/>
        <v>0</v>
      </c>
      <c r="F73" s="1800">
        <f t="shared" si="6"/>
        <v>0</v>
      </c>
      <c r="G73" s="1801">
        <f t="shared" si="6"/>
        <v>0</v>
      </c>
      <c r="H73" s="1802">
        <f t="shared" si="6"/>
        <v>0</v>
      </c>
      <c r="I73" s="1800">
        <f t="shared" si="6"/>
        <v>0</v>
      </c>
      <c r="J73" s="1803">
        <f t="shared" si="6"/>
        <v>0</v>
      </c>
      <c r="K73" s="1804">
        <f t="shared" si="6"/>
        <v>0</v>
      </c>
      <c r="L73" s="1800">
        <f t="shared" si="6"/>
        <v>0</v>
      </c>
      <c r="M73" s="1801">
        <f t="shared" si="6"/>
        <v>0</v>
      </c>
    </row>
    <row r="74" spans="1:13" ht="11.25" customHeight="1">
      <c r="B74" s="1696"/>
      <c r="C74" s="1706" t="s">
        <v>842</v>
      </c>
      <c r="D74" s="1728"/>
      <c r="E74" s="1804">
        <f t="shared" si="6"/>
        <v>0</v>
      </c>
      <c r="F74" s="1800">
        <f t="shared" si="6"/>
        <v>0</v>
      </c>
      <c r="G74" s="1801">
        <f t="shared" si="6"/>
        <v>0</v>
      </c>
      <c r="H74" s="1802">
        <f t="shared" si="6"/>
        <v>0</v>
      </c>
      <c r="I74" s="1800">
        <f t="shared" si="6"/>
        <v>0</v>
      </c>
      <c r="J74" s="1803">
        <f t="shared" si="6"/>
        <v>0</v>
      </c>
      <c r="K74" s="1804">
        <f t="shared" si="6"/>
        <v>0</v>
      </c>
      <c r="L74" s="1800">
        <f t="shared" si="6"/>
        <v>0</v>
      </c>
      <c r="M74" s="1801">
        <f t="shared" si="6"/>
        <v>0</v>
      </c>
    </row>
    <row r="75" spans="1:13" ht="11.25" customHeight="1">
      <c r="B75" s="1696"/>
      <c r="C75" s="1708" t="s">
        <v>1131</v>
      </c>
      <c r="D75" s="1728"/>
      <c r="E75" s="1794">
        <f>SUM(E72:E74)</f>
        <v>23511</v>
      </c>
      <c r="F75" s="1790">
        <f t="shared" ref="F75:M75" si="7">SUM(F72:F74)</f>
        <v>23511</v>
      </c>
      <c r="G75" s="1791">
        <f t="shared" si="7"/>
        <v>23511</v>
      </c>
      <c r="H75" s="1792">
        <f t="shared" si="7"/>
        <v>23511</v>
      </c>
      <c r="I75" s="1790">
        <f t="shared" si="7"/>
        <v>23511</v>
      </c>
      <c r="J75" s="1793">
        <f t="shared" si="7"/>
        <v>23511</v>
      </c>
      <c r="K75" s="1794">
        <f t="shared" si="7"/>
        <v>23511</v>
      </c>
      <c r="L75" s="1790">
        <f t="shared" si="7"/>
        <v>23511</v>
      </c>
      <c r="M75" s="1791">
        <f t="shared" si="7"/>
        <v>23511</v>
      </c>
    </row>
    <row r="76" spans="1:13" ht="11.25" customHeight="1">
      <c r="B76" s="1696"/>
      <c r="C76" s="1709" t="s">
        <v>1167</v>
      </c>
      <c r="D76" s="1728"/>
      <c r="E76" s="1799">
        <f>E71+E75</f>
        <v>108926</v>
      </c>
      <c r="F76" s="1795">
        <f t="shared" ref="F76:M76" si="8">F71+F75</f>
        <v>118782</v>
      </c>
      <c r="G76" s="1796">
        <f t="shared" si="8"/>
        <v>118782</v>
      </c>
      <c r="H76" s="1797">
        <f t="shared" si="8"/>
        <v>118782</v>
      </c>
      <c r="I76" s="1795">
        <f t="shared" si="8"/>
        <v>118782</v>
      </c>
      <c r="J76" s="1798">
        <f t="shared" si="8"/>
        <v>118782</v>
      </c>
      <c r="K76" s="1799">
        <f t="shared" si="8"/>
        <v>118782</v>
      </c>
      <c r="L76" s="1795">
        <f t="shared" si="8"/>
        <v>118782</v>
      </c>
      <c r="M76" s="1796">
        <f t="shared" si="8"/>
        <v>118782</v>
      </c>
    </row>
    <row r="77" spans="1:13" ht="11.25" customHeight="1">
      <c r="B77" s="1696"/>
      <c r="C77" s="1705" t="s">
        <v>1168</v>
      </c>
      <c r="D77" s="1728"/>
      <c r="E77" s="1804"/>
      <c r="F77" s="1800"/>
      <c r="G77" s="1803"/>
      <c r="H77" s="1802"/>
      <c r="I77" s="1800"/>
      <c r="J77" s="1803"/>
      <c r="K77" s="1804"/>
      <c r="L77" s="1800"/>
      <c r="M77" s="1801"/>
    </row>
    <row r="78" spans="1:13" ht="11.25" customHeight="1">
      <c r="B78" s="1696"/>
      <c r="C78" s="1706" t="s">
        <v>1169</v>
      </c>
      <c r="D78" s="1728"/>
      <c r="E78" s="1804">
        <f t="shared" ref="E78:M78" si="9">E124+E170+E216</f>
        <v>14480</v>
      </c>
      <c r="F78" s="1800">
        <f t="shared" si="9"/>
        <v>14480</v>
      </c>
      <c r="G78" s="1801">
        <f t="shared" si="9"/>
        <v>14480</v>
      </c>
      <c r="H78" s="1802">
        <f t="shared" si="9"/>
        <v>14480</v>
      </c>
      <c r="I78" s="1800">
        <f t="shared" si="9"/>
        <v>14480</v>
      </c>
      <c r="J78" s="1803">
        <f t="shared" si="9"/>
        <v>14480</v>
      </c>
      <c r="K78" s="1804">
        <f t="shared" si="9"/>
        <v>14480</v>
      </c>
      <c r="L78" s="1800">
        <f t="shared" si="9"/>
        <v>14480</v>
      </c>
      <c r="M78" s="1801">
        <f t="shared" si="9"/>
        <v>14480</v>
      </c>
    </row>
    <row r="79" spans="1:13" ht="11.25" customHeight="1">
      <c r="B79" s="1696"/>
      <c r="C79" s="1706" t="s">
        <v>1170</v>
      </c>
      <c r="D79" s="1728"/>
      <c r="E79" s="1804">
        <f t="shared" ref="E79:M79" si="10">E125+E171+E217</f>
        <v>284</v>
      </c>
      <c r="F79" s="1800">
        <f t="shared" si="10"/>
        <v>284</v>
      </c>
      <c r="G79" s="1801">
        <f t="shared" si="10"/>
        <v>284</v>
      </c>
      <c r="H79" s="1802">
        <f t="shared" si="10"/>
        <v>284</v>
      </c>
      <c r="I79" s="1800">
        <f t="shared" si="10"/>
        <v>284</v>
      </c>
      <c r="J79" s="1803">
        <f t="shared" si="10"/>
        <v>284</v>
      </c>
      <c r="K79" s="1804">
        <f t="shared" si="10"/>
        <v>284</v>
      </c>
      <c r="L79" s="1800">
        <f t="shared" si="10"/>
        <v>284</v>
      </c>
      <c r="M79" s="1801">
        <f t="shared" si="10"/>
        <v>284</v>
      </c>
    </row>
    <row r="80" spans="1:13" ht="11.25" customHeight="1">
      <c r="B80" s="1696"/>
      <c r="C80" s="1706" t="s">
        <v>1235</v>
      </c>
      <c r="D80" s="1728"/>
      <c r="E80" s="1804">
        <f t="shared" ref="E80:M80" si="11">E126+E172+E218</f>
        <v>0</v>
      </c>
      <c r="F80" s="1800">
        <f t="shared" si="11"/>
        <v>0</v>
      </c>
      <c r="G80" s="1801">
        <f t="shared" si="11"/>
        <v>0</v>
      </c>
      <c r="H80" s="1802">
        <f t="shared" si="11"/>
        <v>0</v>
      </c>
      <c r="I80" s="1800">
        <f t="shared" si="11"/>
        <v>0</v>
      </c>
      <c r="J80" s="1803">
        <f t="shared" si="11"/>
        <v>0</v>
      </c>
      <c r="K80" s="1804">
        <f t="shared" si="11"/>
        <v>0</v>
      </c>
      <c r="L80" s="1800">
        <f t="shared" si="11"/>
        <v>0</v>
      </c>
      <c r="M80" s="1801">
        <f t="shared" si="11"/>
        <v>0</v>
      </c>
    </row>
    <row r="81" spans="2:13" ht="11.25" customHeight="1">
      <c r="B81" s="1696"/>
      <c r="C81" s="1706" t="s">
        <v>211</v>
      </c>
      <c r="D81" s="1728"/>
      <c r="E81" s="1804">
        <f t="shared" ref="E81:M81" si="12">E127+E173+E219</f>
        <v>67104</v>
      </c>
      <c r="F81" s="1800">
        <f t="shared" si="12"/>
        <v>67104</v>
      </c>
      <c r="G81" s="1801">
        <f t="shared" si="12"/>
        <v>67104</v>
      </c>
      <c r="H81" s="1802">
        <f t="shared" si="12"/>
        <v>67104</v>
      </c>
      <c r="I81" s="1800">
        <f t="shared" si="12"/>
        <v>67104</v>
      </c>
      <c r="J81" s="1803">
        <f t="shared" si="12"/>
        <v>67104</v>
      </c>
      <c r="K81" s="1804">
        <f t="shared" si="12"/>
        <v>67104</v>
      </c>
      <c r="L81" s="1800">
        <f t="shared" si="12"/>
        <v>67104</v>
      </c>
      <c r="M81" s="1801">
        <f t="shared" si="12"/>
        <v>67104</v>
      </c>
    </row>
    <row r="82" spans="2:13" ht="11.25" customHeight="1">
      <c r="B82" s="1696"/>
      <c r="C82" s="1706" t="s">
        <v>213</v>
      </c>
      <c r="D82" s="1728"/>
      <c r="E82" s="1804">
        <f t="shared" ref="E82:M82" si="13">E128+E174+E220</f>
        <v>0</v>
      </c>
      <c r="F82" s="1800">
        <f t="shared" si="13"/>
        <v>0</v>
      </c>
      <c r="G82" s="1801">
        <f t="shared" si="13"/>
        <v>0</v>
      </c>
      <c r="H82" s="1802">
        <f t="shared" si="13"/>
        <v>0</v>
      </c>
      <c r="I82" s="1800">
        <f t="shared" si="13"/>
        <v>0</v>
      </c>
      <c r="J82" s="1803">
        <f t="shared" si="13"/>
        <v>0</v>
      </c>
      <c r="K82" s="1804">
        <f t="shared" si="13"/>
        <v>0</v>
      </c>
      <c r="L82" s="1800">
        <f t="shared" si="13"/>
        <v>0</v>
      </c>
      <c r="M82" s="1801">
        <f t="shared" si="13"/>
        <v>0</v>
      </c>
    </row>
    <row r="83" spans="2:13" ht="11.25" customHeight="1">
      <c r="B83" s="1696"/>
      <c r="C83" s="1708" t="s">
        <v>323</v>
      </c>
      <c r="D83" s="1728"/>
      <c r="E83" s="1789">
        <f>SUM(E78:E82)</f>
        <v>81868</v>
      </c>
      <c r="F83" s="1785">
        <f t="shared" ref="F83:M83" si="14">SUM(F78:F82)</f>
        <v>81868</v>
      </c>
      <c r="G83" s="1786">
        <f t="shared" si="14"/>
        <v>81868</v>
      </c>
      <c r="H83" s="1787">
        <f t="shared" si="14"/>
        <v>81868</v>
      </c>
      <c r="I83" s="1785">
        <f t="shared" si="14"/>
        <v>81868</v>
      </c>
      <c r="J83" s="1788">
        <f t="shared" si="14"/>
        <v>81868</v>
      </c>
      <c r="K83" s="1789">
        <f t="shared" si="14"/>
        <v>81868</v>
      </c>
      <c r="L83" s="1785">
        <f t="shared" si="14"/>
        <v>81868</v>
      </c>
      <c r="M83" s="1786">
        <f t="shared" si="14"/>
        <v>81868</v>
      </c>
    </row>
    <row r="84" spans="2:13" ht="11.25" customHeight="1">
      <c r="B84" s="1696"/>
      <c r="C84" s="1706" t="s">
        <v>212</v>
      </c>
      <c r="D84" s="1728"/>
      <c r="E84" s="1804">
        <f t="shared" ref="E84:M84" si="15">E130+E176+E222</f>
        <v>0</v>
      </c>
      <c r="F84" s="1800">
        <f t="shared" si="15"/>
        <v>0</v>
      </c>
      <c r="G84" s="1801">
        <f t="shared" si="15"/>
        <v>0</v>
      </c>
      <c r="H84" s="1802">
        <f t="shared" si="15"/>
        <v>0</v>
      </c>
      <c r="I84" s="1800">
        <f t="shared" si="15"/>
        <v>0</v>
      </c>
      <c r="J84" s="1803">
        <f t="shared" si="15"/>
        <v>0</v>
      </c>
      <c r="K84" s="1804">
        <f t="shared" si="15"/>
        <v>0</v>
      </c>
      <c r="L84" s="1800">
        <f t="shared" si="15"/>
        <v>0</v>
      </c>
      <c r="M84" s="1801">
        <f t="shared" si="15"/>
        <v>0</v>
      </c>
    </row>
    <row r="85" spans="2:13" ht="11.25" customHeight="1">
      <c r="B85" s="1696"/>
      <c r="C85" s="1706" t="s">
        <v>1079</v>
      </c>
      <c r="D85" s="1728"/>
      <c r="E85" s="1804">
        <f t="shared" ref="E85:M85" si="16">E131+E177+E223</f>
        <v>0</v>
      </c>
      <c r="F85" s="1800">
        <f t="shared" si="16"/>
        <v>0</v>
      </c>
      <c r="G85" s="1801">
        <f t="shared" si="16"/>
        <v>0</v>
      </c>
      <c r="H85" s="1802">
        <f t="shared" si="16"/>
        <v>0</v>
      </c>
      <c r="I85" s="1800">
        <f t="shared" si="16"/>
        <v>0</v>
      </c>
      <c r="J85" s="1803">
        <f t="shared" si="16"/>
        <v>0</v>
      </c>
      <c r="K85" s="1804">
        <f t="shared" si="16"/>
        <v>0</v>
      </c>
      <c r="L85" s="1800">
        <f t="shared" si="16"/>
        <v>0</v>
      </c>
      <c r="M85" s="1801">
        <f t="shared" si="16"/>
        <v>0</v>
      </c>
    </row>
    <row r="86" spans="2:13" ht="11.25" customHeight="1">
      <c r="B86" s="1696"/>
      <c r="C86" s="1706" t="s">
        <v>1237</v>
      </c>
      <c r="D86" s="1728"/>
      <c r="E86" s="1804">
        <f t="shared" ref="E86:M86" si="17">E132+E178+E224</f>
        <v>27058</v>
      </c>
      <c r="F86" s="1800">
        <f t="shared" si="17"/>
        <v>27058</v>
      </c>
      <c r="G86" s="1801">
        <f t="shared" si="17"/>
        <v>27058</v>
      </c>
      <c r="H86" s="1802">
        <f t="shared" si="17"/>
        <v>27058</v>
      </c>
      <c r="I86" s="1800">
        <f t="shared" si="17"/>
        <v>27058</v>
      </c>
      <c r="J86" s="1803">
        <f t="shared" si="17"/>
        <v>27058</v>
      </c>
      <c r="K86" s="1804">
        <f t="shared" si="17"/>
        <v>27058</v>
      </c>
      <c r="L86" s="1800">
        <f t="shared" si="17"/>
        <v>27058</v>
      </c>
      <c r="M86" s="1801">
        <f t="shared" si="17"/>
        <v>27058</v>
      </c>
    </row>
    <row r="87" spans="2:13" ht="11.25" customHeight="1">
      <c r="B87" s="1696"/>
      <c r="C87" s="1708" t="s">
        <v>1131</v>
      </c>
      <c r="D87" s="1728"/>
      <c r="E87" s="1794">
        <f>SUM(E84:E86)</f>
        <v>27058</v>
      </c>
      <c r="F87" s="1790">
        <f t="shared" ref="F87:M87" si="18">SUM(F84:F86)</f>
        <v>27058</v>
      </c>
      <c r="G87" s="1791">
        <f t="shared" si="18"/>
        <v>27058</v>
      </c>
      <c r="H87" s="1792">
        <f t="shared" si="18"/>
        <v>27058</v>
      </c>
      <c r="I87" s="1790">
        <f t="shared" si="18"/>
        <v>27058</v>
      </c>
      <c r="J87" s="1793">
        <f t="shared" si="18"/>
        <v>27058</v>
      </c>
      <c r="K87" s="1794">
        <f t="shared" si="18"/>
        <v>27058</v>
      </c>
      <c r="L87" s="1790">
        <f t="shared" si="18"/>
        <v>27058</v>
      </c>
      <c r="M87" s="1791">
        <f t="shared" si="18"/>
        <v>27058</v>
      </c>
    </row>
    <row r="88" spans="2:13" ht="11.25" customHeight="1">
      <c r="B88" s="1696"/>
      <c r="C88" s="1709" t="s">
        <v>1167</v>
      </c>
      <c r="D88" s="1728"/>
      <c r="E88" s="1799">
        <f>E83+E87</f>
        <v>108926</v>
      </c>
      <c r="F88" s="1795">
        <f t="shared" ref="F88:M88" si="19">F83+F87</f>
        <v>108926</v>
      </c>
      <c r="G88" s="1796">
        <f t="shared" si="19"/>
        <v>108926</v>
      </c>
      <c r="H88" s="1797">
        <f t="shared" si="19"/>
        <v>108926</v>
      </c>
      <c r="I88" s="1795">
        <f t="shared" si="19"/>
        <v>108926</v>
      </c>
      <c r="J88" s="1798">
        <f t="shared" si="19"/>
        <v>108926</v>
      </c>
      <c r="K88" s="1799">
        <f t="shared" si="19"/>
        <v>108926</v>
      </c>
      <c r="L88" s="1795">
        <f t="shared" si="19"/>
        <v>108926</v>
      </c>
      <c r="M88" s="1796">
        <f t="shared" si="19"/>
        <v>108926</v>
      </c>
    </row>
    <row r="89" spans="2:13" ht="11.25" customHeight="1">
      <c r="B89" s="1696"/>
      <c r="C89" s="1705" t="s">
        <v>590</v>
      </c>
      <c r="D89" s="1728"/>
      <c r="E89" s="1804"/>
      <c r="F89" s="1800"/>
      <c r="G89" s="1803"/>
      <c r="H89" s="1802"/>
      <c r="I89" s="1800"/>
      <c r="J89" s="1803"/>
      <c r="K89" s="1804"/>
      <c r="L89" s="1800"/>
      <c r="M89" s="1801"/>
    </row>
    <row r="90" spans="2:13" ht="11.25" customHeight="1">
      <c r="B90" s="1696"/>
      <c r="C90" s="1706" t="s">
        <v>1080</v>
      </c>
      <c r="D90" s="1728"/>
      <c r="E90" s="1804">
        <f t="shared" ref="E90:M90" si="20">E136+E182+E228</f>
        <v>12100</v>
      </c>
      <c r="F90" s="1800">
        <f t="shared" si="20"/>
        <v>12900</v>
      </c>
      <c r="G90" s="1801">
        <f t="shared" si="20"/>
        <v>13000</v>
      </c>
      <c r="H90" s="1802">
        <f t="shared" si="20"/>
        <v>13200</v>
      </c>
      <c r="I90" s="1800">
        <f t="shared" si="20"/>
        <v>13200</v>
      </c>
      <c r="J90" s="1803">
        <f t="shared" si="20"/>
        <v>13200</v>
      </c>
      <c r="K90" s="1804">
        <f t="shared" si="20"/>
        <v>13200</v>
      </c>
      <c r="L90" s="1800">
        <f t="shared" si="20"/>
        <v>13500</v>
      </c>
      <c r="M90" s="1801">
        <f t="shared" si="20"/>
        <v>13500</v>
      </c>
    </row>
    <row r="91" spans="2:13" ht="11.25" customHeight="1">
      <c r="B91" s="1696"/>
      <c r="C91" s="1706" t="s">
        <v>437</v>
      </c>
      <c r="D91" s="1728"/>
      <c r="E91" s="1804">
        <f t="shared" ref="E91:M91" si="21">E137+E183+E229</f>
        <v>1010</v>
      </c>
      <c r="F91" s="1800">
        <f t="shared" si="21"/>
        <v>1200</v>
      </c>
      <c r="G91" s="1801">
        <f t="shared" si="21"/>
        <v>1350</v>
      </c>
      <c r="H91" s="1802">
        <f t="shared" si="21"/>
        <v>1420</v>
      </c>
      <c r="I91" s="1800">
        <f t="shared" si="21"/>
        <v>1420</v>
      </c>
      <c r="J91" s="1803">
        <f t="shared" si="21"/>
        <v>1420</v>
      </c>
      <c r="K91" s="1804">
        <f t="shared" si="21"/>
        <v>1420</v>
      </c>
      <c r="L91" s="1800">
        <f t="shared" si="21"/>
        <v>1500</v>
      </c>
      <c r="M91" s="1801">
        <f t="shared" si="21"/>
        <v>1500</v>
      </c>
    </row>
    <row r="92" spans="2:13" ht="11.25" customHeight="1">
      <c r="B92" s="1696"/>
      <c r="C92" s="1708" t="s">
        <v>323</v>
      </c>
      <c r="D92" s="1728"/>
      <c r="E92" s="1789">
        <f>SUM(E90:E91)</f>
        <v>13110</v>
      </c>
      <c r="F92" s="1785">
        <f t="shared" ref="F92:M92" si="22">SUM(F90:F91)</f>
        <v>14100</v>
      </c>
      <c r="G92" s="1786">
        <f t="shared" si="22"/>
        <v>14350</v>
      </c>
      <c r="H92" s="1787">
        <f t="shared" si="22"/>
        <v>14620</v>
      </c>
      <c r="I92" s="1785">
        <f t="shared" si="22"/>
        <v>14620</v>
      </c>
      <c r="J92" s="1788">
        <f t="shared" si="22"/>
        <v>14620</v>
      </c>
      <c r="K92" s="1789">
        <f t="shared" si="22"/>
        <v>14620</v>
      </c>
      <c r="L92" s="1785">
        <f t="shared" si="22"/>
        <v>15000</v>
      </c>
      <c r="M92" s="1786">
        <f t="shared" si="22"/>
        <v>15000</v>
      </c>
    </row>
    <row r="93" spans="2:13" ht="11.25" customHeight="1">
      <c r="B93" s="1696"/>
      <c r="C93" s="1706" t="s">
        <v>438</v>
      </c>
      <c r="D93" s="1728"/>
      <c r="E93" s="1804">
        <f t="shared" ref="E93:M93" si="23">E139+E185+E231</f>
        <v>0</v>
      </c>
      <c r="F93" s="1800">
        <f t="shared" si="23"/>
        <v>0</v>
      </c>
      <c r="G93" s="1801">
        <f t="shared" si="23"/>
        <v>0</v>
      </c>
      <c r="H93" s="1802">
        <f t="shared" si="23"/>
        <v>0</v>
      </c>
      <c r="I93" s="1800">
        <f t="shared" si="23"/>
        <v>0</v>
      </c>
      <c r="J93" s="1803">
        <f t="shared" si="23"/>
        <v>0</v>
      </c>
      <c r="K93" s="1804">
        <f t="shared" si="23"/>
        <v>0</v>
      </c>
      <c r="L93" s="1800">
        <f t="shared" si="23"/>
        <v>0</v>
      </c>
      <c r="M93" s="1801">
        <f t="shared" si="23"/>
        <v>0</v>
      </c>
    </row>
    <row r="94" spans="2:13" ht="11.25" customHeight="1">
      <c r="B94" s="1696"/>
      <c r="C94" s="1706" t="s">
        <v>439</v>
      </c>
      <c r="D94" s="1728"/>
      <c r="E94" s="1804">
        <f t="shared" ref="E94:M94" si="24">E140+E186+E232</f>
        <v>0</v>
      </c>
      <c r="F94" s="1800">
        <f t="shared" si="24"/>
        <v>0</v>
      </c>
      <c r="G94" s="1801">
        <f t="shared" si="24"/>
        <v>0</v>
      </c>
      <c r="H94" s="1802">
        <f t="shared" si="24"/>
        <v>0</v>
      </c>
      <c r="I94" s="1800">
        <f t="shared" si="24"/>
        <v>0</v>
      </c>
      <c r="J94" s="1803">
        <f t="shared" si="24"/>
        <v>0</v>
      </c>
      <c r="K94" s="1804">
        <f t="shared" si="24"/>
        <v>0</v>
      </c>
      <c r="L94" s="1800">
        <f t="shared" si="24"/>
        <v>0</v>
      </c>
      <c r="M94" s="1801">
        <f t="shared" si="24"/>
        <v>0</v>
      </c>
    </row>
    <row r="95" spans="2:13" ht="11.25" customHeight="1">
      <c r="B95" s="1696"/>
      <c r="C95" s="1706" t="s">
        <v>591</v>
      </c>
      <c r="D95" s="1728"/>
      <c r="E95" s="1804">
        <f t="shared" ref="E95:M95" si="25">E141+E187+E233</f>
        <v>0</v>
      </c>
      <c r="F95" s="1800">
        <f t="shared" si="25"/>
        <v>0</v>
      </c>
      <c r="G95" s="1801">
        <f t="shared" si="25"/>
        <v>0</v>
      </c>
      <c r="H95" s="1802">
        <f t="shared" si="25"/>
        <v>0</v>
      </c>
      <c r="I95" s="1800">
        <f t="shared" si="25"/>
        <v>0</v>
      </c>
      <c r="J95" s="1803">
        <f t="shared" si="25"/>
        <v>0</v>
      </c>
      <c r="K95" s="1804">
        <f t="shared" si="25"/>
        <v>0</v>
      </c>
      <c r="L95" s="1800">
        <f t="shared" si="25"/>
        <v>0</v>
      </c>
      <c r="M95" s="1801">
        <f t="shared" si="25"/>
        <v>0</v>
      </c>
    </row>
    <row r="96" spans="2:13" ht="11.25" customHeight="1">
      <c r="B96" s="1696"/>
      <c r="C96" s="1708" t="s">
        <v>1131</v>
      </c>
      <c r="D96" s="1728"/>
      <c r="E96" s="1794">
        <f>SUM(E93:E95)</f>
        <v>0</v>
      </c>
      <c r="F96" s="1790">
        <f t="shared" ref="F96:M96" si="26">SUM(F93:F95)</f>
        <v>0</v>
      </c>
      <c r="G96" s="1791">
        <f t="shared" si="26"/>
        <v>0</v>
      </c>
      <c r="H96" s="1792">
        <f t="shared" si="26"/>
        <v>0</v>
      </c>
      <c r="I96" s="1790">
        <f t="shared" si="26"/>
        <v>0</v>
      </c>
      <c r="J96" s="1793">
        <f t="shared" si="26"/>
        <v>0</v>
      </c>
      <c r="K96" s="1794">
        <f t="shared" si="26"/>
        <v>0</v>
      </c>
      <c r="L96" s="1790">
        <f t="shared" si="26"/>
        <v>0</v>
      </c>
      <c r="M96" s="1791">
        <f t="shared" si="26"/>
        <v>0</v>
      </c>
    </row>
    <row r="97" spans="1:13" ht="11.25" customHeight="1">
      <c r="B97" s="1696"/>
      <c r="C97" s="1709" t="s">
        <v>1167</v>
      </c>
      <c r="D97" s="1728"/>
      <c r="E97" s="1799">
        <f>E92+E96</f>
        <v>13110</v>
      </c>
      <c r="F97" s="1795">
        <f t="shared" ref="F97:M97" si="27">F92+F96</f>
        <v>14100</v>
      </c>
      <c r="G97" s="1796">
        <f t="shared" si="27"/>
        <v>14350</v>
      </c>
      <c r="H97" s="1797">
        <f t="shared" si="27"/>
        <v>14620</v>
      </c>
      <c r="I97" s="1795">
        <f t="shared" si="27"/>
        <v>14620</v>
      </c>
      <c r="J97" s="1798">
        <f t="shared" si="27"/>
        <v>14620</v>
      </c>
      <c r="K97" s="1799">
        <f t="shared" si="27"/>
        <v>14620</v>
      </c>
      <c r="L97" s="1795">
        <f t="shared" si="27"/>
        <v>15000</v>
      </c>
      <c r="M97" s="1796">
        <f t="shared" si="27"/>
        <v>15000</v>
      </c>
    </row>
    <row r="98" spans="1:13" ht="11.25" customHeight="1">
      <c r="B98" s="1696"/>
      <c r="C98" s="1705" t="s">
        <v>593</v>
      </c>
      <c r="D98" s="1728"/>
      <c r="E98" s="1804"/>
      <c r="F98" s="1800"/>
      <c r="G98" s="1803"/>
      <c r="H98" s="1802"/>
      <c r="I98" s="1800"/>
      <c r="J98" s="1803"/>
      <c r="K98" s="1804"/>
      <c r="L98" s="1800"/>
      <c r="M98" s="1801"/>
    </row>
    <row r="99" spans="1:13" ht="11.25" customHeight="1">
      <c r="B99" s="1696"/>
      <c r="C99" s="1706" t="s">
        <v>636</v>
      </c>
      <c r="D99" s="1728"/>
      <c r="E99" s="2406">
        <f t="shared" ref="E99:M99" si="28">E145+E191+E237</f>
        <v>8537</v>
      </c>
      <c r="F99" s="2404">
        <f t="shared" si="28"/>
        <v>8695</v>
      </c>
      <c r="G99" s="2410">
        <f t="shared" si="28"/>
        <v>8695</v>
      </c>
      <c r="H99" s="2411">
        <f t="shared" si="28"/>
        <v>8695</v>
      </c>
      <c r="I99" s="2404">
        <f t="shared" si="28"/>
        <v>8695</v>
      </c>
      <c r="J99" s="2412">
        <f t="shared" si="28"/>
        <v>8695</v>
      </c>
      <c r="K99" s="2406">
        <f t="shared" si="28"/>
        <v>8695</v>
      </c>
      <c r="L99" s="2404">
        <f t="shared" si="28"/>
        <v>8695</v>
      </c>
      <c r="M99" s="2410">
        <f t="shared" si="28"/>
        <v>8695</v>
      </c>
    </row>
    <row r="100" spans="1:13" ht="11.25" customHeight="1">
      <c r="B100" s="1696"/>
      <c r="C100" s="1708" t="s">
        <v>323</v>
      </c>
      <c r="D100" s="1728"/>
      <c r="E100" s="1804">
        <f>SUM(E99)</f>
        <v>8537</v>
      </c>
      <c r="F100" s="1800">
        <f t="shared" ref="F100:M100" si="29">SUM(F99)</f>
        <v>8695</v>
      </c>
      <c r="G100" s="1801">
        <f t="shared" si="29"/>
        <v>8695</v>
      </c>
      <c r="H100" s="1802">
        <f t="shared" si="29"/>
        <v>8695</v>
      </c>
      <c r="I100" s="1800">
        <f t="shared" si="29"/>
        <v>8695</v>
      </c>
      <c r="J100" s="1803">
        <f t="shared" si="29"/>
        <v>8695</v>
      </c>
      <c r="K100" s="1804">
        <f t="shared" si="29"/>
        <v>8695</v>
      </c>
      <c r="L100" s="1800">
        <f t="shared" si="29"/>
        <v>8695</v>
      </c>
      <c r="M100" s="1801">
        <f t="shared" si="29"/>
        <v>8695</v>
      </c>
    </row>
    <row r="101" spans="1:13" ht="11.25" customHeight="1">
      <c r="B101" s="1696"/>
      <c r="C101" s="1706" t="s">
        <v>594</v>
      </c>
      <c r="D101" s="1728"/>
      <c r="E101" s="1804">
        <f t="shared" ref="E101:M101" si="30">E147+E193+E239</f>
        <v>36000</v>
      </c>
      <c r="F101" s="1800">
        <f t="shared" si="30"/>
        <v>47822</v>
      </c>
      <c r="G101" s="1801">
        <f t="shared" si="30"/>
        <v>47822</v>
      </c>
      <c r="H101" s="1802">
        <f t="shared" si="30"/>
        <v>47822</v>
      </c>
      <c r="I101" s="1800">
        <f t="shared" si="30"/>
        <v>47822</v>
      </c>
      <c r="J101" s="1803">
        <f t="shared" si="30"/>
        <v>47822</v>
      </c>
      <c r="K101" s="1804">
        <f t="shared" si="30"/>
        <v>52170</v>
      </c>
      <c r="L101" s="1800">
        <f t="shared" si="30"/>
        <v>65000</v>
      </c>
      <c r="M101" s="1801">
        <f t="shared" si="30"/>
        <v>65000</v>
      </c>
    </row>
    <row r="102" spans="1:13" ht="11.25" customHeight="1">
      <c r="B102" s="1696"/>
      <c r="C102" s="1706" t="s">
        <v>595</v>
      </c>
      <c r="D102" s="1728"/>
      <c r="E102" s="1804">
        <f t="shared" ref="E102:M102" si="31">E148+E194+E240</f>
        <v>64150</v>
      </c>
      <c r="F102" s="1800">
        <f t="shared" si="31"/>
        <v>52170</v>
      </c>
      <c r="G102" s="1801">
        <f t="shared" si="31"/>
        <v>52170</v>
      </c>
      <c r="H102" s="1802">
        <f t="shared" si="31"/>
        <v>52170</v>
      </c>
      <c r="I102" s="1800">
        <f t="shared" si="31"/>
        <v>52170</v>
      </c>
      <c r="J102" s="1803">
        <f t="shared" si="31"/>
        <v>52170</v>
      </c>
      <c r="K102" s="1804">
        <f t="shared" si="31"/>
        <v>47822</v>
      </c>
      <c r="L102" s="1800">
        <f t="shared" si="31"/>
        <v>34992</v>
      </c>
      <c r="M102" s="1801">
        <f t="shared" si="31"/>
        <v>34992</v>
      </c>
    </row>
    <row r="103" spans="1:13" ht="11.25" customHeight="1">
      <c r="B103" s="1696"/>
      <c r="C103" s="1706" t="s">
        <v>758</v>
      </c>
      <c r="D103" s="1728"/>
      <c r="E103" s="1804">
        <f t="shared" ref="E103:M103" si="32">E149+E195+E241</f>
        <v>0</v>
      </c>
      <c r="F103" s="1800">
        <f t="shared" si="32"/>
        <v>0</v>
      </c>
      <c r="G103" s="1801">
        <f t="shared" si="32"/>
        <v>0</v>
      </c>
      <c r="H103" s="1802">
        <f t="shared" si="32"/>
        <v>0</v>
      </c>
      <c r="I103" s="1800">
        <f t="shared" si="32"/>
        <v>0</v>
      </c>
      <c r="J103" s="1803">
        <f t="shared" si="32"/>
        <v>0</v>
      </c>
      <c r="K103" s="1804">
        <f t="shared" si="32"/>
        <v>0</v>
      </c>
      <c r="L103" s="1800">
        <f t="shared" si="32"/>
        <v>0</v>
      </c>
      <c r="M103" s="1801">
        <f t="shared" si="32"/>
        <v>0</v>
      </c>
    </row>
    <row r="104" spans="1:13" ht="11.25" customHeight="1">
      <c r="B104" s="1696"/>
      <c r="C104" s="1706" t="s">
        <v>759</v>
      </c>
      <c r="D104" s="1728"/>
      <c r="E104" s="1804">
        <f t="shared" ref="E104:M104" si="33">E150+E196+E242</f>
        <v>0</v>
      </c>
      <c r="F104" s="1800">
        <f t="shared" si="33"/>
        <v>0</v>
      </c>
      <c r="G104" s="1801">
        <f t="shared" si="33"/>
        <v>0</v>
      </c>
      <c r="H104" s="1802">
        <f t="shared" si="33"/>
        <v>0</v>
      </c>
      <c r="I104" s="1800">
        <f t="shared" si="33"/>
        <v>0</v>
      </c>
      <c r="J104" s="1803">
        <f t="shared" si="33"/>
        <v>0</v>
      </c>
      <c r="K104" s="1804">
        <f t="shared" si="33"/>
        <v>0</v>
      </c>
      <c r="L104" s="1800">
        <f t="shared" si="33"/>
        <v>0</v>
      </c>
      <c r="M104" s="1801">
        <f t="shared" si="33"/>
        <v>0</v>
      </c>
    </row>
    <row r="105" spans="1:13" ht="11.25" customHeight="1">
      <c r="B105" s="1696"/>
      <c r="C105" s="1706" t="s">
        <v>170</v>
      </c>
      <c r="D105" s="1728"/>
      <c r="E105" s="1804">
        <f t="shared" ref="E105:M105" si="34">E151+E197+E243</f>
        <v>0</v>
      </c>
      <c r="F105" s="1800">
        <f t="shared" si="34"/>
        <v>0</v>
      </c>
      <c r="G105" s="1801">
        <f t="shared" si="34"/>
        <v>0</v>
      </c>
      <c r="H105" s="1802">
        <f t="shared" si="34"/>
        <v>0</v>
      </c>
      <c r="I105" s="1800">
        <f t="shared" si="34"/>
        <v>0</v>
      </c>
      <c r="J105" s="1803">
        <f t="shared" si="34"/>
        <v>0</v>
      </c>
      <c r="K105" s="1804">
        <f t="shared" si="34"/>
        <v>0</v>
      </c>
      <c r="L105" s="1800">
        <f t="shared" si="34"/>
        <v>0</v>
      </c>
      <c r="M105" s="1801">
        <f t="shared" si="34"/>
        <v>0</v>
      </c>
    </row>
    <row r="106" spans="1:13" ht="11.25" customHeight="1">
      <c r="B106" s="1696"/>
      <c r="C106" s="1708" t="s">
        <v>1131</v>
      </c>
      <c r="D106" s="1728"/>
      <c r="E106" s="1794">
        <f t="shared" ref="E106:M106" si="35">SUM(E101:E105)</f>
        <v>100150</v>
      </c>
      <c r="F106" s="1790">
        <f t="shared" si="35"/>
        <v>99992</v>
      </c>
      <c r="G106" s="1791">
        <f t="shared" si="35"/>
        <v>99992</v>
      </c>
      <c r="H106" s="1792">
        <f t="shared" si="35"/>
        <v>99992</v>
      </c>
      <c r="I106" s="1790">
        <f t="shared" si="35"/>
        <v>99992</v>
      </c>
      <c r="J106" s="1793">
        <f t="shared" si="35"/>
        <v>99992</v>
      </c>
      <c r="K106" s="1794">
        <f t="shared" si="35"/>
        <v>99992</v>
      </c>
      <c r="L106" s="1790">
        <f t="shared" si="35"/>
        <v>99992</v>
      </c>
      <c r="M106" s="1791">
        <f t="shared" si="35"/>
        <v>99992</v>
      </c>
    </row>
    <row r="107" spans="1:13" ht="11.25" customHeight="1">
      <c r="B107" s="1696"/>
      <c r="C107" s="1709" t="s">
        <v>1167</v>
      </c>
      <c r="D107" s="1728"/>
      <c r="E107" s="1799">
        <f>E100+E106</f>
        <v>108687</v>
      </c>
      <c r="F107" s="1795">
        <f t="shared" ref="F107:M107" si="36">F100+F106</f>
        <v>108687</v>
      </c>
      <c r="G107" s="1796">
        <f t="shared" si="36"/>
        <v>108687</v>
      </c>
      <c r="H107" s="1797">
        <f t="shared" si="36"/>
        <v>108687</v>
      </c>
      <c r="I107" s="1795">
        <f t="shared" si="36"/>
        <v>108687</v>
      </c>
      <c r="J107" s="1798">
        <f t="shared" si="36"/>
        <v>108687</v>
      </c>
      <c r="K107" s="1799">
        <f t="shared" si="36"/>
        <v>108687</v>
      </c>
      <c r="L107" s="1795">
        <f t="shared" si="36"/>
        <v>108687</v>
      </c>
      <c r="M107" s="1796">
        <f t="shared" si="36"/>
        <v>108687</v>
      </c>
    </row>
    <row r="108" spans="1:13" ht="4.9000000000000004" customHeight="1">
      <c r="B108" s="1696"/>
      <c r="C108" s="1710"/>
      <c r="D108" s="1729"/>
      <c r="E108" s="979"/>
      <c r="F108" s="975"/>
      <c r="G108" s="976"/>
      <c r="H108" s="977"/>
      <c r="I108" s="975"/>
      <c r="J108" s="978"/>
      <c r="K108" s="979"/>
      <c r="L108" s="975"/>
      <c r="M108" s="976"/>
    </row>
    <row r="109" spans="1:13" ht="25.15" customHeight="1">
      <c r="A109" s="2892" t="s">
        <v>1826</v>
      </c>
      <c r="B109" s="1687"/>
      <c r="C109" s="1688"/>
      <c r="D109" s="1689"/>
      <c r="E109" s="1690" t="str">
        <f>head1b</f>
        <v>2016/17</v>
      </c>
      <c r="F109" s="956" t="str">
        <f>head1A</f>
        <v>2017/18</v>
      </c>
      <c r="G109" s="957" t="str">
        <f>Head1</f>
        <v>2018/19</v>
      </c>
      <c r="H109" s="2853" t="str">
        <f>Head2</f>
        <v>Current Year 2019/20</v>
      </c>
      <c r="I109" s="2854"/>
      <c r="J109" s="2855"/>
      <c r="K109" s="2853" t="str">
        <f>Head3</f>
        <v>2020/21 Medium Term Revenue &amp; Expenditure Framework</v>
      </c>
      <c r="L109" s="2854"/>
      <c r="M109" s="2855"/>
    </row>
    <row r="110" spans="1:13" ht="25.15" customHeight="1">
      <c r="A110" s="2892"/>
      <c r="B110" s="1691" t="s">
        <v>1744</v>
      </c>
      <c r="C110" s="1385"/>
      <c r="D110" s="1386"/>
      <c r="E110" s="1692" t="str">
        <f>Head5A</f>
        <v>Outcome</v>
      </c>
      <c r="F110" s="1693" t="str">
        <f>Head5A</f>
        <v>Outcome</v>
      </c>
      <c r="G110" s="1694" t="str">
        <f>Head5A</f>
        <v>Outcome</v>
      </c>
      <c r="H110" s="1695" t="str">
        <f>Head6</f>
        <v>Original Budget</v>
      </c>
      <c r="I110" s="1693" t="str">
        <f>Head7</f>
        <v>Adjusted Budget</v>
      </c>
      <c r="J110" s="1694" t="str">
        <f>Head8</f>
        <v>Full Year Forecast</v>
      </c>
      <c r="K110" s="1695" t="str">
        <f>Head9</f>
        <v>Budget Year 2020/21</v>
      </c>
      <c r="L110" s="1693" t="str">
        <f>Head10</f>
        <v>Budget Year +1 2021/22</v>
      </c>
      <c r="M110" s="1694" t="str">
        <f>Head11</f>
        <v>Budget Year +2 2022/23</v>
      </c>
    </row>
    <row r="111" spans="1:13" ht="11.25" customHeight="1">
      <c r="B111" s="1696"/>
      <c r="C111" s="1697" t="s">
        <v>172</v>
      </c>
      <c r="D111" s="1728"/>
      <c r="E111" s="423"/>
      <c r="F111" s="1698"/>
      <c r="G111" s="1699"/>
      <c r="H111" s="1700"/>
      <c r="I111" s="1701"/>
      <c r="J111" s="1702"/>
      <c r="K111" s="1703"/>
      <c r="L111" s="1701"/>
      <c r="M111" s="1704"/>
    </row>
    <row r="112" spans="1:13" ht="11.25" customHeight="1">
      <c r="B112" s="1696"/>
      <c r="C112" s="1705" t="s">
        <v>1615</v>
      </c>
      <c r="D112" s="1728"/>
      <c r="E112" s="967"/>
      <c r="F112" s="963"/>
      <c r="G112" s="966"/>
      <c r="H112" s="902"/>
      <c r="I112" s="900"/>
      <c r="J112" s="903"/>
      <c r="K112" s="904"/>
      <c r="L112" s="900"/>
      <c r="M112" s="901"/>
    </row>
    <row r="113" spans="2:13" ht="11.25" customHeight="1">
      <c r="B113" s="1696"/>
      <c r="C113" s="1706" t="s">
        <v>1448</v>
      </c>
      <c r="D113" s="1728"/>
      <c r="E113" s="1409">
        <v>17723</v>
      </c>
      <c r="F113" s="1406">
        <v>17793</v>
      </c>
      <c r="G113" s="1407">
        <v>17793</v>
      </c>
      <c r="H113" s="1784">
        <v>17793</v>
      </c>
      <c r="I113" s="1406">
        <v>17793</v>
      </c>
      <c r="J113" s="1408">
        <v>17793</v>
      </c>
      <c r="K113" s="1409">
        <v>17793</v>
      </c>
      <c r="L113" s="1406">
        <v>17793</v>
      </c>
      <c r="M113" s="1407">
        <v>17793</v>
      </c>
    </row>
    <row r="114" spans="2:13" ht="11.25" customHeight="1">
      <c r="B114" s="1696"/>
      <c r="C114" s="1706" t="s">
        <v>1614</v>
      </c>
      <c r="D114" s="1728"/>
      <c r="E114" s="1409">
        <v>24969</v>
      </c>
      <c r="F114" s="1406">
        <v>34755</v>
      </c>
      <c r="G114" s="1407">
        <v>34755</v>
      </c>
      <c r="H114" s="1784">
        <v>34755</v>
      </c>
      <c r="I114" s="1406">
        <v>34755</v>
      </c>
      <c r="J114" s="1408">
        <v>34755</v>
      </c>
      <c r="K114" s="1409">
        <v>34755</v>
      </c>
      <c r="L114" s="1406">
        <v>34755</v>
      </c>
      <c r="M114" s="1407">
        <v>34755</v>
      </c>
    </row>
    <row r="115" spans="2:13" ht="11.25" customHeight="1">
      <c r="B115" s="1707">
        <v>8</v>
      </c>
      <c r="C115" s="1706" t="s">
        <v>111</v>
      </c>
      <c r="D115" s="1728"/>
      <c r="E115" s="1409">
        <v>17540</v>
      </c>
      <c r="F115" s="1406">
        <v>17540</v>
      </c>
      <c r="G115" s="1407">
        <v>17540</v>
      </c>
      <c r="H115" s="1784">
        <v>17540</v>
      </c>
      <c r="I115" s="1406">
        <v>17540</v>
      </c>
      <c r="J115" s="1408">
        <v>17540</v>
      </c>
      <c r="K115" s="1409">
        <v>17540</v>
      </c>
      <c r="L115" s="1406">
        <v>17540</v>
      </c>
      <c r="M115" s="1407">
        <v>17540</v>
      </c>
    </row>
    <row r="116" spans="2:13" ht="11.25" customHeight="1">
      <c r="B116" s="1707">
        <v>10</v>
      </c>
      <c r="C116" s="1706" t="s">
        <v>112</v>
      </c>
      <c r="D116" s="1728"/>
      <c r="E116" s="1409">
        <v>25183</v>
      </c>
      <c r="F116" s="1406">
        <v>25183</v>
      </c>
      <c r="G116" s="1407">
        <v>25183</v>
      </c>
      <c r="H116" s="1784">
        <v>25183</v>
      </c>
      <c r="I116" s="1406">
        <v>25183</v>
      </c>
      <c r="J116" s="1408">
        <v>25183</v>
      </c>
      <c r="K116" s="1409">
        <v>25183</v>
      </c>
      <c r="L116" s="1406">
        <v>25183</v>
      </c>
      <c r="M116" s="1407">
        <v>25183</v>
      </c>
    </row>
    <row r="117" spans="2:13" ht="11.25" customHeight="1">
      <c r="B117" s="1707"/>
      <c r="C117" s="1708" t="s">
        <v>323</v>
      </c>
      <c r="D117" s="1728"/>
      <c r="E117" s="1789">
        <f>SUM(E113:E116)</f>
        <v>85415</v>
      </c>
      <c r="F117" s="1785">
        <f t="shared" ref="F117:M117" si="37">SUM(F113:F116)</f>
        <v>95271</v>
      </c>
      <c r="G117" s="1786">
        <f t="shared" si="37"/>
        <v>95271</v>
      </c>
      <c r="H117" s="1787">
        <f t="shared" si="37"/>
        <v>95271</v>
      </c>
      <c r="I117" s="1785">
        <f t="shared" si="37"/>
        <v>95271</v>
      </c>
      <c r="J117" s="1788">
        <f t="shared" si="37"/>
        <v>95271</v>
      </c>
      <c r="K117" s="1789">
        <f t="shared" si="37"/>
        <v>95271</v>
      </c>
      <c r="L117" s="1785">
        <f t="shared" si="37"/>
        <v>95271</v>
      </c>
      <c r="M117" s="1786">
        <f t="shared" si="37"/>
        <v>95271</v>
      </c>
    </row>
    <row r="118" spans="2:13" ht="11.25" customHeight="1">
      <c r="B118" s="1707">
        <v>9</v>
      </c>
      <c r="C118" s="1706" t="s">
        <v>435</v>
      </c>
      <c r="D118" s="1728"/>
      <c r="E118" s="1409">
        <v>23511</v>
      </c>
      <c r="F118" s="1406">
        <v>23511</v>
      </c>
      <c r="G118" s="1407">
        <v>23511</v>
      </c>
      <c r="H118" s="1784">
        <v>23511</v>
      </c>
      <c r="I118" s="1406">
        <v>23511</v>
      </c>
      <c r="J118" s="1408">
        <v>23511</v>
      </c>
      <c r="K118" s="1409">
        <v>23511</v>
      </c>
      <c r="L118" s="1406">
        <v>23511</v>
      </c>
      <c r="M118" s="1407">
        <v>23511</v>
      </c>
    </row>
    <row r="119" spans="2:13" ht="11.25" customHeight="1">
      <c r="B119" s="1707">
        <v>10</v>
      </c>
      <c r="C119" s="1706" t="s">
        <v>436</v>
      </c>
      <c r="D119" s="1728"/>
      <c r="E119" s="1409"/>
      <c r="F119" s="1406"/>
      <c r="G119" s="1407"/>
      <c r="H119" s="1784"/>
      <c r="I119" s="1406"/>
      <c r="J119" s="1408"/>
      <c r="K119" s="1409"/>
      <c r="L119" s="1406"/>
      <c r="M119" s="1407"/>
    </row>
    <row r="120" spans="2:13" ht="11.25" customHeight="1">
      <c r="B120" s="1696"/>
      <c r="C120" s="1706" t="s">
        <v>842</v>
      </c>
      <c r="D120" s="1728"/>
      <c r="E120" s="1409"/>
      <c r="F120" s="1406"/>
      <c r="G120" s="1407"/>
      <c r="H120" s="1784"/>
      <c r="I120" s="1406"/>
      <c r="J120" s="1408"/>
      <c r="K120" s="1409"/>
      <c r="L120" s="1406"/>
      <c r="M120" s="1407"/>
    </row>
    <row r="121" spans="2:13" ht="11.25" customHeight="1">
      <c r="B121" s="1696"/>
      <c r="C121" s="1708" t="s">
        <v>1131</v>
      </c>
      <c r="D121" s="1728"/>
      <c r="E121" s="1794">
        <f>SUM(E118:E120)</f>
        <v>23511</v>
      </c>
      <c r="F121" s="1790">
        <f t="shared" ref="F121:M121" si="38">SUM(F118:F120)</f>
        <v>23511</v>
      </c>
      <c r="G121" s="1791">
        <f t="shared" si="38"/>
        <v>23511</v>
      </c>
      <c r="H121" s="1792">
        <f t="shared" si="38"/>
        <v>23511</v>
      </c>
      <c r="I121" s="1790">
        <f t="shared" si="38"/>
        <v>23511</v>
      </c>
      <c r="J121" s="1793">
        <f t="shared" si="38"/>
        <v>23511</v>
      </c>
      <c r="K121" s="1794">
        <f t="shared" si="38"/>
        <v>23511</v>
      </c>
      <c r="L121" s="1790">
        <f t="shared" si="38"/>
        <v>23511</v>
      </c>
      <c r="M121" s="1791">
        <f t="shared" si="38"/>
        <v>23511</v>
      </c>
    </row>
    <row r="122" spans="2:13" ht="11.25" customHeight="1">
      <c r="B122" s="1696"/>
      <c r="C122" s="1709" t="s">
        <v>1167</v>
      </c>
      <c r="D122" s="1728"/>
      <c r="E122" s="1799">
        <f>E117+E121</f>
        <v>108926</v>
      </c>
      <c r="F122" s="1795">
        <f t="shared" ref="F122:M122" si="39">F117+F121</f>
        <v>118782</v>
      </c>
      <c r="G122" s="1796">
        <f t="shared" si="39"/>
        <v>118782</v>
      </c>
      <c r="H122" s="1797">
        <f t="shared" si="39"/>
        <v>118782</v>
      </c>
      <c r="I122" s="1795">
        <f t="shared" si="39"/>
        <v>118782</v>
      </c>
      <c r="J122" s="1798">
        <f t="shared" si="39"/>
        <v>118782</v>
      </c>
      <c r="K122" s="1799">
        <f t="shared" si="39"/>
        <v>118782</v>
      </c>
      <c r="L122" s="1795">
        <f t="shared" si="39"/>
        <v>118782</v>
      </c>
      <c r="M122" s="1796">
        <f t="shared" si="39"/>
        <v>118782</v>
      </c>
    </row>
    <row r="123" spans="2:13" ht="11.25" customHeight="1">
      <c r="B123" s="1696"/>
      <c r="C123" s="1705" t="s">
        <v>1168</v>
      </c>
      <c r="D123" s="1728"/>
      <c r="E123" s="1804"/>
      <c r="F123" s="1800"/>
      <c r="G123" s="1803"/>
      <c r="H123" s="1802"/>
      <c r="I123" s="1800"/>
      <c r="J123" s="1803"/>
      <c r="K123" s="1804"/>
      <c r="L123" s="1800"/>
      <c r="M123" s="1801"/>
    </row>
    <row r="124" spans="2:13" ht="11.25" customHeight="1">
      <c r="B124" s="1696"/>
      <c r="C124" s="1706" t="s">
        <v>1169</v>
      </c>
      <c r="D124" s="1728"/>
      <c r="E124" s="1409">
        <v>14480</v>
      </c>
      <c r="F124" s="1406">
        <v>14480</v>
      </c>
      <c r="G124" s="1407">
        <v>14480</v>
      </c>
      <c r="H124" s="1784">
        <v>14480</v>
      </c>
      <c r="I124" s="1406">
        <v>14480</v>
      </c>
      <c r="J124" s="1408">
        <v>14480</v>
      </c>
      <c r="K124" s="1409">
        <v>14480</v>
      </c>
      <c r="L124" s="1406">
        <v>14480</v>
      </c>
      <c r="M124" s="1407">
        <v>14480</v>
      </c>
    </row>
    <row r="125" spans="2:13" ht="11.25" customHeight="1">
      <c r="B125" s="1696"/>
      <c r="C125" s="1706" t="s">
        <v>1170</v>
      </c>
      <c r="D125" s="1728"/>
      <c r="E125" s="1409">
        <v>284</v>
      </c>
      <c r="F125" s="1406">
        <v>284</v>
      </c>
      <c r="G125" s="1407">
        <v>284</v>
      </c>
      <c r="H125" s="1784">
        <v>284</v>
      </c>
      <c r="I125" s="1406">
        <v>284</v>
      </c>
      <c r="J125" s="1408">
        <v>284</v>
      </c>
      <c r="K125" s="1409">
        <v>284</v>
      </c>
      <c r="L125" s="1406">
        <v>284</v>
      </c>
      <c r="M125" s="1407">
        <v>284</v>
      </c>
    </row>
    <row r="126" spans="2:13" ht="11.25" customHeight="1">
      <c r="B126" s="1696"/>
      <c r="C126" s="1706" t="s">
        <v>1235</v>
      </c>
      <c r="D126" s="1728"/>
      <c r="E126" s="1409">
        <v>0</v>
      </c>
      <c r="F126" s="1406">
        <v>0</v>
      </c>
      <c r="G126" s="1407">
        <v>0</v>
      </c>
      <c r="H126" s="1784">
        <v>0</v>
      </c>
      <c r="I126" s="1406">
        <v>0</v>
      </c>
      <c r="J126" s="1408">
        <v>0</v>
      </c>
      <c r="K126" s="1409">
        <v>0</v>
      </c>
      <c r="L126" s="1406">
        <v>0</v>
      </c>
      <c r="M126" s="1407">
        <v>0</v>
      </c>
    </row>
    <row r="127" spans="2:13" ht="11.25" customHeight="1">
      <c r="B127" s="1696"/>
      <c r="C127" s="1706" t="s">
        <v>211</v>
      </c>
      <c r="D127" s="1728"/>
      <c r="E127" s="1409">
        <v>67104</v>
      </c>
      <c r="F127" s="1406">
        <v>67104</v>
      </c>
      <c r="G127" s="1407">
        <v>67104</v>
      </c>
      <c r="H127" s="1784">
        <v>67104</v>
      </c>
      <c r="I127" s="1406">
        <v>67104</v>
      </c>
      <c r="J127" s="1408">
        <v>67104</v>
      </c>
      <c r="K127" s="1409">
        <v>67104</v>
      </c>
      <c r="L127" s="1406">
        <v>67104</v>
      </c>
      <c r="M127" s="1407">
        <v>67104</v>
      </c>
    </row>
    <row r="128" spans="2:13" ht="11.25" customHeight="1">
      <c r="B128" s="1696"/>
      <c r="C128" s="1706" t="s">
        <v>213</v>
      </c>
      <c r="D128" s="1728"/>
      <c r="E128" s="1409">
        <v>0</v>
      </c>
      <c r="F128" s="1406">
        <v>0</v>
      </c>
      <c r="G128" s="1407"/>
      <c r="H128" s="1784"/>
      <c r="I128" s="1406"/>
      <c r="J128" s="1408"/>
      <c r="K128" s="1409"/>
      <c r="L128" s="1406"/>
      <c r="M128" s="1407"/>
    </row>
    <row r="129" spans="2:13" ht="11.25" customHeight="1">
      <c r="B129" s="1696"/>
      <c r="C129" s="1708" t="s">
        <v>323</v>
      </c>
      <c r="D129" s="1728"/>
      <c r="E129" s="1789">
        <f>SUM(E124:E128)</f>
        <v>81868</v>
      </c>
      <c r="F129" s="1785">
        <f t="shared" ref="F129:M129" si="40">SUM(F124:F128)</f>
        <v>81868</v>
      </c>
      <c r="G129" s="1786">
        <f t="shared" si="40"/>
        <v>81868</v>
      </c>
      <c r="H129" s="1787">
        <f t="shared" si="40"/>
        <v>81868</v>
      </c>
      <c r="I129" s="1785">
        <f t="shared" si="40"/>
        <v>81868</v>
      </c>
      <c r="J129" s="1788">
        <f t="shared" si="40"/>
        <v>81868</v>
      </c>
      <c r="K129" s="1789">
        <f t="shared" si="40"/>
        <v>81868</v>
      </c>
      <c r="L129" s="1785">
        <f t="shared" si="40"/>
        <v>81868</v>
      </c>
      <c r="M129" s="1786">
        <f t="shared" si="40"/>
        <v>81868</v>
      </c>
    </row>
    <row r="130" spans="2:13" ht="11.25" customHeight="1">
      <c r="B130" s="1696"/>
      <c r="C130" s="1706" t="s">
        <v>212</v>
      </c>
      <c r="D130" s="1728"/>
      <c r="E130" s="1409"/>
      <c r="F130" s="1406"/>
      <c r="G130" s="1407"/>
      <c r="H130" s="1784"/>
      <c r="I130" s="1406"/>
      <c r="J130" s="1408"/>
      <c r="K130" s="1409"/>
      <c r="L130" s="1406"/>
      <c r="M130" s="1407"/>
    </row>
    <row r="131" spans="2:13" ht="11.25" customHeight="1">
      <c r="B131" s="1696"/>
      <c r="C131" s="1706" t="s">
        <v>1079</v>
      </c>
      <c r="D131" s="1728"/>
      <c r="E131" s="1409"/>
      <c r="F131" s="1406"/>
      <c r="G131" s="1407"/>
      <c r="H131" s="1784"/>
      <c r="I131" s="1406"/>
      <c r="J131" s="1408"/>
      <c r="K131" s="1409"/>
      <c r="L131" s="1406"/>
      <c r="M131" s="1407"/>
    </row>
    <row r="132" spans="2:13" ht="11.25" customHeight="1">
      <c r="B132" s="1696"/>
      <c r="C132" s="1706" t="s">
        <v>1237</v>
      </c>
      <c r="D132" s="1728"/>
      <c r="E132" s="1409">
        <v>27058</v>
      </c>
      <c r="F132" s="1406">
        <v>27058</v>
      </c>
      <c r="G132" s="1407">
        <v>27058</v>
      </c>
      <c r="H132" s="1784">
        <v>27058</v>
      </c>
      <c r="I132" s="1406">
        <v>27058</v>
      </c>
      <c r="J132" s="1408">
        <v>27058</v>
      </c>
      <c r="K132" s="1409">
        <v>27058</v>
      </c>
      <c r="L132" s="1406">
        <v>27058</v>
      </c>
      <c r="M132" s="1407">
        <v>27058</v>
      </c>
    </row>
    <row r="133" spans="2:13" ht="11.25" customHeight="1">
      <c r="B133" s="1696"/>
      <c r="C133" s="1708" t="s">
        <v>1131</v>
      </c>
      <c r="D133" s="1728"/>
      <c r="E133" s="1794">
        <f>SUM(E130:E132)</f>
        <v>27058</v>
      </c>
      <c r="F133" s="1790">
        <f t="shared" ref="F133:M133" si="41">SUM(F130:F132)</f>
        <v>27058</v>
      </c>
      <c r="G133" s="1791">
        <f t="shared" si="41"/>
        <v>27058</v>
      </c>
      <c r="H133" s="1792">
        <f t="shared" si="41"/>
        <v>27058</v>
      </c>
      <c r="I133" s="1790">
        <f t="shared" si="41"/>
        <v>27058</v>
      </c>
      <c r="J133" s="1793">
        <f t="shared" si="41"/>
        <v>27058</v>
      </c>
      <c r="K133" s="1794">
        <f t="shared" si="41"/>
        <v>27058</v>
      </c>
      <c r="L133" s="1790">
        <f t="shared" si="41"/>
        <v>27058</v>
      </c>
      <c r="M133" s="1791">
        <f t="shared" si="41"/>
        <v>27058</v>
      </c>
    </row>
    <row r="134" spans="2:13" ht="11.25" customHeight="1">
      <c r="B134" s="1696"/>
      <c r="C134" s="1709" t="s">
        <v>1167</v>
      </c>
      <c r="D134" s="1728"/>
      <c r="E134" s="1799">
        <f>E129+E133</f>
        <v>108926</v>
      </c>
      <c r="F134" s="1795">
        <f t="shared" ref="F134:M134" si="42">F129+F133</f>
        <v>108926</v>
      </c>
      <c r="G134" s="1796">
        <f t="shared" si="42"/>
        <v>108926</v>
      </c>
      <c r="H134" s="1797">
        <f t="shared" si="42"/>
        <v>108926</v>
      </c>
      <c r="I134" s="1795">
        <f t="shared" si="42"/>
        <v>108926</v>
      </c>
      <c r="J134" s="1798">
        <f t="shared" si="42"/>
        <v>108926</v>
      </c>
      <c r="K134" s="1799">
        <f t="shared" si="42"/>
        <v>108926</v>
      </c>
      <c r="L134" s="1795">
        <f t="shared" si="42"/>
        <v>108926</v>
      </c>
      <c r="M134" s="1796">
        <f t="shared" si="42"/>
        <v>108926</v>
      </c>
    </row>
    <row r="135" spans="2:13" ht="11.25" customHeight="1">
      <c r="B135" s="1696"/>
      <c r="C135" s="1705" t="s">
        <v>590</v>
      </c>
      <c r="D135" s="1728"/>
      <c r="E135" s="1804"/>
      <c r="F135" s="1800"/>
      <c r="G135" s="1803"/>
      <c r="H135" s="1802"/>
      <c r="I135" s="1800"/>
      <c r="J135" s="1803"/>
      <c r="K135" s="1804"/>
      <c r="L135" s="1800"/>
      <c r="M135" s="1801"/>
    </row>
    <row r="136" spans="2:13" ht="11.25" customHeight="1">
      <c r="B136" s="1696"/>
      <c r="C136" s="1706" t="s">
        <v>1080</v>
      </c>
      <c r="D136" s="1728"/>
      <c r="E136" s="1409">
        <v>12100</v>
      </c>
      <c r="F136" s="1406">
        <v>12900</v>
      </c>
      <c r="G136" s="1407">
        <v>13000</v>
      </c>
      <c r="H136" s="1784">
        <v>13200</v>
      </c>
      <c r="I136" s="1406">
        <v>13200</v>
      </c>
      <c r="J136" s="1408">
        <v>13200</v>
      </c>
      <c r="K136" s="1409">
        <v>13200</v>
      </c>
      <c r="L136" s="1406">
        <v>13500</v>
      </c>
      <c r="M136" s="1407">
        <v>13500</v>
      </c>
    </row>
    <row r="137" spans="2:13" ht="11.25" customHeight="1">
      <c r="B137" s="1696"/>
      <c r="C137" s="1706" t="s">
        <v>437</v>
      </c>
      <c r="D137" s="1728"/>
      <c r="E137" s="1409">
        <v>1010</v>
      </c>
      <c r="F137" s="1406">
        <v>1200</v>
      </c>
      <c r="G137" s="1407">
        <v>1350</v>
      </c>
      <c r="H137" s="1784">
        <v>1420</v>
      </c>
      <c r="I137" s="1406">
        <v>1420</v>
      </c>
      <c r="J137" s="1408">
        <v>1420</v>
      </c>
      <c r="K137" s="1409">
        <v>1420</v>
      </c>
      <c r="L137" s="1406">
        <v>1500</v>
      </c>
      <c r="M137" s="1407">
        <v>1500</v>
      </c>
    </row>
    <row r="138" spans="2:13" ht="11.25" customHeight="1">
      <c r="B138" s="1696"/>
      <c r="C138" s="1708" t="s">
        <v>323</v>
      </c>
      <c r="D138" s="1728"/>
      <c r="E138" s="1789">
        <f>SUM(E136:E137)</f>
        <v>13110</v>
      </c>
      <c r="F138" s="1785">
        <f t="shared" ref="F138:M138" si="43">SUM(F136:F137)</f>
        <v>14100</v>
      </c>
      <c r="G138" s="1786">
        <f t="shared" si="43"/>
        <v>14350</v>
      </c>
      <c r="H138" s="1787">
        <f t="shared" si="43"/>
        <v>14620</v>
      </c>
      <c r="I138" s="1785">
        <f t="shared" si="43"/>
        <v>14620</v>
      </c>
      <c r="J138" s="1788">
        <f t="shared" si="43"/>
        <v>14620</v>
      </c>
      <c r="K138" s="1789">
        <f t="shared" si="43"/>
        <v>14620</v>
      </c>
      <c r="L138" s="1785">
        <f t="shared" si="43"/>
        <v>15000</v>
      </c>
      <c r="M138" s="1786">
        <f t="shared" si="43"/>
        <v>15000</v>
      </c>
    </row>
    <row r="139" spans="2:13" ht="11.25" customHeight="1">
      <c r="B139" s="1696"/>
      <c r="C139" s="1706" t="s">
        <v>438</v>
      </c>
      <c r="D139" s="1728"/>
      <c r="E139" s="1409"/>
      <c r="F139" s="1406"/>
      <c r="G139" s="1407"/>
      <c r="H139" s="1784"/>
      <c r="I139" s="1406"/>
      <c r="J139" s="1408"/>
      <c r="K139" s="1409"/>
      <c r="L139" s="1406"/>
      <c r="M139" s="1407"/>
    </row>
    <row r="140" spans="2:13" ht="11.25" customHeight="1">
      <c r="B140" s="1696"/>
      <c r="C140" s="1706" t="s">
        <v>439</v>
      </c>
      <c r="D140" s="1728"/>
      <c r="E140" s="1409"/>
      <c r="F140" s="1406"/>
      <c r="G140" s="1407"/>
      <c r="H140" s="1784"/>
      <c r="I140" s="1406"/>
      <c r="J140" s="1408"/>
      <c r="K140" s="1409"/>
      <c r="L140" s="1406"/>
      <c r="M140" s="1407"/>
    </row>
    <row r="141" spans="2:13" ht="11.25" customHeight="1">
      <c r="B141" s="1696"/>
      <c r="C141" s="1706" t="s">
        <v>591</v>
      </c>
      <c r="D141" s="1728"/>
      <c r="E141" s="1409"/>
      <c r="F141" s="1406"/>
      <c r="G141" s="1407"/>
      <c r="H141" s="1784"/>
      <c r="I141" s="1406"/>
      <c r="J141" s="1408"/>
      <c r="K141" s="1409"/>
      <c r="L141" s="1406"/>
      <c r="M141" s="1407"/>
    </row>
    <row r="142" spans="2:13" ht="11.25" customHeight="1">
      <c r="B142" s="1696"/>
      <c r="C142" s="1708" t="s">
        <v>1131</v>
      </c>
      <c r="D142" s="1728"/>
      <c r="E142" s="1794">
        <f>SUM(E139:E141)</f>
        <v>0</v>
      </c>
      <c r="F142" s="1790">
        <f t="shared" ref="F142:M142" si="44">SUM(F139:F141)</f>
        <v>0</v>
      </c>
      <c r="G142" s="1791">
        <f t="shared" si="44"/>
        <v>0</v>
      </c>
      <c r="H142" s="1792">
        <f t="shared" si="44"/>
        <v>0</v>
      </c>
      <c r="I142" s="1790">
        <f t="shared" si="44"/>
        <v>0</v>
      </c>
      <c r="J142" s="1793">
        <f t="shared" si="44"/>
        <v>0</v>
      </c>
      <c r="K142" s="1794">
        <f t="shared" si="44"/>
        <v>0</v>
      </c>
      <c r="L142" s="1790">
        <f t="shared" si="44"/>
        <v>0</v>
      </c>
      <c r="M142" s="1791">
        <f t="shared" si="44"/>
        <v>0</v>
      </c>
    </row>
    <row r="143" spans="2:13" ht="11.25" customHeight="1">
      <c r="B143" s="1696"/>
      <c r="C143" s="1709" t="s">
        <v>1167</v>
      </c>
      <c r="D143" s="1728"/>
      <c r="E143" s="1799">
        <f>E138+E142</f>
        <v>13110</v>
      </c>
      <c r="F143" s="1795">
        <f t="shared" ref="F143:M143" si="45">F138+F142</f>
        <v>14100</v>
      </c>
      <c r="G143" s="1796">
        <f t="shared" si="45"/>
        <v>14350</v>
      </c>
      <c r="H143" s="1797">
        <f t="shared" si="45"/>
        <v>14620</v>
      </c>
      <c r="I143" s="1795">
        <f t="shared" si="45"/>
        <v>14620</v>
      </c>
      <c r="J143" s="1798">
        <f t="shared" si="45"/>
        <v>14620</v>
      </c>
      <c r="K143" s="1799">
        <f t="shared" si="45"/>
        <v>14620</v>
      </c>
      <c r="L143" s="1795">
        <f t="shared" si="45"/>
        <v>15000</v>
      </c>
      <c r="M143" s="1796">
        <f t="shared" si="45"/>
        <v>15000</v>
      </c>
    </row>
    <row r="144" spans="2:13" ht="11.25" customHeight="1">
      <c r="B144" s="1696"/>
      <c r="C144" s="1705" t="s">
        <v>593</v>
      </c>
      <c r="D144" s="1728"/>
      <c r="E144" s="1804"/>
      <c r="F144" s="1800"/>
      <c r="G144" s="1803"/>
      <c r="H144" s="1802"/>
      <c r="I144" s="1800"/>
      <c r="J144" s="1803"/>
      <c r="K144" s="1804"/>
      <c r="L144" s="1800"/>
      <c r="M144" s="1801"/>
    </row>
    <row r="145" spans="1:13" ht="11.25" customHeight="1">
      <c r="B145" s="1696"/>
      <c r="C145" s="1706" t="s">
        <v>636</v>
      </c>
      <c r="D145" s="1728"/>
      <c r="E145" s="1412">
        <v>8537</v>
      </c>
      <c r="F145" s="1410">
        <v>8695</v>
      </c>
      <c r="G145" s="1411">
        <v>8695</v>
      </c>
      <c r="H145" s="1805">
        <v>8695</v>
      </c>
      <c r="I145" s="1410">
        <v>8695</v>
      </c>
      <c r="J145" s="1806">
        <v>8695</v>
      </c>
      <c r="K145" s="1412">
        <v>8695</v>
      </c>
      <c r="L145" s="1410">
        <v>8695</v>
      </c>
      <c r="M145" s="1411">
        <v>8695</v>
      </c>
    </row>
    <row r="146" spans="1:13" ht="11.25" customHeight="1">
      <c r="B146" s="1696"/>
      <c r="C146" s="1708" t="s">
        <v>323</v>
      </c>
      <c r="D146" s="1728"/>
      <c r="E146" s="1804">
        <f>SUM(E145)</f>
        <v>8537</v>
      </c>
      <c r="F146" s="1800">
        <f t="shared" ref="F146:M146" si="46">SUM(F145)</f>
        <v>8695</v>
      </c>
      <c r="G146" s="1801">
        <f t="shared" si="46"/>
        <v>8695</v>
      </c>
      <c r="H146" s="1802">
        <f t="shared" si="46"/>
        <v>8695</v>
      </c>
      <c r="I146" s="1800">
        <f t="shared" si="46"/>
        <v>8695</v>
      </c>
      <c r="J146" s="1803">
        <f t="shared" si="46"/>
        <v>8695</v>
      </c>
      <c r="K146" s="1804">
        <f t="shared" si="46"/>
        <v>8695</v>
      </c>
      <c r="L146" s="1800">
        <f t="shared" si="46"/>
        <v>8695</v>
      </c>
      <c r="M146" s="1801">
        <f t="shared" si="46"/>
        <v>8695</v>
      </c>
    </row>
    <row r="147" spans="1:13" ht="11.25" customHeight="1">
      <c r="B147" s="1696"/>
      <c r="C147" s="1706" t="s">
        <v>594</v>
      </c>
      <c r="D147" s="1728"/>
      <c r="E147" s="1409">
        <v>36000</v>
      </c>
      <c r="F147" s="1406">
        <v>47822</v>
      </c>
      <c r="G147" s="1407">
        <v>47822</v>
      </c>
      <c r="H147" s="1784">
        <v>47822</v>
      </c>
      <c r="I147" s="1406">
        <v>47822</v>
      </c>
      <c r="J147" s="1408">
        <v>47822</v>
      </c>
      <c r="K147" s="1409">
        <v>52170</v>
      </c>
      <c r="L147" s="1406">
        <v>65000</v>
      </c>
      <c r="M147" s="1407">
        <v>65000</v>
      </c>
    </row>
    <row r="148" spans="1:13" ht="11.25" customHeight="1">
      <c r="B148" s="1696"/>
      <c r="C148" s="1706" t="s">
        <v>595</v>
      </c>
      <c r="D148" s="1728"/>
      <c r="E148" s="1409">
        <v>64150</v>
      </c>
      <c r="F148" s="1406">
        <v>52170</v>
      </c>
      <c r="G148" s="1407">
        <v>52170</v>
      </c>
      <c r="H148" s="1784">
        <v>52170</v>
      </c>
      <c r="I148" s="1406">
        <v>52170</v>
      </c>
      <c r="J148" s="1408">
        <v>52170</v>
      </c>
      <c r="K148" s="1409">
        <v>47822</v>
      </c>
      <c r="L148" s="1406">
        <v>34992</v>
      </c>
      <c r="M148" s="1407">
        <v>34992</v>
      </c>
    </row>
    <row r="149" spans="1:13" ht="11.25" customHeight="1">
      <c r="B149" s="1696"/>
      <c r="C149" s="1706" t="s">
        <v>758</v>
      </c>
      <c r="D149" s="1728"/>
      <c r="E149" s="1409"/>
      <c r="F149" s="1406"/>
      <c r="G149" s="1407"/>
      <c r="H149" s="1784"/>
      <c r="I149" s="1406"/>
      <c r="J149" s="1408"/>
      <c r="K149" s="1409"/>
      <c r="L149" s="1406"/>
      <c r="M149" s="1407"/>
    </row>
    <row r="150" spans="1:13" ht="11.25" customHeight="1">
      <c r="B150" s="1696"/>
      <c r="C150" s="1706" t="s">
        <v>759</v>
      </c>
      <c r="D150" s="1728"/>
      <c r="E150" s="1409"/>
      <c r="F150" s="1406"/>
      <c r="G150" s="1407"/>
      <c r="H150" s="1784"/>
      <c r="I150" s="1406"/>
      <c r="J150" s="1408"/>
      <c r="K150" s="1409"/>
      <c r="L150" s="1406"/>
      <c r="M150" s="1407"/>
    </row>
    <row r="151" spans="1:13" ht="11.25" customHeight="1">
      <c r="B151" s="1696"/>
      <c r="C151" s="1706" t="s">
        <v>170</v>
      </c>
      <c r="D151" s="1728"/>
      <c r="E151" s="1409"/>
      <c r="F151" s="1406"/>
      <c r="G151" s="1407"/>
      <c r="H151" s="1784"/>
      <c r="I151" s="1406"/>
      <c r="J151" s="1408"/>
      <c r="K151" s="1409"/>
      <c r="L151" s="1406"/>
      <c r="M151" s="1407"/>
    </row>
    <row r="152" spans="1:13" ht="11.25" customHeight="1">
      <c r="B152" s="1696"/>
      <c r="C152" s="1708" t="s">
        <v>1131</v>
      </c>
      <c r="D152" s="1728"/>
      <c r="E152" s="1794">
        <f t="shared" ref="E152:M152" si="47">SUM(E147:E151)</f>
        <v>100150</v>
      </c>
      <c r="F152" s="1790">
        <f t="shared" si="47"/>
        <v>99992</v>
      </c>
      <c r="G152" s="1791">
        <f t="shared" si="47"/>
        <v>99992</v>
      </c>
      <c r="H152" s="1792">
        <f t="shared" si="47"/>
        <v>99992</v>
      </c>
      <c r="I152" s="1790">
        <f t="shared" si="47"/>
        <v>99992</v>
      </c>
      <c r="J152" s="1793">
        <f t="shared" si="47"/>
        <v>99992</v>
      </c>
      <c r="K152" s="1794">
        <f t="shared" si="47"/>
        <v>99992</v>
      </c>
      <c r="L152" s="1790">
        <f t="shared" si="47"/>
        <v>99992</v>
      </c>
      <c r="M152" s="1791">
        <f t="shared" si="47"/>
        <v>99992</v>
      </c>
    </row>
    <row r="153" spans="1:13" ht="11.25" customHeight="1">
      <c r="B153" s="1696"/>
      <c r="C153" s="1709" t="s">
        <v>1167</v>
      </c>
      <c r="D153" s="1728"/>
      <c r="E153" s="1799">
        <f>E146+E152</f>
        <v>108687</v>
      </c>
      <c r="F153" s="1795">
        <f t="shared" ref="F153:M153" si="48">F146+F152</f>
        <v>108687</v>
      </c>
      <c r="G153" s="1796">
        <f t="shared" si="48"/>
        <v>108687</v>
      </c>
      <c r="H153" s="1797">
        <f t="shared" si="48"/>
        <v>108687</v>
      </c>
      <c r="I153" s="1795">
        <f t="shared" si="48"/>
        <v>108687</v>
      </c>
      <c r="J153" s="1798">
        <f t="shared" si="48"/>
        <v>108687</v>
      </c>
      <c r="K153" s="1799">
        <f t="shared" si="48"/>
        <v>108687</v>
      </c>
      <c r="L153" s="1795">
        <f t="shared" si="48"/>
        <v>108687</v>
      </c>
      <c r="M153" s="1796">
        <f t="shared" si="48"/>
        <v>108687</v>
      </c>
    </row>
    <row r="154" spans="1:13" ht="4.9000000000000004" customHeight="1">
      <c r="B154" s="1696"/>
      <c r="C154" s="1710"/>
      <c r="D154" s="1729"/>
      <c r="E154" s="979"/>
      <c r="F154" s="975"/>
      <c r="G154" s="976"/>
      <c r="H154" s="977"/>
      <c r="I154" s="975"/>
      <c r="J154" s="978"/>
      <c r="K154" s="979"/>
      <c r="L154" s="975"/>
      <c r="M154" s="976"/>
    </row>
    <row r="155" spans="1:13" ht="25.15" customHeight="1">
      <c r="A155" s="2892" t="s">
        <v>1827</v>
      </c>
      <c r="B155" s="1687"/>
      <c r="C155" s="1688"/>
      <c r="D155" s="1689"/>
      <c r="E155" s="1690" t="str">
        <f>head1b</f>
        <v>2016/17</v>
      </c>
      <c r="F155" s="956" t="str">
        <f>head1A</f>
        <v>2017/18</v>
      </c>
      <c r="G155" s="957" t="str">
        <f>Head1</f>
        <v>2018/19</v>
      </c>
      <c r="H155" s="2853" t="str">
        <f>Head2</f>
        <v>Current Year 2019/20</v>
      </c>
      <c r="I155" s="2854"/>
      <c r="J155" s="2855"/>
      <c r="K155" s="2853" t="str">
        <f>Head3</f>
        <v>2020/21 Medium Term Revenue &amp; Expenditure Framework</v>
      </c>
      <c r="L155" s="2854"/>
      <c r="M155" s="2855"/>
    </row>
    <row r="156" spans="1:13" ht="25.15" customHeight="1">
      <c r="A156" s="2892"/>
      <c r="B156" s="1691" t="s">
        <v>1744</v>
      </c>
      <c r="C156" s="1385"/>
      <c r="D156" s="1386"/>
      <c r="E156" s="1692" t="str">
        <f>Head5A</f>
        <v>Outcome</v>
      </c>
      <c r="F156" s="1693" t="str">
        <f>Head5A</f>
        <v>Outcome</v>
      </c>
      <c r="G156" s="1694" t="str">
        <f>Head5A</f>
        <v>Outcome</v>
      </c>
      <c r="H156" s="1695" t="str">
        <f>Head6</f>
        <v>Original Budget</v>
      </c>
      <c r="I156" s="1693" t="str">
        <f>Head7</f>
        <v>Adjusted Budget</v>
      </c>
      <c r="J156" s="1694" t="str">
        <f>Head8</f>
        <v>Full Year Forecast</v>
      </c>
      <c r="K156" s="1695" t="str">
        <f>Head9</f>
        <v>Budget Year 2020/21</v>
      </c>
      <c r="L156" s="1693" t="str">
        <f>Head10</f>
        <v>Budget Year +1 2021/22</v>
      </c>
      <c r="M156" s="1694" t="str">
        <f>Head11</f>
        <v>Budget Year +2 2022/23</v>
      </c>
    </row>
    <row r="157" spans="1:13" ht="11.25" customHeight="1">
      <c r="B157" s="1696"/>
      <c r="C157" s="1697" t="s">
        <v>172</v>
      </c>
      <c r="D157" s="1728"/>
      <c r="E157" s="423"/>
      <c r="F157" s="1698"/>
      <c r="G157" s="1699"/>
      <c r="H157" s="1700"/>
      <c r="I157" s="1701"/>
      <c r="J157" s="1702"/>
      <c r="K157" s="1703"/>
      <c r="L157" s="1701"/>
      <c r="M157" s="1704"/>
    </row>
    <row r="158" spans="1:13" ht="11.25" customHeight="1">
      <c r="A158" s="2168" t="s">
        <v>1828</v>
      </c>
      <c r="B158" s="1696"/>
      <c r="C158" s="1705" t="s">
        <v>1615</v>
      </c>
      <c r="D158" s="1728"/>
      <c r="E158" s="967"/>
      <c r="F158" s="963"/>
      <c r="G158" s="966"/>
      <c r="H158" s="902"/>
      <c r="I158" s="900"/>
      <c r="J158" s="903"/>
      <c r="K158" s="904"/>
      <c r="L158" s="900"/>
      <c r="M158" s="901"/>
    </row>
    <row r="159" spans="1:13" ht="11.25" customHeight="1">
      <c r="B159" s="1696"/>
      <c r="C159" s="1706" t="s">
        <v>1448</v>
      </c>
      <c r="D159" s="1728"/>
      <c r="E159" s="1409"/>
      <c r="F159" s="1406"/>
      <c r="G159" s="1407"/>
      <c r="H159" s="1784"/>
      <c r="I159" s="1406"/>
      <c r="J159" s="1408"/>
      <c r="K159" s="1409"/>
      <c r="L159" s="1406"/>
      <c r="M159" s="1407"/>
    </row>
    <row r="160" spans="1:13" ht="11.25" customHeight="1">
      <c r="B160" s="1696"/>
      <c r="C160" s="1706" t="s">
        <v>1614</v>
      </c>
      <c r="D160" s="1728"/>
      <c r="E160" s="1409"/>
      <c r="F160" s="1406"/>
      <c r="G160" s="1407"/>
      <c r="H160" s="1784"/>
      <c r="I160" s="1406"/>
      <c r="J160" s="1408"/>
      <c r="K160" s="1409"/>
      <c r="L160" s="1406"/>
      <c r="M160" s="1407"/>
    </row>
    <row r="161" spans="1:13" ht="11.25" customHeight="1">
      <c r="B161" s="1707">
        <v>8</v>
      </c>
      <c r="C161" s="1706" t="s">
        <v>111</v>
      </c>
      <c r="D161" s="1728"/>
      <c r="E161" s="1409"/>
      <c r="F161" s="1406"/>
      <c r="G161" s="1407"/>
      <c r="H161" s="1784"/>
      <c r="I161" s="1406"/>
      <c r="J161" s="1408"/>
      <c r="K161" s="1409"/>
      <c r="L161" s="1406"/>
      <c r="M161" s="1407"/>
    </row>
    <row r="162" spans="1:13" ht="11.25" customHeight="1">
      <c r="B162" s="1707">
        <v>10</v>
      </c>
      <c r="C162" s="1706" t="s">
        <v>112</v>
      </c>
      <c r="D162" s="1728"/>
      <c r="E162" s="1409"/>
      <c r="F162" s="1406"/>
      <c r="G162" s="1407"/>
      <c r="H162" s="1784"/>
      <c r="I162" s="1406"/>
      <c r="J162" s="1408"/>
      <c r="K162" s="1409"/>
      <c r="L162" s="1406"/>
      <c r="M162" s="1407"/>
    </row>
    <row r="163" spans="1:13" ht="11.25" customHeight="1">
      <c r="B163" s="1707"/>
      <c r="C163" s="1708" t="s">
        <v>323</v>
      </c>
      <c r="D163" s="1728"/>
      <c r="E163" s="1789">
        <f>SUM(E159:E162)</f>
        <v>0</v>
      </c>
      <c r="F163" s="1785">
        <f t="shared" ref="F163:M163" si="49">SUM(F159:F162)</f>
        <v>0</v>
      </c>
      <c r="G163" s="1786">
        <f t="shared" si="49"/>
        <v>0</v>
      </c>
      <c r="H163" s="1787">
        <f t="shared" si="49"/>
        <v>0</v>
      </c>
      <c r="I163" s="1785">
        <f t="shared" si="49"/>
        <v>0</v>
      </c>
      <c r="J163" s="1788">
        <f t="shared" si="49"/>
        <v>0</v>
      </c>
      <c r="K163" s="1789">
        <f t="shared" si="49"/>
        <v>0</v>
      </c>
      <c r="L163" s="1785">
        <f t="shared" si="49"/>
        <v>0</v>
      </c>
      <c r="M163" s="1786">
        <f t="shared" si="49"/>
        <v>0</v>
      </c>
    </row>
    <row r="164" spans="1:13" ht="11.25" customHeight="1">
      <c r="B164" s="1707">
        <v>9</v>
      </c>
      <c r="C164" s="1706" t="s">
        <v>435</v>
      </c>
      <c r="D164" s="1728"/>
      <c r="E164" s="1409"/>
      <c r="F164" s="1406"/>
      <c r="G164" s="1407"/>
      <c r="H164" s="1784"/>
      <c r="I164" s="1406"/>
      <c r="J164" s="1408"/>
      <c r="K164" s="1409"/>
      <c r="L164" s="1406"/>
      <c r="M164" s="1407"/>
    </row>
    <row r="165" spans="1:13" ht="11.25" customHeight="1">
      <c r="B165" s="1707">
        <v>10</v>
      </c>
      <c r="C165" s="1706" t="s">
        <v>436</v>
      </c>
      <c r="D165" s="1728"/>
      <c r="E165" s="1409"/>
      <c r="F165" s="1406"/>
      <c r="G165" s="1407"/>
      <c r="H165" s="1784"/>
      <c r="I165" s="1406"/>
      <c r="J165" s="1408"/>
      <c r="K165" s="1409"/>
      <c r="L165" s="1406"/>
      <c r="M165" s="1407"/>
    </row>
    <row r="166" spans="1:13" ht="11.25" customHeight="1">
      <c r="B166" s="1696"/>
      <c r="C166" s="1706" t="s">
        <v>842</v>
      </c>
      <c r="D166" s="1728"/>
      <c r="E166" s="1409"/>
      <c r="F166" s="1406"/>
      <c r="G166" s="1407"/>
      <c r="H166" s="1784"/>
      <c r="I166" s="1406"/>
      <c r="J166" s="1408"/>
      <c r="K166" s="1409"/>
      <c r="L166" s="1406"/>
      <c r="M166" s="1407"/>
    </row>
    <row r="167" spans="1:13" ht="11.25" customHeight="1">
      <c r="B167" s="1696"/>
      <c r="C167" s="1708" t="s">
        <v>1131</v>
      </c>
      <c r="D167" s="1728"/>
      <c r="E167" s="1794">
        <f>SUM(E164:E166)</f>
        <v>0</v>
      </c>
      <c r="F167" s="1790">
        <f t="shared" ref="F167:M167" si="50">SUM(F164:F166)</f>
        <v>0</v>
      </c>
      <c r="G167" s="1791">
        <f t="shared" si="50"/>
        <v>0</v>
      </c>
      <c r="H167" s="1792">
        <f t="shared" si="50"/>
        <v>0</v>
      </c>
      <c r="I167" s="1790">
        <f t="shared" si="50"/>
        <v>0</v>
      </c>
      <c r="J167" s="1793">
        <f t="shared" si="50"/>
        <v>0</v>
      </c>
      <c r="K167" s="1794">
        <f t="shared" si="50"/>
        <v>0</v>
      </c>
      <c r="L167" s="1790">
        <f t="shared" si="50"/>
        <v>0</v>
      </c>
      <c r="M167" s="1791">
        <f t="shared" si="50"/>
        <v>0</v>
      </c>
    </row>
    <row r="168" spans="1:13" ht="11.25" customHeight="1">
      <c r="B168" s="1696"/>
      <c r="C168" s="1709" t="s">
        <v>1167</v>
      </c>
      <c r="D168" s="1728"/>
      <c r="E168" s="1799">
        <f>E163+E167</f>
        <v>0</v>
      </c>
      <c r="F168" s="1795">
        <f t="shared" ref="F168:M168" si="51">F163+F167</f>
        <v>0</v>
      </c>
      <c r="G168" s="1796">
        <f t="shared" si="51"/>
        <v>0</v>
      </c>
      <c r="H168" s="1797">
        <f t="shared" si="51"/>
        <v>0</v>
      </c>
      <c r="I168" s="1795">
        <f t="shared" si="51"/>
        <v>0</v>
      </c>
      <c r="J168" s="1798">
        <f t="shared" si="51"/>
        <v>0</v>
      </c>
      <c r="K168" s="1799">
        <f t="shared" si="51"/>
        <v>0</v>
      </c>
      <c r="L168" s="1795">
        <f t="shared" si="51"/>
        <v>0</v>
      </c>
      <c r="M168" s="1796">
        <f t="shared" si="51"/>
        <v>0</v>
      </c>
    </row>
    <row r="169" spans="1:13" ht="11.25" customHeight="1">
      <c r="A169" s="2168" t="s">
        <v>1828</v>
      </c>
      <c r="B169" s="1696"/>
      <c r="C169" s="1705" t="s">
        <v>1168</v>
      </c>
      <c r="D169" s="1728"/>
      <c r="E169" s="1804"/>
      <c r="F169" s="1800"/>
      <c r="G169" s="1803"/>
      <c r="H169" s="1802"/>
      <c r="I169" s="1800"/>
      <c r="J169" s="1803"/>
      <c r="K169" s="1804"/>
      <c r="L169" s="1800"/>
      <c r="M169" s="1801"/>
    </row>
    <row r="170" spans="1:13" ht="11.25" customHeight="1">
      <c r="B170" s="1696"/>
      <c r="C170" s="1706" t="s">
        <v>1169</v>
      </c>
      <c r="D170" s="1728"/>
      <c r="E170" s="1409"/>
      <c r="F170" s="1406"/>
      <c r="G170" s="1407"/>
      <c r="H170" s="1784"/>
      <c r="I170" s="1406"/>
      <c r="J170" s="1408"/>
      <c r="K170" s="1409"/>
      <c r="L170" s="1406"/>
      <c r="M170" s="1407"/>
    </row>
    <row r="171" spans="1:13" ht="11.25" customHeight="1">
      <c r="B171" s="1696"/>
      <c r="C171" s="1706" t="s">
        <v>1170</v>
      </c>
      <c r="D171" s="1728"/>
      <c r="E171" s="1409"/>
      <c r="F171" s="1406"/>
      <c r="G171" s="1407"/>
      <c r="H171" s="1784"/>
      <c r="I171" s="1406"/>
      <c r="J171" s="1408"/>
      <c r="K171" s="1409"/>
      <c r="L171" s="1406"/>
      <c r="M171" s="1407"/>
    </row>
    <row r="172" spans="1:13" ht="11.25" customHeight="1">
      <c r="B172" s="1696"/>
      <c r="C172" s="1706" t="s">
        <v>1235</v>
      </c>
      <c r="D172" s="1728"/>
      <c r="E172" s="1409"/>
      <c r="F172" s="1406"/>
      <c r="G172" s="1407"/>
      <c r="H172" s="1784"/>
      <c r="I172" s="1406"/>
      <c r="J172" s="1408"/>
      <c r="K172" s="1409"/>
      <c r="L172" s="1406"/>
      <c r="M172" s="1407"/>
    </row>
    <row r="173" spans="1:13" ht="11.25" customHeight="1">
      <c r="B173" s="1696"/>
      <c r="C173" s="1706" t="s">
        <v>211</v>
      </c>
      <c r="D173" s="1728"/>
      <c r="E173" s="1409"/>
      <c r="F173" s="1406"/>
      <c r="G173" s="1407"/>
      <c r="H173" s="1784"/>
      <c r="I173" s="1406"/>
      <c r="J173" s="1408"/>
      <c r="K173" s="1409"/>
      <c r="L173" s="1406"/>
      <c r="M173" s="1407"/>
    </row>
    <row r="174" spans="1:13" ht="11.25" customHeight="1">
      <c r="B174" s="1696"/>
      <c r="C174" s="1706" t="s">
        <v>213</v>
      </c>
      <c r="D174" s="1728"/>
      <c r="E174" s="1409"/>
      <c r="F174" s="1406"/>
      <c r="G174" s="1407"/>
      <c r="H174" s="1784"/>
      <c r="I174" s="1406"/>
      <c r="J174" s="1408"/>
      <c r="K174" s="1409"/>
      <c r="L174" s="1406"/>
      <c r="M174" s="1407"/>
    </row>
    <row r="175" spans="1:13" ht="11.25" customHeight="1">
      <c r="B175" s="1696"/>
      <c r="C175" s="1708" t="s">
        <v>323</v>
      </c>
      <c r="D175" s="1728"/>
      <c r="E175" s="1789">
        <f>SUM(E170:E174)</f>
        <v>0</v>
      </c>
      <c r="F175" s="1785">
        <f t="shared" ref="F175:M175" si="52">SUM(F170:F174)</f>
        <v>0</v>
      </c>
      <c r="G175" s="1786">
        <f t="shared" si="52"/>
        <v>0</v>
      </c>
      <c r="H175" s="1787">
        <f t="shared" si="52"/>
        <v>0</v>
      </c>
      <c r="I175" s="1785">
        <f t="shared" si="52"/>
        <v>0</v>
      </c>
      <c r="J175" s="1788">
        <f t="shared" si="52"/>
        <v>0</v>
      </c>
      <c r="K175" s="1789">
        <f t="shared" si="52"/>
        <v>0</v>
      </c>
      <c r="L175" s="1785">
        <f t="shared" si="52"/>
        <v>0</v>
      </c>
      <c r="M175" s="1786">
        <f t="shared" si="52"/>
        <v>0</v>
      </c>
    </row>
    <row r="176" spans="1:13" ht="11.25" customHeight="1">
      <c r="B176" s="1696"/>
      <c r="C176" s="1706" t="s">
        <v>212</v>
      </c>
      <c r="D176" s="1728"/>
      <c r="E176" s="1409"/>
      <c r="F176" s="1406"/>
      <c r="G176" s="1407"/>
      <c r="H176" s="1784"/>
      <c r="I176" s="1406"/>
      <c r="J176" s="1408"/>
      <c r="K176" s="1409"/>
      <c r="L176" s="1406"/>
      <c r="M176" s="1407"/>
    </row>
    <row r="177" spans="1:13" ht="11.25" customHeight="1">
      <c r="B177" s="1696"/>
      <c r="C177" s="1706" t="s">
        <v>1079</v>
      </c>
      <c r="D177" s="1728"/>
      <c r="E177" s="1409"/>
      <c r="F177" s="1406"/>
      <c r="G177" s="1407"/>
      <c r="H177" s="1784"/>
      <c r="I177" s="1406"/>
      <c r="J177" s="1408"/>
      <c r="K177" s="1409"/>
      <c r="L177" s="1406"/>
      <c r="M177" s="1407"/>
    </row>
    <row r="178" spans="1:13" ht="11.25" customHeight="1">
      <c r="B178" s="1696"/>
      <c r="C178" s="1706" t="s">
        <v>1237</v>
      </c>
      <c r="D178" s="1728"/>
      <c r="E178" s="1409"/>
      <c r="F178" s="1406"/>
      <c r="G178" s="1407"/>
      <c r="H178" s="1784"/>
      <c r="I178" s="1406"/>
      <c r="J178" s="1408"/>
      <c r="K178" s="1409"/>
      <c r="L178" s="1406"/>
      <c r="M178" s="1407"/>
    </row>
    <row r="179" spans="1:13" ht="11.25" customHeight="1">
      <c r="B179" s="1696"/>
      <c r="C179" s="1708" t="s">
        <v>1131</v>
      </c>
      <c r="D179" s="1728"/>
      <c r="E179" s="1794">
        <f>SUM(E176:E178)</f>
        <v>0</v>
      </c>
      <c r="F179" s="1790">
        <f t="shared" ref="F179:M179" si="53">SUM(F176:F178)</f>
        <v>0</v>
      </c>
      <c r="G179" s="1791">
        <f t="shared" si="53"/>
        <v>0</v>
      </c>
      <c r="H179" s="1792">
        <f t="shared" si="53"/>
        <v>0</v>
      </c>
      <c r="I179" s="1790">
        <f t="shared" si="53"/>
        <v>0</v>
      </c>
      <c r="J179" s="1793">
        <f t="shared" si="53"/>
        <v>0</v>
      </c>
      <c r="K179" s="1794">
        <f t="shared" si="53"/>
        <v>0</v>
      </c>
      <c r="L179" s="1790">
        <f t="shared" si="53"/>
        <v>0</v>
      </c>
      <c r="M179" s="1791">
        <f t="shared" si="53"/>
        <v>0</v>
      </c>
    </row>
    <row r="180" spans="1:13" ht="11.25" customHeight="1">
      <c r="B180" s="1696"/>
      <c r="C180" s="1709" t="s">
        <v>1167</v>
      </c>
      <c r="D180" s="1728"/>
      <c r="E180" s="1799">
        <f>E175+E179</f>
        <v>0</v>
      </c>
      <c r="F180" s="1795">
        <f t="shared" ref="F180:M180" si="54">F175+F179</f>
        <v>0</v>
      </c>
      <c r="G180" s="1796">
        <f t="shared" si="54"/>
        <v>0</v>
      </c>
      <c r="H180" s="1797">
        <f t="shared" si="54"/>
        <v>0</v>
      </c>
      <c r="I180" s="1795">
        <f t="shared" si="54"/>
        <v>0</v>
      </c>
      <c r="J180" s="1798">
        <f t="shared" si="54"/>
        <v>0</v>
      </c>
      <c r="K180" s="1799">
        <f t="shared" si="54"/>
        <v>0</v>
      </c>
      <c r="L180" s="1795">
        <f t="shared" si="54"/>
        <v>0</v>
      </c>
      <c r="M180" s="1796">
        <f t="shared" si="54"/>
        <v>0</v>
      </c>
    </row>
    <row r="181" spans="1:13" ht="11.25" customHeight="1">
      <c r="A181" s="2168" t="s">
        <v>1828</v>
      </c>
      <c r="B181" s="1696"/>
      <c r="C181" s="1705" t="s">
        <v>590</v>
      </c>
      <c r="D181" s="1728"/>
      <c r="E181" s="1804"/>
      <c r="F181" s="1800"/>
      <c r="G181" s="1803"/>
      <c r="H181" s="1802"/>
      <c r="I181" s="1800"/>
      <c r="J181" s="1803"/>
      <c r="K181" s="1804"/>
      <c r="L181" s="1800"/>
      <c r="M181" s="1801"/>
    </row>
    <row r="182" spans="1:13" ht="11.25" customHeight="1">
      <c r="B182" s="1696"/>
      <c r="C182" s="1706" t="s">
        <v>1080</v>
      </c>
      <c r="D182" s="1728"/>
      <c r="E182" s="1409"/>
      <c r="F182" s="1406"/>
      <c r="G182" s="1407"/>
      <c r="H182" s="1784"/>
      <c r="I182" s="1406"/>
      <c r="J182" s="1408"/>
      <c r="K182" s="1409"/>
      <c r="L182" s="1406"/>
      <c r="M182" s="1407"/>
    </row>
    <row r="183" spans="1:13" ht="11.25" customHeight="1">
      <c r="B183" s="1696"/>
      <c r="C183" s="1706" t="s">
        <v>437</v>
      </c>
      <c r="D183" s="1728"/>
      <c r="E183" s="1409"/>
      <c r="F183" s="1406"/>
      <c r="G183" s="1407"/>
      <c r="H183" s="1784"/>
      <c r="I183" s="1406"/>
      <c r="J183" s="1408"/>
      <c r="K183" s="1409"/>
      <c r="L183" s="1406"/>
      <c r="M183" s="1407"/>
    </row>
    <row r="184" spans="1:13" ht="11.25" customHeight="1">
      <c r="B184" s="1696"/>
      <c r="C184" s="1708" t="s">
        <v>323</v>
      </c>
      <c r="D184" s="1728"/>
      <c r="E184" s="1789">
        <f>SUM(E182:E183)</f>
        <v>0</v>
      </c>
      <c r="F184" s="1785">
        <f t="shared" ref="F184:M184" si="55">SUM(F182:F183)</f>
        <v>0</v>
      </c>
      <c r="G184" s="1786">
        <f t="shared" si="55"/>
        <v>0</v>
      </c>
      <c r="H184" s="1787">
        <f t="shared" si="55"/>
        <v>0</v>
      </c>
      <c r="I184" s="1785">
        <f t="shared" si="55"/>
        <v>0</v>
      </c>
      <c r="J184" s="1788">
        <f t="shared" si="55"/>
        <v>0</v>
      </c>
      <c r="K184" s="1789">
        <f t="shared" si="55"/>
        <v>0</v>
      </c>
      <c r="L184" s="1785">
        <f t="shared" si="55"/>
        <v>0</v>
      </c>
      <c r="M184" s="1786">
        <f t="shared" si="55"/>
        <v>0</v>
      </c>
    </row>
    <row r="185" spans="1:13" ht="11.25" customHeight="1">
      <c r="B185" s="1696"/>
      <c r="C185" s="1706" t="s">
        <v>438</v>
      </c>
      <c r="D185" s="1728"/>
      <c r="E185" s="1409"/>
      <c r="F185" s="1406"/>
      <c r="G185" s="1407"/>
      <c r="H185" s="1784"/>
      <c r="I185" s="1406"/>
      <c r="J185" s="1408"/>
      <c r="K185" s="1409"/>
      <c r="L185" s="1406"/>
      <c r="M185" s="1407"/>
    </row>
    <row r="186" spans="1:13" ht="11.25" customHeight="1">
      <c r="B186" s="1696"/>
      <c r="C186" s="1706" t="s">
        <v>439</v>
      </c>
      <c r="D186" s="1728"/>
      <c r="E186" s="1409"/>
      <c r="F186" s="1406"/>
      <c r="G186" s="1407"/>
      <c r="H186" s="1784"/>
      <c r="I186" s="1406"/>
      <c r="J186" s="1408"/>
      <c r="K186" s="1409"/>
      <c r="L186" s="1406"/>
      <c r="M186" s="1407"/>
    </row>
    <row r="187" spans="1:13" ht="11.25" customHeight="1">
      <c r="B187" s="1696"/>
      <c r="C187" s="1706" t="s">
        <v>591</v>
      </c>
      <c r="D187" s="1728"/>
      <c r="E187" s="1409"/>
      <c r="F187" s="1406"/>
      <c r="G187" s="1407"/>
      <c r="H187" s="1784"/>
      <c r="I187" s="1406"/>
      <c r="J187" s="1408"/>
      <c r="K187" s="1409"/>
      <c r="L187" s="1406"/>
      <c r="M187" s="1407"/>
    </row>
    <row r="188" spans="1:13" ht="11.25" customHeight="1">
      <c r="B188" s="1696"/>
      <c r="C188" s="1708" t="s">
        <v>1131</v>
      </c>
      <c r="D188" s="1728"/>
      <c r="E188" s="1794">
        <f>SUM(E185:E187)</f>
        <v>0</v>
      </c>
      <c r="F188" s="1790">
        <f t="shared" ref="F188:M188" si="56">SUM(F185:F187)</f>
        <v>0</v>
      </c>
      <c r="G188" s="1791">
        <f t="shared" si="56"/>
        <v>0</v>
      </c>
      <c r="H188" s="1792">
        <f t="shared" si="56"/>
        <v>0</v>
      </c>
      <c r="I188" s="1790">
        <f t="shared" si="56"/>
        <v>0</v>
      </c>
      <c r="J188" s="1793">
        <f t="shared" si="56"/>
        <v>0</v>
      </c>
      <c r="K188" s="1794">
        <f t="shared" si="56"/>
        <v>0</v>
      </c>
      <c r="L188" s="1790">
        <f t="shared" si="56"/>
        <v>0</v>
      </c>
      <c r="M188" s="1791">
        <f t="shared" si="56"/>
        <v>0</v>
      </c>
    </row>
    <row r="189" spans="1:13" ht="11.25" customHeight="1">
      <c r="B189" s="1696"/>
      <c r="C189" s="1709" t="s">
        <v>1167</v>
      </c>
      <c r="D189" s="1728"/>
      <c r="E189" s="1799">
        <f>E184+E188</f>
        <v>0</v>
      </c>
      <c r="F189" s="1795">
        <f t="shared" ref="F189:M189" si="57">F184+F188</f>
        <v>0</v>
      </c>
      <c r="G189" s="1796">
        <f t="shared" si="57"/>
        <v>0</v>
      </c>
      <c r="H189" s="1797">
        <f t="shared" si="57"/>
        <v>0</v>
      </c>
      <c r="I189" s="1795">
        <f t="shared" si="57"/>
        <v>0</v>
      </c>
      <c r="J189" s="1798">
        <f t="shared" si="57"/>
        <v>0</v>
      </c>
      <c r="K189" s="1799">
        <f t="shared" si="57"/>
        <v>0</v>
      </c>
      <c r="L189" s="1795">
        <f t="shared" si="57"/>
        <v>0</v>
      </c>
      <c r="M189" s="1796">
        <f t="shared" si="57"/>
        <v>0</v>
      </c>
    </row>
    <row r="190" spans="1:13" ht="11.25" customHeight="1">
      <c r="A190" s="2168" t="s">
        <v>1828</v>
      </c>
      <c r="B190" s="1696"/>
      <c r="C190" s="1705" t="s">
        <v>593</v>
      </c>
      <c r="D190" s="1728"/>
      <c r="E190" s="1804"/>
      <c r="F190" s="1800"/>
      <c r="G190" s="1803"/>
      <c r="H190" s="1802"/>
      <c r="I190" s="1800"/>
      <c r="J190" s="1803"/>
      <c r="K190" s="1804"/>
      <c r="L190" s="1800"/>
      <c r="M190" s="1801"/>
    </row>
    <row r="191" spans="1:13" ht="11.25" customHeight="1">
      <c r="B191" s="1696"/>
      <c r="C191" s="1706" t="s">
        <v>636</v>
      </c>
      <c r="D191" s="1728"/>
      <c r="E191" s="1412"/>
      <c r="F191" s="1410"/>
      <c r="G191" s="1411"/>
      <c r="H191" s="1805"/>
      <c r="I191" s="1410"/>
      <c r="J191" s="1806"/>
      <c r="K191" s="1412"/>
      <c r="L191" s="1410"/>
      <c r="M191" s="1411"/>
    </row>
    <row r="192" spans="1:13" ht="11.25" customHeight="1">
      <c r="B192" s="1696"/>
      <c r="C192" s="1708" t="s">
        <v>323</v>
      </c>
      <c r="D192" s="1728"/>
      <c r="E192" s="1804">
        <f>SUM(E191)</f>
        <v>0</v>
      </c>
      <c r="F192" s="1800">
        <f t="shared" ref="F192:M192" si="58">SUM(F191)</f>
        <v>0</v>
      </c>
      <c r="G192" s="1801">
        <f t="shared" si="58"/>
        <v>0</v>
      </c>
      <c r="H192" s="1802">
        <f t="shared" si="58"/>
        <v>0</v>
      </c>
      <c r="I192" s="1800">
        <f t="shared" si="58"/>
        <v>0</v>
      </c>
      <c r="J192" s="1803">
        <f t="shared" si="58"/>
        <v>0</v>
      </c>
      <c r="K192" s="1804">
        <f t="shared" si="58"/>
        <v>0</v>
      </c>
      <c r="L192" s="1800">
        <f t="shared" si="58"/>
        <v>0</v>
      </c>
      <c r="M192" s="1801">
        <f t="shared" si="58"/>
        <v>0</v>
      </c>
    </row>
    <row r="193" spans="1:13" ht="11.25" customHeight="1">
      <c r="B193" s="1696"/>
      <c r="C193" s="1706" t="s">
        <v>594</v>
      </c>
      <c r="D193" s="1728"/>
      <c r="E193" s="1409"/>
      <c r="F193" s="1406"/>
      <c r="G193" s="1407"/>
      <c r="H193" s="1784"/>
      <c r="I193" s="1406"/>
      <c r="J193" s="1408"/>
      <c r="K193" s="1409"/>
      <c r="L193" s="1406"/>
      <c r="M193" s="1407"/>
    </row>
    <row r="194" spans="1:13" ht="11.25" customHeight="1">
      <c r="B194" s="1696"/>
      <c r="C194" s="1706" t="s">
        <v>595</v>
      </c>
      <c r="D194" s="1728"/>
      <c r="E194" s="1409"/>
      <c r="F194" s="1406"/>
      <c r="G194" s="1407"/>
      <c r="H194" s="1784"/>
      <c r="I194" s="1406"/>
      <c r="J194" s="1408"/>
      <c r="K194" s="1409"/>
      <c r="L194" s="1406"/>
      <c r="M194" s="1407"/>
    </row>
    <row r="195" spans="1:13" ht="11.25" customHeight="1">
      <c r="B195" s="1696"/>
      <c r="C195" s="1706" t="s">
        <v>758</v>
      </c>
      <c r="D195" s="1728"/>
      <c r="E195" s="1409"/>
      <c r="F195" s="1406"/>
      <c r="G195" s="1407"/>
      <c r="H195" s="1784"/>
      <c r="I195" s="1406"/>
      <c r="J195" s="1408"/>
      <c r="K195" s="1409"/>
      <c r="L195" s="1406"/>
      <c r="M195" s="1407"/>
    </row>
    <row r="196" spans="1:13" ht="11.25" customHeight="1">
      <c r="B196" s="1696"/>
      <c r="C196" s="1706" t="s">
        <v>759</v>
      </c>
      <c r="D196" s="1728"/>
      <c r="E196" s="1409"/>
      <c r="F196" s="1406"/>
      <c r="G196" s="1407"/>
      <c r="H196" s="1784"/>
      <c r="I196" s="1406"/>
      <c r="J196" s="1408"/>
      <c r="K196" s="1409"/>
      <c r="L196" s="1406"/>
      <c r="M196" s="1407"/>
    </row>
    <row r="197" spans="1:13" ht="11.25" customHeight="1">
      <c r="B197" s="1696"/>
      <c r="C197" s="1706" t="s">
        <v>170</v>
      </c>
      <c r="D197" s="1728"/>
      <c r="E197" s="1409"/>
      <c r="F197" s="1406"/>
      <c r="G197" s="1407"/>
      <c r="H197" s="1784"/>
      <c r="I197" s="1406"/>
      <c r="J197" s="1408"/>
      <c r="K197" s="1409"/>
      <c r="L197" s="1406"/>
      <c r="M197" s="1407"/>
    </row>
    <row r="198" spans="1:13" ht="11.25" customHeight="1">
      <c r="B198" s="1696"/>
      <c r="C198" s="1708" t="s">
        <v>1131</v>
      </c>
      <c r="D198" s="1728"/>
      <c r="E198" s="1794">
        <f t="shared" ref="E198:M198" si="59">SUM(E193:E197)</f>
        <v>0</v>
      </c>
      <c r="F198" s="1790">
        <f t="shared" si="59"/>
        <v>0</v>
      </c>
      <c r="G198" s="1791">
        <f t="shared" si="59"/>
        <v>0</v>
      </c>
      <c r="H198" s="1792">
        <f t="shared" si="59"/>
        <v>0</v>
      </c>
      <c r="I198" s="1790">
        <f t="shared" si="59"/>
        <v>0</v>
      </c>
      <c r="J198" s="1793">
        <f t="shared" si="59"/>
        <v>0</v>
      </c>
      <c r="K198" s="1794">
        <f t="shared" si="59"/>
        <v>0</v>
      </c>
      <c r="L198" s="1790">
        <f t="shared" si="59"/>
        <v>0</v>
      </c>
      <c r="M198" s="1791">
        <f t="shared" si="59"/>
        <v>0</v>
      </c>
    </row>
    <row r="199" spans="1:13" ht="11.25" customHeight="1">
      <c r="B199" s="1696"/>
      <c r="C199" s="1709" t="s">
        <v>1167</v>
      </c>
      <c r="D199" s="1728"/>
      <c r="E199" s="1799">
        <f>E192+E198</f>
        <v>0</v>
      </c>
      <c r="F199" s="1795">
        <f t="shared" ref="F199:M199" si="60">F192+F198</f>
        <v>0</v>
      </c>
      <c r="G199" s="1796">
        <f t="shared" si="60"/>
        <v>0</v>
      </c>
      <c r="H199" s="1797">
        <f t="shared" si="60"/>
        <v>0</v>
      </c>
      <c r="I199" s="1795">
        <f t="shared" si="60"/>
        <v>0</v>
      </c>
      <c r="J199" s="1798">
        <f t="shared" si="60"/>
        <v>0</v>
      </c>
      <c r="K199" s="1799">
        <f t="shared" si="60"/>
        <v>0</v>
      </c>
      <c r="L199" s="1795">
        <f t="shared" si="60"/>
        <v>0</v>
      </c>
      <c r="M199" s="1796">
        <f t="shared" si="60"/>
        <v>0</v>
      </c>
    </row>
    <row r="200" spans="1:13" ht="4.9000000000000004" customHeight="1">
      <c r="B200" s="1696"/>
      <c r="C200" s="1710"/>
      <c r="D200" s="1729"/>
      <c r="E200" s="979"/>
      <c r="F200" s="975"/>
      <c r="G200" s="976"/>
      <c r="H200" s="977"/>
      <c r="I200" s="975"/>
      <c r="J200" s="978"/>
      <c r="K200" s="979"/>
      <c r="L200" s="975"/>
      <c r="M200" s="976"/>
    </row>
    <row r="201" spans="1:13" ht="25.15" customHeight="1">
      <c r="A201" s="2892" t="s">
        <v>1829</v>
      </c>
      <c r="B201" s="1687"/>
      <c r="C201" s="1688"/>
      <c r="D201" s="1689"/>
      <c r="E201" s="1690" t="str">
        <f>head1b</f>
        <v>2016/17</v>
      </c>
      <c r="F201" s="956" t="str">
        <f>head1A</f>
        <v>2017/18</v>
      </c>
      <c r="G201" s="957" t="str">
        <f>Head1</f>
        <v>2018/19</v>
      </c>
      <c r="H201" s="2853" t="str">
        <f>Head2</f>
        <v>Current Year 2019/20</v>
      </c>
      <c r="I201" s="2854"/>
      <c r="J201" s="2855"/>
      <c r="K201" s="2853" t="str">
        <f>Head3</f>
        <v>2020/21 Medium Term Revenue &amp; Expenditure Framework</v>
      </c>
      <c r="L201" s="2854"/>
      <c r="M201" s="2855"/>
    </row>
    <row r="202" spans="1:13" ht="25.15" customHeight="1">
      <c r="A202" s="2892"/>
      <c r="B202" s="1691" t="s">
        <v>1744</v>
      </c>
      <c r="C202" s="1385"/>
      <c r="D202" s="1386"/>
      <c r="E202" s="1692" t="str">
        <f>Head5A</f>
        <v>Outcome</v>
      </c>
      <c r="F202" s="1693" t="str">
        <f>Head5A</f>
        <v>Outcome</v>
      </c>
      <c r="G202" s="1694" t="str">
        <f>Head5A</f>
        <v>Outcome</v>
      </c>
      <c r="H202" s="1695" t="str">
        <f>Head6</f>
        <v>Original Budget</v>
      </c>
      <c r="I202" s="1693" t="str">
        <f>Head7</f>
        <v>Adjusted Budget</v>
      </c>
      <c r="J202" s="1694" t="str">
        <f>Head8</f>
        <v>Full Year Forecast</v>
      </c>
      <c r="K202" s="1695" t="str">
        <f>Head9</f>
        <v>Budget Year 2020/21</v>
      </c>
      <c r="L202" s="1693" t="str">
        <f>Head10</f>
        <v>Budget Year +1 2021/22</v>
      </c>
      <c r="M202" s="1694" t="str">
        <f>Head11</f>
        <v>Budget Year +2 2022/23</v>
      </c>
    </row>
    <row r="203" spans="1:13" ht="11.25" customHeight="1">
      <c r="A203" s="1711" t="s">
        <v>1830</v>
      </c>
      <c r="B203" s="1696"/>
      <c r="C203" s="1697" t="s">
        <v>172</v>
      </c>
      <c r="D203" s="1728"/>
      <c r="E203" s="423"/>
      <c r="F203" s="1698"/>
      <c r="G203" s="1699"/>
      <c r="H203" s="1700"/>
      <c r="I203" s="1701"/>
      <c r="J203" s="1702"/>
      <c r="K203" s="1703"/>
      <c r="L203" s="1701"/>
      <c r="M203" s="1704"/>
    </row>
    <row r="204" spans="1:13" ht="11.25" customHeight="1">
      <c r="A204" s="1405"/>
      <c r="B204" s="1696"/>
      <c r="C204" s="1705" t="s">
        <v>1615</v>
      </c>
      <c r="D204" s="1728"/>
      <c r="E204" s="967"/>
      <c r="F204" s="963"/>
      <c r="G204" s="966"/>
      <c r="H204" s="902"/>
      <c r="I204" s="900"/>
      <c r="J204" s="903"/>
      <c r="K204" s="904"/>
      <c r="L204" s="900"/>
      <c r="M204" s="901"/>
    </row>
    <row r="205" spans="1:13" ht="11.25" customHeight="1">
      <c r="A205" s="1405"/>
      <c r="B205" s="1696"/>
      <c r="C205" s="1706" t="s">
        <v>1448</v>
      </c>
      <c r="D205" s="1728"/>
      <c r="E205" s="1409"/>
      <c r="F205" s="1406"/>
      <c r="G205" s="1407"/>
      <c r="H205" s="1784"/>
      <c r="I205" s="1406"/>
      <c r="J205" s="1408"/>
      <c r="K205" s="1409"/>
      <c r="L205" s="1406"/>
      <c r="M205" s="1407"/>
    </row>
    <row r="206" spans="1:13" ht="11.25" customHeight="1">
      <c r="A206" s="1405"/>
      <c r="B206" s="1696"/>
      <c r="C206" s="1706" t="s">
        <v>1614</v>
      </c>
      <c r="D206" s="1728"/>
      <c r="E206" s="1409"/>
      <c r="F206" s="1406"/>
      <c r="G206" s="1407"/>
      <c r="H206" s="1784"/>
      <c r="I206" s="1406"/>
      <c r="J206" s="1408"/>
      <c r="K206" s="1409"/>
      <c r="L206" s="1406"/>
      <c r="M206" s="1407"/>
    </row>
    <row r="207" spans="1:13" ht="11.25" customHeight="1">
      <c r="A207" s="1405"/>
      <c r="B207" s="1707">
        <v>8</v>
      </c>
      <c r="C207" s="1706" t="s">
        <v>111</v>
      </c>
      <c r="D207" s="1728"/>
      <c r="E207" s="1409"/>
      <c r="F207" s="1406"/>
      <c r="G207" s="1407"/>
      <c r="H207" s="1784"/>
      <c r="I207" s="1406"/>
      <c r="J207" s="1408"/>
      <c r="K207" s="1409"/>
      <c r="L207" s="1406"/>
      <c r="M207" s="1407"/>
    </row>
    <row r="208" spans="1:13" ht="11.25" customHeight="1">
      <c r="A208" s="1405"/>
      <c r="B208" s="1707">
        <v>10</v>
      </c>
      <c r="C208" s="1706" t="s">
        <v>112</v>
      </c>
      <c r="D208" s="1728"/>
      <c r="E208" s="1409"/>
      <c r="F208" s="1406"/>
      <c r="G208" s="1407"/>
      <c r="H208" s="1784"/>
      <c r="I208" s="1406"/>
      <c r="J208" s="1408"/>
      <c r="K208" s="1409"/>
      <c r="L208" s="1406"/>
      <c r="M208" s="1407"/>
    </row>
    <row r="209" spans="1:13" ht="11.25" customHeight="1">
      <c r="A209" s="1405"/>
      <c r="B209" s="1707"/>
      <c r="C209" s="1708" t="s">
        <v>323</v>
      </c>
      <c r="D209" s="1728"/>
      <c r="E209" s="1789">
        <f>SUM(E205:E208)</f>
        <v>0</v>
      </c>
      <c r="F209" s="1785">
        <f t="shared" ref="F209:M209" si="61">SUM(F205:F208)</f>
        <v>0</v>
      </c>
      <c r="G209" s="1786">
        <f t="shared" si="61"/>
        <v>0</v>
      </c>
      <c r="H209" s="1787">
        <f t="shared" si="61"/>
        <v>0</v>
      </c>
      <c r="I209" s="1785">
        <f t="shared" si="61"/>
        <v>0</v>
      </c>
      <c r="J209" s="1788">
        <f t="shared" si="61"/>
        <v>0</v>
      </c>
      <c r="K209" s="1789">
        <f t="shared" si="61"/>
        <v>0</v>
      </c>
      <c r="L209" s="1785">
        <f t="shared" si="61"/>
        <v>0</v>
      </c>
      <c r="M209" s="1786">
        <f t="shared" si="61"/>
        <v>0</v>
      </c>
    </row>
    <row r="210" spans="1:13" ht="11.25" customHeight="1">
      <c r="A210" s="1405"/>
      <c r="B210" s="1707">
        <v>9</v>
      </c>
      <c r="C210" s="1706" t="s">
        <v>435</v>
      </c>
      <c r="D210" s="1728"/>
      <c r="E210" s="1409"/>
      <c r="F210" s="1406"/>
      <c r="G210" s="1407"/>
      <c r="H210" s="1784"/>
      <c r="I210" s="1406"/>
      <c r="J210" s="1408"/>
      <c r="K210" s="1409"/>
      <c r="L210" s="1406"/>
      <c r="M210" s="1407"/>
    </row>
    <row r="211" spans="1:13" ht="11.25" customHeight="1">
      <c r="A211" s="1405"/>
      <c r="B211" s="1707">
        <v>10</v>
      </c>
      <c r="C211" s="1706" t="s">
        <v>436</v>
      </c>
      <c r="D211" s="1728"/>
      <c r="E211" s="1409"/>
      <c r="F211" s="1406"/>
      <c r="G211" s="1407"/>
      <c r="H211" s="1784"/>
      <c r="I211" s="1406"/>
      <c r="J211" s="1408"/>
      <c r="K211" s="1409"/>
      <c r="L211" s="1406"/>
      <c r="M211" s="1407"/>
    </row>
    <row r="212" spans="1:13" ht="11.25" customHeight="1">
      <c r="A212" s="1405"/>
      <c r="B212" s="1696"/>
      <c r="C212" s="1706" t="s">
        <v>842</v>
      </c>
      <c r="D212" s="1728"/>
      <c r="E212" s="1409"/>
      <c r="F212" s="1406"/>
      <c r="G212" s="1407"/>
      <c r="H212" s="1784"/>
      <c r="I212" s="1406"/>
      <c r="J212" s="1408"/>
      <c r="K212" s="1409"/>
      <c r="L212" s="1406"/>
      <c r="M212" s="1407"/>
    </row>
    <row r="213" spans="1:13" ht="11.25" customHeight="1">
      <c r="A213" s="1405"/>
      <c r="B213" s="1696"/>
      <c r="C213" s="1708" t="s">
        <v>1131</v>
      </c>
      <c r="D213" s="1728"/>
      <c r="E213" s="1794">
        <f>SUM(E210:E212)</f>
        <v>0</v>
      </c>
      <c r="F213" s="1790">
        <f t="shared" ref="F213:M213" si="62">SUM(F210:F212)</f>
        <v>0</v>
      </c>
      <c r="G213" s="1791">
        <f t="shared" si="62"/>
        <v>0</v>
      </c>
      <c r="H213" s="1792">
        <f t="shared" si="62"/>
        <v>0</v>
      </c>
      <c r="I213" s="1790">
        <f t="shared" si="62"/>
        <v>0</v>
      </c>
      <c r="J213" s="1793">
        <f t="shared" si="62"/>
        <v>0</v>
      </c>
      <c r="K213" s="1794">
        <f t="shared" si="62"/>
        <v>0</v>
      </c>
      <c r="L213" s="1790">
        <f t="shared" si="62"/>
        <v>0</v>
      </c>
      <c r="M213" s="1791">
        <f t="shared" si="62"/>
        <v>0</v>
      </c>
    </row>
    <row r="214" spans="1:13" ht="11.25" customHeight="1">
      <c r="B214" s="1696"/>
      <c r="C214" s="1709" t="s">
        <v>1167</v>
      </c>
      <c r="D214" s="1728"/>
      <c r="E214" s="1799">
        <f>E209+E213</f>
        <v>0</v>
      </c>
      <c r="F214" s="1795">
        <f t="shared" ref="F214:M214" si="63">F209+F213</f>
        <v>0</v>
      </c>
      <c r="G214" s="1796">
        <f t="shared" si="63"/>
        <v>0</v>
      </c>
      <c r="H214" s="1797">
        <f t="shared" si="63"/>
        <v>0</v>
      </c>
      <c r="I214" s="1795">
        <f t="shared" si="63"/>
        <v>0</v>
      </c>
      <c r="J214" s="1798">
        <f t="shared" si="63"/>
        <v>0</v>
      </c>
      <c r="K214" s="1799">
        <f t="shared" si="63"/>
        <v>0</v>
      </c>
      <c r="L214" s="1795">
        <f t="shared" si="63"/>
        <v>0</v>
      </c>
      <c r="M214" s="1796">
        <f t="shared" si="63"/>
        <v>0</v>
      </c>
    </row>
    <row r="215" spans="1:13" ht="11.25" customHeight="1">
      <c r="A215" s="1711" t="s">
        <v>1830</v>
      </c>
      <c r="B215" s="1696"/>
      <c r="C215" s="1705" t="s">
        <v>1168</v>
      </c>
      <c r="D215" s="1728"/>
      <c r="E215" s="1804"/>
      <c r="F215" s="1800"/>
      <c r="G215" s="1803"/>
      <c r="H215" s="1802"/>
      <c r="I215" s="1800"/>
      <c r="J215" s="1803"/>
      <c r="K215" s="1804"/>
      <c r="L215" s="1800"/>
      <c r="M215" s="1801"/>
    </row>
    <row r="216" spans="1:13" ht="11.25" customHeight="1">
      <c r="A216" s="1405"/>
      <c r="B216" s="1696"/>
      <c r="C216" s="1706" t="s">
        <v>1169</v>
      </c>
      <c r="D216" s="1728"/>
      <c r="E216" s="1409"/>
      <c r="F216" s="1406"/>
      <c r="G216" s="1407"/>
      <c r="H216" s="1784"/>
      <c r="I216" s="1406"/>
      <c r="J216" s="1408"/>
      <c r="K216" s="1409"/>
      <c r="L216" s="1406"/>
      <c r="M216" s="1407"/>
    </row>
    <row r="217" spans="1:13" ht="11.25" customHeight="1">
      <c r="A217" s="1405"/>
      <c r="B217" s="1696"/>
      <c r="C217" s="1706" t="s">
        <v>1170</v>
      </c>
      <c r="D217" s="1728"/>
      <c r="E217" s="1409"/>
      <c r="F217" s="1406"/>
      <c r="G217" s="1407"/>
      <c r="H217" s="1784"/>
      <c r="I217" s="1406"/>
      <c r="J217" s="1408"/>
      <c r="K217" s="1409"/>
      <c r="L217" s="1406"/>
      <c r="M217" s="1407"/>
    </row>
    <row r="218" spans="1:13" ht="11.25" customHeight="1">
      <c r="A218" s="1405"/>
      <c r="B218" s="1696"/>
      <c r="C218" s="1706" t="s">
        <v>1235</v>
      </c>
      <c r="D218" s="1728"/>
      <c r="E218" s="1409"/>
      <c r="F218" s="1406"/>
      <c r="G218" s="1407"/>
      <c r="H218" s="1784"/>
      <c r="I218" s="1406"/>
      <c r="J218" s="1408"/>
      <c r="K218" s="1409"/>
      <c r="L218" s="1406"/>
      <c r="M218" s="1407"/>
    </row>
    <row r="219" spans="1:13" ht="11.25" customHeight="1">
      <c r="A219" s="1405"/>
      <c r="B219" s="1696"/>
      <c r="C219" s="1706" t="s">
        <v>211</v>
      </c>
      <c r="D219" s="1728"/>
      <c r="E219" s="1409"/>
      <c r="F219" s="1406"/>
      <c r="G219" s="1407"/>
      <c r="H219" s="1784"/>
      <c r="I219" s="1406"/>
      <c r="J219" s="1408"/>
      <c r="K219" s="1409"/>
      <c r="L219" s="1406"/>
      <c r="M219" s="1407"/>
    </row>
    <row r="220" spans="1:13" ht="11.25" customHeight="1">
      <c r="A220" s="1405"/>
      <c r="B220" s="1696"/>
      <c r="C220" s="1706" t="s">
        <v>213</v>
      </c>
      <c r="D220" s="1728"/>
      <c r="E220" s="1409"/>
      <c r="F220" s="1406"/>
      <c r="G220" s="1407"/>
      <c r="H220" s="1784"/>
      <c r="I220" s="1406"/>
      <c r="J220" s="1408"/>
      <c r="K220" s="1409"/>
      <c r="L220" s="1406"/>
      <c r="M220" s="1407"/>
    </row>
    <row r="221" spans="1:13" ht="11.25" customHeight="1">
      <c r="A221" s="1405"/>
      <c r="B221" s="1696"/>
      <c r="C221" s="1708" t="s">
        <v>323</v>
      </c>
      <c r="D221" s="1728"/>
      <c r="E221" s="1789">
        <f>SUM(E216:E220)</f>
        <v>0</v>
      </c>
      <c r="F221" s="1785">
        <f t="shared" ref="F221:M221" si="64">SUM(F216:F220)</f>
        <v>0</v>
      </c>
      <c r="G221" s="1786">
        <f t="shared" si="64"/>
        <v>0</v>
      </c>
      <c r="H221" s="1787">
        <f t="shared" si="64"/>
        <v>0</v>
      </c>
      <c r="I221" s="1785">
        <f t="shared" si="64"/>
        <v>0</v>
      </c>
      <c r="J221" s="1788">
        <f t="shared" si="64"/>
        <v>0</v>
      </c>
      <c r="K221" s="1789">
        <f t="shared" si="64"/>
        <v>0</v>
      </c>
      <c r="L221" s="1785">
        <f t="shared" si="64"/>
        <v>0</v>
      </c>
      <c r="M221" s="1786">
        <f t="shared" si="64"/>
        <v>0</v>
      </c>
    </row>
    <row r="222" spans="1:13" ht="11.25" customHeight="1">
      <c r="A222" s="1405"/>
      <c r="B222" s="1696"/>
      <c r="C222" s="1706" t="s">
        <v>212</v>
      </c>
      <c r="D222" s="1728"/>
      <c r="E222" s="1409"/>
      <c r="F222" s="1406"/>
      <c r="G222" s="1407"/>
      <c r="H222" s="1784"/>
      <c r="I222" s="1406"/>
      <c r="J222" s="1408"/>
      <c r="K222" s="1409"/>
      <c r="L222" s="1406"/>
      <c r="M222" s="1407"/>
    </row>
    <row r="223" spans="1:13" ht="11.25" customHeight="1">
      <c r="A223" s="1405"/>
      <c r="B223" s="1696"/>
      <c r="C223" s="1706" t="s">
        <v>1079</v>
      </c>
      <c r="D223" s="1728"/>
      <c r="E223" s="1409"/>
      <c r="F223" s="1406"/>
      <c r="G223" s="1407"/>
      <c r="H223" s="1784"/>
      <c r="I223" s="1406"/>
      <c r="J223" s="1408"/>
      <c r="K223" s="1409"/>
      <c r="L223" s="1406"/>
      <c r="M223" s="1407"/>
    </row>
    <row r="224" spans="1:13" ht="11.25" customHeight="1">
      <c r="A224" s="1405"/>
      <c r="B224" s="1696"/>
      <c r="C224" s="1706" t="s">
        <v>1237</v>
      </c>
      <c r="D224" s="1728"/>
      <c r="E224" s="1409"/>
      <c r="F224" s="1406"/>
      <c r="G224" s="1407"/>
      <c r="H224" s="1784"/>
      <c r="I224" s="1406"/>
      <c r="J224" s="1408"/>
      <c r="K224" s="1409"/>
      <c r="L224" s="1406"/>
      <c r="M224" s="1407"/>
    </row>
    <row r="225" spans="1:13" ht="11.25" customHeight="1">
      <c r="A225" s="1405"/>
      <c r="B225" s="1696"/>
      <c r="C225" s="1708" t="s">
        <v>1131</v>
      </c>
      <c r="D225" s="1728"/>
      <c r="E225" s="1794">
        <f>SUM(E222:E224)</f>
        <v>0</v>
      </c>
      <c r="F225" s="1790">
        <f t="shared" ref="F225:M225" si="65">SUM(F222:F224)</f>
        <v>0</v>
      </c>
      <c r="G225" s="1791">
        <f t="shared" si="65"/>
        <v>0</v>
      </c>
      <c r="H225" s="1792">
        <f t="shared" si="65"/>
        <v>0</v>
      </c>
      <c r="I225" s="1790">
        <f t="shared" si="65"/>
        <v>0</v>
      </c>
      <c r="J225" s="1793">
        <f t="shared" si="65"/>
        <v>0</v>
      </c>
      <c r="K225" s="1794">
        <f t="shared" si="65"/>
        <v>0</v>
      </c>
      <c r="L225" s="1790">
        <f t="shared" si="65"/>
        <v>0</v>
      </c>
      <c r="M225" s="1791">
        <f t="shared" si="65"/>
        <v>0</v>
      </c>
    </row>
    <row r="226" spans="1:13" ht="11.25" customHeight="1">
      <c r="B226" s="1696"/>
      <c r="C226" s="1709" t="s">
        <v>1167</v>
      </c>
      <c r="D226" s="1728"/>
      <c r="E226" s="1799">
        <f>E221+E225</f>
        <v>0</v>
      </c>
      <c r="F226" s="1795">
        <f t="shared" ref="F226:M226" si="66">F221+F225</f>
        <v>0</v>
      </c>
      <c r="G226" s="1796">
        <f t="shared" si="66"/>
        <v>0</v>
      </c>
      <c r="H226" s="1797">
        <f t="shared" si="66"/>
        <v>0</v>
      </c>
      <c r="I226" s="1795">
        <f t="shared" si="66"/>
        <v>0</v>
      </c>
      <c r="J226" s="1798">
        <f t="shared" si="66"/>
        <v>0</v>
      </c>
      <c r="K226" s="1799">
        <f t="shared" si="66"/>
        <v>0</v>
      </c>
      <c r="L226" s="1795">
        <f t="shared" si="66"/>
        <v>0</v>
      </c>
      <c r="M226" s="1796">
        <f t="shared" si="66"/>
        <v>0</v>
      </c>
    </row>
    <row r="227" spans="1:13" ht="11.25" customHeight="1">
      <c r="A227" s="1711" t="s">
        <v>1830</v>
      </c>
      <c r="B227" s="1696"/>
      <c r="C227" s="1705" t="s">
        <v>590</v>
      </c>
      <c r="D227" s="1728"/>
      <c r="E227" s="1804"/>
      <c r="F227" s="1800"/>
      <c r="G227" s="1803"/>
      <c r="H227" s="1802"/>
      <c r="I227" s="1800"/>
      <c r="J227" s="1803"/>
      <c r="K227" s="1804"/>
      <c r="L227" s="1800"/>
      <c r="M227" s="1801"/>
    </row>
    <row r="228" spans="1:13" ht="11.25" customHeight="1">
      <c r="A228" s="1405"/>
      <c r="B228" s="1696"/>
      <c r="C228" s="1706" t="s">
        <v>1080</v>
      </c>
      <c r="D228" s="1728"/>
      <c r="E228" s="1409"/>
      <c r="F228" s="1406"/>
      <c r="G228" s="1407"/>
      <c r="H228" s="1784"/>
      <c r="I228" s="1406"/>
      <c r="J228" s="1408"/>
      <c r="K228" s="1409"/>
      <c r="L228" s="1406"/>
      <c r="M228" s="1407"/>
    </row>
    <row r="229" spans="1:13" ht="11.25" customHeight="1">
      <c r="A229" s="1405"/>
      <c r="B229" s="1696"/>
      <c r="C229" s="1706" t="s">
        <v>437</v>
      </c>
      <c r="D229" s="1728"/>
      <c r="E229" s="1409"/>
      <c r="F229" s="1406"/>
      <c r="G229" s="1407"/>
      <c r="H229" s="1784"/>
      <c r="I229" s="1406"/>
      <c r="J229" s="1408"/>
      <c r="K229" s="1409"/>
      <c r="L229" s="1406"/>
      <c r="M229" s="1407"/>
    </row>
    <row r="230" spans="1:13" ht="11.25" customHeight="1">
      <c r="A230" s="1405"/>
      <c r="B230" s="1696"/>
      <c r="C230" s="1708" t="s">
        <v>323</v>
      </c>
      <c r="D230" s="1728"/>
      <c r="E230" s="1789">
        <f>SUM(E228:E229)</f>
        <v>0</v>
      </c>
      <c r="F230" s="1785">
        <f t="shared" ref="F230:M230" si="67">SUM(F228:F229)</f>
        <v>0</v>
      </c>
      <c r="G230" s="1786">
        <f t="shared" si="67"/>
        <v>0</v>
      </c>
      <c r="H230" s="1787">
        <f t="shared" si="67"/>
        <v>0</v>
      </c>
      <c r="I230" s="1785">
        <f t="shared" si="67"/>
        <v>0</v>
      </c>
      <c r="J230" s="1788">
        <f t="shared" si="67"/>
        <v>0</v>
      </c>
      <c r="K230" s="1789">
        <f t="shared" si="67"/>
        <v>0</v>
      </c>
      <c r="L230" s="1785">
        <f t="shared" si="67"/>
        <v>0</v>
      </c>
      <c r="M230" s="1786">
        <f t="shared" si="67"/>
        <v>0</v>
      </c>
    </row>
    <row r="231" spans="1:13" ht="11.25" customHeight="1">
      <c r="A231" s="1405"/>
      <c r="B231" s="1696"/>
      <c r="C231" s="1706" t="s">
        <v>438</v>
      </c>
      <c r="D231" s="1728"/>
      <c r="E231" s="1409"/>
      <c r="F231" s="1406"/>
      <c r="G231" s="1407"/>
      <c r="H231" s="1784"/>
      <c r="I231" s="1406"/>
      <c r="J231" s="1408"/>
      <c r="K231" s="1409"/>
      <c r="L231" s="1406"/>
      <c r="M231" s="1407"/>
    </row>
    <row r="232" spans="1:13" ht="11.25" customHeight="1">
      <c r="A232" s="1405"/>
      <c r="B232" s="1696"/>
      <c r="C232" s="1706" t="s">
        <v>439</v>
      </c>
      <c r="D232" s="1728"/>
      <c r="E232" s="1409"/>
      <c r="F232" s="1406"/>
      <c r="G232" s="1407"/>
      <c r="H232" s="1784"/>
      <c r="I232" s="1406"/>
      <c r="J232" s="1408"/>
      <c r="K232" s="1409"/>
      <c r="L232" s="1406"/>
      <c r="M232" s="1407"/>
    </row>
    <row r="233" spans="1:13" ht="11.25" customHeight="1">
      <c r="A233" s="1405"/>
      <c r="B233" s="1696"/>
      <c r="C233" s="1706" t="s">
        <v>591</v>
      </c>
      <c r="D233" s="1728"/>
      <c r="E233" s="1409"/>
      <c r="F233" s="1406"/>
      <c r="G233" s="1407"/>
      <c r="H233" s="1784"/>
      <c r="I233" s="1406"/>
      <c r="J233" s="1408"/>
      <c r="K233" s="1409"/>
      <c r="L233" s="1406"/>
      <c r="M233" s="1407"/>
    </row>
    <row r="234" spans="1:13" ht="11.25" customHeight="1">
      <c r="A234" s="1405"/>
      <c r="B234" s="1696"/>
      <c r="C234" s="1708" t="s">
        <v>1131</v>
      </c>
      <c r="D234" s="1728"/>
      <c r="E234" s="1794">
        <f>SUM(E231:E233)</f>
        <v>0</v>
      </c>
      <c r="F234" s="1790">
        <f t="shared" ref="F234:M234" si="68">SUM(F231:F233)</f>
        <v>0</v>
      </c>
      <c r="G234" s="1791">
        <f t="shared" si="68"/>
        <v>0</v>
      </c>
      <c r="H234" s="1792">
        <f t="shared" si="68"/>
        <v>0</v>
      </c>
      <c r="I234" s="1790">
        <f t="shared" si="68"/>
        <v>0</v>
      </c>
      <c r="J234" s="1793">
        <f t="shared" si="68"/>
        <v>0</v>
      </c>
      <c r="K234" s="1794">
        <f t="shared" si="68"/>
        <v>0</v>
      </c>
      <c r="L234" s="1790">
        <f t="shared" si="68"/>
        <v>0</v>
      </c>
      <c r="M234" s="1791">
        <f t="shared" si="68"/>
        <v>0</v>
      </c>
    </row>
    <row r="235" spans="1:13" ht="11.25" customHeight="1">
      <c r="A235" s="1712"/>
      <c r="B235" s="1696"/>
      <c r="C235" s="1709" t="s">
        <v>1167</v>
      </c>
      <c r="D235" s="1728"/>
      <c r="E235" s="1799">
        <f>E230+E234</f>
        <v>0</v>
      </c>
      <c r="F235" s="1795">
        <f t="shared" ref="F235:M235" si="69">F230+F234</f>
        <v>0</v>
      </c>
      <c r="G235" s="1796">
        <f t="shared" si="69"/>
        <v>0</v>
      </c>
      <c r="H235" s="1797">
        <f t="shared" si="69"/>
        <v>0</v>
      </c>
      <c r="I235" s="1795">
        <f t="shared" si="69"/>
        <v>0</v>
      </c>
      <c r="J235" s="1798">
        <f t="shared" si="69"/>
        <v>0</v>
      </c>
      <c r="K235" s="1799">
        <f t="shared" si="69"/>
        <v>0</v>
      </c>
      <c r="L235" s="1795">
        <f t="shared" si="69"/>
        <v>0</v>
      </c>
      <c r="M235" s="1796">
        <f t="shared" si="69"/>
        <v>0</v>
      </c>
    </row>
    <row r="236" spans="1:13" ht="11.25" customHeight="1">
      <c r="A236" s="1711" t="s">
        <v>1830</v>
      </c>
      <c r="B236" s="1696"/>
      <c r="C236" s="1705" t="s">
        <v>593</v>
      </c>
      <c r="D236" s="1728"/>
      <c r="E236" s="1804"/>
      <c r="F236" s="1800"/>
      <c r="G236" s="1803"/>
      <c r="H236" s="1802"/>
      <c r="I236" s="1800"/>
      <c r="J236" s="1803"/>
      <c r="K236" s="1804"/>
      <c r="L236" s="1800"/>
      <c r="M236" s="1801"/>
    </row>
    <row r="237" spans="1:13" ht="11.25" customHeight="1">
      <c r="A237" s="1405"/>
      <c r="B237" s="1696"/>
      <c r="C237" s="1706" t="s">
        <v>636</v>
      </c>
      <c r="D237" s="1728"/>
      <c r="E237" s="1412"/>
      <c r="F237" s="1410"/>
      <c r="G237" s="1411"/>
      <c r="H237" s="1805"/>
      <c r="I237" s="1410"/>
      <c r="J237" s="1806"/>
      <c r="K237" s="1412"/>
      <c r="L237" s="1410"/>
      <c r="M237" s="1411"/>
    </row>
    <row r="238" spans="1:13" ht="11.25" customHeight="1">
      <c r="A238" s="1405"/>
      <c r="B238" s="1696"/>
      <c r="C238" s="1708" t="s">
        <v>323</v>
      </c>
      <c r="D238" s="1728"/>
      <c r="E238" s="1804">
        <f>SUM(E237)</f>
        <v>0</v>
      </c>
      <c r="F238" s="1800">
        <f t="shared" ref="F238:M238" si="70">SUM(F237)</f>
        <v>0</v>
      </c>
      <c r="G238" s="1801">
        <f t="shared" si="70"/>
        <v>0</v>
      </c>
      <c r="H238" s="1802">
        <f t="shared" si="70"/>
        <v>0</v>
      </c>
      <c r="I238" s="1800">
        <f t="shared" si="70"/>
        <v>0</v>
      </c>
      <c r="J238" s="1803">
        <f t="shared" si="70"/>
        <v>0</v>
      </c>
      <c r="K238" s="1804">
        <f t="shared" si="70"/>
        <v>0</v>
      </c>
      <c r="L238" s="1800">
        <f t="shared" si="70"/>
        <v>0</v>
      </c>
      <c r="M238" s="1801">
        <f t="shared" si="70"/>
        <v>0</v>
      </c>
    </row>
    <row r="239" spans="1:13" ht="11.25" customHeight="1">
      <c r="A239" s="1405"/>
      <c r="B239" s="1696"/>
      <c r="C239" s="1706" t="s">
        <v>594</v>
      </c>
      <c r="D239" s="1728"/>
      <c r="E239" s="1409"/>
      <c r="F239" s="1406"/>
      <c r="G239" s="1407"/>
      <c r="H239" s="1784"/>
      <c r="I239" s="1406"/>
      <c r="J239" s="1408"/>
      <c r="K239" s="1409"/>
      <c r="L239" s="1406"/>
      <c r="M239" s="1407"/>
    </row>
    <row r="240" spans="1:13" ht="11.25" customHeight="1">
      <c r="A240" s="1405"/>
      <c r="B240" s="1696"/>
      <c r="C240" s="1706" t="s">
        <v>595</v>
      </c>
      <c r="D240" s="1728"/>
      <c r="E240" s="1409"/>
      <c r="F240" s="1406"/>
      <c r="G240" s="1407"/>
      <c r="H240" s="1784"/>
      <c r="I240" s="1406"/>
      <c r="J240" s="1408"/>
      <c r="K240" s="1409"/>
      <c r="L240" s="1406"/>
      <c r="M240" s="1407"/>
    </row>
    <row r="241" spans="1:13" ht="11.25" customHeight="1">
      <c r="A241" s="1405"/>
      <c r="B241" s="1696"/>
      <c r="C241" s="1706" t="s">
        <v>758</v>
      </c>
      <c r="D241" s="1728"/>
      <c r="E241" s="1409"/>
      <c r="F241" s="1406"/>
      <c r="G241" s="1407"/>
      <c r="H241" s="1784"/>
      <c r="I241" s="1406"/>
      <c r="J241" s="1408"/>
      <c r="K241" s="1409"/>
      <c r="L241" s="1406"/>
      <c r="M241" s="1407"/>
    </row>
    <row r="242" spans="1:13" ht="11.25" customHeight="1">
      <c r="A242" s="1405"/>
      <c r="B242" s="1696"/>
      <c r="C242" s="1706" t="s">
        <v>759</v>
      </c>
      <c r="D242" s="1728"/>
      <c r="E242" s="1409"/>
      <c r="F242" s="1406"/>
      <c r="G242" s="1407"/>
      <c r="H242" s="1784"/>
      <c r="I242" s="1406"/>
      <c r="J242" s="1408"/>
      <c r="K242" s="1409"/>
      <c r="L242" s="1406"/>
      <c r="M242" s="1407"/>
    </row>
    <row r="243" spans="1:13" ht="11.25" customHeight="1">
      <c r="A243" s="1405"/>
      <c r="B243" s="1696"/>
      <c r="C243" s="1706" t="s">
        <v>170</v>
      </c>
      <c r="D243" s="1728"/>
      <c r="E243" s="1409"/>
      <c r="F243" s="1406"/>
      <c r="G243" s="1407"/>
      <c r="H243" s="1784"/>
      <c r="I243" s="1406"/>
      <c r="J243" s="1408"/>
      <c r="K243" s="1409"/>
      <c r="L243" s="1406"/>
      <c r="M243" s="1407"/>
    </row>
    <row r="244" spans="1:13" ht="11.25" customHeight="1">
      <c r="A244" s="1405"/>
      <c r="B244" s="1696"/>
      <c r="C244" s="1708" t="s">
        <v>1131</v>
      </c>
      <c r="D244" s="1728"/>
      <c r="E244" s="1794">
        <f t="shared" ref="E244:M244" si="71">SUM(E239:E243)</f>
        <v>0</v>
      </c>
      <c r="F244" s="1790">
        <f t="shared" si="71"/>
        <v>0</v>
      </c>
      <c r="G244" s="1791">
        <f t="shared" si="71"/>
        <v>0</v>
      </c>
      <c r="H244" s="1792">
        <f t="shared" si="71"/>
        <v>0</v>
      </c>
      <c r="I244" s="1790">
        <f t="shared" si="71"/>
        <v>0</v>
      </c>
      <c r="J244" s="1793">
        <f t="shared" si="71"/>
        <v>0</v>
      </c>
      <c r="K244" s="1794">
        <f t="shared" si="71"/>
        <v>0</v>
      </c>
      <c r="L244" s="1790">
        <f t="shared" si="71"/>
        <v>0</v>
      </c>
      <c r="M244" s="1791">
        <f t="shared" si="71"/>
        <v>0</v>
      </c>
    </row>
    <row r="245" spans="1:13" ht="11.25" customHeight="1">
      <c r="B245" s="1696"/>
      <c r="C245" s="1709" t="s">
        <v>1167</v>
      </c>
      <c r="D245" s="1728"/>
      <c r="E245" s="1799">
        <f>E238+E244</f>
        <v>0</v>
      </c>
      <c r="F245" s="1795">
        <f t="shared" ref="F245:M245" si="72">F238+F244</f>
        <v>0</v>
      </c>
      <c r="G245" s="1796">
        <f t="shared" si="72"/>
        <v>0</v>
      </c>
      <c r="H245" s="1797">
        <f t="shared" si="72"/>
        <v>0</v>
      </c>
      <c r="I245" s="1795">
        <f t="shared" si="72"/>
        <v>0</v>
      </c>
      <c r="J245" s="1798">
        <f t="shared" si="72"/>
        <v>0</v>
      </c>
      <c r="K245" s="1799">
        <f t="shared" si="72"/>
        <v>0</v>
      </c>
      <c r="L245" s="1795">
        <f t="shared" si="72"/>
        <v>0</v>
      </c>
      <c r="M245" s="1796">
        <f t="shared" si="72"/>
        <v>0</v>
      </c>
    </row>
    <row r="246" spans="1:13" ht="4.9000000000000004" customHeight="1">
      <c r="A246" s="1385"/>
      <c r="B246" s="1696"/>
      <c r="C246" s="2356"/>
      <c r="D246" s="1728"/>
      <c r="E246" s="1713"/>
      <c r="F246" s="1714"/>
      <c r="G246" s="1715"/>
      <c r="H246" s="1716"/>
      <c r="I246" s="1714"/>
      <c r="J246" s="1717"/>
      <c r="K246" s="1713"/>
      <c r="L246" s="1714"/>
      <c r="M246" s="1715"/>
    </row>
    <row r="247" spans="1:13" ht="48.75" customHeight="1">
      <c r="A247" s="2897" t="s">
        <v>2024</v>
      </c>
      <c r="B247" s="2369"/>
      <c r="C247" s="2365"/>
      <c r="D247" s="2366"/>
      <c r="E247" s="2367" t="str">
        <f>head1b</f>
        <v>2016/17</v>
      </c>
      <c r="F247" s="956" t="str">
        <f>head1A</f>
        <v>2017/18</v>
      </c>
      <c r="G247" s="957" t="str">
        <f>Head1</f>
        <v>2018/19</v>
      </c>
      <c r="H247" s="2853" t="str">
        <f>Head2</f>
        <v>Current Year 2019/20</v>
      </c>
      <c r="I247" s="2854"/>
      <c r="J247" s="2855"/>
      <c r="K247" s="2853" t="str">
        <f>Head3</f>
        <v>2020/21 Medium Term Revenue &amp; Expenditure Framework</v>
      </c>
      <c r="L247" s="2854"/>
      <c r="M247" s="2855"/>
    </row>
    <row r="248" spans="1:13" ht="25.5">
      <c r="A248" s="2898"/>
      <c r="B248" s="2370"/>
      <c r="C248" s="2358"/>
      <c r="D248" s="2371"/>
      <c r="E248" s="2368" t="str">
        <f>Head5A</f>
        <v>Outcome</v>
      </c>
      <c r="F248" s="958" t="str">
        <f>Head5A</f>
        <v>Outcome</v>
      </c>
      <c r="G248" s="959" t="str">
        <f>Head5A</f>
        <v>Outcome</v>
      </c>
      <c r="H248" s="960" t="str">
        <f>Head6</f>
        <v>Original Budget</v>
      </c>
      <c r="I248" s="958" t="str">
        <f>Head7</f>
        <v>Adjusted Budget</v>
      </c>
      <c r="J248" s="959" t="str">
        <f>Head8</f>
        <v>Full Year Forecast</v>
      </c>
      <c r="K248" s="960" t="str">
        <f>Head9</f>
        <v>Budget Year 2020/21</v>
      </c>
      <c r="L248" s="958" t="str">
        <f>Head10</f>
        <v>Budget Year +1 2021/22</v>
      </c>
      <c r="M248" s="959" t="str">
        <f>Head11</f>
        <v>Budget Year +2 2022/23</v>
      </c>
    </row>
    <row r="249" spans="1:13" ht="12.75">
      <c r="A249" s="2381" t="s">
        <v>556</v>
      </c>
      <c r="B249" s="2387" t="s">
        <v>1744</v>
      </c>
      <c r="C249" s="2386" t="s">
        <v>2025</v>
      </c>
      <c r="D249" s="2372"/>
      <c r="E249" s="2389"/>
      <c r="F249" s="2390"/>
      <c r="G249" s="2391"/>
      <c r="H249" s="2392"/>
      <c r="I249" s="2390"/>
      <c r="J249" s="2393"/>
      <c r="K249" s="2394"/>
      <c r="L249" s="2390"/>
      <c r="M249" s="2391"/>
    </row>
    <row r="250" spans="1:13" ht="25.5">
      <c r="A250" s="2357" t="s">
        <v>2027</v>
      </c>
      <c r="B250" s="233"/>
      <c r="C250" s="2380" t="s">
        <v>2477</v>
      </c>
      <c r="D250" s="901"/>
      <c r="E250" s="2378">
        <v>3500000</v>
      </c>
      <c r="F250" s="1406">
        <v>3500000</v>
      </c>
      <c r="G250" s="1407">
        <v>3500000</v>
      </c>
      <c r="H250" s="1784">
        <v>4000000</v>
      </c>
      <c r="I250" s="1784">
        <v>4000000</v>
      </c>
      <c r="J250" s="1784">
        <v>4000000</v>
      </c>
      <c r="K250" s="1409">
        <v>4000000</v>
      </c>
      <c r="L250" s="1406">
        <v>4000000</v>
      </c>
      <c r="M250" s="1407">
        <v>4000000</v>
      </c>
    </row>
    <row r="251" spans="1:13" ht="12.75">
      <c r="A251" s="2357"/>
      <c r="B251" s="233"/>
      <c r="C251" s="2383" t="s">
        <v>2026</v>
      </c>
      <c r="D251" s="901"/>
      <c r="E251" s="2378">
        <v>8000</v>
      </c>
      <c r="F251" s="1406">
        <v>8000</v>
      </c>
      <c r="G251" s="1407">
        <v>8000</v>
      </c>
      <c r="H251" s="1784">
        <v>6000</v>
      </c>
      <c r="I251" s="1784">
        <v>6000</v>
      </c>
      <c r="J251" s="1784">
        <v>6000</v>
      </c>
      <c r="K251" s="1409">
        <v>6000</v>
      </c>
      <c r="L251" s="1406">
        <v>6000</v>
      </c>
      <c r="M251" s="1407">
        <v>6000</v>
      </c>
    </row>
    <row r="252" spans="1:13" ht="12.75" customHeight="1">
      <c r="A252" s="2357"/>
      <c r="B252" s="233"/>
      <c r="C252" s="206" t="s">
        <v>2478</v>
      </c>
      <c r="D252" s="901"/>
      <c r="E252" s="2378"/>
      <c r="F252" s="1406"/>
      <c r="G252" s="1407"/>
      <c r="H252" s="1784"/>
      <c r="I252" s="1406"/>
      <c r="J252" s="1408"/>
      <c r="K252" s="1409"/>
      <c r="L252" s="1406"/>
      <c r="M252" s="1407"/>
    </row>
    <row r="253" spans="1:13" ht="12.75" customHeight="1">
      <c r="A253" s="2357"/>
      <c r="B253" s="233"/>
      <c r="C253" s="2383" t="s">
        <v>2026</v>
      </c>
      <c r="D253" s="901"/>
      <c r="E253" s="2378"/>
      <c r="F253" s="1406"/>
      <c r="G253" s="1407"/>
      <c r="H253" s="1784"/>
      <c r="I253" s="1406"/>
      <c r="J253" s="1408"/>
      <c r="K253" s="1409"/>
      <c r="L253" s="1406"/>
      <c r="M253" s="1407"/>
    </row>
    <row r="254" spans="1:13" ht="12.75" customHeight="1">
      <c r="A254" s="2357"/>
      <c r="B254" s="233"/>
      <c r="C254" s="206" t="s">
        <v>2479</v>
      </c>
      <c r="D254" s="901"/>
      <c r="E254" s="2378"/>
      <c r="F254" s="1406"/>
      <c r="G254" s="1407"/>
      <c r="H254" s="1784"/>
      <c r="I254" s="1406"/>
      <c r="J254" s="1408"/>
      <c r="K254" s="1409"/>
      <c r="L254" s="1406"/>
      <c r="M254" s="1407"/>
    </row>
    <row r="255" spans="1:13" ht="12.75" customHeight="1">
      <c r="A255" s="2357"/>
      <c r="B255" s="233"/>
      <c r="C255" s="2383" t="s">
        <v>2026</v>
      </c>
      <c r="D255" s="901"/>
      <c r="E255" s="2378"/>
      <c r="F255" s="1406"/>
      <c r="G255" s="1407"/>
      <c r="H255" s="1784"/>
      <c r="I255" s="1406"/>
      <c r="J255" s="1408"/>
      <c r="K255" s="1409"/>
      <c r="L255" s="1406"/>
      <c r="M255" s="1407"/>
    </row>
    <row r="256" spans="1:13" ht="12.75" customHeight="1">
      <c r="A256" s="2357"/>
      <c r="B256" s="233"/>
      <c r="C256" s="206" t="s">
        <v>2480</v>
      </c>
      <c r="D256" s="901"/>
      <c r="E256" s="2378"/>
      <c r="F256" s="1406"/>
      <c r="G256" s="1407"/>
      <c r="H256" s="1784"/>
      <c r="I256" s="1406"/>
      <c r="J256" s="1408"/>
      <c r="K256" s="1409"/>
      <c r="L256" s="1406"/>
      <c r="M256" s="1407"/>
    </row>
    <row r="257" spans="1:13" ht="12.75" customHeight="1">
      <c r="A257" s="2357"/>
      <c r="B257" s="233"/>
      <c r="C257" s="2383" t="s">
        <v>2026</v>
      </c>
      <c r="D257" s="901"/>
      <c r="E257" s="2378"/>
      <c r="F257" s="1406"/>
      <c r="G257" s="1407"/>
      <c r="H257" s="1784"/>
      <c r="I257" s="1406"/>
      <c r="J257" s="1408"/>
      <c r="K257" s="1409"/>
      <c r="L257" s="1406"/>
      <c r="M257" s="1407"/>
    </row>
    <row r="258" spans="1:13" ht="12.75" customHeight="1">
      <c r="A258" s="2357"/>
      <c r="B258" s="233"/>
      <c r="C258" s="206" t="s">
        <v>2481</v>
      </c>
      <c r="D258" s="901"/>
      <c r="E258" s="2378"/>
      <c r="F258" s="1406"/>
      <c r="G258" s="1407"/>
      <c r="H258" s="1784"/>
      <c r="I258" s="1406"/>
      <c r="J258" s="1408"/>
      <c r="K258" s="1409"/>
      <c r="L258" s="1406"/>
      <c r="M258" s="1407"/>
    </row>
    <row r="259" spans="1:13" ht="12.75" customHeight="1">
      <c r="A259" s="2357"/>
      <c r="B259" s="233"/>
      <c r="C259" s="2384" t="s">
        <v>2026</v>
      </c>
      <c r="D259" s="976"/>
      <c r="E259" s="2378"/>
      <c r="F259" s="1406"/>
      <c r="G259" s="1407"/>
      <c r="H259" s="1784"/>
      <c r="I259" s="1406"/>
      <c r="J259" s="1408"/>
      <c r="K259" s="1409"/>
      <c r="L259" s="1406"/>
      <c r="M259" s="1407"/>
    </row>
    <row r="260" spans="1:13" ht="12.75">
      <c r="A260" s="2388"/>
      <c r="B260" s="2385"/>
      <c r="C260" s="2382" t="s">
        <v>2039</v>
      </c>
      <c r="D260" s="1730"/>
      <c r="E260" s="2379">
        <f>E252+E254+E256+E258</f>
        <v>0</v>
      </c>
      <c r="F260" s="2374">
        <f t="shared" ref="F260:M260" si="73">F252+F254+F256+F258</f>
        <v>0</v>
      </c>
      <c r="G260" s="2375">
        <f t="shared" si="73"/>
        <v>0</v>
      </c>
      <c r="H260" s="2376">
        <f t="shared" si="73"/>
        <v>0</v>
      </c>
      <c r="I260" s="2374">
        <f t="shared" si="73"/>
        <v>0</v>
      </c>
      <c r="J260" s="2377">
        <f t="shared" si="73"/>
        <v>0</v>
      </c>
      <c r="K260" s="2373">
        <f t="shared" si="73"/>
        <v>0</v>
      </c>
      <c r="L260" s="2374">
        <f t="shared" si="73"/>
        <v>0</v>
      </c>
      <c r="M260" s="2375">
        <f t="shared" si="73"/>
        <v>0</v>
      </c>
    </row>
    <row r="261" spans="1:13" ht="12.75">
      <c r="A261" s="2381" t="s">
        <v>827</v>
      </c>
      <c r="B261" s="2387" t="s">
        <v>1744</v>
      </c>
      <c r="C261" s="2386" t="s">
        <v>2025</v>
      </c>
      <c r="D261" s="2372"/>
      <c r="E261" s="2389"/>
      <c r="F261" s="2390"/>
      <c r="G261" s="2391"/>
      <c r="H261" s="2392"/>
      <c r="I261" s="2390"/>
      <c r="J261" s="2393"/>
      <c r="K261" s="2394"/>
      <c r="L261" s="2390"/>
      <c r="M261" s="2391"/>
    </row>
    <row r="262" spans="1:13" ht="23.25" customHeight="1">
      <c r="A262" s="2357" t="s">
        <v>2027</v>
      </c>
      <c r="B262" s="233"/>
      <c r="C262" s="2380" t="s">
        <v>2482</v>
      </c>
      <c r="D262" s="901"/>
      <c r="E262" s="2378"/>
      <c r="F262" s="1406"/>
      <c r="G262" s="1407"/>
      <c r="H262" s="1784"/>
      <c r="I262" s="1406"/>
      <c r="J262" s="1408"/>
      <c r="K262" s="1409"/>
      <c r="L262" s="1406"/>
      <c r="M262" s="1407"/>
    </row>
    <row r="263" spans="1:13" ht="12.75">
      <c r="A263" s="2357"/>
      <c r="B263" s="233"/>
      <c r="C263" s="2383" t="s">
        <v>2026</v>
      </c>
      <c r="D263" s="901"/>
      <c r="E263" s="2378"/>
      <c r="F263" s="1406"/>
      <c r="G263" s="1407"/>
      <c r="H263" s="1784"/>
      <c r="I263" s="1406"/>
      <c r="J263" s="1408"/>
      <c r="K263" s="1409"/>
      <c r="L263" s="1406"/>
      <c r="M263" s="1407"/>
    </row>
    <row r="264" spans="1:13" ht="12.75">
      <c r="A264" s="2357"/>
      <c r="B264" s="233"/>
      <c r="C264" s="206" t="s">
        <v>2478</v>
      </c>
      <c r="D264" s="901"/>
      <c r="E264" s="2378"/>
      <c r="F264" s="1406"/>
      <c r="G264" s="1407"/>
      <c r="H264" s="1784"/>
      <c r="I264" s="1406"/>
      <c r="J264" s="1408"/>
      <c r="K264" s="1409"/>
      <c r="L264" s="1406"/>
      <c r="M264" s="1407"/>
    </row>
    <row r="265" spans="1:13" ht="12.75">
      <c r="A265" s="2357"/>
      <c r="B265" s="233"/>
      <c r="C265" s="2383" t="s">
        <v>2026</v>
      </c>
      <c r="D265" s="901"/>
      <c r="E265" s="2378"/>
      <c r="F265" s="1406"/>
      <c r="G265" s="1407"/>
      <c r="H265" s="1784"/>
      <c r="I265" s="1406"/>
      <c r="J265" s="1408"/>
      <c r="K265" s="1409"/>
      <c r="L265" s="1406"/>
      <c r="M265" s="1407"/>
    </row>
    <row r="266" spans="1:13" ht="12.75">
      <c r="A266" s="2357"/>
      <c r="B266" s="233"/>
      <c r="C266" s="206" t="s">
        <v>2479</v>
      </c>
      <c r="D266" s="901"/>
      <c r="E266" s="2378"/>
      <c r="F266" s="1406"/>
      <c r="G266" s="1407"/>
      <c r="H266" s="1784"/>
      <c r="I266" s="1406"/>
      <c r="J266" s="1408"/>
      <c r="K266" s="1409"/>
      <c r="L266" s="1406"/>
      <c r="M266" s="1407"/>
    </row>
    <row r="267" spans="1:13" ht="12.75">
      <c r="A267" s="2357"/>
      <c r="B267" s="233"/>
      <c r="C267" s="2383" t="s">
        <v>2026</v>
      </c>
      <c r="D267" s="901"/>
      <c r="E267" s="2378"/>
      <c r="F267" s="1406"/>
      <c r="G267" s="1407"/>
      <c r="H267" s="1784"/>
      <c r="I267" s="1406"/>
      <c r="J267" s="1408"/>
      <c r="K267" s="1409"/>
      <c r="L267" s="1406"/>
      <c r="M267" s="1407"/>
    </row>
    <row r="268" spans="1:13" ht="12.75">
      <c r="A268" s="2357"/>
      <c r="B268" s="233"/>
      <c r="C268" s="206" t="s">
        <v>2480</v>
      </c>
      <c r="D268" s="901"/>
      <c r="E268" s="2378"/>
      <c r="F268" s="1406"/>
      <c r="G268" s="1407"/>
      <c r="H268" s="1784"/>
      <c r="I268" s="1406"/>
      <c r="J268" s="1408"/>
      <c r="K268" s="1409"/>
      <c r="L268" s="1406"/>
      <c r="M268" s="1407"/>
    </row>
    <row r="269" spans="1:13" ht="12.75">
      <c r="A269" s="2357"/>
      <c r="B269" s="233"/>
      <c r="C269" s="2383" t="s">
        <v>2026</v>
      </c>
      <c r="D269" s="901"/>
      <c r="E269" s="2378"/>
      <c r="F269" s="1406"/>
      <c r="G269" s="1407"/>
      <c r="H269" s="1784"/>
      <c r="I269" s="1406"/>
      <c r="J269" s="1408"/>
      <c r="K269" s="1409"/>
      <c r="L269" s="1406"/>
      <c r="M269" s="1407"/>
    </row>
    <row r="270" spans="1:13" ht="12.75">
      <c r="A270" s="2357"/>
      <c r="B270" s="233"/>
      <c r="C270" s="206" t="s">
        <v>2481</v>
      </c>
      <c r="D270" s="901"/>
      <c r="E270" s="2378"/>
      <c r="F270" s="1406"/>
      <c r="G270" s="1407"/>
      <c r="H270" s="1784"/>
      <c r="I270" s="1406"/>
      <c r="J270" s="1408"/>
      <c r="K270" s="1409"/>
      <c r="L270" s="1406"/>
      <c r="M270" s="1407"/>
    </row>
    <row r="271" spans="1:13" ht="12.75">
      <c r="A271" s="2357"/>
      <c r="B271" s="233"/>
      <c r="C271" s="2384" t="s">
        <v>2026</v>
      </c>
      <c r="D271" s="976"/>
      <c r="E271" s="2378"/>
      <c r="F271" s="1406"/>
      <c r="G271" s="1407"/>
      <c r="H271" s="1784"/>
      <c r="I271" s="1406"/>
      <c r="J271" s="1408"/>
      <c r="K271" s="1409"/>
      <c r="L271" s="1406"/>
      <c r="M271" s="1407"/>
    </row>
    <row r="272" spans="1:13" ht="12.75">
      <c r="A272" s="2388"/>
      <c r="B272" s="2385"/>
      <c r="C272" s="2382" t="s">
        <v>2035</v>
      </c>
      <c r="D272" s="1730"/>
      <c r="E272" s="2379">
        <f>E264+E266+E268+E270</f>
        <v>0</v>
      </c>
      <c r="F272" s="2374">
        <f t="shared" ref="F272:M272" si="74">F264+F266+F268+F270</f>
        <v>0</v>
      </c>
      <c r="G272" s="2375">
        <f t="shared" si="74"/>
        <v>0</v>
      </c>
      <c r="H272" s="2376">
        <f t="shared" si="74"/>
        <v>0</v>
      </c>
      <c r="I272" s="2374">
        <f t="shared" si="74"/>
        <v>0</v>
      </c>
      <c r="J272" s="2377">
        <f t="shared" si="74"/>
        <v>0</v>
      </c>
      <c r="K272" s="2373">
        <f t="shared" si="74"/>
        <v>0</v>
      </c>
      <c r="L272" s="2374">
        <f t="shared" si="74"/>
        <v>0</v>
      </c>
      <c r="M272" s="2375">
        <f t="shared" si="74"/>
        <v>0</v>
      </c>
    </row>
    <row r="273" spans="1:13" ht="12.75">
      <c r="A273" s="2381" t="s">
        <v>828</v>
      </c>
      <c r="B273" s="2387" t="s">
        <v>1744</v>
      </c>
      <c r="C273" s="2386" t="s">
        <v>2025</v>
      </c>
      <c r="D273" s="2372"/>
      <c r="E273" s="2389"/>
      <c r="F273" s="2390"/>
      <c r="G273" s="2391"/>
      <c r="H273" s="2392"/>
      <c r="I273" s="2390"/>
      <c r="J273" s="2393"/>
      <c r="K273" s="2394"/>
      <c r="L273" s="2390"/>
      <c r="M273" s="2391"/>
    </row>
    <row r="274" spans="1:13" ht="25.5">
      <c r="A274" s="2357" t="s">
        <v>2027</v>
      </c>
      <c r="B274" s="233"/>
      <c r="C274" s="2380" t="s">
        <v>2033</v>
      </c>
      <c r="D274" s="901"/>
      <c r="E274" s="2378"/>
      <c r="F274" s="1406"/>
      <c r="G274" s="1407"/>
      <c r="H274" s="1784"/>
      <c r="I274" s="1406"/>
      <c r="J274" s="1408"/>
      <c r="K274" s="1409"/>
      <c r="L274" s="1406"/>
      <c r="M274" s="1407"/>
    </row>
    <row r="275" spans="1:13" ht="12.75">
      <c r="A275" s="2357"/>
      <c r="B275" s="233"/>
      <c r="C275" s="2383" t="s">
        <v>2026</v>
      </c>
      <c r="D275" s="901"/>
      <c r="E275" s="2378"/>
      <c r="F275" s="1406"/>
      <c r="G275" s="1407"/>
      <c r="H275" s="1784"/>
      <c r="I275" s="1406"/>
      <c r="J275" s="1408"/>
      <c r="K275" s="1409"/>
      <c r="L275" s="1406"/>
      <c r="M275" s="1407"/>
    </row>
    <row r="276" spans="1:13" ht="12.75">
      <c r="A276" s="2357"/>
      <c r="B276" s="233"/>
      <c r="C276" s="206" t="s">
        <v>2478</v>
      </c>
      <c r="D276" s="901"/>
      <c r="E276" s="2378"/>
      <c r="F276" s="1406"/>
      <c r="G276" s="1407"/>
      <c r="H276" s="1784"/>
      <c r="I276" s="1406"/>
      <c r="J276" s="1408"/>
      <c r="K276" s="1409"/>
      <c r="L276" s="1406"/>
      <c r="M276" s="1407"/>
    </row>
    <row r="277" spans="1:13" ht="12.75">
      <c r="A277" s="2357"/>
      <c r="B277" s="233"/>
      <c r="C277" s="2383" t="s">
        <v>2026</v>
      </c>
      <c r="D277" s="901"/>
      <c r="E277" s="2378"/>
      <c r="F277" s="1406"/>
      <c r="G277" s="1407"/>
      <c r="H277" s="1784"/>
      <c r="I277" s="1406"/>
      <c r="J277" s="1408"/>
      <c r="K277" s="1409"/>
      <c r="L277" s="1406"/>
      <c r="M277" s="1407"/>
    </row>
    <row r="278" spans="1:13" ht="12.75">
      <c r="A278" s="2357"/>
      <c r="B278" s="233"/>
      <c r="C278" s="206" t="s">
        <v>2479</v>
      </c>
      <c r="D278" s="901"/>
      <c r="E278" s="2378"/>
      <c r="F278" s="1406"/>
      <c r="G278" s="1407"/>
      <c r="H278" s="1784"/>
      <c r="I278" s="1406"/>
      <c r="J278" s="1408"/>
      <c r="K278" s="1409"/>
      <c r="L278" s="1406"/>
      <c r="M278" s="1407"/>
    </row>
    <row r="279" spans="1:13" ht="12.75">
      <c r="A279" s="2357"/>
      <c r="B279" s="233"/>
      <c r="C279" s="2383" t="s">
        <v>2026</v>
      </c>
      <c r="D279" s="901"/>
      <c r="E279" s="2378"/>
      <c r="F279" s="1406"/>
      <c r="G279" s="1407"/>
      <c r="H279" s="1784"/>
      <c r="I279" s="1406"/>
      <c r="J279" s="1408"/>
      <c r="K279" s="1409"/>
      <c r="L279" s="1406"/>
      <c r="M279" s="1407"/>
    </row>
    <row r="280" spans="1:13" ht="12.75">
      <c r="A280" s="2357"/>
      <c r="B280" s="233"/>
      <c r="C280" s="206" t="s">
        <v>2480</v>
      </c>
      <c r="D280" s="901"/>
      <c r="E280" s="2378"/>
      <c r="F280" s="1406"/>
      <c r="G280" s="1407"/>
      <c r="H280" s="1784"/>
      <c r="I280" s="1406"/>
      <c r="J280" s="1408"/>
      <c r="K280" s="1409"/>
      <c r="L280" s="1406"/>
      <c r="M280" s="1407"/>
    </row>
    <row r="281" spans="1:13" ht="12.75">
      <c r="A281" s="2357"/>
      <c r="B281" s="233"/>
      <c r="C281" s="2383" t="s">
        <v>2026</v>
      </c>
      <c r="D281" s="901"/>
      <c r="E281" s="2378"/>
      <c r="F281" s="1406"/>
      <c r="G281" s="1407"/>
      <c r="H281" s="1784"/>
      <c r="I281" s="1406"/>
      <c r="J281" s="1408"/>
      <c r="K281" s="1409"/>
      <c r="L281" s="1406"/>
      <c r="M281" s="1407"/>
    </row>
    <row r="282" spans="1:13" ht="12.75">
      <c r="A282" s="2357"/>
      <c r="B282" s="233"/>
      <c r="C282" s="206" t="s">
        <v>2481</v>
      </c>
      <c r="D282" s="901"/>
      <c r="E282" s="2378"/>
      <c r="F282" s="1406"/>
      <c r="G282" s="1407"/>
      <c r="H282" s="1784"/>
      <c r="I282" s="1406"/>
      <c r="J282" s="1408"/>
      <c r="K282" s="1409"/>
      <c r="L282" s="1406"/>
      <c r="M282" s="1407"/>
    </row>
    <row r="283" spans="1:13" ht="12.75">
      <c r="A283" s="2357"/>
      <c r="B283" s="233"/>
      <c r="C283" s="2384" t="s">
        <v>2026</v>
      </c>
      <c r="D283" s="976"/>
      <c r="E283" s="2378"/>
      <c r="F283" s="1406"/>
      <c r="G283" s="1407"/>
      <c r="H283" s="1784"/>
      <c r="I283" s="1406"/>
      <c r="J283" s="1408"/>
      <c r="K283" s="1409"/>
      <c r="L283" s="1406"/>
      <c r="M283" s="1407"/>
    </row>
    <row r="284" spans="1:13" ht="12.75">
      <c r="A284" s="2388"/>
      <c r="B284" s="2385"/>
      <c r="C284" s="2382" t="s">
        <v>2036</v>
      </c>
      <c r="D284" s="1730"/>
      <c r="E284" s="2379">
        <f>E276+E278+E280+E282</f>
        <v>0</v>
      </c>
      <c r="F284" s="2374">
        <f t="shared" ref="F284:M284" si="75">F276+F278+F280+F282</f>
        <v>0</v>
      </c>
      <c r="G284" s="2375">
        <f t="shared" si="75"/>
        <v>0</v>
      </c>
      <c r="H284" s="2376">
        <f t="shared" si="75"/>
        <v>0</v>
      </c>
      <c r="I284" s="2374">
        <f t="shared" si="75"/>
        <v>0</v>
      </c>
      <c r="J284" s="2377">
        <f t="shared" si="75"/>
        <v>0</v>
      </c>
      <c r="K284" s="2373">
        <f t="shared" si="75"/>
        <v>0</v>
      </c>
      <c r="L284" s="2374">
        <f t="shared" si="75"/>
        <v>0</v>
      </c>
      <c r="M284" s="2375">
        <f t="shared" si="75"/>
        <v>0</v>
      </c>
    </row>
    <row r="285" spans="1:13" ht="12.75">
      <c r="A285" s="2381" t="s">
        <v>2037</v>
      </c>
      <c r="B285" s="2387" t="s">
        <v>1744</v>
      </c>
      <c r="C285" s="2386" t="s">
        <v>2025</v>
      </c>
      <c r="D285" s="2372"/>
      <c r="E285" s="2389"/>
      <c r="F285" s="2390"/>
      <c r="G285" s="2391"/>
      <c r="H285" s="2392"/>
      <c r="I285" s="2390"/>
      <c r="J285" s="2393"/>
      <c r="K285" s="2394"/>
      <c r="L285" s="2390"/>
      <c r="M285" s="2391"/>
    </row>
    <row r="286" spans="1:13" ht="25.5">
      <c r="A286" s="2357" t="s">
        <v>2027</v>
      </c>
      <c r="B286" s="233"/>
      <c r="C286" s="2380" t="s">
        <v>2034</v>
      </c>
      <c r="D286" s="901"/>
      <c r="E286" s="2378">
        <v>1343000</v>
      </c>
      <c r="F286" s="1406">
        <v>1511000</v>
      </c>
      <c r="G286" s="1407">
        <v>1511000</v>
      </c>
      <c r="H286" s="1784">
        <v>1300000</v>
      </c>
      <c r="I286" s="1784">
        <v>1300000</v>
      </c>
      <c r="J286" s="1784">
        <v>1300000</v>
      </c>
      <c r="K286" s="1409">
        <v>1300000</v>
      </c>
      <c r="L286" s="1406">
        <v>1300000</v>
      </c>
      <c r="M286" s="1407">
        <v>1300000</v>
      </c>
    </row>
    <row r="287" spans="1:13" ht="12.75">
      <c r="A287" s="2357"/>
      <c r="B287" s="233"/>
      <c r="C287" s="2383" t="s">
        <v>2026</v>
      </c>
      <c r="D287" s="901"/>
      <c r="E287" s="2378">
        <v>1218</v>
      </c>
      <c r="F287" s="1406">
        <v>1201</v>
      </c>
      <c r="G287" s="1407">
        <v>1201</v>
      </c>
      <c r="H287" s="1784">
        <v>1218</v>
      </c>
      <c r="I287" s="1784">
        <v>1218</v>
      </c>
      <c r="J287" s="1784">
        <v>1218</v>
      </c>
      <c r="K287" s="1409">
        <v>1218</v>
      </c>
      <c r="L287" s="1406">
        <v>1218</v>
      </c>
      <c r="M287" s="1407">
        <v>1218</v>
      </c>
    </row>
    <row r="288" spans="1:13" ht="12.75">
      <c r="A288" s="2357"/>
      <c r="B288" s="233"/>
      <c r="C288" s="206" t="s">
        <v>2478</v>
      </c>
      <c r="D288" s="901"/>
      <c r="E288" s="2378"/>
      <c r="F288" s="1406"/>
      <c r="G288" s="1407"/>
      <c r="H288" s="1784"/>
      <c r="I288" s="1406"/>
      <c r="J288" s="1408"/>
      <c r="K288" s="1409"/>
      <c r="L288" s="1406"/>
      <c r="M288" s="1407"/>
    </row>
    <row r="289" spans="1:13" ht="12.75">
      <c r="A289" s="2357"/>
      <c r="B289" s="233"/>
      <c r="C289" s="2383" t="s">
        <v>2026</v>
      </c>
      <c r="D289" s="901"/>
      <c r="E289" s="2378"/>
      <c r="F289" s="1406"/>
      <c r="G289" s="1407"/>
      <c r="H289" s="1784"/>
      <c r="I289" s="1406"/>
      <c r="J289" s="1408"/>
      <c r="K289" s="1409"/>
      <c r="L289" s="1406"/>
      <c r="M289" s="1407"/>
    </row>
    <row r="290" spans="1:13" ht="12.75">
      <c r="A290" s="2357"/>
      <c r="B290" s="233"/>
      <c r="C290" s="206" t="s">
        <v>2479</v>
      </c>
      <c r="D290" s="901"/>
      <c r="E290" s="2378"/>
      <c r="F290" s="1406"/>
      <c r="G290" s="1407"/>
      <c r="H290" s="1784"/>
      <c r="I290" s="1406"/>
      <c r="J290" s="1408"/>
      <c r="K290" s="1409"/>
      <c r="L290" s="1406"/>
      <c r="M290" s="1407"/>
    </row>
    <row r="291" spans="1:13" ht="12.75">
      <c r="A291" s="2357"/>
      <c r="B291" s="233"/>
      <c r="C291" s="2383" t="s">
        <v>2026</v>
      </c>
      <c r="D291" s="901"/>
      <c r="E291" s="2378"/>
      <c r="F291" s="1406"/>
      <c r="G291" s="1407"/>
      <c r="H291" s="1784"/>
      <c r="I291" s="1406"/>
      <c r="J291" s="1408"/>
      <c r="K291" s="1409"/>
      <c r="L291" s="1406"/>
      <c r="M291" s="1407"/>
    </row>
    <row r="292" spans="1:13" ht="12.75">
      <c r="A292" s="2357"/>
      <c r="B292" s="233"/>
      <c r="C292" s="206" t="s">
        <v>2480</v>
      </c>
      <c r="D292" s="901"/>
      <c r="E292" s="2378"/>
      <c r="F292" s="1406"/>
      <c r="G292" s="1407"/>
      <c r="H292" s="1784"/>
      <c r="I292" s="1406"/>
      <c r="J292" s="1408"/>
      <c r="K292" s="1409"/>
      <c r="L292" s="1406"/>
      <c r="M292" s="1407"/>
    </row>
    <row r="293" spans="1:13" ht="12.75">
      <c r="A293" s="2357"/>
      <c r="B293" s="233"/>
      <c r="C293" s="2383" t="s">
        <v>2026</v>
      </c>
      <c r="D293" s="901"/>
      <c r="E293" s="2378"/>
      <c r="F293" s="1406"/>
      <c r="G293" s="1407"/>
      <c r="H293" s="1784"/>
      <c r="I293" s="1406"/>
      <c r="J293" s="1408"/>
      <c r="K293" s="1409"/>
      <c r="L293" s="1406"/>
      <c r="M293" s="1407"/>
    </row>
    <row r="294" spans="1:13" ht="12.75">
      <c r="A294" s="2357"/>
      <c r="B294" s="233"/>
      <c r="C294" s="206" t="s">
        <v>2481</v>
      </c>
      <c r="D294" s="901"/>
      <c r="E294" s="2378"/>
      <c r="F294" s="1406"/>
      <c r="G294" s="1407"/>
      <c r="H294" s="1784"/>
      <c r="I294" s="1406"/>
      <c r="J294" s="1408"/>
      <c r="K294" s="1409"/>
      <c r="L294" s="1406"/>
      <c r="M294" s="1407"/>
    </row>
    <row r="295" spans="1:13" ht="12.75">
      <c r="A295" s="2357"/>
      <c r="B295" s="233"/>
      <c r="C295" s="2384" t="s">
        <v>2026</v>
      </c>
      <c r="D295" s="976"/>
      <c r="E295" s="2378"/>
      <c r="F295" s="1406"/>
      <c r="G295" s="1407"/>
      <c r="H295" s="1784"/>
      <c r="I295" s="1406"/>
      <c r="J295" s="1408"/>
      <c r="K295" s="1409"/>
      <c r="L295" s="1406"/>
      <c r="M295" s="1407"/>
    </row>
    <row r="296" spans="1:13" ht="12.75">
      <c r="A296" s="2388"/>
      <c r="B296" s="2385"/>
      <c r="C296" s="2382" t="s">
        <v>2038</v>
      </c>
      <c r="D296" s="1730"/>
      <c r="E296" s="2379">
        <f>E288+E290+E292+E294</f>
        <v>0</v>
      </c>
      <c r="F296" s="2374">
        <f t="shared" ref="F296:M296" si="76">F288+F290+F292+F294</f>
        <v>0</v>
      </c>
      <c r="G296" s="2375">
        <f t="shared" si="76"/>
        <v>0</v>
      </c>
      <c r="H296" s="2376">
        <f t="shared" si="76"/>
        <v>0</v>
      </c>
      <c r="I296" s="2374">
        <f t="shared" si="76"/>
        <v>0</v>
      </c>
      <c r="J296" s="2377">
        <f t="shared" si="76"/>
        <v>0</v>
      </c>
      <c r="K296" s="2373">
        <f t="shared" si="76"/>
        <v>0</v>
      </c>
      <c r="L296" s="2374">
        <f t="shared" si="76"/>
        <v>0</v>
      </c>
      <c r="M296" s="2375">
        <f t="shared" si="76"/>
        <v>0</v>
      </c>
    </row>
    <row r="297" spans="1:13" ht="12.75">
      <c r="A297" s="989" t="str">
        <f>head27a</f>
        <v>References</v>
      </c>
      <c r="B297" s="298"/>
      <c r="C297" s="2356"/>
      <c r="D297" s="1855"/>
      <c r="E297" s="903"/>
      <c r="F297" s="903"/>
      <c r="G297" s="903"/>
      <c r="H297" s="903"/>
      <c r="I297" s="903"/>
      <c r="J297" s="903"/>
      <c r="K297" s="903"/>
      <c r="L297" s="903"/>
      <c r="M297" s="903"/>
    </row>
    <row r="298" spans="1:13" ht="12.75">
      <c r="A298" s="328" t="s">
        <v>1931</v>
      </c>
      <c r="B298" s="298"/>
      <c r="C298" s="2356"/>
      <c r="D298" s="1855"/>
      <c r="E298" s="903"/>
      <c r="F298" s="903"/>
      <c r="G298" s="903"/>
      <c r="H298" s="903"/>
      <c r="I298" s="903"/>
      <c r="J298" s="903"/>
      <c r="K298" s="903"/>
      <c r="L298" s="903"/>
      <c r="M298" s="903"/>
    </row>
    <row r="299" spans="1:13" ht="12.75">
      <c r="A299" s="328" t="s">
        <v>528</v>
      </c>
      <c r="B299" s="298"/>
      <c r="C299" s="2356"/>
      <c r="D299" s="1855"/>
      <c r="E299" s="903"/>
      <c r="F299" s="903"/>
      <c r="G299" s="903"/>
      <c r="H299" s="903"/>
      <c r="I299" s="903"/>
      <c r="J299" s="903"/>
      <c r="K299" s="903"/>
      <c r="L299" s="903"/>
      <c r="M299" s="903"/>
    </row>
    <row r="300" spans="1:13" ht="12.75">
      <c r="A300" s="328" t="s">
        <v>529</v>
      </c>
      <c r="B300" s="298"/>
      <c r="C300" s="2356"/>
      <c r="D300" s="1855"/>
      <c r="E300" s="903"/>
      <c r="F300" s="903"/>
      <c r="G300" s="903"/>
      <c r="H300" s="903"/>
      <c r="I300" s="903"/>
      <c r="J300" s="903"/>
      <c r="K300" s="903"/>
      <c r="L300" s="903"/>
      <c r="M300" s="903"/>
    </row>
    <row r="301" spans="1:13" ht="12.75">
      <c r="A301" s="328" t="s">
        <v>530</v>
      </c>
      <c r="B301" s="298"/>
      <c r="C301" s="2356"/>
      <c r="D301" s="1855"/>
      <c r="E301" s="903"/>
      <c r="F301" s="903"/>
      <c r="G301" s="903"/>
      <c r="H301" s="903"/>
      <c r="I301" s="903"/>
      <c r="J301" s="903"/>
      <c r="K301" s="903"/>
      <c r="L301" s="903"/>
      <c r="M301" s="903"/>
    </row>
    <row r="302" spans="1:13" ht="12.75">
      <c r="A302" s="328" t="s">
        <v>531</v>
      </c>
      <c r="B302" s="298"/>
      <c r="C302" s="2356"/>
      <c r="D302" s="1855"/>
      <c r="E302" s="903"/>
      <c r="F302" s="903"/>
      <c r="G302" s="903"/>
      <c r="H302" s="903"/>
      <c r="I302" s="903"/>
      <c r="J302" s="903"/>
      <c r="K302" s="903"/>
      <c r="L302" s="903"/>
      <c r="M302" s="903"/>
    </row>
    <row r="303" spans="1:13" ht="12.75">
      <c r="A303" s="1235" t="s">
        <v>1401</v>
      </c>
      <c r="B303" s="298"/>
      <c r="C303" s="2356"/>
      <c r="D303" s="1855"/>
      <c r="E303" s="903"/>
      <c r="F303" s="903"/>
      <c r="G303" s="903"/>
      <c r="H303" s="903"/>
      <c r="I303" s="903"/>
      <c r="J303" s="903"/>
      <c r="K303" s="903"/>
      <c r="L303" s="903"/>
      <c r="M303" s="903"/>
    </row>
    <row r="304" spans="1:13" ht="12.75">
      <c r="A304" s="1235" t="s">
        <v>1402</v>
      </c>
      <c r="B304" s="298"/>
      <c r="C304" s="2356"/>
      <c r="D304" s="1855"/>
      <c r="E304" s="903"/>
      <c r="F304" s="903"/>
      <c r="G304" s="903"/>
      <c r="H304" s="903"/>
      <c r="I304" s="903"/>
      <c r="J304" s="903"/>
      <c r="K304" s="903"/>
      <c r="L304" s="903"/>
      <c r="M304" s="903"/>
    </row>
    <row r="305" spans="1:13" ht="12.75">
      <c r="A305" s="990" t="s">
        <v>1831</v>
      </c>
      <c r="B305" s="298"/>
      <c r="C305" s="2356"/>
      <c r="D305" s="1855"/>
      <c r="E305" s="903"/>
      <c r="F305" s="903"/>
      <c r="G305" s="903"/>
      <c r="H305" s="903"/>
      <c r="I305" s="903"/>
      <c r="J305" s="903"/>
      <c r="K305" s="903"/>
      <c r="L305" s="903"/>
      <c r="M305" s="903"/>
    </row>
    <row r="306" spans="1:13" ht="11.25" customHeight="1">
      <c r="A306" s="990" t="s">
        <v>1832</v>
      </c>
      <c r="B306" s="124"/>
      <c r="E306" s="903"/>
      <c r="F306" s="903"/>
      <c r="G306" s="903"/>
      <c r="H306" s="903"/>
      <c r="I306" s="903"/>
      <c r="J306" s="903"/>
      <c r="K306" s="903"/>
      <c r="L306" s="903"/>
      <c r="M306" s="903"/>
    </row>
    <row r="307" spans="1:13" ht="11.25" customHeight="1">
      <c r="A307" s="990" t="s">
        <v>1833</v>
      </c>
      <c r="B307" s="1718"/>
      <c r="C307" s="576"/>
      <c r="D307" s="576"/>
    </row>
    <row r="308" spans="1:13" ht="11.25" customHeight="1">
      <c r="A308" s="990" t="s">
        <v>1834</v>
      </c>
      <c r="B308" s="667"/>
      <c r="C308" s="576"/>
      <c r="D308" s="576"/>
      <c r="E308" s="576"/>
      <c r="F308" s="576"/>
      <c r="G308" s="576"/>
      <c r="H308" s="576"/>
      <c r="I308" s="576"/>
      <c r="J308" s="576"/>
      <c r="K308" s="576"/>
      <c r="L308" s="576"/>
      <c r="M308" s="576"/>
    </row>
    <row r="309" spans="1:13" ht="11.25" customHeight="1">
      <c r="A309" s="328" t="s">
        <v>1930</v>
      </c>
      <c r="B309" s="667"/>
      <c r="C309" s="576"/>
      <c r="D309" s="576"/>
      <c r="E309" s="576"/>
      <c r="F309" s="576"/>
      <c r="G309" s="576"/>
      <c r="H309" s="576"/>
      <c r="I309" s="576"/>
      <c r="J309" s="576"/>
      <c r="K309" s="576"/>
      <c r="L309" s="576"/>
      <c r="M309" s="576"/>
    </row>
    <row r="310" spans="1:13" ht="11.25" customHeight="1">
      <c r="A310" s="1755" t="s">
        <v>1945</v>
      </c>
      <c r="B310" s="667"/>
      <c r="C310" s="576"/>
      <c r="D310" s="576"/>
      <c r="E310" s="576"/>
      <c r="F310" s="576"/>
      <c r="G310" s="576"/>
      <c r="H310" s="576"/>
      <c r="I310" s="576"/>
      <c r="J310" s="576"/>
      <c r="K310" s="576"/>
      <c r="L310" s="576"/>
      <c r="M310" s="576"/>
    </row>
    <row r="311" spans="1:13" ht="11.25" customHeight="1">
      <c r="B311" s="667"/>
      <c r="C311" s="576"/>
      <c r="D311" s="576"/>
      <c r="E311" s="576"/>
      <c r="F311" s="576"/>
      <c r="G311" s="576"/>
      <c r="H311" s="576"/>
      <c r="I311" s="576"/>
      <c r="J311" s="576"/>
      <c r="K311" s="576"/>
      <c r="L311" s="576"/>
      <c r="M311" s="576"/>
    </row>
    <row r="312" spans="1:13" ht="11.25" customHeight="1">
      <c r="B312" s="667"/>
      <c r="C312" s="576"/>
      <c r="D312" s="576"/>
      <c r="E312" s="576"/>
      <c r="F312" s="576"/>
      <c r="G312" s="576"/>
      <c r="H312" s="576"/>
      <c r="I312" s="576"/>
      <c r="J312" s="576"/>
      <c r="K312" s="576"/>
      <c r="L312" s="576"/>
      <c r="M312" s="576"/>
    </row>
    <row r="313" spans="1:13" ht="11.25" customHeight="1">
      <c r="B313" s="1718"/>
      <c r="E313" s="576"/>
      <c r="F313" s="576"/>
      <c r="G313" s="576"/>
      <c r="H313" s="576"/>
      <c r="I313" s="576"/>
      <c r="J313" s="576"/>
      <c r="K313" s="576"/>
      <c r="L313" s="576"/>
      <c r="M313" s="576"/>
    </row>
    <row r="314" spans="1:13" ht="11.25" customHeight="1">
      <c r="B314" s="1718"/>
    </row>
    <row r="315" spans="1:13" ht="11.25" customHeight="1">
      <c r="B315" s="124"/>
      <c r="G315" s="182"/>
      <c r="H315" s="182"/>
      <c r="I315" s="182"/>
      <c r="J315" s="182"/>
      <c r="K315" s="182"/>
      <c r="L315" s="182"/>
      <c r="M315" s="182"/>
    </row>
    <row r="316" spans="1:13" ht="11.25" customHeight="1">
      <c r="B316" s="124"/>
      <c r="G316" s="182"/>
      <c r="H316" s="182"/>
      <c r="I316" s="182"/>
      <c r="J316" s="182"/>
      <c r="K316" s="182"/>
      <c r="L316" s="182"/>
      <c r="M316" s="182"/>
    </row>
    <row r="317" spans="1:13" ht="11.25" customHeight="1">
      <c r="B317" s="124"/>
      <c r="G317" s="182"/>
      <c r="H317" s="182"/>
      <c r="I317" s="182"/>
      <c r="J317" s="182"/>
      <c r="K317" s="182"/>
      <c r="L317" s="182"/>
      <c r="M317" s="182"/>
    </row>
    <row r="318" spans="1:13" ht="11.25" customHeight="1">
      <c r="B318" s="667"/>
      <c r="C318" s="328"/>
    </row>
    <row r="319" spans="1:13" ht="11.25" customHeight="1">
      <c r="B319" s="667"/>
      <c r="C319" s="328"/>
    </row>
    <row r="320" spans="1:13" ht="11.25" customHeight="1">
      <c r="B320" s="667"/>
      <c r="C320" s="328"/>
    </row>
  </sheetData>
  <mergeCells count="22">
    <mergeCell ref="H247:J247"/>
    <mergeCell ref="K247:M247"/>
    <mergeCell ref="A247:A248"/>
    <mergeCell ref="A155:A156"/>
    <mergeCell ref="H155:J155"/>
    <mergeCell ref="H201:J201"/>
    <mergeCell ref="K201:M201"/>
    <mergeCell ref="K155:M155"/>
    <mergeCell ref="A201:A202"/>
    <mergeCell ref="K109:M109"/>
    <mergeCell ref="F2:F3"/>
    <mergeCell ref="H63:J63"/>
    <mergeCell ref="K63:M63"/>
    <mergeCell ref="A109:A110"/>
    <mergeCell ref="H109:J109"/>
    <mergeCell ref="A2:A3"/>
    <mergeCell ref="A63:A64"/>
    <mergeCell ref="D2:D3"/>
    <mergeCell ref="E2:E3"/>
    <mergeCell ref="K2:M2"/>
    <mergeCell ref="B2:B3"/>
    <mergeCell ref="C2:C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8" fitToHeight="0"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133" activePane="bottomRight" state="frozen"/>
      <selection pane="topRight"/>
      <selection pane="bottomLeft"/>
      <selection pane="bottomRight" activeCell="K84" sqref="K84"/>
    </sheetView>
  </sheetViews>
  <sheetFormatPr defaultColWidth="9.140625" defaultRowHeight="12.75"/>
  <cols>
    <col min="1" max="1" width="38.7109375" style="26" customWidth="1"/>
    <col min="2" max="2" width="6.7109375" style="124" bestFit="1" customWidth="1"/>
    <col min="3" max="3" width="3" style="124" customWidth="1"/>
    <col min="4" max="5" width="9" style="124" customWidth="1"/>
    <col min="6" max="9" width="9" style="26" customWidth="1"/>
    <col min="10" max="10" width="8.7109375" style="26" customWidth="1"/>
    <col min="11" max="13" width="9" style="26" customWidth="1"/>
    <col min="14" max="14" width="9.42578125" style="26" customWidth="1"/>
    <col min="15" max="15" width="10.140625" style="26" bestFit="1" customWidth="1"/>
    <col min="16" max="16" width="9.42578125" style="26" bestFit="1" customWidth="1"/>
    <col min="17" max="16384" width="9.140625" style="26"/>
  </cols>
  <sheetData>
    <row r="1" spans="1:15" s="56" customFormat="1" ht="13.5" customHeight="1">
      <c r="A1" s="24" t="str">
        <f>muni &amp;" " &amp; TableA10</f>
        <v>LIM333 Greater Tzaneen Supporting Table SA10 Funding measurement</v>
      </c>
      <c r="B1" s="24"/>
      <c r="C1" s="24"/>
      <c r="D1" s="24"/>
      <c r="E1" s="24"/>
      <c r="F1" s="24"/>
      <c r="G1" s="24"/>
      <c r="H1" s="24"/>
      <c r="I1" s="24"/>
      <c r="J1" s="24"/>
      <c r="K1" s="24"/>
      <c r="L1" s="24"/>
      <c r="M1" s="24"/>
    </row>
    <row r="2" spans="1:15" ht="28.5" customHeight="1">
      <c r="A2" s="2884" t="str">
        <f>desc</f>
        <v>Description</v>
      </c>
      <c r="B2" s="2899" t="s">
        <v>371</v>
      </c>
      <c r="C2" s="2901" t="str">
        <f>head27</f>
        <v>Ref</v>
      </c>
      <c r="D2" s="27" t="str">
        <f>head1b</f>
        <v>2016/17</v>
      </c>
      <c r="E2" s="27" t="str">
        <f>head1A</f>
        <v>2017/18</v>
      </c>
      <c r="F2" s="23" t="str">
        <f>Head1</f>
        <v>2018/19</v>
      </c>
      <c r="G2" s="2842" t="str">
        <f>Head2</f>
        <v>Current Year 2019/20</v>
      </c>
      <c r="H2" s="2843"/>
      <c r="I2" s="2843"/>
      <c r="J2" s="2843"/>
      <c r="K2" s="2839" t="str">
        <f>Head3</f>
        <v>2020/21 Medium Term Revenue &amp; Expenditure Framework</v>
      </c>
      <c r="L2" s="2840"/>
      <c r="M2" s="2841"/>
    </row>
    <row r="3" spans="1:15" ht="25.5">
      <c r="A3" s="2885"/>
      <c r="B3" s="2900"/>
      <c r="C3" s="2902"/>
      <c r="D3" s="260" t="str">
        <f>Head5</f>
        <v>Audited Outcome</v>
      </c>
      <c r="E3" s="260" t="str">
        <f>Head5</f>
        <v>Audited Outcome</v>
      </c>
      <c r="F3" s="261" t="str">
        <f>Head5</f>
        <v>Audited Outcome</v>
      </c>
      <c r="G3" s="172" t="str">
        <f>Head6</f>
        <v>Original Budget</v>
      </c>
      <c r="H3" s="789" t="str">
        <f>Head7</f>
        <v>Adjusted Budget</v>
      </c>
      <c r="I3" s="1777" t="str">
        <f>Head8</f>
        <v>Full Year Forecast</v>
      </c>
      <c r="J3" s="1600" t="str">
        <f>Head5b</f>
        <v>Pre-audit outcome</v>
      </c>
      <c r="K3" s="172" t="str">
        <f>Head9</f>
        <v>Budget Year 2020/21</v>
      </c>
      <c r="L3" s="260" t="str">
        <f>Head10</f>
        <v>Budget Year +1 2021/22</v>
      </c>
      <c r="M3" s="261" t="str">
        <f>Head11</f>
        <v>Budget Year +2 2022/23</v>
      </c>
    </row>
    <row r="4" spans="1:15">
      <c r="A4" s="58" t="s">
        <v>1497</v>
      </c>
      <c r="B4" s="419"/>
      <c r="C4" s="420"/>
      <c r="D4" s="828"/>
      <c r="E4" s="421"/>
      <c r="F4" s="422"/>
      <c r="G4" s="78"/>
      <c r="H4" s="421"/>
      <c r="I4" s="422"/>
      <c r="J4" s="123"/>
      <c r="K4" s="423"/>
      <c r="L4" s="421"/>
      <c r="M4" s="422"/>
    </row>
    <row r="5" spans="1:15">
      <c r="A5" s="67" t="str">
        <f>LEFT('A7-CFlow'!A40,37)&amp;" - R'000"</f>
        <v>Cash/cash equivalents at the year end - R'000</v>
      </c>
      <c r="B5" s="424" t="s">
        <v>1161</v>
      </c>
      <c r="C5" s="167">
        <v>1</v>
      </c>
      <c r="D5" s="84">
        <f>'A7-CFlow'!C40</f>
        <v>32550919.149999976</v>
      </c>
      <c r="E5" s="425">
        <f>'A7-CFlow'!D40</f>
        <v>8055460</v>
      </c>
      <c r="F5" s="426">
        <f>'A7-CFlow'!E40</f>
        <v>42450532</v>
      </c>
      <c r="G5" s="128">
        <f>'A7-CFlow'!F40</f>
        <v>7240867.7669000998</v>
      </c>
      <c r="H5" s="425">
        <f>'A7-CFlow'!G40</f>
        <v>91036798.766900092</v>
      </c>
      <c r="I5" s="426">
        <f>'A7-CFlow'!H40</f>
        <v>42032597.030000053</v>
      </c>
      <c r="J5" s="87">
        <f>'A7-CFlow'!I40</f>
        <v>42032597.030000053</v>
      </c>
      <c r="K5" s="88">
        <f>'A7-CFlow'!J40</f>
        <v>43999999.901153475</v>
      </c>
      <c r="L5" s="425">
        <f>'A7-CFlow'!K40</f>
        <v>44999999.850457318</v>
      </c>
      <c r="M5" s="426">
        <f>'A7-CFlow'!L40</f>
        <v>45999999.840318911</v>
      </c>
    </row>
    <row r="6" spans="1:15">
      <c r="A6" s="67" t="s">
        <v>1227</v>
      </c>
      <c r="B6" s="424" t="s">
        <v>1161</v>
      </c>
      <c r="C6" s="167">
        <v>2</v>
      </c>
      <c r="D6" s="84">
        <f>'A8-ResRecon'!C8-'A8-ResRecon'!C18</f>
        <v>157678209.14999998</v>
      </c>
      <c r="E6" s="425">
        <f>'A8-ResRecon'!D8-'A8-ResRecon'!D18</f>
        <v>98246983</v>
      </c>
      <c r="F6" s="426">
        <f>'A8-ResRecon'!E8-'A8-ResRecon'!E18</f>
        <v>145066193</v>
      </c>
      <c r="G6" s="128">
        <f>'A8-ResRecon'!F8-'A8-ResRecon'!F18</f>
        <v>137760093.31665009</v>
      </c>
      <c r="H6" s="425">
        <f>'A8-ResRecon'!G8-'A8-ResRecon'!G18</f>
        <v>205756385.87285</v>
      </c>
      <c r="I6" s="426">
        <f>'A8-ResRecon'!H8-'A8-ResRecon'!H18</f>
        <v>71217073.06720005</v>
      </c>
      <c r="J6" s="87">
        <f>'A8-ResRecon'!I8-'A8-ResRecon'!I18</f>
        <v>67879167.770000055</v>
      </c>
      <c r="K6" s="88">
        <f>'A8-ResRecon'!J8-'A8-ResRecon'!J18</f>
        <v>103668069.75995347</v>
      </c>
      <c r="L6" s="425">
        <f>'A8-ResRecon'!K8-'A8-ResRecon'!K18</f>
        <v>100745403.78283331</v>
      </c>
      <c r="M6" s="426">
        <f>'A8-ResRecon'!L8-'A8-ResRecon'!L18</f>
        <v>98956943.205382437</v>
      </c>
    </row>
    <row r="7" spans="1:15">
      <c r="A7" s="67" t="s">
        <v>237</v>
      </c>
      <c r="B7" s="424" t="s">
        <v>1161</v>
      </c>
      <c r="C7" s="167">
        <v>3</v>
      </c>
      <c r="D7" s="829">
        <f>IF(ISERROR('SA8'!C39),0,('SA8'!C39))</f>
        <v>0.44493487003659937</v>
      </c>
      <c r="E7" s="428">
        <f>IF(ISERROR('SA8'!D39),0,('SA8'!D39))</f>
        <v>0.10062172692375493</v>
      </c>
      <c r="F7" s="429">
        <f>IF(ISERROR('SA8'!E39),0,('SA8'!E39))</f>
        <v>0.52350721665438105</v>
      </c>
      <c r="G7" s="430">
        <f>IF(ISERROR('SA8'!F39),0,('SA8'!F39))</f>
        <v>8.2445975199167146E-2</v>
      </c>
      <c r="H7" s="428">
        <f>IF(ISERROR('SA8'!G39),0,('SA8'!G39))</f>
        <v>1.1067098785232088</v>
      </c>
      <c r="I7" s="429">
        <f>IF(ISERROR('SA8'!H39),0,('SA8'!H39))</f>
        <v>0.50386267794422479</v>
      </c>
      <c r="J7" s="427">
        <f>IF(ISERROR('SA8'!I39),0,('SA8'!I39))</f>
        <v>0.50386267794422479</v>
      </c>
      <c r="K7" s="431">
        <f>IF(ISERROR('SA8'!J39),0,('SA8'!J39))</f>
        <v>0.51061795506528773</v>
      </c>
      <c r="L7" s="428">
        <f>IF(ISERROR('SA8'!K39),0,('SA8'!K39))</f>
        <v>0.50349238042861655</v>
      </c>
      <c r="M7" s="429">
        <f>IF(ISERROR('SA8'!L39),0,('SA8'!L39))</f>
        <v>0.49380179844544075</v>
      </c>
    </row>
    <row r="8" spans="1:15">
      <c r="A8" s="67" t="s">
        <v>1105</v>
      </c>
      <c r="B8" s="424" t="s">
        <v>1162</v>
      </c>
      <c r="C8" s="167">
        <v>4</v>
      </c>
      <c r="D8" s="84">
        <f>'A4-FinPerf RE'!C41+'SA3'!C61</f>
        <v>13902154.439999849</v>
      </c>
      <c r="E8" s="425">
        <f>'A4-FinPerf RE'!D41+'SA3'!D61</f>
        <v>-85178108.650000095</v>
      </c>
      <c r="F8" s="426">
        <f>'A4-FinPerf RE'!E41+'SA3'!E61</f>
        <v>-67864247.540000439</v>
      </c>
      <c r="G8" s="128">
        <f>'A4-FinPerf RE'!F41+'SA3'!F61</f>
        <v>29990327.74000001</v>
      </c>
      <c r="H8" s="425">
        <f>'A4-FinPerf RE'!G41+'SA3'!G61</f>
        <v>119843019.5999999</v>
      </c>
      <c r="I8" s="426">
        <f>'A4-FinPerf RE'!H41+'SA3'!H61</f>
        <v>128638387.53000021</v>
      </c>
      <c r="J8" s="87">
        <f>'A4-FinPerf RE'!I41+'SA3'!I61</f>
        <v>128638387.53000021</v>
      </c>
      <c r="K8" s="88">
        <f>'A4-FinPerf RE'!J41+'SA3'!J61</f>
        <v>118290191.93000007</v>
      </c>
      <c r="L8" s="425">
        <f>'A4-FinPerf RE'!K41+'SA3'!K61</f>
        <v>149702254.39153981</v>
      </c>
      <c r="M8" s="426">
        <f>'A4-FinPerf RE'!L41+'SA3'!L61</f>
        <v>167850445.2775104</v>
      </c>
    </row>
    <row r="9" spans="1:15">
      <c r="A9" s="198" t="s">
        <v>1393</v>
      </c>
      <c r="B9" s="432" t="s">
        <v>1159</v>
      </c>
      <c r="C9" s="168">
        <v>5</v>
      </c>
      <c r="D9" s="489" t="s">
        <v>1270</v>
      </c>
      <c r="E9" s="433">
        <f>IF(ISERROR(E36-E61),0,(E36-E61))</f>
        <v>4.5195252968827815E-2</v>
      </c>
      <c r="F9" s="434">
        <f t="shared" ref="F9:M9" si="0">IF(ISERROR(F36-F61),0,(F36-F61))</f>
        <v>-4.0368271003428491E-2</v>
      </c>
      <c r="G9" s="437">
        <f t="shared" si="0"/>
        <v>0.14155021564365261</v>
      </c>
      <c r="H9" s="436">
        <f t="shared" si="0"/>
        <v>-6.9675823196264808E-2</v>
      </c>
      <c r="I9" s="434">
        <f t="shared" si="0"/>
        <v>-4.095938520610426E-2</v>
      </c>
      <c r="J9" s="437">
        <f t="shared" si="0"/>
        <v>-0.06</v>
      </c>
      <c r="K9" s="438">
        <f>IF(ISERROR(K36-K61),0,(K36-K61))</f>
        <v>-2.8365704588349361E-2</v>
      </c>
      <c r="L9" s="436">
        <f t="shared" si="0"/>
        <v>-1.3978352551568152E-2</v>
      </c>
      <c r="M9" s="434">
        <f t="shared" si="0"/>
        <v>-1.3978311609504634E-2</v>
      </c>
    </row>
    <row r="10" spans="1:15">
      <c r="A10" s="198" t="s">
        <v>82</v>
      </c>
      <c r="B10" s="432" t="s">
        <v>1159</v>
      </c>
      <c r="C10" s="168">
        <v>6</v>
      </c>
      <c r="D10" s="490">
        <f>IF(ISERROR(D53/D54),0,(D53/D54))</f>
        <v>0.88849084164638492</v>
      </c>
      <c r="E10" s="436">
        <f t="shared" ref="E10:M10" si="1">IF(ISERROR(E53/E54),0,(E53/E54))</f>
        <v>0.83305714317881663</v>
      </c>
      <c r="F10" s="434">
        <f t="shared" si="1"/>
        <v>0.9647522798777467</v>
      </c>
      <c r="G10" s="437">
        <f t="shared" si="1"/>
        <v>0.85784558532599786</v>
      </c>
      <c r="H10" s="436">
        <f t="shared" si="1"/>
        <v>0.85279457217073884</v>
      </c>
      <c r="I10" s="434">
        <f t="shared" si="1"/>
        <v>0.74697986989296461</v>
      </c>
      <c r="J10" s="437">
        <f t="shared" si="1"/>
        <v>0.74697986989296461</v>
      </c>
      <c r="K10" s="438">
        <f t="shared" si="1"/>
        <v>0.83875240281958097</v>
      </c>
      <c r="L10" s="436">
        <f t="shared" si="1"/>
        <v>0.83878915668914311</v>
      </c>
      <c r="M10" s="434">
        <f t="shared" si="1"/>
        <v>0.83882618512027984</v>
      </c>
    </row>
    <row r="11" spans="1:15">
      <c r="A11" s="198" t="s">
        <v>150</v>
      </c>
      <c r="B11" s="432" t="s">
        <v>1159</v>
      </c>
      <c r="C11" s="168">
        <v>7</v>
      </c>
      <c r="D11" s="490">
        <f>IF(ISERROR('A4-FinPerf RE'!C26/'SA10'!D43),0,('A4-FinPerf RE'!C26/'SA10'!D43))</f>
        <v>0.10930009122026485</v>
      </c>
      <c r="E11" s="436">
        <f>IF(ISERROR('A4-FinPerf RE'!D26/'SA10'!E43),0,('A4-FinPerf RE'!D26/'SA10'!E43))</f>
        <v>0.19803288735859795</v>
      </c>
      <c r="F11" s="434">
        <f>IF(ISERROR('A4-FinPerf RE'!E26/'SA10'!F43),0,('A4-FinPerf RE'!E26/'SA10'!F43))</f>
        <v>0.20547883462681302</v>
      </c>
      <c r="G11" s="437">
        <f>IF(ISERROR('A4-FinPerf RE'!F26/'SA10'!G43),0,('A4-FinPerf RE'!F26/'SA10'!G43))</f>
        <v>0.10035210914983204</v>
      </c>
      <c r="H11" s="436">
        <f>IF(ISERROR('A4-FinPerf RE'!G26/'SA10'!H43),0,('A4-FinPerf RE'!G26/'SA10'!H43))</f>
        <v>7.4055695769441474E-2</v>
      </c>
      <c r="I11" s="434">
        <f>IF(ISERROR('A4-FinPerf RE'!H26/'SA10'!I43),0,('A4-FinPerf RE'!H26/'SA10'!I43))</f>
        <v>8.2181158506406976E-2</v>
      </c>
      <c r="J11" s="437">
        <f>IF(ISERROR('A4-FinPerf RE'!I26/'SA10'!J43),0,('A4-FinPerf RE'!I26/'SA10'!J43))</f>
        <v>8.2181158506406976E-2</v>
      </c>
      <c r="K11" s="438">
        <f>IF(ISERROR('A4-FinPerf RE'!J26/'SA10'!K43),0,('A4-FinPerf RE'!J26/'SA10'!K43))</f>
        <v>9.4755886405295767E-2</v>
      </c>
      <c r="L11" s="436">
        <f>IF(ISERROR('A4-FinPerf RE'!K26/'SA10'!L43),0,('A4-FinPerf RE'!K26/'SA10'!L43))</f>
        <v>9.4753925429469338E-2</v>
      </c>
      <c r="M11" s="434">
        <f>IF(ISERROR('A4-FinPerf RE'!L26/'SA10'!M43),0,('A4-FinPerf RE'!L26/'SA10'!M43))</f>
        <v>9.4751960785563305E-2</v>
      </c>
    </row>
    <row r="12" spans="1:15">
      <c r="A12" s="198" t="s">
        <v>1572</v>
      </c>
      <c r="B12" s="432" t="s">
        <v>1160</v>
      </c>
      <c r="C12" s="168">
        <v>8</v>
      </c>
      <c r="D12" s="490">
        <f>IF(ISERROR(-'A7-CFlow'!C26/'A5-Capex'!C40),0,(-'A7-CFlow'!C26/'A5-Capex'!C40))</f>
        <v>1.7080848730242872</v>
      </c>
      <c r="E12" s="490">
        <f>IF(ISERROR(-'A7-CFlow'!D26/'A5-Capex'!D40),0,(-'A7-CFlow'!D26/'A5-Capex'!D40))</f>
        <v>2.5897960924178891</v>
      </c>
      <c r="F12" s="434">
        <f>IF(ISERROR(-'A7-CFlow'!E26/'A5-Capex'!E40),0,(-'A7-CFlow'!E26/'A5-Capex'!E40))</f>
        <v>1.6223165439204144</v>
      </c>
      <c r="G12" s="1371">
        <f>IF(ISERROR(-'A7-CFlow'!F26/'A5-Capex'!F40),0,(-'A7-CFlow'!F26/'A5-Capex'!F40))</f>
        <v>0.96051705491562667</v>
      </c>
      <c r="H12" s="490">
        <f>IF(ISERROR(-'A7-CFlow'!G26/'A5-Capex'!G40),0,(-'A7-CFlow'!G26/'A5-Capex'!G40))</f>
        <v>0.91935713438385536</v>
      </c>
      <c r="I12" s="434">
        <f>IF(ISERROR(-'A7-CFlow'!H26/'A5-Capex'!H40),0,(-'A7-CFlow'!H26/'A5-Capex'!H40))</f>
        <v>0.91935713438385536</v>
      </c>
      <c r="J12" s="451">
        <f>IF(ISERROR(-'A7-CFlow'!I26/'A5-Capex'!I40),0,(-'A7-CFlow'!I26/'A5-Capex'!I40))</f>
        <v>0.94826563036330025</v>
      </c>
      <c r="K12" s="1371">
        <f>IF(ISERROR(-'A7-CFlow'!J26/'A5-Capex'!J40),0,(-'A7-CFlow'!J26/'A5-Capex'!J40))</f>
        <v>0.98446245239001462</v>
      </c>
      <c r="L12" s="490">
        <f>IF(ISERROR(-'A7-CFlow'!K26/'A5-Capex'!K40),0,(-'A7-CFlow'!K26/'A5-Capex'!K40))</f>
        <v>0.99778612455922677</v>
      </c>
      <c r="M12" s="434">
        <f>IF(ISERROR(-'A7-CFlow'!L26/'A5-Capex'!L40),0,(-'A7-CFlow'!L26/'A5-Capex'!L40))</f>
        <v>0.99790786098710216</v>
      </c>
    </row>
    <row r="13" spans="1:15">
      <c r="A13" s="198" t="s">
        <v>13</v>
      </c>
      <c r="B13" s="432" t="s">
        <v>373</v>
      </c>
      <c r="C13" s="168">
        <v>9</v>
      </c>
      <c r="D13" s="490">
        <f>IF(ISERROR('A7-CFlow'!C32/'SA10'!D52),0,('A7-CFlow'!C32/'SA10'!D52))</f>
        <v>0</v>
      </c>
      <c r="E13" s="436">
        <f>IF(ISERROR('A7-CFlow'!D32/'SA10'!E52),0,('A7-CFlow'!D32/'SA10'!E52))</f>
        <v>0</v>
      </c>
      <c r="F13" s="434">
        <f>IF(ISERROR('A7-CFlow'!E32/'SA10'!F52),0,('A7-CFlow'!E32/'SA10'!F52))</f>
        <v>2.220728842528795</v>
      </c>
      <c r="G13" s="437">
        <f>IF(ISERROR('A7-CFlow'!F32/'SA10'!G52),0,('A7-CFlow'!F32/'SA10'!G52))</f>
        <v>0.34500603760565812</v>
      </c>
      <c r="H13" s="436">
        <f>IF(ISERROR('A7-CFlow'!G32/'SA10'!H52),0,('A7-CFlow'!G32/'SA10'!H52))</f>
        <v>0.36467791691962398</v>
      </c>
      <c r="I13" s="434">
        <f>IF(ISERROR('A7-CFlow'!H32/'SA10'!I52),0,('A7-CFlow'!H32/'SA10'!I52))</f>
        <v>0.36467791691962398</v>
      </c>
      <c r="J13" s="437">
        <f>IF(ISERROR('A7-CFlow'!I32/'SA10'!J52),0,('A7-CFlow'!I32/'SA10'!J52))</f>
        <v>0.39891375067646068</v>
      </c>
      <c r="K13" s="438">
        <f>IF(ISERROR('A7-CFlow'!J32/'SA10'!K52),0,('A7-CFlow'!J32/'SA10'!K52))</f>
        <v>0.7136909718092066</v>
      </c>
      <c r="L13" s="436">
        <f>IF(ISERROR('A7-CFlow'!K32/'SA10'!L52),0,('A7-CFlow'!K32/'SA10'!L52))</f>
        <v>0</v>
      </c>
      <c r="M13" s="434">
        <f>IF(ISERROR('A7-CFlow'!L32/'SA10'!M52),0,('A7-CFlow'!L32/'SA10'!M52))</f>
        <v>0</v>
      </c>
    </row>
    <row r="14" spans="1:15" ht="14.25" customHeight="1">
      <c r="A14" s="198" t="s">
        <v>616</v>
      </c>
      <c r="B14" s="432" t="s">
        <v>372</v>
      </c>
      <c r="C14" s="168">
        <v>10</v>
      </c>
      <c r="D14" s="1509"/>
      <c r="E14" s="1510"/>
      <c r="F14" s="1511"/>
      <c r="G14" s="1512"/>
      <c r="H14" s="1510"/>
      <c r="I14" s="1511"/>
      <c r="J14" s="1512"/>
      <c r="K14" s="438">
        <f>IF(ISERROR(K56/K68),0,(K56/K68))</f>
        <v>1</v>
      </c>
      <c r="L14" s="436">
        <f>IF(ISERROR(L56/L68),0,(L56/L68))</f>
        <v>1</v>
      </c>
      <c r="M14" s="434">
        <f>IF(ISERROR(M56/M68),0,(M56/M68))</f>
        <v>1</v>
      </c>
      <c r="N14" s="1340"/>
      <c r="O14" s="1340"/>
    </row>
    <row r="15" spans="1:15">
      <c r="A15" s="198" t="s">
        <v>617</v>
      </c>
      <c r="B15" s="432" t="s">
        <v>372</v>
      </c>
      <c r="C15" s="168">
        <v>11</v>
      </c>
      <c r="D15" s="489" t="s">
        <v>1270</v>
      </c>
      <c r="E15" s="436">
        <f>IF(ISERROR(ROUND((SUM('A6-FinPos'!D8:D10)-SUM('A6-FinPos'!C8:C10))/SUM('A6-FinPos'!C8:C10),3)),0,(ROUND((SUM('A6-FinPos'!D8:D10)-SUM('A6-FinPos'!C8:C10))/SUM('A6-FinPos'!C8:C10),3)))</f>
        <v>2.1000000000000001E-2</v>
      </c>
      <c r="F15" s="434">
        <f>IF(ISERROR(ROUND((SUM('A6-FinPos'!E8:E10)-SUM('A6-FinPos'!D8:D10))/SUM('A6-FinPos'!D8:D10),3)),0,(ROUND((SUM('A6-FinPos'!E8:E10)-SUM('A6-FinPos'!D8:D10))/SUM('A6-FinPos'!D8:D10),3)))</f>
        <v>-3.4000000000000002E-2</v>
      </c>
      <c r="G15" s="437">
        <f>IF(ISERROR(ROUND((SUM('A6-FinPos'!F8:F10)-SUM('A6-FinPos'!E8:E10))/SUM('A6-FinPos'!E8:E10),3)),0,(ROUND((SUM('A6-FinPos'!F8:F10)-SUM('A6-FinPos'!E8:E10))/SUM('A6-FinPos'!E8:E10),3)))</f>
        <v>9.1999999999999998E-2</v>
      </c>
      <c r="H15" s="436">
        <f>IF(ISERROR(ROUND((SUM('A6-FinPos'!G8:G10)-SUM('A6-FinPos'!F8:F10))/SUM('A6-FinPos'!F8:F10),3)),0,(ROUND((SUM('A6-FinPos'!G8:G10)-SUM('A6-FinPos'!F8:F10))/SUM('A6-FinPos'!F8:F10),3)))</f>
        <v>0</v>
      </c>
      <c r="I15" s="434">
        <f>IF(ISERROR(ROUND((SUM('A6-FinPos'!H8:H10)-SUM('A6-FinPos'!G8:G10))/SUM('A6-FinPos'!G8:G10),3)),0,(ROUND((SUM('A6-FinPos'!H8:H10)-SUM('A6-FinPos'!G8:G10))/SUM('A6-FinPos'!G8:G10),3)))</f>
        <v>-8.4000000000000005E-2</v>
      </c>
      <c r="J15" s="437">
        <f>IF(ISERROR(ROUND((SUM('A6-FinPos'!I8:I10)-SUM('A6-FinPos'!H8:H10))/SUM('A6-FinPos'!H8:H10),3)),0,(ROUND((SUM('A6-FinPos'!I8:I10)-SUM('A6-FinPos'!H8:H10))/SUM('A6-FinPos'!H8:H10),3)))</f>
        <v>0</v>
      </c>
      <c r="K15" s="438">
        <f>IF(ISERROR(ROUND((SUM('A6-FinPos'!J8:J10)-SUM('A6-FinPos'!G8:G10))/SUM('A6-FinPos'!G8:G10),3)),0,(ROUND((SUM('A6-FinPos'!J8:J10)-SUM('A6-FinPos'!G8:G10))/SUM('A6-FinPos'!G8:G10),3)))</f>
        <v>-8.2000000000000003E-2</v>
      </c>
      <c r="L15" s="436">
        <f>IF(ISERROR(ROUND((SUM('A6-FinPos'!K8:K10)-SUM('A6-FinPos'!J8:J10))/SUM('A6-FinPos'!J8:J10),3)),0,(ROUND((SUM('A6-FinPos'!K8:K10)-SUM('A6-FinPos'!J8:J10))/SUM('A6-FinPos'!J8:J10),3)))</f>
        <v>1E-3</v>
      </c>
      <c r="M15" s="434">
        <f>IF(ISERROR(ROUND((SUM('A6-FinPos'!L8:L10)-SUM('A6-FinPos'!K8:K10))/SUM('A6-FinPos'!K8:K10),3)),0,(ROUND((SUM('A6-FinPos'!L8:L10)-SUM('A6-FinPos'!K8:K10))/SUM('A6-FinPos'!K8:K10),3)))</f>
        <v>-1E-3</v>
      </c>
    </row>
    <row r="16" spans="1:15">
      <c r="A16" s="67" t="s">
        <v>1268</v>
      </c>
      <c r="B16" s="424" t="s">
        <v>372</v>
      </c>
      <c r="C16" s="167">
        <v>12</v>
      </c>
      <c r="D16" s="489" t="s">
        <v>1270</v>
      </c>
      <c r="E16" s="436">
        <f>IF(ISERROR(ROUND(('A6-FinPos'!D15-'A6-FinPos'!C15)/'A6-FinPos'!C15,3)),0,(ROUND(('A6-FinPos'!D15-'A6-FinPos'!C15)/'A6-FinPos'!C15,3)))</f>
        <v>0</v>
      </c>
      <c r="F16" s="434">
        <f>IF(ISERROR(ROUND(('A6-FinPos'!E15-'A6-FinPos'!D15)/'A6-FinPos'!D15,3)),0,(ROUND(('A6-FinPos'!E15-'A6-FinPos'!D15)/'A6-FinPos'!D15,3)))</f>
        <v>0</v>
      </c>
      <c r="G16" s="437">
        <f>IF(ISERROR(ROUND(('A6-FinPos'!F15-'A6-FinPos'!E15)/'A6-FinPos'!E15,3)),0,(ROUND(('A6-FinPos'!F15-'A6-FinPos'!E15)/'A6-FinPos'!E15,3)))</f>
        <v>0</v>
      </c>
      <c r="H16" s="436">
        <f>IF(ISERROR(ROUND(('A6-FinPos'!G15-'A6-FinPos'!F15)/'A6-FinPos'!F15,3)),0,(ROUND(('A6-FinPos'!G15-'A6-FinPos'!F15)/'A6-FinPos'!F15,3)))</f>
        <v>0</v>
      </c>
      <c r="I16" s="434">
        <f>IF(ISERROR(ROUND(('A6-FinPos'!H15-'A6-FinPos'!G15)/'A6-FinPos'!G15,3)),0,(ROUND(('A6-FinPos'!H15-'A6-FinPos'!G15)/'A6-FinPos'!G15,3)))</f>
        <v>0</v>
      </c>
      <c r="J16" s="437">
        <f>IF(ISERROR(ROUND(('A6-FinPos'!I15-'A6-FinPos'!H15)/'A6-FinPos'!H15,3)),0,(ROUND(('A6-FinPos'!I15-'A6-FinPos'!H15)/'A6-FinPos'!H15,3)))</f>
        <v>0</v>
      </c>
      <c r="K16" s="438">
        <f>IF(ISERROR(ROUND(('A6-FinPos'!J15-'A6-FinPos'!G15)/'A6-FinPos'!G15,3)),0,(ROUND(('A6-FinPos'!J15-'A6-FinPos'!G15)/'A6-FinPos'!G15,3)))</f>
        <v>0</v>
      </c>
      <c r="L16" s="436">
        <f>IF(ISERROR(ROUND(('A6-FinPos'!K15-'A6-FinPos'!J15)/'A6-FinPos'!J15,3)),0,(ROUND(('A6-FinPos'!K15-'A6-FinPos'!J15)/'A6-FinPos'!J15,3)))</f>
        <v>0</v>
      </c>
      <c r="M16" s="434">
        <f>IF(ISERROR(ROUND(('A6-FinPos'!L15-'A6-FinPos'!K15)/'A6-FinPos'!K15,3)),0,(ROUND(('A6-FinPos'!L15-'A6-FinPos'!K15)/'A6-FinPos'!K15,3)))</f>
        <v>0</v>
      </c>
    </row>
    <row r="17" spans="1:13">
      <c r="A17" s="67" t="s">
        <v>81</v>
      </c>
      <c r="B17" s="439" t="s">
        <v>1163</v>
      </c>
      <c r="C17" s="167">
        <v>13</v>
      </c>
      <c r="D17" s="490">
        <f>IF(ISERROR('A9-Asset'!C169/'A6-FinPos'!C19),0,('A9-Asset'!C169/'A6-FinPos'!C19))</f>
        <v>1.8462217947051784E-2</v>
      </c>
      <c r="E17" s="490">
        <f>IF(ISERROR('A9-Asset'!D169/'A6-FinPos'!D19),0,('A9-Asset'!D169/'A6-FinPos'!D19))</f>
        <v>2.9440704620359269E-2</v>
      </c>
      <c r="F17" s="434">
        <f>IF(ISERROR('A9-Asset'!E169/'A6-FinPos'!E19),0,('A9-Asset'!E169/'A6-FinPos'!E19))</f>
        <v>2.4781491434557327E-2</v>
      </c>
      <c r="G17" s="1371">
        <f>IF(ISERROR('A9-Asset'!F169/'A6-FinPos'!F19),0,('A9-Asset'!F169/'A6-FinPos'!F19))</f>
        <v>1.721560369781729E-2</v>
      </c>
      <c r="H17" s="490">
        <f>IF(ISERROR('A9-Asset'!G169/'A6-FinPos'!G19),0,('A9-Asset'!G169/'A6-FinPos'!G19))</f>
        <v>2.0443163990339745E-2</v>
      </c>
      <c r="I17" s="434">
        <f>IF(ISERROR('A9-Asset'!H169/'A6-FinPos'!H19),0,('A9-Asset'!H169/'A6-FinPos'!H19))</f>
        <v>2.2892641357548496E-2</v>
      </c>
      <c r="J17" s="452">
        <f>IF(ISERROR('A9-Asset'!I169/'A6-FinPos'!I19),0,('A9-Asset'!I169/'A6-FinPos'!I19))</f>
        <v>3.4591481733807765E-2</v>
      </c>
      <c r="K17" s="1371">
        <f>IF(ISERROR('A9-Asset'!I169/'A6-FinPos'!J19),0,('A9-Asset'!I169/'A6-FinPos'!J19))</f>
        <v>3.1829276352270487E-2</v>
      </c>
      <c r="L17" s="490">
        <f>IF(ISERROR('A9-Asset'!J169/'A6-FinPos'!K19),0,('A9-Asset'!J169/'A6-FinPos'!K19))</f>
        <v>3.0895773319483254E-2</v>
      </c>
      <c r="M17" s="434">
        <f>IF(ISERROR('A9-Asset'!K169/'A6-FinPos'!L19),0,('A9-Asset'!K169/'A6-FinPos'!L19))</f>
        <v>3.0104587606114546E-2</v>
      </c>
    </row>
    <row r="18" spans="1:13">
      <c r="A18" s="67" t="s">
        <v>856</v>
      </c>
      <c r="B18" s="439" t="str">
        <f>B17</f>
        <v>20(1)(vi)</v>
      </c>
      <c r="C18" s="167">
        <v>14</v>
      </c>
      <c r="D18" s="490">
        <f t="shared" ref="D18:L18" si="2">IF(ISERROR(D58/D57),0,(D58/D57))</f>
        <v>0.35017693395058014</v>
      </c>
      <c r="E18" s="436">
        <f t="shared" si="2"/>
        <v>0</v>
      </c>
      <c r="F18" s="434">
        <f t="shared" si="2"/>
        <v>0</v>
      </c>
      <c r="G18" s="435">
        <f t="shared" si="2"/>
        <v>5.6053877579047347E-2</v>
      </c>
      <c r="H18" s="436">
        <f t="shared" si="2"/>
        <v>8.5851399837291592E-2</v>
      </c>
      <c r="I18" s="434">
        <f t="shared" si="2"/>
        <v>8.5851399837291592E-2</v>
      </c>
      <c r="J18" s="437">
        <f t="shared" si="2"/>
        <v>0</v>
      </c>
      <c r="K18" s="438">
        <f t="shared" si="2"/>
        <v>4.5810951184232177E-3</v>
      </c>
      <c r="L18" s="436">
        <f t="shared" si="2"/>
        <v>0</v>
      </c>
      <c r="M18" s="434">
        <f>IF(ISERROR(M58/M57),0,((M58/M57)))</f>
        <v>0</v>
      </c>
    </row>
    <row r="19" spans="1:13" ht="6" customHeight="1">
      <c r="A19" s="209"/>
      <c r="B19" s="440"/>
      <c r="C19" s="441"/>
      <c r="D19" s="441"/>
      <c r="E19" s="440"/>
      <c r="F19" s="443"/>
      <c r="G19" s="444"/>
      <c r="H19" s="440"/>
      <c r="I19" s="443"/>
      <c r="J19" s="442"/>
      <c r="K19" s="445"/>
      <c r="L19" s="440"/>
      <c r="M19" s="443"/>
    </row>
    <row r="20" spans="1:13">
      <c r="A20" s="830" t="str">
        <f>head27a</f>
        <v>References</v>
      </c>
      <c r="B20" s="446"/>
      <c r="C20" s="446"/>
      <c r="D20" s="446"/>
      <c r="E20" s="446"/>
      <c r="F20" s="446"/>
      <c r="G20" s="446"/>
      <c r="H20" s="446"/>
      <c r="I20" s="446"/>
      <c r="J20" s="446"/>
      <c r="K20" s="446"/>
      <c r="L20" s="446"/>
      <c r="M20" s="446"/>
    </row>
    <row r="21" spans="1:13">
      <c r="A21" s="116" t="s">
        <v>412</v>
      </c>
      <c r="B21" s="447"/>
      <c r="C21" s="447"/>
      <c r="D21" s="447"/>
      <c r="E21" s="447"/>
      <c r="F21" s="447"/>
      <c r="G21" s="447"/>
      <c r="H21" s="447"/>
      <c r="I21" s="447"/>
      <c r="J21" s="447"/>
      <c r="K21" s="447"/>
      <c r="L21" s="447"/>
      <c r="M21" s="447"/>
    </row>
    <row r="22" spans="1:13">
      <c r="A22" s="161" t="s">
        <v>1228</v>
      </c>
      <c r="B22" s="447"/>
      <c r="C22" s="447"/>
      <c r="D22" s="447"/>
      <c r="E22" s="447"/>
      <c r="F22" s="447"/>
      <c r="G22" s="447"/>
      <c r="H22" s="447"/>
      <c r="I22" s="447"/>
      <c r="J22" s="447"/>
      <c r="K22" s="447"/>
      <c r="L22" s="447"/>
      <c r="M22" s="447"/>
    </row>
    <row r="23" spans="1:13">
      <c r="A23" s="161" t="s">
        <v>586</v>
      </c>
      <c r="B23" s="447"/>
      <c r="C23" s="447"/>
      <c r="D23" s="447"/>
      <c r="E23" s="447"/>
      <c r="F23" s="447"/>
      <c r="G23" s="447"/>
      <c r="H23" s="447"/>
      <c r="I23" s="447"/>
      <c r="J23" s="447"/>
      <c r="K23" s="447"/>
      <c r="L23" s="447"/>
      <c r="M23" s="447"/>
    </row>
    <row r="24" spans="1:13">
      <c r="A24" s="161" t="s">
        <v>587</v>
      </c>
      <c r="B24" s="447"/>
      <c r="C24" s="447"/>
      <c r="D24" s="447"/>
      <c r="E24" s="447"/>
      <c r="F24" s="447"/>
      <c r="G24" s="447"/>
      <c r="H24" s="447"/>
      <c r="I24" s="447"/>
      <c r="J24" s="447"/>
      <c r="K24" s="447"/>
      <c r="L24" s="447"/>
      <c r="M24" s="447"/>
    </row>
    <row r="25" spans="1:13">
      <c r="A25" s="161" t="s">
        <v>675</v>
      </c>
      <c r="B25" s="447"/>
      <c r="C25" s="447"/>
      <c r="D25" s="447"/>
      <c r="E25" s="447"/>
      <c r="F25" s="447"/>
      <c r="G25" s="447"/>
      <c r="H25" s="447"/>
      <c r="I25" s="447"/>
      <c r="J25" s="447"/>
      <c r="K25" s="447"/>
      <c r="L25" s="447"/>
      <c r="M25" s="447"/>
    </row>
    <row r="26" spans="1:13">
      <c r="A26" s="161" t="s">
        <v>917</v>
      </c>
      <c r="B26" s="447"/>
      <c r="C26" s="447"/>
      <c r="D26" s="447"/>
      <c r="E26" s="447"/>
      <c r="F26" s="447"/>
      <c r="G26" s="447"/>
      <c r="H26" s="447"/>
      <c r="I26" s="447"/>
      <c r="J26" s="447"/>
      <c r="K26" s="447"/>
      <c r="L26" s="447"/>
      <c r="M26" s="447"/>
    </row>
    <row r="27" spans="1:13">
      <c r="A27" s="161" t="s">
        <v>576</v>
      </c>
      <c r="B27" s="447"/>
      <c r="C27" s="447"/>
      <c r="D27" s="447"/>
      <c r="E27" s="447"/>
      <c r="F27" s="447"/>
      <c r="G27" s="447"/>
      <c r="H27" s="447"/>
      <c r="I27" s="447"/>
      <c r="J27" s="447"/>
      <c r="K27" s="447"/>
      <c r="L27" s="447"/>
      <c r="M27" s="447"/>
    </row>
    <row r="28" spans="1:13">
      <c r="A28" s="161" t="s">
        <v>916</v>
      </c>
      <c r="B28" s="447"/>
      <c r="C28" s="447"/>
      <c r="D28" s="447"/>
      <c r="E28" s="447"/>
      <c r="F28" s="447"/>
      <c r="G28" s="447"/>
      <c r="H28" s="447"/>
      <c r="I28" s="447"/>
      <c r="J28" s="447"/>
      <c r="K28" s="447"/>
      <c r="L28" s="447"/>
      <c r="M28" s="447"/>
    </row>
    <row r="29" spans="1:13">
      <c r="A29" s="161" t="s">
        <v>1063</v>
      </c>
      <c r="B29" s="447"/>
      <c r="C29" s="447"/>
      <c r="D29" s="447"/>
      <c r="E29" s="447"/>
      <c r="F29" s="447"/>
      <c r="G29" s="447"/>
      <c r="H29" s="447"/>
      <c r="I29" s="447"/>
      <c r="J29" s="447"/>
      <c r="K29" s="447"/>
      <c r="L29" s="447"/>
      <c r="M29" s="447"/>
    </row>
    <row r="30" spans="1:13">
      <c r="A30" s="161" t="s">
        <v>293</v>
      </c>
      <c r="B30" s="447"/>
      <c r="C30" s="447"/>
      <c r="D30" s="447"/>
      <c r="E30" s="447"/>
      <c r="F30" s="447"/>
      <c r="G30" s="447"/>
      <c r="H30" s="447"/>
      <c r="I30" s="447"/>
      <c r="J30" s="447"/>
      <c r="K30" s="447"/>
      <c r="L30" s="447"/>
      <c r="M30" s="447"/>
    </row>
    <row r="31" spans="1:13">
      <c r="A31" s="161" t="s">
        <v>1558</v>
      </c>
      <c r="B31" s="447"/>
      <c r="C31" s="447"/>
      <c r="D31" s="447"/>
      <c r="E31" s="447"/>
      <c r="F31" s="447"/>
      <c r="G31" s="447"/>
      <c r="H31" s="447"/>
      <c r="I31" s="447"/>
      <c r="J31" s="447"/>
      <c r="K31" s="447"/>
      <c r="L31" s="447"/>
      <c r="M31" s="447"/>
    </row>
    <row r="32" spans="1:13">
      <c r="A32" s="161" t="s">
        <v>102</v>
      </c>
      <c r="B32" s="447"/>
      <c r="C32" s="447"/>
      <c r="D32" s="447"/>
      <c r="E32" s="447"/>
      <c r="F32" s="447"/>
      <c r="G32" s="447"/>
      <c r="H32" s="447"/>
      <c r="I32" s="447"/>
      <c r="J32" s="447"/>
      <c r="K32" s="447"/>
      <c r="L32" s="447"/>
      <c r="M32" s="447"/>
    </row>
    <row r="33" spans="1:18">
      <c r="A33" s="161" t="s">
        <v>577</v>
      </c>
      <c r="B33" s="447"/>
      <c r="C33" s="447"/>
      <c r="D33" s="447"/>
      <c r="E33" s="447"/>
      <c r="F33" s="447"/>
      <c r="G33" s="447"/>
      <c r="H33" s="447"/>
      <c r="I33" s="447"/>
      <c r="J33" s="447"/>
      <c r="K33" s="447"/>
      <c r="L33" s="447"/>
      <c r="M33" s="447"/>
    </row>
    <row r="34" spans="1:18">
      <c r="A34" s="161" t="s">
        <v>578</v>
      </c>
      <c r="B34" s="447"/>
      <c r="C34" s="447"/>
      <c r="D34" s="447"/>
      <c r="E34" s="447"/>
      <c r="F34" s="447"/>
      <c r="G34" s="447"/>
      <c r="H34" s="447"/>
      <c r="I34" s="447"/>
      <c r="J34" s="447"/>
      <c r="K34" s="447"/>
      <c r="L34" s="447"/>
      <c r="M34" s="447"/>
    </row>
    <row r="35" spans="1:18">
      <c r="A35" s="1499" t="s">
        <v>1067</v>
      </c>
      <c r="B35" s="1500"/>
      <c r="C35" s="1500"/>
      <c r="D35" s="1527"/>
      <c r="E35" s="1528"/>
      <c r="F35" s="1529"/>
      <c r="G35" s="271"/>
      <c r="H35" s="269"/>
      <c r="I35" s="269"/>
      <c r="J35" s="1529"/>
      <c r="K35" s="271"/>
      <c r="L35" s="269"/>
      <c r="M35" s="1529"/>
    </row>
    <row r="36" spans="1:18">
      <c r="A36" s="449" t="s">
        <v>781</v>
      </c>
      <c r="B36" s="450" t="s">
        <v>372</v>
      </c>
      <c r="C36" s="450"/>
      <c r="D36" s="1432"/>
      <c r="E36" s="1530">
        <f t="shared" ref="E36:E42" si="3">IF(ISERROR((E44/D44)-1),0,((E44/D44)-1))</f>
        <v>0.10519525296882781</v>
      </c>
      <c r="F36" s="434">
        <f>IF(ISERROR((F44/E44)-1),0,((F44/E44)-1))</f>
        <v>1.9631728996571507E-2</v>
      </c>
      <c r="G36" s="1532">
        <f>IF(ISERROR((G44/F44)-1),0,((G44/F44)-1))</f>
        <v>0.20155021564365261</v>
      </c>
      <c r="H36" s="1530">
        <f>IF(ISERROR((H44/G44)-1),0,((H44/G44)-1))</f>
        <v>-9.67582319626481E-3</v>
      </c>
      <c r="I36" s="1530">
        <f>IF(ISERROR((I44/H44)-1),0,((I44/H44)-1))</f>
        <v>1.9040614793895738E-2</v>
      </c>
      <c r="J36" s="1533">
        <f>IF(ISERROR((J44/I44)-1),0,((J44/I44)-1))</f>
        <v>0</v>
      </c>
      <c r="K36" s="438">
        <f>IF(ISERROR((K44/H44)-1),0,((K44/H44)-1))</f>
        <v>3.1634295411650637E-2</v>
      </c>
      <c r="L36" s="490">
        <f>IF(ISERROR((L44/K44)-1),0,((L44/K44)-1))</f>
        <v>4.6021647448431846E-2</v>
      </c>
      <c r="M36" s="434">
        <f>IF(ISERROR((M44/L44)-1),0,((M44/L44)-1))</f>
        <v>4.6021688390495363E-2</v>
      </c>
      <c r="Q36" s="183"/>
      <c r="R36" s="183"/>
    </row>
    <row r="37" spans="1:18">
      <c r="A37" s="449" t="s">
        <v>782</v>
      </c>
      <c r="B37" s="450" t="s">
        <v>372</v>
      </c>
      <c r="C37" s="450"/>
      <c r="D37" s="1432"/>
      <c r="E37" s="1530">
        <f t="shared" si="3"/>
        <v>0.20852498314380585</v>
      </c>
      <c r="F37" s="434">
        <f t="shared" ref="F37:M42" si="4">IF(ISERROR((F45/E45)-1),0,((F45/E45)-1))</f>
        <v>0.10875189750123626</v>
      </c>
      <c r="G37" s="1532">
        <f t="shared" si="4"/>
        <v>-5.6914226855799055E-2</v>
      </c>
      <c r="H37" s="1530">
        <f t="shared" si="4"/>
        <v>0</v>
      </c>
      <c r="I37" s="1530">
        <f t="shared" si="4"/>
        <v>4.7461542704625437E-3</v>
      </c>
      <c r="J37" s="1533">
        <f t="shared" si="4"/>
        <v>0</v>
      </c>
      <c r="K37" s="438">
        <f t="shared" ref="K37:K42" si="5">IF(ISERROR((K45/H45)-1),0,((K45/H45)-1))</f>
        <v>0.17882562277580072</v>
      </c>
      <c r="L37" s="490">
        <f t="shared" si="4"/>
        <v>4.6000000000000041E-2</v>
      </c>
      <c r="M37" s="434">
        <f t="shared" si="4"/>
        <v>4.6000000000000041E-2</v>
      </c>
      <c r="Q37" s="183"/>
      <c r="R37" s="183"/>
    </row>
    <row r="38" spans="1:18">
      <c r="A38" s="449" t="str">
        <f>"% incr "&amp;'A4-FinPerf RE'!A6</f>
        <v>% incr Service charges - electricity revenue</v>
      </c>
      <c r="B38" s="450" t="s">
        <v>372</v>
      </c>
      <c r="C38" s="450"/>
      <c r="D38" s="1432"/>
      <c r="E38" s="1530">
        <f t="shared" si="3"/>
        <v>8.1838307103784036E-2</v>
      </c>
      <c r="F38" s="434">
        <f t="shared" si="4"/>
        <v>-4.7772379117114738E-3</v>
      </c>
      <c r="G38" s="1532">
        <f t="shared" si="4"/>
        <v>0.28334605851967831</v>
      </c>
      <c r="H38" s="1530">
        <f t="shared" si="4"/>
        <v>-1.2124760319470074E-2</v>
      </c>
      <c r="I38" s="1530">
        <f t="shared" si="4"/>
        <v>2.4526082187361409E-2</v>
      </c>
      <c r="J38" s="1533">
        <f t="shared" si="4"/>
        <v>0</v>
      </c>
      <c r="K38" s="438">
        <f t="shared" si="5"/>
        <v>1.5254299696141338E-3</v>
      </c>
      <c r="L38" s="490">
        <f t="shared" si="4"/>
        <v>4.602801115544275E-2</v>
      </c>
      <c r="M38" s="434">
        <f>IF(ISERROR((M46/L46)-1),0,((M46/L46)-1))</f>
        <v>4.602806396252368E-2</v>
      </c>
      <c r="Q38" s="183"/>
      <c r="R38" s="183"/>
    </row>
    <row r="39" spans="1:18">
      <c r="A39" s="449" t="str">
        <f>"% incr "&amp;'A4-FinPerf RE'!A7</f>
        <v>% incr Service charges - water revenue</v>
      </c>
      <c r="B39" s="450" t="s">
        <v>372</v>
      </c>
      <c r="C39" s="450"/>
      <c r="D39" s="1432"/>
      <c r="E39" s="1530">
        <f t="shared" si="3"/>
        <v>0</v>
      </c>
      <c r="F39" s="434">
        <f t="shared" si="4"/>
        <v>0</v>
      </c>
      <c r="G39" s="1532">
        <f t="shared" si="4"/>
        <v>0</v>
      </c>
      <c r="H39" s="1530">
        <f t="shared" si="4"/>
        <v>0</v>
      </c>
      <c r="I39" s="1530">
        <f t="shared" si="4"/>
        <v>0</v>
      </c>
      <c r="J39" s="1533">
        <f t="shared" si="4"/>
        <v>0</v>
      </c>
      <c r="K39" s="438">
        <f t="shared" si="5"/>
        <v>0</v>
      </c>
      <c r="L39" s="490">
        <f t="shared" si="4"/>
        <v>0</v>
      </c>
      <c r="M39" s="434">
        <f t="shared" si="4"/>
        <v>0</v>
      </c>
      <c r="Q39" s="183"/>
      <c r="R39" s="183"/>
    </row>
    <row r="40" spans="1:18">
      <c r="A40" s="449" t="str">
        <f>"% incr "&amp;'A4-FinPerf RE'!A8</f>
        <v>% incr Service charges - sanitation revenue</v>
      </c>
      <c r="B40" s="450" t="s">
        <v>372</v>
      </c>
      <c r="C40" s="450"/>
      <c r="D40" s="1432"/>
      <c r="E40" s="1530">
        <f t="shared" si="3"/>
        <v>0</v>
      </c>
      <c r="F40" s="434">
        <f t="shared" si="4"/>
        <v>0</v>
      </c>
      <c r="G40" s="1532">
        <f t="shared" si="4"/>
        <v>0</v>
      </c>
      <c r="H40" s="1530">
        <f t="shared" si="4"/>
        <v>0</v>
      </c>
      <c r="I40" s="1530">
        <f t="shared" si="4"/>
        <v>0</v>
      </c>
      <c r="J40" s="1533">
        <f t="shared" si="4"/>
        <v>0</v>
      </c>
      <c r="K40" s="438">
        <f t="shared" si="5"/>
        <v>0</v>
      </c>
      <c r="L40" s="490">
        <f t="shared" si="4"/>
        <v>0</v>
      </c>
      <c r="M40" s="434">
        <f t="shared" si="4"/>
        <v>0</v>
      </c>
      <c r="Q40" s="183"/>
      <c r="R40" s="183"/>
    </row>
    <row r="41" spans="1:18">
      <c r="A41" s="449" t="str">
        <f>"% incr "&amp;'A4-FinPerf RE'!A9</f>
        <v>% incr Service charges - refuse revenue</v>
      </c>
      <c r="B41" s="450" t="s">
        <v>372</v>
      </c>
      <c r="C41" s="450"/>
      <c r="D41" s="1432"/>
      <c r="E41" s="1530">
        <f t="shared" si="3"/>
        <v>0.12584712043027246</v>
      </c>
      <c r="F41" s="434">
        <f t="shared" si="4"/>
        <v>6.6537175843212948E-2</v>
      </c>
      <c r="G41" s="1532">
        <f t="shared" si="4"/>
        <v>2.0250757919358486E-2</v>
      </c>
      <c r="H41" s="1530">
        <f t="shared" si="4"/>
        <v>0</v>
      </c>
      <c r="I41" s="1530">
        <f t="shared" si="4"/>
        <v>-2.6088684194848555E-2</v>
      </c>
      <c r="J41" s="1533">
        <f t="shared" si="4"/>
        <v>0</v>
      </c>
      <c r="K41" s="438">
        <f t="shared" si="5"/>
        <v>5.0248865291524725E-2</v>
      </c>
      <c r="L41" s="490">
        <f t="shared" si="4"/>
        <v>4.5999999999999819E-2</v>
      </c>
      <c r="M41" s="434">
        <f t="shared" si="4"/>
        <v>4.6000000000000041E-2</v>
      </c>
      <c r="Q41" s="183"/>
      <c r="R41" s="183"/>
    </row>
    <row r="42" spans="1:18">
      <c r="A42" s="449" t="str">
        <f>"% incr in "&amp;'A4-FinPerf RE'!A10</f>
        <v xml:space="preserve">% incr in </v>
      </c>
      <c r="B42" s="450" t="s">
        <v>372</v>
      </c>
      <c r="C42" s="450"/>
      <c r="D42" s="1432"/>
      <c r="E42" s="1530">
        <f t="shared" si="3"/>
        <v>0</v>
      </c>
      <c r="F42" s="434">
        <f t="shared" si="4"/>
        <v>0</v>
      </c>
      <c r="G42" s="1532">
        <f t="shared" si="4"/>
        <v>0</v>
      </c>
      <c r="H42" s="1530">
        <f t="shared" si="4"/>
        <v>0</v>
      </c>
      <c r="I42" s="1530">
        <f>IF(ISERROR((I50/H50)-1),0,((I50/H50)-1))</f>
        <v>0</v>
      </c>
      <c r="J42" s="1533">
        <f t="shared" si="4"/>
        <v>0</v>
      </c>
      <c r="K42" s="438">
        <f t="shared" si="5"/>
        <v>0</v>
      </c>
      <c r="L42" s="490">
        <f>IF(ISERROR((L50/K50)-1),0,((L50/K50)-1))</f>
        <v>0</v>
      </c>
      <c r="M42" s="434">
        <f t="shared" si="4"/>
        <v>0</v>
      </c>
      <c r="Q42" s="183"/>
      <c r="R42" s="183"/>
    </row>
    <row r="43" spans="1:18">
      <c r="A43" s="449" t="s">
        <v>666</v>
      </c>
      <c r="B43" s="450" t="s">
        <v>372</v>
      </c>
      <c r="C43" s="450"/>
      <c r="D43" s="1103">
        <f>SUM(D45:D50)</f>
        <v>534300816.65999997</v>
      </c>
      <c r="E43" s="69">
        <f t="shared" ref="E43:M43" si="6">SUM(E45:E50)</f>
        <v>590506726.2299999</v>
      </c>
      <c r="F43" s="1104">
        <f t="shared" si="6"/>
        <v>602099394.24999988</v>
      </c>
      <c r="G43" s="1103">
        <f t="shared" si="6"/>
        <v>723452657</v>
      </c>
      <c r="H43" s="69">
        <f t="shared" si="6"/>
        <v>716452657</v>
      </c>
      <c r="I43" s="69">
        <f t="shared" si="6"/>
        <v>730094356.06000006</v>
      </c>
      <c r="J43" s="1104">
        <f t="shared" si="6"/>
        <v>730094356.06000006</v>
      </c>
      <c r="K43" s="1103">
        <f t="shared" si="6"/>
        <v>739117132</v>
      </c>
      <c r="L43" s="69">
        <f t="shared" si="6"/>
        <v>773132520.07200003</v>
      </c>
      <c r="M43" s="1104">
        <f t="shared" si="6"/>
        <v>808713383.99531198</v>
      </c>
    </row>
    <row r="44" spans="1:18">
      <c r="A44" s="449" t="s">
        <v>1410</v>
      </c>
      <c r="B44" s="450"/>
      <c r="C44" s="450"/>
      <c r="D44" s="1103">
        <f>SUM(D45:D50)</f>
        <v>534300816.65999997</v>
      </c>
      <c r="E44" s="69">
        <f t="shared" ref="E44:M44" si="7">SUM(E45:E50)</f>
        <v>590506726.2299999</v>
      </c>
      <c r="F44" s="1104">
        <f t="shared" si="7"/>
        <v>602099394.24999988</v>
      </c>
      <c r="G44" s="1103">
        <f t="shared" si="7"/>
        <v>723452657</v>
      </c>
      <c r="H44" s="69">
        <f t="shared" si="7"/>
        <v>716452657</v>
      </c>
      <c r="I44" s="69">
        <f t="shared" si="7"/>
        <v>730094356.06000006</v>
      </c>
      <c r="J44" s="1104">
        <f>SUM(J45:J50)</f>
        <v>730094356.06000006</v>
      </c>
      <c r="K44" s="1103">
        <f t="shared" si="7"/>
        <v>739117132</v>
      </c>
      <c r="L44" s="69">
        <f t="shared" si="7"/>
        <v>773132520.07200003</v>
      </c>
      <c r="M44" s="1104">
        <f t="shared" si="7"/>
        <v>808713383.99531198</v>
      </c>
    </row>
    <row r="45" spans="1:18">
      <c r="A45" s="449" t="s">
        <v>468</v>
      </c>
      <c r="B45" s="450"/>
      <c r="C45" s="450"/>
      <c r="D45" s="1103">
        <f>'A4-FinPerf RE'!C5</f>
        <v>88945731.060000002</v>
      </c>
      <c r="E45" s="69">
        <f>'A4-FinPerf RE'!D5</f>
        <v>107493138.13</v>
      </c>
      <c r="F45" s="1104">
        <f>'A4-FinPerf RE'!E5</f>
        <v>119183220.86999999</v>
      </c>
      <c r="G45" s="1103">
        <f>'A4-FinPerf RE'!F5</f>
        <v>112400000</v>
      </c>
      <c r="H45" s="69">
        <f>'A4-FinPerf RE'!G5</f>
        <v>112400000</v>
      </c>
      <c r="I45" s="69">
        <f>'A4-FinPerf RE'!H5</f>
        <v>112933467.73999999</v>
      </c>
      <c r="J45" s="1104">
        <f>'A4-FinPerf RE'!I5</f>
        <v>112933467.73999999</v>
      </c>
      <c r="K45" s="1103">
        <f>'A4-FinPerf RE'!J5</f>
        <v>132500000</v>
      </c>
      <c r="L45" s="69">
        <f>'A4-FinPerf RE'!K5</f>
        <v>138595000</v>
      </c>
      <c r="M45" s="1104">
        <f>'A4-FinPerf RE'!L5</f>
        <v>144970370</v>
      </c>
    </row>
    <row r="46" spans="1:18">
      <c r="A46" s="449" t="s">
        <v>1563</v>
      </c>
      <c r="B46" s="450"/>
      <c r="C46" s="450"/>
      <c r="D46" s="1103">
        <f>'A4-FinPerf RE'!C6</f>
        <v>417828866.57999998</v>
      </c>
      <c r="E46" s="69">
        <f>'A4-FinPerf RE'!D6</f>
        <v>452023273.68000001</v>
      </c>
      <c r="F46" s="1104">
        <f>'A4-FinPerf RE'!E6</f>
        <v>449863850.95999998</v>
      </c>
      <c r="G46" s="1103">
        <f>'A4-FinPerf RE'!F6</f>
        <v>577331000</v>
      </c>
      <c r="H46" s="69">
        <f>'A4-FinPerf RE'!G6</f>
        <v>570331000</v>
      </c>
      <c r="I46" s="69">
        <f>'A4-FinPerf RE'!H6</f>
        <v>584318984.98000002</v>
      </c>
      <c r="J46" s="1104">
        <f>'A4-FinPerf RE'!I6</f>
        <v>584318984.98000002</v>
      </c>
      <c r="K46" s="1103">
        <f>'A4-FinPerf RE'!J6</f>
        <v>571201000</v>
      </c>
      <c r="L46" s="69">
        <f>'A4-FinPerf RE'!K6</f>
        <v>597492246</v>
      </c>
      <c r="M46" s="1104">
        <f>'A4-FinPerf RE'!L6</f>
        <v>624993657.31599998</v>
      </c>
    </row>
    <row r="47" spans="1:18">
      <c r="A47" s="449" t="s">
        <v>1564</v>
      </c>
      <c r="B47" s="450"/>
      <c r="C47" s="450"/>
      <c r="D47" s="1103">
        <f>'A4-FinPerf RE'!C7</f>
        <v>0</v>
      </c>
      <c r="E47" s="69">
        <f>'A4-FinPerf RE'!D7</f>
        <v>0</v>
      </c>
      <c r="F47" s="1104">
        <f>'A4-FinPerf RE'!E7</f>
        <v>0</v>
      </c>
      <c r="G47" s="1103">
        <f>'A4-FinPerf RE'!F7</f>
        <v>0</v>
      </c>
      <c r="H47" s="69">
        <f>'A4-FinPerf RE'!G7</f>
        <v>0</v>
      </c>
      <c r="I47" s="69">
        <f>'A4-FinPerf RE'!H7</f>
        <v>0</v>
      </c>
      <c r="J47" s="1104">
        <f>'A4-FinPerf RE'!I7</f>
        <v>0</v>
      </c>
      <c r="K47" s="1103">
        <f>'A4-FinPerf RE'!J7</f>
        <v>0</v>
      </c>
      <c r="L47" s="69">
        <f>'A4-FinPerf RE'!K7</f>
        <v>0</v>
      </c>
      <c r="M47" s="1104">
        <f>'A4-FinPerf RE'!L7</f>
        <v>0</v>
      </c>
    </row>
    <row r="48" spans="1:18">
      <c r="A48" s="449" t="s">
        <v>805</v>
      </c>
      <c r="B48" s="450"/>
      <c r="C48" s="450"/>
      <c r="D48" s="1103">
        <f>'A4-FinPerf RE'!C8</f>
        <v>0</v>
      </c>
      <c r="E48" s="69">
        <f>'A4-FinPerf RE'!D8</f>
        <v>0</v>
      </c>
      <c r="F48" s="1104">
        <f>'A4-FinPerf RE'!E8</f>
        <v>0</v>
      </c>
      <c r="G48" s="1103">
        <f>'A4-FinPerf RE'!F8</f>
        <v>0</v>
      </c>
      <c r="H48" s="69">
        <f>'A4-FinPerf RE'!G8</f>
        <v>0</v>
      </c>
      <c r="I48" s="69">
        <f>'A4-FinPerf RE'!H8</f>
        <v>0</v>
      </c>
      <c r="J48" s="1104">
        <f>'A4-FinPerf RE'!I8</f>
        <v>0</v>
      </c>
      <c r="K48" s="1103">
        <f>'A4-FinPerf RE'!J8</f>
        <v>0</v>
      </c>
      <c r="L48" s="69">
        <f>'A4-FinPerf RE'!K8</f>
        <v>0</v>
      </c>
      <c r="M48" s="1104">
        <f>'A4-FinPerf RE'!L8</f>
        <v>0</v>
      </c>
    </row>
    <row r="49" spans="1:13">
      <c r="A49" s="449" t="s">
        <v>806</v>
      </c>
      <c r="B49" s="450"/>
      <c r="C49" s="450"/>
      <c r="D49" s="1103">
        <f>'A4-FinPerf RE'!C9</f>
        <v>27526219.02</v>
      </c>
      <c r="E49" s="69">
        <f>'A4-FinPerf RE'!D9</f>
        <v>30990314.419999998</v>
      </c>
      <c r="F49" s="1104">
        <f>'A4-FinPerf RE'!E9</f>
        <v>33052322.419999994</v>
      </c>
      <c r="G49" s="1103">
        <f>'A4-FinPerf RE'!F9</f>
        <v>33721657</v>
      </c>
      <c r="H49" s="69">
        <f>'A4-FinPerf RE'!G9</f>
        <v>33721657</v>
      </c>
      <c r="I49" s="69">
        <f>'A4-FinPerf RE'!H9</f>
        <v>32841903.339999996</v>
      </c>
      <c r="J49" s="1104">
        <f>'A4-FinPerf RE'!I9</f>
        <v>32841903.339999996</v>
      </c>
      <c r="K49" s="1103">
        <f>'A4-FinPerf RE'!J9</f>
        <v>35416132</v>
      </c>
      <c r="L49" s="69">
        <f>'A4-FinPerf RE'!K9</f>
        <v>37045274.071999997</v>
      </c>
      <c r="M49" s="1104">
        <f>'A4-FinPerf RE'!L9</f>
        <v>38749356.679311998</v>
      </c>
    </row>
    <row r="50" spans="1:13">
      <c r="A50" s="449" t="s">
        <v>807</v>
      </c>
      <c r="B50" s="450"/>
      <c r="C50" s="450"/>
      <c r="D50" s="1103">
        <f>'A4-FinPerf RE'!C10</f>
        <v>0</v>
      </c>
      <c r="E50" s="69">
        <f>'A4-FinPerf RE'!D10</f>
        <v>0</v>
      </c>
      <c r="F50" s="1104">
        <f>'A4-FinPerf RE'!E10</f>
        <v>0</v>
      </c>
      <c r="G50" s="1103">
        <f>'A4-FinPerf RE'!F10</f>
        <v>0</v>
      </c>
      <c r="H50" s="69">
        <f>'A4-FinPerf RE'!G10</f>
        <v>0</v>
      </c>
      <c r="I50" s="69">
        <f>'A4-FinPerf RE'!H10</f>
        <v>0</v>
      </c>
      <c r="J50" s="1104">
        <f>'A4-FinPerf RE'!I10</f>
        <v>0</v>
      </c>
      <c r="K50" s="1103">
        <f>'A4-FinPerf RE'!J10</f>
        <v>0</v>
      </c>
      <c r="L50" s="69">
        <f>'A4-FinPerf RE'!K10</f>
        <v>0</v>
      </c>
      <c r="M50" s="1104">
        <f>'A4-FinPerf RE'!L10</f>
        <v>0</v>
      </c>
    </row>
    <row r="51" spans="1:13">
      <c r="A51" s="449" t="str">
        <f>'A4-FinPerf RE'!A11</f>
        <v>Rental of facilities and equipment</v>
      </c>
      <c r="B51" s="450"/>
      <c r="C51" s="450"/>
      <c r="D51" s="1103">
        <f>'A4-FinPerf RE'!C11</f>
        <v>1644365</v>
      </c>
      <c r="E51" s="69">
        <f>'A4-FinPerf RE'!D11</f>
        <v>1781895.76</v>
      </c>
      <c r="F51" s="1104">
        <f>'A4-FinPerf RE'!E11</f>
        <v>2132852.52</v>
      </c>
      <c r="G51" s="1103">
        <f>'A4-FinPerf RE'!F11</f>
        <v>1972100</v>
      </c>
      <c r="H51" s="69">
        <f>'A4-FinPerf RE'!G11</f>
        <v>1972100</v>
      </c>
      <c r="I51" s="69">
        <f>'A4-FinPerf RE'!H11</f>
        <v>977592.94</v>
      </c>
      <c r="J51" s="1104">
        <f>'A4-FinPerf RE'!I11</f>
        <v>977592.94</v>
      </c>
      <c r="K51" s="1103">
        <f>'A4-FinPerf RE'!J11</f>
        <v>1170100</v>
      </c>
      <c r="L51" s="69">
        <f>'A4-FinPerf RE'!K11</f>
        <v>1223924.6000000001</v>
      </c>
      <c r="M51" s="1104">
        <f>'A4-FinPerf RE'!L11</f>
        <v>1280225.1316</v>
      </c>
    </row>
    <row r="52" spans="1:13">
      <c r="A52" s="449" t="s">
        <v>850</v>
      </c>
      <c r="B52" s="450"/>
      <c r="C52" s="450"/>
      <c r="D52" s="1103">
        <f>'A5-Capex'!C40-'A5-Capex'!C70</f>
        <v>17730146.712280706</v>
      </c>
      <c r="E52" s="69">
        <f>'A5-Capex'!D40-'A5-Capex'!D70</f>
        <v>12940839.630000003</v>
      </c>
      <c r="F52" s="1104">
        <f>'A5-Capex'!E40-'A5-Capex'!E70</f>
        <v>18012104.510000005</v>
      </c>
      <c r="G52" s="1103">
        <f>'A5-Capex'!F40-'A5-Capex'!F70</f>
        <v>57970000</v>
      </c>
      <c r="H52" s="69">
        <f>'A5-Capex'!G40-'A5-Capex'!G70</f>
        <v>54842915</v>
      </c>
      <c r="I52" s="69">
        <f>'A5-Capex'!H40-'A5-Capex'!H70</f>
        <v>54842915</v>
      </c>
      <c r="J52" s="1104">
        <f>'A5-Capex'!I40-'A5-Capex'!I70</f>
        <v>50136150.899999976</v>
      </c>
      <c r="K52" s="1103">
        <f>'A5-Capex'!J40-'A5-Capex'!J70</f>
        <v>42035000</v>
      </c>
      <c r="L52" s="69">
        <f>'A5-Capex'!K40-'A5-Capex'!K70</f>
        <v>9319000</v>
      </c>
      <c r="M52" s="1104">
        <f>'A5-Capex'!L40-'A5-Capex'!L70</f>
        <v>9721432</v>
      </c>
    </row>
    <row r="53" spans="1:13">
      <c r="A53" s="449" t="s">
        <v>849</v>
      </c>
      <c r="B53" s="450" t="s">
        <v>372</v>
      </c>
      <c r="C53" s="450"/>
      <c r="D53" s="83">
        <f>'A7-CFlow'!C6+'A7-CFlow'!C7+'A7-CFlow'!C8</f>
        <v>577936968</v>
      </c>
      <c r="E53" s="80">
        <f>'A7-CFlow'!D6+'A7-CFlow'!D7+'A7-CFlow'!D8</f>
        <v>586728930</v>
      </c>
      <c r="F53" s="670">
        <f>'A7-CFlow'!E6+'A7-CFlow'!E7+'A7-CFlow'!E8</f>
        <v>671208952</v>
      </c>
      <c r="G53" s="83">
        <f>'A7-CFlow'!F6+'A7-CFlow'!F7+'A7-CFlow'!F8</f>
        <v>728332611.44000006</v>
      </c>
      <c r="H53" s="80">
        <f>'A7-CFlow'!G6+'A7-CFlow'!G7+'A7-CFlow'!G8</f>
        <v>718074611.44000006</v>
      </c>
      <c r="I53" s="80">
        <f>'A7-CFlow'!H6+'A7-CFlow'!H7+'A7-CFlow'!H8</f>
        <v>655617884</v>
      </c>
      <c r="J53" s="670">
        <f>'A7-CFlow'!I6+'A7-CFlow'!I7+'A7-CFlow'!I8</f>
        <v>655617884</v>
      </c>
      <c r="K53" s="83">
        <f>'A7-CFlow'!J6+'A7-CFlow'!J7+'A7-CFlow'!J8</f>
        <v>728408008.79999995</v>
      </c>
      <c r="L53" s="80">
        <f>'A7-CFlow'!K6+'A7-CFlow'!K7+'A7-CFlow'!K8</f>
        <v>761961584.70000005</v>
      </c>
      <c r="M53" s="1104">
        <f>'A7-CFlow'!L6+'A7-CFlow'!L7+'A7-CFlow'!L8</f>
        <v>797061067.20000005</v>
      </c>
    </row>
    <row r="54" spans="1:13">
      <c r="A54" s="454" t="s">
        <v>1559</v>
      </c>
      <c r="B54" s="450" t="s">
        <v>372</v>
      </c>
      <c r="C54" s="450"/>
      <c r="D54" s="83">
        <f>SUM('A4-FinPerf RE'!C5:C11)+'A4-FinPerf RE'!C13+SUM('A4-FinPerf RE'!C15:C17)+'A4-FinPerf RE'!C19</f>
        <v>650470371.67999995</v>
      </c>
      <c r="E54" s="80">
        <f>SUM('A4-FinPerf RE'!D5:D11)+'A4-FinPerf RE'!D13+SUM('A4-FinPerf RE'!D15:D17)+'A4-FinPerf RE'!D19</f>
        <v>704308143.56999993</v>
      </c>
      <c r="F54" s="670">
        <f>SUM('A4-FinPerf RE'!E5:E11)+'A4-FinPerf RE'!E13+SUM('A4-FinPerf RE'!E15:E17)+'A4-FinPerf RE'!E19</f>
        <v>695731915.8499999</v>
      </c>
      <c r="G54" s="83">
        <f>SUM('A4-FinPerf RE'!F5:F11)+'A4-FinPerf RE'!F13+SUM('A4-FinPerf RE'!F15:F17)+'A4-FinPerf RE'!F19</f>
        <v>849025307</v>
      </c>
      <c r="H54" s="80">
        <f>SUM('A4-FinPerf RE'!G5:G11)+'A4-FinPerf RE'!G13+SUM('A4-FinPerf RE'!G15:G17)+'A4-FinPerf RE'!G19</f>
        <v>842025307</v>
      </c>
      <c r="I54" s="80">
        <f>SUM('A4-FinPerf RE'!H5:H11)+'A4-FinPerf RE'!H13+SUM('A4-FinPerf RE'!H15:H17)+'A4-FinPerf RE'!H19</f>
        <v>877691502.0400002</v>
      </c>
      <c r="J54" s="670">
        <f>SUM('A4-FinPerf RE'!I5:I11)+'A4-FinPerf RE'!I13+SUM('A4-FinPerf RE'!I15:I17)+'A4-FinPerf RE'!I19</f>
        <v>877691502.0400002</v>
      </c>
      <c r="K54" s="83">
        <f>SUM('A4-FinPerf RE'!J5:J11)+'A4-FinPerf RE'!J13+SUM('A4-FinPerf RE'!J15:J17)+'A4-FinPerf RE'!J19</f>
        <v>868442232</v>
      </c>
      <c r="L54" s="80">
        <f>SUM('A4-FinPerf RE'!K5:K11)+'A4-FinPerf RE'!K13+SUM('A4-FinPerf RE'!K15:K17)+'A4-FinPerf RE'!K19</f>
        <v>908406574.67200005</v>
      </c>
      <c r="M54" s="670">
        <f>SUM('A4-FinPerf RE'!L5:L11)+'A4-FinPerf RE'!L13+SUM('A4-FinPerf RE'!L15:L17)+'A4-FinPerf RE'!L19</f>
        <v>950210045.10691202</v>
      </c>
    </row>
    <row r="55" spans="1:13">
      <c r="A55" s="454" t="s">
        <v>572</v>
      </c>
      <c r="B55" s="450"/>
      <c r="C55" s="450"/>
      <c r="D55" s="83">
        <f>D84</f>
        <v>2404657.4083333332</v>
      </c>
      <c r="E55" s="80">
        <f>(SUM('A6-FinPos'!D8:D10)+'A6-FinPos'!D15)-(SUM('A6-FinPos'!C8:C10)+'A6-FinPos'!C15)</f>
        <v>8632480</v>
      </c>
      <c r="F55" s="670">
        <f>(SUM('A6-FinPos'!E8:E10)+'A6-FinPos'!E15)-(SUM('A6-FinPos'!D8:D10)+'A6-FinPos'!D15)</f>
        <v>-14311707</v>
      </c>
      <c r="G55" s="83">
        <f>(SUM('A6-FinPos'!F8:F10)+'A6-FinPos'!F15)-(SUM('A6-FinPos'!E8:E10)+'A6-FinPos'!E15)</f>
        <v>36818363.154799998</v>
      </c>
      <c r="H55" s="80">
        <f>(SUM('A6-FinPos'!G8:G10)+'A6-FinPos'!G15)-(SUM('A6-FinPos'!E8:E10)+'A6-FinPos'!E15)</f>
        <v>36818758.634600043</v>
      </c>
      <c r="I55" s="80">
        <f>(SUM('A6-FinPos'!H8:H10)+'A6-FinPos'!H15)-(SUM('A6-FinPos'!E8:E10)+'A6-FinPos'!E15)</f>
        <v>111041.55000001192</v>
      </c>
      <c r="J55" s="670">
        <f>(SUM('A6-FinPos'!I8:I10)+'A6-FinPos'!I15)-(SUM('A6-FinPos'!E8:E10)+'A6-FinPos'!E15)</f>
        <v>111041.55000001192</v>
      </c>
      <c r="K55" s="83">
        <f>(SUM('A6-FinPos'!J8:J10)+'A6-FinPos'!J15)-(SUM('A6-FinPos'!F8:F10)+'A6-FinPos'!F15)</f>
        <v>-35931943.364899993</v>
      </c>
      <c r="L55" s="80">
        <f>(SUM('A6-FinPos'!K8:K10)+'A6-FinPos'!K15)-(SUM('A6-FinPos'!J8:J10)+'A6-FinPos'!J15)</f>
        <v>267708.00908696651</v>
      </c>
      <c r="M55" s="670">
        <f>(SUM('A6-FinPos'!L8:L10)+'A6-FinPos'!L15)-(SUM('A6-FinPos'!K8:K10)+'A6-FinPos'!K15)</f>
        <v>-265941.66179710627</v>
      </c>
    </row>
    <row r="56" spans="1:13">
      <c r="A56" s="454" t="s">
        <v>1066</v>
      </c>
      <c r="B56" s="450" t="s">
        <v>372</v>
      </c>
      <c r="C56" s="450"/>
      <c r="D56" s="83">
        <f>'A4-FinPerf RE'!C18+'A4-FinPerf RE'!C38</f>
        <v>473555257.27999997</v>
      </c>
      <c r="E56" s="80">
        <f>'A4-FinPerf RE'!D18+'A4-FinPerf RE'!D38</f>
        <v>428692119</v>
      </c>
      <c r="F56" s="670">
        <f>'A4-FinPerf RE'!E18+'A4-FinPerf RE'!E38</f>
        <v>435593422.64999998</v>
      </c>
      <c r="G56" s="83">
        <f>'A4-FinPerf RE'!F18+'A4-FinPerf RE'!F38</f>
        <v>505850000</v>
      </c>
      <c r="H56" s="80">
        <f>'A4-FinPerf RE'!G18+'A4-FinPerf RE'!G38</f>
        <v>512181730.01999998</v>
      </c>
      <c r="I56" s="80">
        <f>'A4-FinPerf RE'!H18+'A4-FinPerf RE'!H38</f>
        <v>511883730.01999998</v>
      </c>
      <c r="J56" s="670">
        <f>'A4-FinPerf RE'!I18+'A4-FinPerf RE'!I38</f>
        <v>511883730.01999998</v>
      </c>
      <c r="K56" s="83">
        <f>'A4-FinPerf RE'!J18+'A4-FinPerf RE'!J38</f>
        <v>532902000</v>
      </c>
      <c r="L56" s="80">
        <f>'A4-FinPerf RE'!K18+'A4-FinPerf RE'!K38</f>
        <v>567019200</v>
      </c>
      <c r="M56" s="670">
        <f>'A4-FinPerf RE'!L18+'A4-FinPerf RE'!L38</f>
        <v>602001939.20000005</v>
      </c>
    </row>
    <row r="57" spans="1:13">
      <c r="A57" s="454" t="s">
        <v>1068</v>
      </c>
      <c r="B57" s="455" t="str">
        <f>B17</f>
        <v>20(1)(vi)</v>
      </c>
      <c r="C57" s="450"/>
      <c r="D57" s="83">
        <f>'A5-Capex'!C40</f>
        <v>76418007.712280706</v>
      </c>
      <c r="E57" s="80">
        <f>'A5-Capex'!D40</f>
        <v>48901230.630000003</v>
      </c>
      <c r="F57" s="670">
        <f>'A5-Capex'!E40</f>
        <v>103482438.51000001</v>
      </c>
      <c r="G57" s="83">
        <f>'A5-Capex'!F40</f>
        <v>142719850</v>
      </c>
      <c r="H57" s="80">
        <f>'A5-Capex'!G40</f>
        <v>154392765</v>
      </c>
      <c r="I57" s="80">
        <f>'A5-Capex'!H40</f>
        <v>154392765</v>
      </c>
      <c r="J57" s="670">
        <f>'A5-Capex'!I40</f>
        <v>149686000.89999998</v>
      </c>
      <c r="K57" s="83">
        <f>'A5-Capex'!J40</f>
        <v>130973050</v>
      </c>
      <c r="L57" s="80">
        <f>'A5-Capex'!K40</f>
        <v>106148700</v>
      </c>
      <c r="M57" s="670">
        <f>'A5-Capex'!L40</f>
        <v>112325232</v>
      </c>
    </row>
    <row r="58" spans="1:13">
      <c r="A58" s="454" t="s">
        <v>1069</v>
      </c>
      <c r="B58" s="455" t="str">
        <f>B18</f>
        <v>20(1)(vi)</v>
      </c>
      <c r="C58" s="450"/>
      <c r="D58" s="83">
        <f>'A9-Asset'!C37</f>
        <v>26759823.639298245</v>
      </c>
      <c r="E58" s="80">
        <f>'A9-Asset'!D37</f>
        <v>0</v>
      </c>
      <c r="F58" s="670">
        <f>'A9-Asset'!E37</f>
        <v>0</v>
      </c>
      <c r="G58" s="83">
        <f>'A9-Asset'!F37</f>
        <v>8000001</v>
      </c>
      <c r="H58" s="80">
        <f>'A9-Asset'!G37</f>
        <v>13254835</v>
      </c>
      <c r="I58" s="80">
        <f>'A9-Asset'!H37</f>
        <v>13254835</v>
      </c>
      <c r="J58" s="80"/>
      <c r="K58" s="83">
        <f>'A9-Asset'!I37</f>
        <v>600000</v>
      </c>
      <c r="L58" s="80">
        <f>'A9-Asset'!J37</f>
        <v>0</v>
      </c>
      <c r="M58" s="670">
        <f>'A9-Asset'!K37</f>
        <v>0</v>
      </c>
    </row>
    <row r="59" spans="1:13" ht="6" customHeight="1">
      <c r="A59" s="454"/>
      <c r="B59" s="450"/>
      <c r="C59" s="450"/>
      <c r="D59" s="1434"/>
      <c r="E59" s="167"/>
      <c r="F59" s="1531"/>
      <c r="G59" s="274"/>
      <c r="H59" s="273"/>
      <c r="I59" s="273"/>
      <c r="J59" s="1531"/>
      <c r="K59" s="274"/>
      <c r="L59" s="273"/>
      <c r="M59" s="1531"/>
    </row>
    <row r="60" spans="1:13">
      <c r="A60" s="448" t="s">
        <v>9</v>
      </c>
      <c r="B60" s="450"/>
      <c r="C60" s="450"/>
      <c r="D60" s="1434"/>
      <c r="E60" s="167"/>
      <c r="F60" s="1531"/>
      <c r="G60" s="274"/>
      <c r="H60" s="273"/>
      <c r="I60" s="273"/>
      <c r="J60" s="1531"/>
      <c r="K60" s="274"/>
      <c r="L60" s="273"/>
      <c r="M60" s="1531"/>
    </row>
    <row r="61" spans="1:13">
      <c r="A61" s="454" t="s">
        <v>398</v>
      </c>
      <c r="B61" s="450"/>
      <c r="C61" s="450"/>
      <c r="D61" s="1532">
        <v>0.06</v>
      </c>
      <c r="E61" s="1530">
        <v>0.06</v>
      </c>
      <c r="F61" s="1533">
        <v>0.06</v>
      </c>
      <c r="G61" s="1532">
        <v>0.06</v>
      </c>
      <c r="H61" s="1530">
        <v>0.06</v>
      </c>
      <c r="I61" s="1530">
        <v>0.06</v>
      </c>
      <c r="J61" s="1533">
        <v>0.06</v>
      </c>
      <c r="K61" s="1532">
        <v>0.06</v>
      </c>
      <c r="L61" s="1530">
        <v>0.06</v>
      </c>
      <c r="M61" s="1533">
        <v>0.06</v>
      </c>
    </row>
    <row r="62" spans="1:13">
      <c r="A62" s="454" t="s">
        <v>1818</v>
      </c>
      <c r="B62" s="450"/>
      <c r="C62" s="450"/>
      <c r="D62" s="1532">
        <v>4.2999999999999997E-2</v>
      </c>
      <c r="E62" s="1530">
        <v>3.9E-2</v>
      </c>
      <c r="F62" s="1533">
        <v>4.5999999999999999E-2</v>
      </c>
      <c r="G62" s="1532">
        <v>0.05</v>
      </c>
      <c r="H62" s="1530">
        <v>0.05</v>
      </c>
      <c r="I62" s="1530">
        <v>0.05</v>
      </c>
      <c r="J62" s="1533">
        <v>0.05</v>
      </c>
      <c r="K62" s="1532">
        <v>5.3999999999999999E-2</v>
      </c>
      <c r="L62" s="1530">
        <v>5.6000000000000001E-2</v>
      </c>
      <c r="M62" s="1533">
        <v>5.3999999999999999E-2</v>
      </c>
    </row>
    <row r="63" spans="1:13">
      <c r="A63" s="454" t="s">
        <v>1317</v>
      </c>
      <c r="B63" s="450"/>
      <c r="C63" s="450"/>
      <c r="D63" s="1534"/>
      <c r="E63" s="1535"/>
      <c r="F63" s="1536"/>
      <c r="G63" s="1537"/>
      <c r="H63" s="1538"/>
      <c r="I63" s="1538"/>
      <c r="J63" s="1536"/>
      <c r="K63" s="1953">
        <v>442763950</v>
      </c>
      <c r="L63" s="1951">
        <v>468934300</v>
      </c>
      <c r="M63" s="1954">
        <v>498085200</v>
      </c>
    </row>
    <row r="64" spans="1:13">
      <c r="A64" s="454" t="s">
        <v>1318</v>
      </c>
      <c r="B64" s="450"/>
      <c r="C64" s="450"/>
      <c r="D64" s="1534"/>
      <c r="E64" s="1535"/>
      <c r="F64" s="1536"/>
      <c r="G64" s="1537"/>
      <c r="H64" s="1538"/>
      <c r="I64" s="1538"/>
      <c r="J64" s="1536"/>
      <c r="K64" s="1953">
        <v>88938050</v>
      </c>
      <c r="L64" s="1951">
        <v>96829700</v>
      </c>
      <c r="M64" s="1954">
        <v>102603800</v>
      </c>
    </row>
    <row r="65" spans="1:13">
      <c r="A65" s="454" t="s">
        <v>1319</v>
      </c>
      <c r="B65" s="450"/>
      <c r="C65" s="450"/>
      <c r="D65" s="1534"/>
      <c r="E65" s="1535"/>
      <c r="F65" s="1536"/>
      <c r="G65" s="1537"/>
      <c r="H65" s="1538"/>
      <c r="I65" s="1538"/>
      <c r="J65" s="1536"/>
      <c r="K65" s="1953">
        <v>1200000</v>
      </c>
      <c r="L65" s="1951">
        <v>1255200</v>
      </c>
      <c r="M65" s="1954">
        <v>1312939.2</v>
      </c>
    </row>
    <row r="66" spans="1:13">
      <c r="A66" s="454" t="s">
        <v>1320</v>
      </c>
      <c r="B66" s="450"/>
      <c r="C66" s="450"/>
      <c r="D66" s="1534"/>
      <c r="E66" s="1535"/>
      <c r="F66" s="1536"/>
      <c r="G66" s="1537"/>
      <c r="H66" s="1538"/>
      <c r="I66" s="1538"/>
      <c r="J66" s="1536"/>
      <c r="K66" s="1953"/>
      <c r="L66" s="1951"/>
      <c r="M66" s="1954"/>
    </row>
    <row r="67" spans="1:13">
      <c r="A67" s="454" t="s">
        <v>1065</v>
      </c>
      <c r="B67" s="450"/>
      <c r="C67" s="450"/>
      <c r="D67" s="1534"/>
      <c r="E67" s="1535"/>
      <c r="F67" s="1536"/>
      <c r="G67" s="1537"/>
      <c r="H67" s="1538"/>
      <c r="I67" s="1538"/>
      <c r="J67" s="1536"/>
      <c r="K67" s="1953"/>
      <c r="L67" s="1951"/>
      <c r="M67" s="1954"/>
    </row>
    <row r="68" spans="1:13">
      <c r="A68" s="454" t="s">
        <v>1064</v>
      </c>
      <c r="B68" s="450"/>
      <c r="C68" s="450"/>
      <c r="D68" s="1537"/>
      <c r="E68" s="1538"/>
      <c r="F68" s="1536"/>
      <c r="G68" s="1537"/>
      <c r="H68" s="1538"/>
      <c r="I68" s="1538"/>
      <c r="J68" s="1536"/>
      <c r="K68" s="88">
        <f>SUM(K63:K67)</f>
        <v>532902000</v>
      </c>
      <c r="L68" s="84">
        <f>SUM(L63:L67)</f>
        <v>567019200</v>
      </c>
      <c r="M68" s="426">
        <f>SUM(M63:M67)</f>
        <v>602001939.20000005</v>
      </c>
    </row>
    <row r="69" spans="1:13">
      <c r="A69" s="454" t="s">
        <v>10</v>
      </c>
      <c r="B69" s="450"/>
      <c r="C69" s="450"/>
      <c r="D69" s="1432"/>
      <c r="E69" s="1417"/>
      <c r="F69" s="1533"/>
      <c r="G69" s="1532"/>
      <c r="H69" s="1530"/>
      <c r="I69" s="1530"/>
      <c r="J69" s="1533"/>
      <c r="K69" s="1532"/>
      <c r="L69" s="1530"/>
      <c r="M69" s="1533"/>
    </row>
    <row r="70" spans="1:13" ht="13.5" thickBot="1">
      <c r="A70" s="456"/>
      <c r="B70" s="457"/>
      <c r="C70" s="457"/>
      <c r="D70" s="1539"/>
      <c r="E70" s="1540"/>
      <c r="F70" s="1541"/>
      <c r="G70" s="1542"/>
      <c r="H70" s="1543"/>
      <c r="I70" s="1543"/>
      <c r="J70" s="1541"/>
      <c r="K70" s="1542"/>
      <c r="L70" s="1543"/>
      <c r="M70" s="1541"/>
    </row>
    <row r="71" spans="1:13">
      <c r="A71" s="458" t="s">
        <v>1098</v>
      </c>
      <c r="J71" s="1372"/>
      <c r="K71" s="1544"/>
      <c r="L71" s="1545"/>
      <c r="M71" s="1546"/>
    </row>
    <row r="72" spans="1:13">
      <c r="A72" s="2169" t="s">
        <v>1687</v>
      </c>
      <c r="D72" s="1513"/>
      <c r="E72" s="1513"/>
      <c r="F72" s="1514"/>
      <c r="G72" s="1514"/>
      <c r="H72" s="1514"/>
      <c r="I72" s="1514"/>
      <c r="J72" s="1515"/>
      <c r="K72" s="1953">
        <v>413949000</v>
      </c>
      <c r="L72" s="1951">
        <v>446738000</v>
      </c>
      <c r="M72" s="1954">
        <v>475585000</v>
      </c>
    </row>
    <row r="73" spans="1:13">
      <c r="A73" s="1985" t="s">
        <v>1685</v>
      </c>
      <c r="D73" s="1513"/>
      <c r="E73" s="1513"/>
      <c r="F73" s="1514"/>
      <c r="G73" s="1514"/>
      <c r="H73" s="1514"/>
      <c r="I73" s="1514"/>
      <c r="J73" s="1515"/>
      <c r="K73" s="1953">
        <v>2000000</v>
      </c>
      <c r="L73" s="1951">
        <v>2100000</v>
      </c>
      <c r="M73" s="1954">
        <v>2100000</v>
      </c>
    </row>
    <row r="74" spans="1:13">
      <c r="A74" s="1985" t="s">
        <v>1666</v>
      </c>
      <c r="D74" s="1513"/>
      <c r="E74" s="1513"/>
      <c r="F74" s="1514"/>
      <c r="G74" s="1514"/>
      <c r="H74" s="1514"/>
      <c r="I74" s="1514"/>
      <c r="J74" s="1515"/>
      <c r="K74" s="1953">
        <v>15000000</v>
      </c>
      <c r="L74" s="1951">
        <v>15000000</v>
      </c>
      <c r="M74" s="1954">
        <v>15000000</v>
      </c>
    </row>
    <row r="75" spans="1:13">
      <c r="A75" s="1985" t="s">
        <v>3438</v>
      </c>
      <c r="D75" s="1513"/>
      <c r="E75" s="1513"/>
      <c r="F75" s="1514"/>
      <c r="G75" s="1514"/>
      <c r="H75" s="1514"/>
      <c r="I75" s="1514"/>
      <c r="J75" s="1515"/>
      <c r="K75" s="1953">
        <v>11814950</v>
      </c>
      <c r="L75" s="1951">
        <v>5096300</v>
      </c>
      <c r="M75" s="1954">
        <v>5400200</v>
      </c>
    </row>
    <row r="76" spans="1:13" ht="13.5" thickBot="1">
      <c r="D76" s="1513"/>
      <c r="E76" s="1513"/>
      <c r="F76" s="1514"/>
      <c r="G76" s="1514"/>
      <c r="H76" s="1514"/>
      <c r="I76" s="1514"/>
      <c r="J76" s="1515"/>
      <c r="K76" s="1547">
        <f>SUM(K72:K75)</f>
        <v>442763950</v>
      </c>
      <c r="L76" s="1548">
        <f>SUM(L72:L75)</f>
        <v>468934300</v>
      </c>
      <c r="M76" s="1549">
        <f>SUM(M72:M75)</f>
        <v>498085200</v>
      </c>
    </row>
    <row r="77" spans="1:13" ht="13.5" thickTop="1">
      <c r="A77" s="458" t="s">
        <v>236</v>
      </c>
      <c r="J77" s="1372"/>
      <c r="K77" s="83"/>
      <c r="L77" s="80"/>
      <c r="M77" s="670"/>
    </row>
    <row r="78" spans="1:13">
      <c r="A78" s="2169" t="s">
        <v>1683</v>
      </c>
      <c r="D78" s="1513"/>
      <c r="E78" s="1513"/>
      <c r="F78" s="1514"/>
      <c r="G78" s="1514"/>
      <c r="H78" s="1514"/>
      <c r="I78" s="1514"/>
      <c r="J78" s="1515"/>
      <c r="K78" s="1953">
        <v>88938050</v>
      </c>
      <c r="L78" s="1951">
        <v>96829700</v>
      </c>
      <c r="M78" s="1954">
        <v>102603800</v>
      </c>
    </row>
    <row r="79" spans="1:13">
      <c r="A79" s="1985"/>
      <c r="D79" s="1513"/>
      <c r="E79" s="1513"/>
      <c r="F79" s="1514"/>
      <c r="G79" s="1514"/>
      <c r="H79" s="1514"/>
      <c r="I79" s="1514"/>
      <c r="J79" s="1515"/>
      <c r="K79" s="1953"/>
      <c r="L79" s="1951"/>
      <c r="M79" s="1954"/>
    </row>
    <row r="80" spans="1:13">
      <c r="A80" s="1985"/>
      <c r="D80" s="1513"/>
      <c r="E80" s="1513"/>
      <c r="F80" s="1514"/>
      <c r="G80" s="1514"/>
      <c r="H80" s="1514"/>
      <c r="I80" s="1514"/>
      <c r="J80" s="1515"/>
      <c r="K80" s="1953"/>
      <c r="L80" s="1951"/>
      <c r="M80" s="1954"/>
    </row>
    <row r="81" spans="1:14">
      <c r="A81" s="1985"/>
      <c r="D81" s="1513"/>
      <c r="E81" s="1513"/>
      <c r="F81" s="1514"/>
      <c r="G81" s="1514"/>
      <c r="H81" s="1514"/>
      <c r="I81" s="1514"/>
      <c r="J81" s="1515"/>
      <c r="K81" s="1953"/>
      <c r="L81" s="1951"/>
      <c r="M81" s="1954"/>
    </row>
    <row r="82" spans="1:14" ht="13.5" thickBot="1">
      <c r="A82" s="1385"/>
      <c r="B82" s="210"/>
      <c r="C82" s="210"/>
      <c r="D82" s="1516"/>
      <c r="E82" s="1516"/>
      <c r="F82" s="1517"/>
      <c r="G82" s="1517"/>
      <c r="H82" s="1517"/>
      <c r="I82" s="1517"/>
      <c r="J82" s="1518"/>
      <c r="K82" s="1547">
        <f>SUM(K78:K81)</f>
        <v>88938050</v>
      </c>
      <c r="L82" s="1548">
        <f>SUM(L78:L81)</f>
        <v>96829700</v>
      </c>
      <c r="M82" s="1549">
        <f>SUM(M78:M81)</f>
        <v>102603800</v>
      </c>
    </row>
    <row r="83" spans="1:14" ht="13.5" thickTop="1">
      <c r="A83" s="458" t="s">
        <v>575</v>
      </c>
      <c r="M83" s="1396"/>
    </row>
    <row r="84" spans="1:14">
      <c r="A84" s="26" t="str">
        <f>A55</f>
        <v>Change in consumer debtors (current and non-current)</v>
      </c>
      <c r="D84" s="459">
        <f>TREND(E84:G84)</f>
        <v>2404657.4083333332</v>
      </c>
      <c r="E84" s="459">
        <f>E55</f>
        <v>8632480</v>
      </c>
      <c r="F84" s="459">
        <f>F55</f>
        <v>-14311707</v>
      </c>
      <c r="G84" s="235">
        <f>J55</f>
        <v>111041.55000001192</v>
      </c>
      <c r="H84" s="235">
        <f t="shared" ref="H84:M84" si="8">K55</f>
        <v>-35931943.364899993</v>
      </c>
      <c r="I84" s="235">
        <f t="shared" si="8"/>
        <v>267708.00908696651</v>
      </c>
      <c r="J84" s="235">
        <f t="shared" si="8"/>
        <v>-265941.66179710627</v>
      </c>
      <c r="K84" s="235">
        <f t="shared" si="8"/>
        <v>0</v>
      </c>
      <c r="L84" s="235">
        <f t="shared" si="8"/>
        <v>0</v>
      </c>
      <c r="M84" s="81">
        <f t="shared" si="8"/>
        <v>0</v>
      </c>
    </row>
    <row r="85" spans="1:14" ht="12" customHeight="1">
      <c r="M85" s="1386"/>
    </row>
    <row r="86" spans="1:14">
      <c r="A86" s="1383" t="s">
        <v>1616</v>
      </c>
      <c r="B86" s="1381"/>
      <c r="C86" s="1382"/>
      <c r="D86" s="1519">
        <f>'A1-Sum'!B10</f>
        <v>1097209539.6800001</v>
      </c>
      <c r="E86" s="1520">
        <f>'A1-Sum'!C10</f>
        <v>1107449342.5699999</v>
      </c>
      <c r="F86" s="1521">
        <f>'A1-Sum'!D10</f>
        <v>1092570793.52</v>
      </c>
      <c r="G86" s="1519">
        <f>'A1-Sum'!E10</f>
        <v>1269626457</v>
      </c>
      <c r="H86" s="1520">
        <f>'A1-Sum'!F10</f>
        <v>1268958187.02</v>
      </c>
      <c r="I86" s="1520">
        <f>'A1-Sum'!G10</f>
        <v>1304253509.8400002</v>
      </c>
      <c r="J86" s="1521">
        <f>'A1-Sum'!H10</f>
        <v>1304253509.8400002</v>
      </c>
      <c r="K86" s="1519">
        <f>'A1-Sum'!I10</f>
        <v>1316707182</v>
      </c>
      <c r="L86" s="1520">
        <f>'A1-Sum'!J10</f>
        <v>1383094920.6719999</v>
      </c>
      <c r="M86" s="1522">
        <f>'A1-Sum'!K10</f>
        <v>1454313977.2229118</v>
      </c>
      <c r="N86" s="123"/>
    </row>
    <row r="87" spans="1:14">
      <c r="A87" s="1373" t="s">
        <v>1617</v>
      </c>
      <c r="B87" s="1380"/>
      <c r="C87" s="450"/>
      <c r="D87" s="1421">
        <f>'A1-Sum'!B18</f>
        <v>1118376551.52</v>
      </c>
      <c r="E87" s="197">
        <f>'A1-Sum'!C18</f>
        <v>1222654918.22</v>
      </c>
      <c r="F87" s="1424">
        <f>'A1-Sum'!D18</f>
        <v>1208828630.0599999</v>
      </c>
      <c r="G87" s="1421">
        <f>'A1-Sum'!E18</f>
        <v>1329185979.26</v>
      </c>
      <c r="H87" s="197">
        <f>'A1-Sum'!F18</f>
        <v>1248665017.4200001</v>
      </c>
      <c r="I87" s="197">
        <f>'A1-Sum'!G18</f>
        <v>1275164972.3099999</v>
      </c>
      <c r="J87" s="1424">
        <f>'A1-Sum'!H18</f>
        <v>1275164972.3099999</v>
      </c>
      <c r="K87" s="1421">
        <f>'A1-Sum'!I18</f>
        <v>1287355040.0699999</v>
      </c>
      <c r="L87" s="197">
        <f>'A1-Sum'!J18</f>
        <v>1330222366.2804599</v>
      </c>
      <c r="M87" s="1397">
        <f>'A1-Sum'!K18</f>
        <v>1389067331.9454012</v>
      </c>
      <c r="N87" s="123"/>
    </row>
    <row r="88" spans="1:14">
      <c r="A88" s="1373" t="s">
        <v>1618</v>
      </c>
      <c r="B88" s="1380"/>
      <c r="C88" s="450"/>
      <c r="D88" s="1421">
        <f>D86-D87</f>
        <v>-21167011.839999914</v>
      </c>
      <c r="E88" s="197">
        <f t="shared" ref="E88:M88" si="9">E86-E87</f>
        <v>-115205575.6500001</v>
      </c>
      <c r="F88" s="1424">
        <f t="shared" si="9"/>
        <v>-116257836.53999996</v>
      </c>
      <c r="G88" s="1421">
        <f t="shared" si="9"/>
        <v>-59559522.25999999</v>
      </c>
      <c r="H88" s="197">
        <f t="shared" si="9"/>
        <v>20293169.599999905</v>
      </c>
      <c r="I88" s="197">
        <f t="shared" si="9"/>
        <v>29088537.53000021</v>
      </c>
      <c r="J88" s="1424">
        <f t="shared" si="9"/>
        <v>29088537.53000021</v>
      </c>
      <c r="K88" s="1421">
        <f>K86-K87</f>
        <v>29352141.930000067</v>
      </c>
      <c r="L88" s="197">
        <f t="shared" si="9"/>
        <v>52872554.391540051</v>
      </c>
      <c r="M88" s="1397">
        <f t="shared" si="9"/>
        <v>65246645.277510643</v>
      </c>
      <c r="N88" s="123"/>
    </row>
    <row r="89" spans="1:14">
      <c r="A89" s="1373" t="s">
        <v>1697</v>
      </c>
      <c r="B89" s="1380"/>
      <c r="C89" s="450"/>
      <c r="D89" s="1523"/>
      <c r="E89" s="1524"/>
      <c r="F89" s="1525"/>
      <c r="G89" s="1526"/>
      <c r="H89" s="301"/>
      <c r="I89" s="301"/>
      <c r="J89" s="1525"/>
      <c r="K89" s="1523">
        <f>'A7-CFlow'!J40</f>
        <v>43999999.901153475</v>
      </c>
      <c r="L89" s="301"/>
      <c r="M89" s="1490"/>
      <c r="N89" s="123"/>
    </row>
    <row r="90" spans="1:14">
      <c r="A90" s="1364" t="s">
        <v>1619</v>
      </c>
      <c r="B90" s="1384"/>
      <c r="C90" s="300"/>
      <c r="D90" s="165"/>
      <c r="E90" s="165"/>
      <c r="F90" s="421"/>
      <c r="G90" s="423"/>
      <c r="H90" s="1394"/>
      <c r="I90" s="1394"/>
      <c r="J90" s="421"/>
      <c r="K90" s="423"/>
      <c r="L90" s="1394"/>
      <c r="M90" s="422"/>
    </row>
    <row r="91" spans="1:14">
      <c r="A91" s="78" t="s">
        <v>1620</v>
      </c>
      <c r="B91" s="1375"/>
      <c r="C91" s="113"/>
      <c r="D91" s="1417"/>
      <c r="E91" s="1417">
        <f>IF(ISERROR(('A1-Sum'!C10-'A1-Sum'!B10)/'A1-Sum'!B10),0,(('A1-Sum'!C10-'A1-Sum'!B10)/'A1-Sum'!B10))</f>
        <v>9.3325864565361807E-3</v>
      </c>
      <c r="F91" s="1430">
        <f>IF(ISERROR(('A1-Sum'!D10-'A1-Sum'!C10)/'A1-Sum'!C10),0,(('A1-Sum'!D10-'A1-Sum'!C10)/'A1-Sum'!C10))</f>
        <v>-1.3434970321506607E-2</v>
      </c>
      <c r="G91" s="1432">
        <f>IF(ISERROR(('A1-Sum'!E10-'A1-Sum'!D10)/'A1-Sum'!D10),0,(('A1-Sum'!E10-'A1-Sum'!D10)/'A1-Sum'!D10))</f>
        <v>0.16205417949126144</v>
      </c>
      <c r="H91" s="1417">
        <f>IF(ISERROR(('A1-Sum'!F10-'A1-Sum'!E10)/'A1-Sum'!E10),0,(('A1-Sum'!F10-'A1-Sum'!E10)/'A1-Sum'!E10))</f>
        <v>-5.2635164958603176E-4</v>
      </c>
      <c r="I91" s="1417">
        <f>IF(ISERROR(('A1-Sum'!G10-'A1-Sum'!F10)/'A1-Sum'!F10),0,(('A1-Sum'!G10-'A1-Sum'!F10)/'A1-Sum'!F10))</f>
        <v>2.7814409632272528E-2</v>
      </c>
      <c r="J91" s="1430">
        <f>IF(ISERROR(('A1-Sum'!H10-'A1-Sum'!G10)/'A1-Sum'!G10),0,(('A1-Sum'!H10-'A1-Sum'!G10)/'A1-Sum'!G10))</f>
        <v>0</v>
      </c>
      <c r="K91" s="1432">
        <f>IF(ISERROR(('A1-Sum'!I10-'A1-Sum'!F10)/'A1-Sum'!F10),0,(('A1-Sum'!I10-'A1-Sum'!F10)/'A1-Sum'!F10))</f>
        <v>3.7628501449786106E-2</v>
      </c>
      <c r="L91" s="1417">
        <f>IF(ISERROR(('A1-Sum'!J10-'A1-Sum'!I10)/'A1-Sum'!I10),0,(('A1-Sum'!J10-'A1-Sum'!I10)/'A1-Sum'!I10))</f>
        <v>5.0419515879879154E-2</v>
      </c>
      <c r="M91" s="1418">
        <f>IF(ISERROR(('A1-Sum'!K10-'A1-Sum'!J10)/'A1-Sum'!J10),0,(('A1-Sum'!K10-'A1-Sum'!J10)/'A1-Sum'!J10))</f>
        <v>5.1492529895423897E-2</v>
      </c>
    </row>
    <row r="92" spans="1:14">
      <c r="A92" s="78" t="s">
        <v>1621</v>
      </c>
      <c r="B92" s="1375"/>
      <c r="C92" s="113"/>
      <c r="D92" s="1417"/>
      <c r="E92" s="1417">
        <f>IF(ISERROR(('A4-FinPerf RE'!D5-'A4-FinPerf RE'!C5)/'A4-FinPerf RE'!C5),0,(('A4-FinPerf RE'!D5-'A4-FinPerf RE'!C5)/'A4-FinPerf RE'!C5))</f>
        <v>0.20852498314380588</v>
      </c>
      <c r="F92" s="1430">
        <f>IF(ISERROR(('A4-FinPerf RE'!E5-'A4-FinPerf RE'!D5)/'A4-FinPerf RE'!D5),0,(('A4-FinPerf RE'!E5-'A4-FinPerf RE'!D5)/'A4-FinPerf RE'!D5))</f>
        <v>0.1087518975012363</v>
      </c>
      <c r="G92" s="1432">
        <f>IF(ISERROR(('A4-FinPerf RE'!F5-'A4-FinPerf RE'!E5)/'A4-FinPerf RE'!E5),0,(('A4-FinPerf RE'!F5-'A4-FinPerf RE'!E5)/'A4-FinPerf RE'!E5))</f>
        <v>-5.6914226855799104E-2</v>
      </c>
      <c r="H92" s="1417">
        <f>IF(ISERROR(('A4-FinPerf RE'!G5-'A4-FinPerf RE'!F5)/'A4-FinPerf RE'!F5),0,(('A4-FinPerf RE'!G5-'A4-FinPerf RE'!F5)/'A4-FinPerf RE'!F5))</f>
        <v>0</v>
      </c>
      <c r="I92" s="1417">
        <f>IF(ISERROR(('A4-FinPerf RE'!H5-'A4-FinPerf RE'!G5)/'A4-FinPerf RE'!G5),0,(('A4-FinPerf RE'!H5-'A4-FinPerf RE'!G5)/'A4-FinPerf RE'!G5))</f>
        <v>4.7461542704625853E-3</v>
      </c>
      <c r="J92" s="1430">
        <f>IF(ISERROR(('A4-FinPerf RE'!I5-'A4-FinPerf RE'!H5)/'A4-FinPerf RE'!H5),0,(('A4-FinPerf RE'!I5-'A4-FinPerf RE'!H5)/'A4-FinPerf RE'!H5))</f>
        <v>0</v>
      </c>
      <c r="K92" s="1432">
        <f>IF(ISERROR(('A4-FinPerf RE'!J5-'A4-FinPerf RE'!G5)/'A4-FinPerf RE'!G5),0,(('A4-FinPerf RE'!J5-'A4-FinPerf RE'!G5)/'A4-FinPerf RE'!G5))</f>
        <v>0.17882562277580072</v>
      </c>
      <c r="L92" s="1417">
        <f>IF(ISERROR(('A4-FinPerf RE'!K5-'A4-FinPerf RE'!J5)/'A4-FinPerf RE'!J5),0,(('A4-FinPerf RE'!K5-'A4-FinPerf RE'!J5)/'A4-FinPerf RE'!J5))</f>
        <v>4.5999999999999999E-2</v>
      </c>
      <c r="M92" s="1418">
        <f>IF(ISERROR(('A4-FinPerf RE'!L5-'A4-FinPerf RE'!K5)/'A4-FinPerf RE'!K5),0,(('A4-FinPerf RE'!L5-'A4-FinPerf RE'!K5)/'A4-FinPerf RE'!K5))</f>
        <v>4.5999999999999999E-2</v>
      </c>
    </row>
    <row r="93" spans="1:14">
      <c r="A93" s="78" t="s">
        <v>1622</v>
      </c>
      <c r="B93" s="1375"/>
      <c r="C93" s="113"/>
      <c r="D93" s="1417"/>
      <c r="E93" s="1417">
        <f>IF(ISERROR(('A4-FinPerf RE'!D6-'A4-FinPerf RE'!C6)/'A4-FinPerf RE'!C6),0,(('A4-FinPerf RE'!D6-'A4-FinPerf RE'!C6)/'A4-FinPerf RE'!C6))</f>
        <v>8.183830710378398E-2</v>
      </c>
      <c r="F93" s="1430">
        <f>IF(ISERROR(('A4-FinPerf RE'!E6-'A4-FinPerf RE'!D6)/'A4-FinPerf RE'!D6),0,(('A4-FinPerf RE'!E6-'A4-FinPerf RE'!D6)/'A4-FinPerf RE'!D6))</f>
        <v>-4.7772379117114764E-3</v>
      </c>
      <c r="G93" s="1432">
        <f>IF(ISERROR(('A4-FinPerf RE'!F6-'A4-FinPerf RE'!E6)/'A4-FinPerf RE'!E6),0,(('A4-FinPerf RE'!F6-'A4-FinPerf RE'!E6)/'A4-FinPerf RE'!E6))</f>
        <v>0.28334605851967837</v>
      </c>
      <c r="H93" s="1417">
        <f>IF(ISERROR(('A4-FinPerf RE'!G6-'A4-FinPerf RE'!F6)/'A4-FinPerf RE'!F6),0,(('A4-FinPerf RE'!G6-'A4-FinPerf RE'!F6)/'A4-FinPerf RE'!F6))</f>
        <v>-1.2124760319470114E-2</v>
      </c>
      <c r="I93" s="1417">
        <f>IF(ISERROR(('A4-FinPerf RE'!H6-'A4-FinPerf RE'!G6)/'A4-FinPerf RE'!G6),0,(('A4-FinPerf RE'!H6-'A4-FinPerf RE'!G6)/'A4-FinPerf RE'!G6))</f>
        <v>2.4526082187361409E-2</v>
      </c>
      <c r="J93" s="1430">
        <f>IF(ISERROR(('A4-FinPerf RE'!I6-'A4-FinPerf RE'!H6)/'A4-FinPerf RE'!H6),0,(('A4-FinPerf RE'!I6-'A4-FinPerf RE'!H6)/'A4-FinPerf RE'!H6))</f>
        <v>0</v>
      </c>
      <c r="K93" s="1432">
        <f>IF(ISERROR(('A4-FinPerf RE'!J6-'A4-FinPerf RE'!G6)/'A4-FinPerf RE'!G6),0,(('A4-FinPerf RE'!J6-'A4-FinPerf RE'!G6)/'A4-FinPerf RE'!G6))</f>
        <v>1.5254299696141364E-3</v>
      </c>
      <c r="L93" s="1417">
        <f>IF(ISERROR(('A4-FinPerf RE'!K6-'A4-FinPerf RE'!J6)/'A4-FinPerf RE'!J6),0,(('A4-FinPerf RE'!K6-'A4-FinPerf RE'!J6)/'A4-FinPerf RE'!J6))</f>
        <v>4.6028011155442652E-2</v>
      </c>
      <c r="M93" s="1418">
        <f>IF(ISERROR(('A4-FinPerf RE'!L6-'A4-FinPerf RE'!K6)/'A4-FinPerf RE'!K6),0,(('A4-FinPerf RE'!L6-'A4-FinPerf RE'!K6)/'A4-FinPerf RE'!K6))</f>
        <v>4.6028063962523763E-2</v>
      </c>
    </row>
    <row r="94" spans="1:14">
      <c r="A94" s="209" t="s">
        <v>1623</v>
      </c>
      <c r="B94" s="787"/>
      <c r="C94" s="210"/>
      <c r="D94" s="1392"/>
      <c r="E94" s="1392">
        <f>IF(ISERROR((('A1-Sum'!C5+'A1-Sum'!C6)-('A1-Sum'!B5+'A1-Sum'!B6))/('A1-Sum'!B5+'A1-Sum'!B6)),0,((('A1-Sum'!C5+'A1-Sum'!C6)-('A1-Sum'!B5+'A1-Sum'!B6))/('A1-Sum'!B5+'A1-Sum'!B6)))</f>
        <v>0.10519525296882794</v>
      </c>
      <c r="F94" s="1422">
        <f>IF(ISERROR((('A1-Sum'!D5+'A1-Sum'!D6)-('A1-Sum'!C5+'A1-Sum'!C6))/('A1-Sum'!C5+'A1-Sum'!C6)),0,((('A1-Sum'!D5+'A1-Sum'!D6)-('A1-Sum'!C5+'A1-Sum'!C6))/('A1-Sum'!C5+'A1-Sum'!C6)))</f>
        <v>1.9631728996571469E-2</v>
      </c>
      <c r="G94" s="1427">
        <f>IF(ISERROR((('A1-Sum'!E5+'A1-Sum'!E6)-('A1-Sum'!D5+'A1-Sum'!D6))/('A1-Sum'!D5+'A1-Sum'!D6)),0,((('A1-Sum'!E5+'A1-Sum'!E6)-('A1-Sum'!D5+'A1-Sum'!D6))/('A1-Sum'!D5+'A1-Sum'!D6)))</f>
        <v>0.20155021564365241</v>
      </c>
      <c r="H94" s="1392">
        <f>IF(ISERROR((('A1-Sum'!F5+'A1-Sum'!F6)-('A1-Sum'!E5+'A1-Sum'!E6))/('A1-Sum'!E5+'A1-Sum'!E6)),0,((('A1-Sum'!F5+'A1-Sum'!F6)-('A1-Sum'!E5+'A1-Sum'!E6))/('A1-Sum'!E5+'A1-Sum'!E6)))</f>
        <v>-9.6758231962647979E-3</v>
      </c>
      <c r="I94" s="1392">
        <f>IF(ISERROR((('A1-Sum'!G5+'A1-Sum'!G6)-('A1-Sum'!F5+'A1-Sum'!F6))/('A1-Sum'!F5+'A1-Sum'!F6)),0,((('A1-Sum'!G5+'A1-Sum'!G6)-('A1-Sum'!F5+'A1-Sum'!F6))/('A1-Sum'!F5+'A1-Sum'!F6)))</f>
        <v>1.9040614793895672E-2</v>
      </c>
      <c r="J94" s="1422">
        <f>IF(ISERROR((('A1-Sum'!H5+'A1-Sum'!H6)-('A1-Sum'!G5+'A1-Sum'!G6))/('A1-Sum'!G5+'A1-Sum'!G6)),0,((('A1-Sum'!H5+'A1-Sum'!H6)-('A1-Sum'!G5+'A1-Sum'!G6))/('A1-Sum'!G5+'A1-Sum'!G6)))</f>
        <v>0</v>
      </c>
      <c r="K94" s="1427">
        <f>IF(ISERROR((('A1-Sum'!I5+'A1-Sum'!I6)-('A1-Sum'!F5+'A1-Sum'!F6))/('A1-Sum'!F5+'A1-Sum'!F6)),0,((('A1-Sum'!I5+'A1-Sum'!I6)-('A1-Sum'!F5+'A1-Sum'!F6))/('A1-Sum'!F5+'A1-Sum'!F6)))</f>
        <v>3.1634295411650623E-2</v>
      </c>
      <c r="L94" s="1392">
        <f>IF(ISERROR((('A1-Sum'!J5+'A1-Sum'!J6)-('A1-Sum'!I5+'A1-Sum'!I6))/('A1-Sum'!I5+'A1-Sum'!I6)),0,((('A1-Sum'!J5+'A1-Sum'!J6)-('A1-Sum'!I5+'A1-Sum'!I6))/('A1-Sum'!I5+'A1-Sum'!I6)))</f>
        <v>4.6021647448431798E-2</v>
      </c>
      <c r="M94" s="1399">
        <f>IF(ISERROR((('A1-Sum'!K5+'A1-Sum'!K6)-('A1-Sum'!J5+'A1-Sum'!J6))/('A1-Sum'!J5+'A1-Sum'!J6)),0,((('A1-Sum'!K5+'A1-Sum'!K6)-('A1-Sum'!J5+'A1-Sum'!J6))/('A1-Sum'!J5+'A1-Sum'!J6)))</f>
        <v>4.6021688390495315E-2</v>
      </c>
    </row>
    <row r="95" spans="1:14">
      <c r="A95" s="1373" t="s">
        <v>1624</v>
      </c>
      <c r="B95" s="1375"/>
      <c r="D95" s="167"/>
      <c r="E95" s="167"/>
      <c r="F95" s="1423"/>
      <c r="G95" s="1250"/>
      <c r="H95" s="828"/>
      <c r="I95" s="828"/>
      <c r="J95" s="1423"/>
      <c r="K95" s="1250"/>
      <c r="L95" s="828"/>
      <c r="M95" s="1391"/>
    </row>
    <row r="96" spans="1:14">
      <c r="A96" s="78" t="s">
        <v>1625</v>
      </c>
      <c r="B96" s="1375"/>
      <c r="D96" s="1417"/>
      <c r="E96" s="1417">
        <f>IF(ISERROR(('A1-Sum'!C18-'A1-Sum'!B18)/'A1-Sum'!B18),0,(('A1-Sum'!C18-'A1-Sum'!B18)/'A1-Sum'!B18))</f>
        <v>9.3240837854007205E-2</v>
      </c>
      <c r="F96" s="1430">
        <f>IF(ISERROR(('A1-Sum'!D18-'A1-Sum'!C18)/'A1-Sum'!C18),0,(('A1-Sum'!D18-'A1-Sum'!C18)/'A1-Sum'!C18))</f>
        <v>-1.1308414135469281E-2</v>
      </c>
      <c r="G96" s="1432">
        <f>IF(ISERROR(('A1-Sum'!E18-'A1-Sum'!D18)/'A1-Sum'!D18),0,(('A1-Sum'!E18-'A1-Sum'!D18)/'A1-Sum'!D18))</f>
        <v>9.9565270218679502E-2</v>
      </c>
      <c r="H96" s="1417">
        <f>IF(ISERROR(('A1-Sum'!F18-'A1-Sum'!E18)/'A1-Sum'!E18),0,(('A1-Sum'!F18-'A1-Sum'!E18)/'A1-Sum'!E18))</f>
        <v>-6.0579153780141802E-2</v>
      </c>
      <c r="I96" s="1417">
        <f>IF(ISERROR(('A1-Sum'!G18-'A1-Sum'!F18)/'A1-Sum'!F18),0,(('A1-Sum'!G18-'A1-Sum'!F18)/'A1-Sum'!F18))</f>
        <v>2.1222629384423892E-2</v>
      </c>
      <c r="J96" s="1430">
        <f>IF(ISERROR(('A1-Sum'!H18-'A1-Sum'!G18)/'A1-Sum'!G18),0,(('A1-Sum'!H18-'A1-Sum'!G18)/'A1-Sum'!G18))</f>
        <v>0</v>
      </c>
      <c r="K96" s="1432">
        <f>IF(ISERROR(('A1-Sum'!I18-'A1-Sum'!F18)/'A1-Sum'!F18),0,(('A1-Sum'!I18-'A1-Sum'!F18)/'A1-Sum'!F18))</f>
        <v>3.0985109785442246E-2</v>
      </c>
      <c r="L96" s="1417">
        <f>IF(ISERROR(('A1-Sum'!J18-'A1-Sum'!I18)/'A1-Sum'!I18),0,(('A1-Sum'!J18-'A1-Sum'!I18)/'A1-Sum'!I18))</f>
        <v>3.3298759764151024E-2</v>
      </c>
      <c r="M96" s="1418">
        <f>IF(ISERROR(('A1-Sum'!K18-'A1-Sum'!J18)/'A1-Sum'!J18),0,(('A1-Sum'!K18-'A1-Sum'!J18)/'A1-Sum'!J18))</f>
        <v>4.4236938993502554E-2</v>
      </c>
    </row>
    <row r="97" spans="1:13">
      <c r="A97" s="78" t="s">
        <v>1626</v>
      </c>
      <c r="B97" s="1375"/>
      <c r="D97" s="1417"/>
      <c r="E97" s="1417">
        <f>IF(ISERROR(('A1-Sum'!C11-'A1-Sum'!B11)/'A1-Sum'!B11),0,(('A1-Sum'!C11-'A1-Sum'!B11)/'A1-Sum'!B11))</f>
        <v>5.5362035785660818E-2</v>
      </c>
      <c r="F97" s="1430">
        <f>IF(ISERROR(('A1-Sum'!D11-'A1-Sum'!C11)/'A1-Sum'!C11),0,(('A1-Sum'!D11-'A1-Sum'!C11)/'A1-Sum'!C11))</f>
        <v>4.8997202802418496E-2</v>
      </c>
      <c r="G97" s="1432">
        <f>IF(ISERROR(('A1-Sum'!E11-'A1-Sum'!D11)/'A1-Sum'!D11),0,(('A1-Sum'!E11-'A1-Sum'!D11)/'A1-Sum'!D11))</f>
        <v>0.19574778124313558</v>
      </c>
      <c r="H97" s="1417">
        <f>IF(ISERROR(('A1-Sum'!F11-'A1-Sum'!E11)/'A1-Sum'!E11),0,(('A1-Sum'!F11-'A1-Sum'!E11)/'A1-Sum'!E11))</f>
        <v>-7.2114217918332793E-2</v>
      </c>
      <c r="I97" s="1417">
        <f>IF(ISERROR(('A1-Sum'!G11-'A1-Sum'!F11)/'A1-Sum'!F11),0,(('A1-Sum'!G11-'A1-Sum'!F11)/'A1-Sum'!F11))</f>
        <v>-3.4147080797721753E-2</v>
      </c>
      <c r="J97" s="1430">
        <f>IF(ISERROR(('A1-Sum'!H11-'A1-Sum'!G11)/'A1-Sum'!G11),0,(('A1-Sum'!H11-'A1-Sum'!G11)/'A1-Sum'!G11))</f>
        <v>0</v>
      </c>
      <c r="K97" s="1432">
        <f>IF(ISERROR(('A1-Sum'!I11-'A1-Sum'!F11)/'A1-Sum'!F11),0,(('A1-Sum'!I11-'A1-Sum'!F11)/'A1-Sum'!F11))</f>
        <v>4.1569756783943382E-2</v>
      </c>
      <c r="L97" s="1417">
        <f>IF(ISERROR(('A1-Sum'!J11-'A1-Sum'!I11)/'A1-Sum'!I11),0,(('A1-Sum'!J11-'A1-Sum'!I11)/'A1-Sum'!I11))</f>
        <v>4.6681538937764937E-2</v>
      </c>
      <c r="M97" s="1418">
        <f>IF(ISERROR(('A1-Sum'!K11-'A1-Sum'!J11)/'A1-Sum'!J11),0,(('A1-Sum'!K11-'A1-Sum'!J11)/'A1-Sum'!J11))</f>
        <v>4.6716260434301472E-2</v>
      </c>
    </row>
    <row r="98" spans="1:13">
      <c r="A98" s="78" t="s">
        <v>1627</v>
      </c>
      <c r="B98" s="1375"/>
      <c r="D98" s="1417"/>
      <c r="E98" s="1417">
        <f>IF(ISERROR(('SA1'!D96-'SA1'!C96)/'SA1'!C96),0,(('SA1'!D96-'SA1'!C96)/'SA1'!C96))</f>
        <v>1.2243136019981912E-2</v>
      </c>
      <c r="F98" s="1430">
        <f>IF(ISERROR(('SA1'!E96-'SA1'!D96)/'SA1'!D96),0,(('SA1'!E96-'SA1'!D96)/'SA1'!D96))</f>
        <v>7.0632830259889742E-2</v>
      </c>
      <c r="G98" s="1432">
        <f>IF(ISERROR(('SA1'!F96-'SA1'!E96)/'SA1'!E96),0,(('SA1'!F96-'SA1'!E96)/'SA1'!E96))</f>
        <v>0.15657078480115402</v>
      </c>
      <c r="H98" s="1417">
        <f>IF(ISERROR(('SA1'!G96-'SA1'!F96)/'SA1'!F96),0,(('SA1'!G96-'SA1'!F96)/'SA1'!F96))</f>
        <v>0</v>
      </c>
      <c r="I98" s="1417">
        <f>IF(ISERROR(('SA1'!H96-'SA1'!G96)/'SA1'!G96),0,(('SA1'!H96-'SA1'!G96)/'SA1'!G96))</f>
        <v>2.4204114739454118E-2</v>
      </c>
      <c r="J98" s="1430">
        <f>IF(ISERROR(('SA1'!I96-'SA1'!H96)/'SA1'!H96),0,(('SA1'!I96-'SA1'!H96)/'SA1'!H96))</f>
        <v>0</v>
      </c>
      <c r="K98" s="1432">
        <f>IF(ISERROR(('SA1'!J96-'SA1'!G96)/'SA1'!G96),0,(('SA1'!J96-'SA1'!G96)/'SA1'!G96))</f>
        <v>7.9094292803970224E-3</v>
      </c>
      <c r="L98" s="1417">
        <f>IF(ISERROR(('SA1'!K96-'SA1'!J96)/'SA1'!J96),0,(('SA1'!K96-'SA1'!J96)/'SA1'!J96))</f>
        <v>5.5817818125865518E-2</v>
      </c>
      <c r="M98" s="1418">
        <f>IF(ISERROR(('SA1'!L96-'SA1'!K96)/'SA1'!K96),0,(('SA1'!L96-'SA1'!K96)/'SA1'!K96))</f>
        <v>4.5999999999999999E-2</v>
      </c>
    </row>
    <row r="99" spans="1:13">
      <c r="A99" s="78" t="s">
        <v>1710</v>
      </c>
      <c r="B99" s="1375"/>
      <c r="D99" s="167"/>
      <c r="E99" s="167"/>
      <c r="F99" s="424">
        <f>IF(ISERROR('A1-Sum'!D11/('SA24'!D36+'SA24'!E36-'SA24'!C5)),0,('A1-Sum'!D11/('SA24'!D36+'SA24'!E36-'SA24'!C5)))</f>
        <v>506820.4898305086</v>
      </c>
      <c r="G99" s="1434">
        <f>IF(ISERROR('A1-Sum'!E11/('SA24'!F36-'SA24'!F5)),0,('A1-Sum'!E11/('SA24'!F36-'SA24'!F5)))</f>
        <v>550088.29378461535</v>
      </c>
      <c r="H99" s="828"/>
      <c r="I99" s="828"/>
      <c r="J99" s="1423"/>
      <c r="K99" s="1434">
        <f>IF(ISERROR('A1-Sum'!I11/('SA24'!I36-'SA24'!I5)),0,('A1-Sum'!I11/('SA24'!I36-'SA24'!I5)))</f>
        <v>505210.69902046781</v>
      </c>
      <c r="L99" s="828"/>
      <c r="M99" s="1391"/>
    </row>
    <row r="100" spans="1:13">
      <c r="A100" s="78" t="s">
        <v>1628</v>
      </c>
      <c r="B100" s="1375"/>
      <c r="D100" s="167"/>
      <c r="E100" s="167"/>
      <c r="F100" s="424">
        <f>IF(ISERROR('A1-Sum'!D12/'SA24'!C5),0,('A1-Sum'!D12/'SA24'!C5))</f>
        <v>392036.60869565216</v>
      </c>
      <c r="G100" s="1434">
        <f>IF(ISERROR('A1-Sum'!E12/'SA24'!F5),0,('A1-Sum'!E12/'SA24'!F5))</f>
        <v>419813.49275362317</v>
      </c>
      <c r="H100" s="828"/>
      <c r="I100" s="828"/>
      <c r="J100" s="1423"/>
      <c r="K100" s="1434">
        <f>IF(ISERROR('A1-Sum'!I12/'SA24'!I5),0,('A1-Sum'!I12/'SA24'!I5))</f>
        <v>420796.85507246375</v>
      </c>
      <c r="L100" s="828"/>
      <c r="M100" s="1391"/>
    </row>
    <row r="101" spans="1:13">
      <c r="A101" s="78" t="s">
        <v>1629</v>
      </c>
      <c r="B101" s="1376"/>
      <c r="D101" s="1417">
        <f>'A9-Asset'!C205</f>
        <v>1.7999999999999999E-2</v>
      </c>
      <c r="E101" s="1417">
        <f>'A9-Asset'!D205</f>
        <v>2.9000000000000001E-2</v>
      </c>
      <c r="F101" s="1430">
        <f>'A9-Asset'!E205</f>
        <v>2.5000000000000001E-2</v>
      </c>
      <c r="G101" s="1432">
        <f>'A9-Asset'!F205</f>
        <v>1.7000000000000001E-2</v>
      </c>
      <c r="H101" s="1417">
        <f>'A9-Asset'!G205</f>
        <v>0.02</v>
      </c>
      <c r="I101" s="1417">
        <f>'A9-Asset'!H205</f>
        <v>2.3E-2</v>
      </c>
      <c r="J101" s="1430"/>
      <c r="K101" s="1432">
        <f>'A9-Asset'!I205</f>
        <v>3.2000000000000001E-2</v>
      </c>
      <c r="L101" s="1417">
        <f>'A9-Asset'!J205</f>
        <v>3.1E-2</v>
      </c>
      <c r="M101" s="1418">
        <f>'A9-Asset'!K205</f>
        <v>0.03</v>
      </c>
    </row>
    <row r="102" spans="1:13">
      <c r="A102" s="78" t="s">
        <v>1630</v>
      </c>
      <c r="B102" s="1376"/>
      <c r="D102" s="1417">
        <f>'A9-Asset'!C206</f>
        <v>0.03</v>
      </c>
      <c r="E102" s="1417">
        <f>'A9-Asset'!D206</f>
        <v>0.04</v>
      </c>
      <c r="F102" s="1430">
        <f>'A9-Asset'!E206</f>
        <v>0.03</v>
      </c>
      <c r="G102" s="1432">
        <f>'A9-Asset'!F206</f>
        <v>0.03</v>
      </c>
      <c r="H102" s="1417">
        <f>'A9-Asset'!G206</f>
        <v>0.06</v>
      </c>
      <c r="I102" s="1417">
        <f>'A9-Asset'!H206</f>
        <v>0.06</v>
      </c>
      <c r="J102" s="1430"/>
      <c r="K102" s="1432">
        <f>'A9-Asset'!I206</f>
        <v>0.08</v>
      </c>
      <c r="L102" s="1417">
        <f>'A9-Asset'!J206</f>
        <v>7.0000000000000007E-2</v>
      </c>
      <c r="M102" s="1418">
        <f>'A9-Asset'!K206</f>
        <v>7.0000000000000007E-2</v>
      </c>
    </row>
    <row r="103" spans="1:13">
      <c r="A103" s="209" t="s">
        <v>1720</v>
      </c>
      <c r="B103" s="1387"/>
      <c r="C103" s="210"/>
      <c r="D103" s="1392">
        <f>'SA10'!D11</f>
        <v>0.10930009122026485</v>
      </c>
      <c r="E103" s="1392">
        <f>'SA10'!E11</f>
        <v>0.19803288735859795</v>
      </c>
      <c r="F103" s="1422">
        <f>'SA10'!F11</f>
        <v>0.20547883462681302</v>
      </c>
      <c r="G103" s="1427">
        <f>'SA10'!G11</f>
        <v>0.10035210914983204</v>
      </c>
      <c r="H103" s="1392">
        <f>'SA10'!H11</f>
        <v>7.4055695769441474E-2</v>
      </c>
      <c r="I103" s="1392">
        <f>'SA10'!I11</f>
        <v>8.2181158506406976E-2</v>
      </c>
      <c r="J103" s="1392">
        <f>'SA10'!J11</f>
        <v>8.2181158506406976E-2</v>
      </c>
      <c r="K103" s="1427">
        <f>'SA10'!K11</f>
        <v>9.4755886405295767E-2</v>
      </c>
      <c r="L103" s="1392">
        <f>'SA10'!L11</f>
        <v>9.4753925429469338E-2</v>
      </c>
      <c r="M103" s="1399">
        <f>'SA10'!M11</f>
        <v>9.4751960785563305E-2</v>
      </c>
    </row>
    <row r="104" spans="1:13">
      <c r="A104" s="1373" t="s">
        <v>1631</v>
      </c>
      <c r="B104" s="1375"/>
      <c r="D104" s="167"/>
      <c r="E104" s="167"/>
      <c r="F104" s="1423"/>
      <c r="G104" s="1250"/>
      <c r="H104" s="828"/>
      <c r="I104" s="828"/>
      <c r="J104" s="1423"/>
      <c r="K104" s="1250"/>
      <c r="L104" s="828"/>
      <c r="M104" s="1391"/>
    </row>
    <row r="105" spans="1:13">
      <c r="A105" s="78" t="s">
        <v>1632</v>
      </c>
      <c r="B105" s="453"/>
      <c r="D105" s="1421">
        <f>'A1-Sum'!B29+'A1-Sum'!B31</f>
        <v>5361114</v>
      </c>
      <c r="E105" s="197">
        <f>'A1-Sum'!C29+'A1-Sum'!C31</f>
        <v>826160</v>
      </c>
      <c r="F105" s="1424">
        <f>'A1-Sum'!D29+'A1-Sum'!D31</f>
        <v>0</v>
      </c>
      <c r="G105" s="1421">
        <f>'A1-Sum'!E29+'A1-Sum'!E31</f>
        <v>34519997</v>
      </c>
      <c r="H105" s="197">
        <f>'A1-Sum'!F29+'A1-Sum'!F31</f>
        <v>21995239</v>
      </c>
      <c r="I105" s="197">
        <f>'A1-Sum'!G29+'A1-Sum'!G31</f>
        <v>21995239</v>
      </c>
      <c r="J105" s="1424">
        <f>'A1-Sum'!H29+'A1-Sum'!H31</f>
        <v>21995239</v>
      </c>
      <c r="K105" s="1421">
        <f>'A1-Sum'!I29+'A1-Sum'!I31</f>
        <v>20035000</v>
      </c>
      <c r="L105" s="197">
        <f>'A1-Sum'!J29+'A1-Sum'!J31</f>
        <v>9319000</v>
      </c>
      <c r="M105" s="1397">
        <f>'A1-Sum'!K29+'A1-Sum'!K31</f>
        <v>9721432</v>
      </c>
    </row>
    <row r="106" spans="1:13">
      <c r="A106" s="78" t="s">
        <v>1633</v>
      </c>
      <c r="B106" s="453"/>
      <c r="D106" s="1421">
        <f>'A1-Sum'!B30</f>
        <v>12369033</v>
      </c>
      <c r="E106" s="197">
        <f>'A1-Sum'!C30</f>
        <v>12113986</v>
      </c>
      <c r="F106" s="1424">
        <f>'A1-Sum'!D30</f>
        <v>18012105</v>
      </c>
      <c r="G106" s="1421">
        <f>'A1-Sum'!E30</f>
        <v>23450003</v>
      </c>
      <c r="H106" s="197">
        <f>'A1-Sum'!F30</f>
        <v>32847676</v>
      </c>
      <c r="I106" s="197">
        <f>'A1-Sum'!G30</f>
        <v>32847676</v>
      </c>
      <c r="J106" s="1424">
        <f>'A1-Sum'!H30</f>
        <v>32847676</v>
      </c>
      <c r="K106" s="1421">
        <f>'A1-Sum'!I30</f>
        <v>22000000</v>
      </c>
      <c r="L106" s="197">
        <f>'A1-Sum'!J30</f>
        <v>0</v>
      </c>
      <c r="M106" s="1397">
        <f>'A1-Sum'!K30</f>
        <v>0</v>
      </c>
    </row>
    <row r="107" spans="1:13">
      <c r="A107" s="78" t="s">
        <v>1634</v>
      </c>
      <c r="B107" s="453"/>
      <c r="D107" s="1421">
        <f>'A1-Sum'!B28</f>
        <v>58687861</v>
      </c>
      <c r="E107" s="197">
        <f>'A1-Sum'!C28</f>
        <v>35960391</v>
      </c>
      <c r="F107" s="1424">
        <f>'A1-Sum'!D28</f>
        <v>85470334</v>
      </c>
      <c r="G107" s="1421">
        <f>'A1-Sum'!E28</f>
        <v>84749850</v>
      </c>
      <c r="H107" s="197">
        <f>'A1-Sum'!F28</f>
        <v>99549850</v>
      </c>
      <c r="I107" s="197">
        <f>'A1-Sum'!G28</f>
        <v>99549850</v>
      </c>
      <c r="J107" s="1424">
        <f>'A1-Sum'!H28</f>
        <v>99549850</v>
      </c>
      <c r="K107" s="1421">
        <f>'A1-Sum'!I28</f>
        <v>88938050</v>
      </c>
      <c r="L107" s="197">
        <f>'A1-Sum'!J28</f>
        <v>96829700</v>
      </c>
      <c r="M107" s="1397">
        <f>'A1-Sum'!K28</f>
        <v>102603800</v>
      </c>
    </row>
    <row r="108" spans="1:13">
      <c r="A108" s="78" t="s">
        <v>1635</v>
      </c>
      <c r="B108" s="1377"/>
      <c r="D108" s="1393">
        <f>IF(ISERROR(('A1-Sum'!B29+'A1-Sum'!B31)/('A1-Sum'!B32-'A1-Sum'!B28)),0,(('A1-Sum'!B29+'A1-Sum'!B31)/('A1-Sum'!B32-'A1-Sum'!B28)))</f>
        <v>0.30237278912577542</v>
      </c>
      <c r="E108" s="1393">
        <f>IF(ISERROR(('A1-Sum'!C29+'A1-Sum'!C31)/('A1-Sum'!C32-'A1-Sum'!C28)),0,(('A1-Sum'!C29+'A1-Sum'!C31)/('A1-Sum'!C32-'A1-Sum'!C28)))</f>
        <v>6.3844720144579509E-2</v>
      </c>
      <c r="F108" s="1425">
        <f>IF(ISERROR(('A1-Sum'!D29+'A1-Sum'!D31)/('A1-Sum'!D32-'A1-Sum'!D28)),0,(('A1-Sum'!D29+'A1-Sum'!D31)/('A1-Sum'!D32-'A1-Sum'!D28)))</f>
        <v>0</v>
      </c>
      <c r="G108" s="1428">
        <f>IF(ISERROR(('A1-Sum'!E29+'A1-Sum'!E31)/('A1-Sum'!E32-'A1-Sum'!E28)),0,(('A1-Sum'!E29+'A1-Sum'!E31)/('A1-Sum'!E32-'A1-Sum'!E28)))</f>
        <v>0.59548036915646019</v>
      </c>
      <c r="H108" s="1393">
        <f>IF(ISERROR(('A1-Sum'!F29+'A1-Sum'!F31)/('A1-Sum'!F32-'A1-Sum'!F28)),0,(('A1-Sum'!F29+'A1-Sum'!F31)/('A1-Sum'!F32-'A1-Sum'!F28)))</f>
        <v>0.40105889703346365</v>
      </c>
      <c r="I108" s="1393">
        <f>IF(ISERROR(('A1-Sum'!G29+'A1-Sum'!G31)/('A1-Sum'!G32-'A1-Sum'!G28)),0,(('A1-Sum'!G29+'A1-Sum'!G31)/('A1-Sum'!G32-'A1-Sum'!G28)))</f>
        <v>0.40105889703346365</v>
      </c>
      <c r="J108" s="1425">
        <f>IF(ISERROR(('A1-Sum'!H29+'A1-Sum'!H31)/('A1-Sum'!H32-'A1-Sum'!H28)),0,(('A1-Sum'!H29+'A1-Sum'!H31)/('A1-Sum'!H32-'A1-Sum'!H28)))</f>
        <v>0.40105889703346365</v>
      </c>
      <c r="K108" s="1428">
        <f>IF(ISERROR(('A1-Sum'!I29+'A1-Sum'!I31)/('A1-Sum'!I32-'A1-Sum'!I28)),0,(('A1-Sum'!I29+'A1-Sum'!I31)/('A1-Sum'!I32-'A1-Sum'!I28)))</f>
        <v>0.47662662067324846</v>
      </c>
      <c r="L108" s="1393">
        <f>IF(ISERROR(('A1-Sum'!J29+'A1-Sum'!J31)/('A1-Sum'!J32-'A1-Sum'!J28)),0,(('A1-Sum'!J29+'A1-Sum'!J31)/('A1-Sum'!J32-'A1-Sum'!J28)))</f>
        <v>1</v>
      </c>
      <c r="M108" s="1400">
        <f>IF(ISERROR(('A1-Sum'!K29+'A1-Sum'!K31)/('A1-Sum'!K32-'A1-Sum'!K28)),0,(('A1-Sum'!K29+'A1-Sum'!K31)/('A1-Sum'!K32-'A1-Sum'!K28)))</f>
        <v>1</v>
      </c>
    </row>
    <row r="109" spans="1:13">
      <c r="A109" s="78" t="s">
        <v>1636</v>
      </c>
      <c r="B109" s="1377"/>
      <c r="D109" s="1393">
        <f>IF(ISERROR('A1-Sum'!B30/('A1-Sum'!B32-'A1-Sum'!B28)),0,('A1-Sum'!B30/('A1-Sum'!B32-'A1-Sum'!B28)))</f>
        <v>0.69762721087422452</v>
      </c>
      <c r="E109" s="1393">
        <f>IF(ISERROR('A1-Sum'!C30/('A1-Sum'!C32-'A1-Sum'!C28)),0,('A1-Sum'!C30/('A1-Sum'!C32-'A1-Sum'!C28)))</f>
        <v>0.93615527985542046</v>
      </c>
      <c r="F109" s="1425">
        <f>IF(ISERROR('A1-Sum'!D30/('A1-Sum'!D32-'A1-Sum'!D28)),0,('A1-Sum'!D30/('A1-Sum'!D32-'A1-Sum'!D28)))</f>
        <v>1</v>
      </c>
      <c r="G109" s="1428">
        <f>IF(ISERROR('A1-Sum'!E30/('A1-Sum'!E32-'A1-Sum'!E28)),0,('A1-Sum'!E30/('A1-Sum'!E32-'A1-Sum'!E28)))</f>
        <v>0.40451963084353976</v>
      </c>
      <c r="H109" s="1393">
        <f>IF(ISERROR('A1-Sum'!F30/('A1-Sum'!F32-'A1-Sum'!F28)),0,('A1-Sum'!F30/('A1-Sum'!F32-'A1-Sum'!F28)))</f>
        <v>0.59894110296653635</v>
      </c>
      <c r="I109" s="1393">
        <f>IF(ISERROR('A1-Sum'!G30/('A1-Sum'!G32-'A1-Sum'!G28)),0,('A1-Sum'!G30/('A1-Sum'!G32-'A1-Sum'!G28)))</f>
        <v>0.59894110296653635</v>
      </c>
      <c r="J109" s="1425">
        <f>IF(ISERROR('A1-Sum'!H30/('A1-Sum'!H32-'A1-Sum'!H28)),0,('A1-Sum'!H30/('A1-Sum'!H32-'A1-Sum'!H28)))</f>
        <v>0.59894110296653635</v>
      </c>
      <c r="K109" s="1428">
        <f>IF(ISERROR('A1-Sum'!I30/('A1-Sum'!I32-'A1-Sum'!I28)),0,('A1-Sum'!I30/('A1-Sum'!I32-'A1-Sum'!I28)))</f>
        <v>0.52337337932675154</v>
      </c>
      <c r="L109" s="1393">
        <f>IF(ISERROR('A1-Sum'!J30/('A1-Sum'!J32-'A1-Sum'!J28)),0,('A1-Sum'!J30/('A1-Sum'!J32-'A1-Sum'!J28)))</f>
        <v>0</v>
      </c>
      <c r="M109" s="1400">
        <f>IF(ISERROR('A1-Sum'!K30/('A1-Sum'!K32-'A1-Sum'!K28)),0,('A1-Sum'!K30/('A1-Sum'!K32-'A1-Sum'!K28)))</f>
        <v>0</v>
      </c>
    </row>
    <row r="110" spans="1:13">
      <c r="A110" s="1385" t="s">
        <v>1637</v>
      </c>
      <c r="B110" s="1387"/>
      <c r="C110" s="210"/>
      <c r="D110" s="1419">
        <f>IF(ISERROR('A1-Sum'!B28/'A1-Sum'!B32),0,('A1-Sum'!B28/'A1-Sum'!B32))</f>
        <v>0.76798470067421809</v>
      </c>
      <c r="E110" s="1419">
        <f>IF(ISERROR('A1-Sum'!C28/'A1-Sum'!C32),0,('A1-Sum'!C28/'A1-Sum'!C32))</f>
        <v>0.73537824339229652</v>
      </c>
      <c r="F110" s="1426">
        <f>IF(ISERROR('A1-Sum'!D28/'A1-Sum'!D32),0,('A1-Sum'!D28/'A1-Sum'!D32))</f>
        <v>0.82594046705837698</v>
      </c>
      <c r="G110" s="1429">
        <f>IF(ISERROR('A1-Sum'!E28/'A1-Sum'!E32),0,('A1-Sum'!E28/'A1-Sum'!E32))</f>
        <v>0.59381964036537316</v>
      </c>
      <c r="H110" s="1419">
        <f>IF(ISERROR('A1-Sum'!F28/'A1-Sum'!F32),0,('A1-Sum'!F28/'A1-Sum'!F32))</f>
        <v>0.64478312827676865</v>
      </c>
      <c r="I110" s="1419">
        <f>IF(ISERROR('A1-Sum'!G28/'A1-Sum'!G32),0,('A1-Sum'!G28/'A1-Sum'!G32))</f>
        <v>0.64478312827676865</v>
      </c>
      <c r="J110" s="1426">
        <f>IF(ISERROR('A1-Sum'!H28/'A1-Sum'!H32),0,('A1-Sum'!H28/'A1-Sum'!H32))</f>
        <v>0.64478312827676865</v>
      </c>
      <c r="K110" s="1429">
        <f>IF(ISERROR('A1-Sum'!I28/'A1-Sum'!I32),0,('A1-Sum'!I28/'A1-Sum'!I32))</f>
        <v>0.67905611116180009</v>
      </c>
      <c r="L110" s="1419">
        <f>IF(ISERROR('A1-Sum'!J28/'A1-Sum'!J32),0,('A1-Sum'!J28/'A1-Sum'!J32))</f>
        <v>0.91220806284014788</v>
      </c>
      <c r="M110" s="1420">
        <f>IF(ISERROR('A1-Sum'!K28/'A1-Sum'!K32),0,('A1-Sum'!K28/'A1-Sum'!K32))</f>
        <v>0.91345282064496425</v>
      </c>
    </row>
    <row r="111" spans="1:13">
      <c r="A111" s="1373" t="s">
        <v>1638</v>
      </c>
      <c r="B111" s="1375"/>
      <c r="D111" s="167"/>
      <c r="E111" s="167"/>
      <c r="F111" s="1423"/>
      <c r="G111" s="1250"/>
      <c r="H111" s="828"/>
      <c r="I111" s="828"/>
      <c r="J111" s="1423"/>
      <c r="K111" s="1250"/>
      <c r="L111" s="828"/>
      <c r="M111" s="1391"/>
    </row>
    <row r="112" spans="1:13">
      <c r="A112" s="123" t="s">
        <v>1639</v>
      </c>
      <c r="B112" s="453"/>
      <c r="D112" s="1421">
        <f>'A1-Sum'!B27</f>
        <v>76418008</v>
      </c>
      <c r="E112" s="197">
        <f>'A1-Sum'!C27</f>
        <v>48900537</v>
      </c>
      <c r="F112" s="1424">
        <f>'A1-Sum'!D27</f>
        <v>103482439</v>
      </c>
      <c r="G112" s="1421">
        <f>'A1-Sum'!E27</f>
        <v>142719850</v>
      </c>
      <c r="H112" s="197">
        <f>'A1-Sum'!F27</f>
        <v>154392765</v>
      </c>
      <c r="I112" s="197">
        <f>'A1-Sum'!G27</f>
        <v>154392765</v>
      </c>
      <c r="J112" s="1424">
        <f>'A1-Sum'!H27</f>
        <v>154392765</v>
      </c>
      <c r="K112" s="1421">
        <f>'A1-Sum'!I27</f>
        <v>130973050</v>
      </c>
      <c r="L112" s="197">
        <f>'A1-Sum'!J27</f>
        <v>106148700</v>
      </c>
      <c r="M112" s="1397">
        <f>'A1-Sum'!K27</f>
        <v>112325232</v>
      </c>
    </row>
    <row r="113" spans="1:13">
      <c r="A113" s="123" t="s">
        <v>1640</v>
      </c>
      <c r="B113" s="453"/>
      <c r="D113" s="1421">
        <f>'A1-Sum'!B55</f>
        <v>26759823.639298245</v>
      </c>
      <c r="E113" s="197">
        <f>'A1-Sum'!C55</f>
        <v>21732907</v>
      </c>
      <c r="F113" s="1424">
        <f>'A1-Sum'!D55</f>
        <v>17531610</v>
      </c>
      <c r="G113" s="1421">
        <f>'A1-Sum'!E55</f>
        <v>45409467</v>
      </c>
      <c r="H113" s="197">
        <f>'A1-Sum'!F55</f>
        <v>74629787</v>
      </c>
      <c r="I113" s="197">
        <f>'A1-Sum'!G55</f>
        <v>74629787</v>
      </c>
      <c r="J113" s="1424">
        <f>'A1-Sum'!H55</f>
        <v>74629787</v>
      </c>
      <c r="K113" s="1421">
        <f>'A1-Sum'!I55</f>
        <v>106938050</v>
      </c>
      <c r="L113" s="197">
        <f>'A1-Sum'!J55</f>
        <v>96829700</v>
      </c>
      <c r="M113" s="1397">
        <f>'A1-Sum'!K55</f>
        <v>102603794</v>
      </c>
    </row>
    <row r="114" spans="1:13">
      <c r="A114" s="1385" t="s">
        <v>1641</v>
      </c>
      <c r="B114" s="1387"/>
      <c r="C114" s="210"/>
      <c r="D114" s="1392">
        <f>IF(ISERROR('A1-Sum'!B55/'A1-Sum'!B32),0,('A1-Sum'!B55/'A1-Sum'!B32))</f>
        <v>0.35017693263213884</v>
      </c>
      <c r="E114" s="1392">
        <f>IF(ISERROR('A1-Sum'!C55/'A1-Sum'!C32),0,('A1-Sum'!C55/'A1-Sum'!C32))</f>
        <v>0.44443084541177941</v>
      </c>
      <c r="F114" s="1422">
        <f>IF(ISERROR('A1-Sum'!D55/'A1-Sum'!D32),0,('A1-Sum'!D55/'A1-Sum'!D32))</f>
        <v>0.16941628134605524</v>
      </c>
      <c r="G114" s="1427">
        <f>IF(ISERROR('A1-Sum'!E55/'A1-Sum'!E32),0,('A1-Sum'!E55/'A1-Sum'!E32))</f>
        <v>0.31817204824696776</v>
      </c>
      <c r="H114" s="1392">
        <f>IF(ISERROR('A1-Sum'!F55/'A1-Sum'!F32),0,('A1-Sum'!F55/'A1-Sum'!F32))</f>
        <v>0.48337619317848218</v>
      </c>
      <c r="I114" s="1392">
        <f>IF(ISERROR('A1-Sum'!G55/'A1-Sum'!G32),0,('A1-Sum'!G55/'A1-Sum'!G32))</f>
        <v>0.48337619317848218</v>
      </c>
      <c r="J114" s="1399">
        <f>IF(ISERROR('A1-Sum'!H55/'A1-Sum'!H32),0,('A1-Sum'!H55/'A1-Sum'!H32))</f>
        <v>0.48337619317848218</v>
      </c>
      <c r="K114" s="1931">
        <f>IF(ISERROR('A1-Sum'!I55/'A1-Sum'!I32),0,('A1-Sum'!I55/'A1-Sum'!I32))</f>
        <v>0.81648896471449661</v>
      </c>
      <c r="L114" s="1392">
        <f>IF(ISERROR('A1-Sum'!J55/'A1-Sum'!J32),0,('A1-Sum'!J55/'A1-Sum'!J32))</f>
        <v>0.91220806284014788</v>
      </c>
      <c r="M114" s="1392">
        <f>IF(ISERROR('A1-Sum'!K55/'A1-Sum'!K32),0,('A1-Sum'!K55/'A1-Sum'!K32))</f>
        <v>0.91345276722864899</v>
      </c>
    </row>
    <row r="115" spans="1:13">
      <c r="A115" s="1373" t="s">
        <v>600</v>
      </c>
      <c r="B115" s="1375"/>
      <c r="D115" s="167"/>
      <c r="E115" s="167"/>
      <c r="F115" s="1423"/>
      <c r="G115" s="1250"/>
      <c r="H115" s="828"/>
      <c r="I115" s="828"/>
      <c r="J115" s="1423"/>
      <c r="K115" s="1250"/>
      <c r="L115" s="828"/>
      <c r="M115" s="1391"/>
    </row>
    <row r="116" spans="1:13">
      <c r="A116" s="123" t="s">
        <v>1642</v>
      </c>
      <c r="B116" s="1377"/>
      <c r="D116" s="1393">
        <f>'SA10'!D10</f>
        <v>0.88849084164638492</v>
      </c>
      <c r="E116" s="1393">
        <f>'SA10'!E10</f>
        <v>0.83305714317881663</v>
      </c>
      <c r="F116" s="1425">
        <f>'SA10'!F10</f>
        <v>0.9647522798777467</v>
      </c>
      <c r="G116" s="1428">
        <f>'SA10'!G10</f>
        <v>0.85784558532599786</v>
      </c>
      <c r="H116" s="1393">
        <f>'SA10'!H10</f>
        <v>0.85279457217073884</v>
      </c>
      <c r="I116" s="1393">
        <f>'SA10'!I10</f>
        <v>0.74697986989296461</v>
      </c>
      <c r="J116" s="1425">
        <f>'SA10'!J10</f>
        <v>0.74697986989296461</v>
      </c>
      <c r="K116" s="1428">
        <f>'SA10'!K10</f>
        <v>0.83875240281958097</v>
      </c>
      <c r="L116" s="1393">
        <f>'SA10'!L10</f>
        <v>0.83878915668914311</v>
      </c>
      <c r="M116" s="1400">
        <f>'SA10'!M10</f>
        <v>0.83882618512027984</v>
      </c>
    </row>
    <row r="117" spans="1:13">
      <c r="A117" s="1385" t="s">
        <v>1643</v>
      </c>
      <c r="B117" s="1388"/>
      <c r="C117" s="210"/>
      <c r="D117" s="1395">
        <f>'SA10'!D7</f>
        <v>0.44493487003659937</v>
      </c>
      <c r="E117" s="1395">
        <f>'SA10'!E7</f>
        <v>0.10062172692375493</v>
      </c>
      <c r="F117" s="1431">
        <f>'SA10'!F7</f>
        <v>0.52350721665438105</v>
      </c>
      <c r="G117" s="1433">
        <f>'SA10'!G7</f>
        <v>8.2445975199167146E-2</v>
      </c>
      <c r="H117" s="1395">
        <f>'SA10'!H7</f>
        <v>1.1067098785232088</v>
      </c>
      <c r="I117" s="1395">
        <f>'SA10'!I7</f>
        <v>0.50386267794422479</v>
      </c>
      <c r="J117" s="1431">
        <f>'SA10'!J7</f>
        <v>0.50386267794422479</v>
      </c>
      <c r="K117" s="1433">
        <f>'SA10'!K7</f>
        <v>0.51061795506528773</v>
      </c>
      <c r="L117" s="1395">
        <f>'SA10'!L7</f>
        <v>0.50349238042861655</v>
      </c>
      <c r="M117" s="1401">
        <f>'SA10'!M7</f>
        <v>0.49380179844544075</v>
      </c>
    </row>
    <row r="118" spans="1:13">
      <c r="A118" s="1373" t="s">
        <v>1122</v>
      </c>
      <c r="B118" s="1375"/>
      <c r="D118" s="167"/>
      <c r="E118" s="167"/>
      <c r="F118" s="1423"/>
      <c r="G118" s="1250"/>
      <c r="H118" s="828"/>
      <c r="I118" s="828"/>
      <c r="J118" s="1423"/>
      <c r="K118" s="1250"/>
      <c r="L118" s="828"/>
      <c r="M118" s="1391"/>
    </row>
    <row r="119" spans="1:13" ht="4.9000000000000004" customHeight="1">
      <c r="A119" s="1374"/>
      <c r="B119" s="1377"/>
      <c r="D119" s="1417"/>
      <c r="E119" s="1417"/>
      <c r="F119" s="1430"/>
      <c r="G119" s="1432"/>
      <c r="H119" s="1417"/>
      <c r="I119" s="1417"/>
      <c r="J119" s="1430"/>
      <c r="K119" s="1432"/>
      <c r="L119" s="1417"/>
      <c r="M119" s="1418"/>
    </row>
    <row r="120" spans="1:13">
      <c r="A120" s="1374" t="s">
        <v>1644</v>
      </c>
      <c r="B120" s="1375"/>
      <c r="D120" s="1398"/>
      <c r="E120" s="167"/>
      <c r="F120" s="1423"/>
      <c r="G120" s="1250"/>
      <c r="H120" s="828"/>
      <c r="I120" s="828"/>
      <c r="J120" s="1423"/>
      <c r="K120" s="1434">
        <f>'SA8'!F6</f>
        <v>0</v>
      </c>
      <c r="L120" s="828"/>
      <c r="M120" s="1391"/>
    </row>
    <row r="121" spans="1:13">
      <c r="A121" s="1374" t="s">
        <v>1645</v>
      </c>
      <c r="B121" s="1377"/>
      <c r="D121" s="1417">
        <f>'SA8'!C7</f>
        <v>3.9504211653895636E-2</v>
      </c>
      <c r="E121" s="1417">
        <f>'SA8'!D7</f>
        <v>2.6439225425160699E-2</v>
      </c>
      <c r="F121" s="1430">
        <f>'SA8'!E7</f>
        <v>1.4566896053021167E-2</v>
      </c>
      <c r="G121" s="1432">
        <f>'SA8'!F7</f>
        <v>4.1358803484073399E-2</v>
      </c>
      <c r="H121" s="1417">
        <f>'SA8'!G7</f>
        <v>3.2013022830249219E-2</v>
      </c>
      <c r="I121" s="1417">
        <f>'SA8'!H7</f>
        <v>3.1446595648999334E-2</v>
      </c>
      <c r="J121" s="1430">
        <f>'SA8'!I7</f>
        <v>3.1446595648999334E-2</v>
      </c>
      <c r="K121" s="1432">
        <f>'SA8'!J7</f>
        <v>1.929421094082627E-2</v>
      </c>
      <c r="L121" s="1417">
        <f>'SA8'!K7</f>
        <v>1.9965846480960864E-2</v>
      </c>
      <c r="M121" s="1418">
        <f>'SA8'!L7</f>
        <v>2.0047988725742379E-2</v>
      </c>
    </row>
    <row r="122" spans="1:13">
      <c r="A122" s="1389" t="s">
        <v>1646</v>
      </c>
      <c r="B122" s="1387"/>
      <c r="C122" s="210"/>
      <c r="D122" s="1392">
        <f>'SA10'!D13</f>
        <v>0</v>
      </c>
      <c r="E122" s="1392">
        <f>'SA10'!E13</f>
        <v>0</v>
      </c>
      <c r="F122" s="1422">
        <f>'SA10'!F13</f>
        <v>2.220728842528795</v>
      </c>
      <c r="G122" s="1427">
        <f>'SA10'!G13</f>
        <v>0.34500603760565812</v>
      </c>
      <c r="H122" s="1392">
        <f>'SA10'!H13</f>
        <v>0.36467791691962398</v>
      </c>
      <c r="I122" s="1392">
        <f>'SA10'!I13</f>
        <v>0.36467791691962398</v>
      </c>
      <c r="J122" s="1422">
        <f>'SA10'!J13</f>
        <v>0.39891375067646068</v>
      </c>
      <c r="K122" s="1427">
        <f>'SA10'!K13</f>
        <v>0.7136909718092066</v>
      </c>
      <c r="L122" s="1392">
        <f>'SA10'!L13</f>
        <v>0</v>
      </c>
      <c r="M122" s="1399">
        <f>'SA10'!M13</f>
        <v>0</v>
      </c>
    </row>
    <row r="123" spans="1:13">
      <c r="A123" s="1373" t="s">
        <v>641</v>
      </c>
      <c r="B123" s="1375"/>
      <c r="D123" s="167"/>
      <c r="E123" s="167"/>
      <c r="F123" s="1423"/>
      <c r="G123" s="1250"/>
      <c r="H123" s="828"/>
      <c r="I123" s="828"/>
      <c r="J123" s="1423"/>
      <c r="K123" s="1250"/>
      <c r="L123" s="828"/>
      <c r="M123" s="422"/>
    </row>
    <row r="124" spans="1:13">
      <c r="A124" s="1385" t="s">
        <v>1494</v>
      </c>
      <c r="B124" s="1390"/>
      <c r="C124" s="210"/>
      <c r="D124" s="1395">
        <f>'A8-ResRecon'!C19</f>
        <v>157678209.14999998</v>
      </c>
      <c r="E124" s="1395">
        <f>'A8-ResRecon'!D19</f>
        <v>98246983</v>
      </c>
      <c r="F124" s="1431">
        <f>'A8-ResRecon'!E19</f>
        <v>145066193</v>
      </c>
      <c r="G124" s="1433">
        <f>'A8-ResRecon'!F19</f>
        <v>137760093.31665009</v>
      </c>
      <c r="H124" s="1395">
        <f>'A8-ResRecon'!G19</f>
        <v>205756385.87285</v>
      </c>
      <c r="I124" s="1395">
        <f>'A8-ResRecon'!H19</f>
        <v>71217073.06720005</v>
      </c>
      <c r="J124" s="1431">
        <f>'A8-ResRecon'!I19</f>
        <v>67879167.770000055</v>
      </c>
      <c r="K124" s="1433">
        <f>'A8-ResRecon'!J19</f>
        <v>103668069.75995347</v>
      </c>
      <c r="L124" s="1395">
        <f>'A8-ResRecon'!K19</f>
        <v>100745403.78283331</v>
      </c>
      <c r="M124" s="1401">
        <f>'A8-ResRecon'!L19</f>
        <v>98956943.205382437</v>
      </c>
    </row>
    <row r="125" spans="1:13">
      <c r="A125" s="1373" t="s">
        <v>1647</v>
      </c>
      <c r="B125" s="1375"/>
      <c r="D125" s="167"/>
      <c r="E125" s="167"/>
      <c r="F125" s="1423"/>
      <c r="G125" s="1250"/>
      <c r="H125" s="828"/>
      <c r="I125" s="828"/>
      <c r="J125" s="422"/>
      <c r="K125" s="1398"/>
      <c r="L125" s="828"/>
      <c r="M125" s="1391"/>
    </row>
    <row r="126" spans="1:13">
      <c r="A126" s="123" t="s">
        <v>1648</v>
      </c>
      <c r="B126" s="1378"/>
      <c r="D126" s="1417">
        <f>IF(ISERROR('A10-SerDel'!C60/'SA18'!C8),0,('A10-SerDel'!C60/'SA18'!C8))</f>
        <v>1.6636153769065083E-2</v>
      </c>
      <c r="E126" s="1417">
        <f>IF(ISERROR('A10-SerDel'!D60/'SA18'!D8),0,('A10-SerDel'!D60/'SA18'!D8))</f>
        <v>1.6953281209295717E-2</v>
      </c>
      <c r="F126" s="1430">
        <f>IF(ISERROR('A10-SerDel'!E60/'SA18'!E8),0,('A10-SerDel'!E60/'SA18'!E8))</f>
        <v>1.4810370510486368E-2</v>
      </c>
      <c r="G126" s="1432">
        <f>IF(ISERROR('A10-SerDel'!F60/'SA18'!F8),0,('A10-SerDel'!F60/'SA18'!F8))</f>
        <v>1.3813126640308789E-2</v>
      </c>
      <c r="H126" s="1417">
        <f>IF(ISERROR('A10-SerDel'!G60/'SA18'!G8),0,('A10-SerDel'!G60/'SA18'!G8))</f>
        <v>1.3813126640308789E-2</v>
      </c>
      <c r="I126" s="1417">
        <f>IF(ISERROR('A10-SerDel'!H60/'SA18'!H8),0,('A10-SerDel'!H60/'SA18'!H8))</f>
        <v>1.3813126640308789E-2</v>
      </c>
      <c r="J126" s="1418"/>
      <c r="K126" s="1435">
        <f>IF(ISERROR('A10-SerDel'!I60/'SA18'!I8),0,('A10-SerDel'!I60/'SA18'!I8))</f>
        <v>1.2803509611087355E-2</v>
      </c>
      <c r="L126" s="1417">
        <f>IF(ISERROR('A10-SerDel'!J60/'SA18'!J8),0,('A10-SerDel'!J60/'SA18'!J8))</f>
        <v>1.1863776978900384E-2</v>
      </c>
      <c r="M126" s="1418">
        <f>IF(ISERROR('A10-SerDel'!K60/'SA18'!K8),0,('A10-SerDel'!K60/'SA18'!K8))</f>
        <v>8.4106941976723401E-3</v>
      </c>
    </row>
    <row r="127" spans="1:13" ht="25.5">
      <c r="A127" s="1379" t="s">
        <v>1649</v>
      </c>
      <c r="B127" s="1377"/>
      <c r="D127" s="1417">
        <f>IF(ISERROR('A10-SerDel'!C79/('A1-Sum'!B10-'A1-Sum'!B8)),0,('A10-SerDel'!C79/('A1-Sum'!B10-'A1-Sum'!B8)))</f>
        <v>3.3134567235670188E-2</v>
      </c>
      <c r="E127" s="1417">
        <f>IF(ISERROR('A10-SerDel'!D79/('A1-Sum'!C10-'A1-Sum'!C8)),0,('A10-SerDel'!D79/('A1-Sum'!C10-'A1-Sum'!C8)))</f>
        <v>5.5717005620624024E-2</v>
      </c>
      <c r="F127" s="1418">
        <f>IF(ISERROR('A10-SerDel'!E79/('A1-Sum'!D10-'A1-Sum'!D8)),0,('A10-SerDel'!E79/('A1-Sum'!D10-'A1-Sum'!D8)))</f>
        <v>5.5485943349883833E-2</v>
      </c>
      <c r="G127" s="1435">
        <f>IF(ISERROR('A10-SerDel'!F79/('A1-Sum'!E10-'A1-Sum'!E8)),0,('A10-SerDel'!F79/('A1-Sum'!E10-'A1-Sum'!E8)))</f>
        <v>4.2387067764453674E-2</v>
      </c>
      <c r="H127" s="1417">
        <f>IF(ISERROR('A10-SerDel'!G79/('A1-Sum'!F10-'A1-Sum'!F8)),0,('A10-SerDel'!G79/('A1-Sum'!F10-'A1-Sum'!F8)))</f>
        <v>4.2737652960609197E-2</v>
      </c>
      <c r="I127" s="1417">
        <f>IF(ISERROR('A10-SerDel'!H79/('A1-Sum'!G10-'A1-Sum'!G8)),0,('A10-SerDel'!H79/('A1-Sum'!G10-'A1-Sum'!G8)))</f>
        <v>1.1474719303011145E-3</v>
      </c>
      <c r="J127" s="1418"/>
      <c r="K127" s="1435">
        <f>IF(ISERROR('A10-SerDel'!I79/('A1-Sum'!I10-'A1-Sum'!I8)),0,('A10-SerDel'!I79/('A1-Sum'!I10-'A1-Sum'!I8)))</f>
        <v>4.1707570640891548E-2</v>
      </c>
      <c r="L127" s="1417">
        <f>IF(ISERROR('A10-SerDel'!J79/('A1-Sum'!J10-'A1-Sum'!J8)),0,('A10-SerDel'!J79/('A1-Sum'!J10-'A1-Sum'!J8)))</f>
        <v>4.1706839654838512E-2</v>
      </c>
      <c r="M127" s="1417">
        <f>IF(ISERROR('A10-SerDel'!K79/('A1-Sum'!K10-'A1-Sum'!K8)),0,('A10-SerDel'!K79/('A1-Sum'!K10-'A1-Sum'!K8)))</f>
        <v>4.1706107296802887E-2</v>
      </c>
    </row>
    <row r="128" spans="1:13" ht="5.25" customHeight="1">
      <c r="A128" s="1379"/>
      <c r="B128" s="1377"/>
      <c r="D128" s="1435"/>
      <c r="E128" s="1417"/>
      <c r="F128" s="1399"/>
      <c r="G128" s="1435"/>
      <c r="H128" s="1417"/>
      <c r="I128" s="1417"/>
      <c r="J128" s="1418"/>
      <c r="K128" s="1435"/>
      <c r="L128" s="1417"/>
      <c r="M128" s="1418"/>
    </row>
    <row r="129" spans="1:13" ht="18" customHeight="1">
      <c r="A129" s="1436" t="s">
        <v>1690</v>
      </c>
      <c r="B129" s="1439"/>
      <c r="C129" s="1440"/>
      <c r="D129" s="1441"/>
      <c r="E129" s="1442"/>
      <c r="F129" s="1443"/>
      <c r="G129" s="1444"/>
      <c r="H129" s="1445"/>
      <c r="I129" s="1445"/>
      <c r="J129" s="1443"/>
      <c r="K129" s="1444"/>
      <c r="L129" s="1445"/>
      <c r="M129" s="1443"/>
    </row>
    <row r="130" spans="1:13" ht="13.5">
      <c r="A130" s="1437" t="s">
        <v>1616</v>
      </c>
      <c r="B130" s="1446"/>
      <c r="C130" s="1447"/>
      <c r="D130" s="1448">
        <f>D86</f>
        <v>1097209539.6800001</v>
      </c>
      <c r="E130" s="1448">
        <f t="shared" ref="E130:M130" si="10">E86</f>
        <v>1107449342.5699999</v>
      </c>
      <c r="F130" s="1457">
        <f t="shared" si="10"/>
        <v>1092570793.52</v>
      </c>
      <c r="G130" s="1448">
        <f t="shared" si="10"/>
        <v>1269626457</v>
      </c>
      <c r="H130" s="1448">
        <f t="shared" si="10"/>
        <v>1268958187.02</v>
      </c>
      <c r="I130" s="1448">
        <f t="shared" si="10"/>
        <v>1304253509.8400002</v>
      </c>
      <c r="J130" s="1457">
        <f>J86</f>
        <v>1304253509.8400002</v>
      </c>
      <c r="K130" s="1448">
        <f t="shared" si="10"/>
        <v>1316707182</v>
      </c>
      <c r="L130" s="1448">
        <f t="shared" si="10"/>
        <v>1383094920.6719999</v>
      </c>
      <c r="M130" s="1457">
        <f t="shared" si="10"/>
        <v>1454313977.2229118</v>
      </c>
    </row>
    <row r="131" spans="1:13" ht="13.5">
      <c r="A131" s="1437" t="s">
        <v>1617</v>
      </c>
      <c r="B131" s="1446"/>
      <c r="C131" s="1447"/>
      <c r="D131" s="1448">
        <f t="shared" ref="D131:M132" si="11">D87</f>
        <v>1118376551.52</v>
      </c>
      <c r="E131" s="1448">
        <f t="shared" si="11"/>
        <v>1222654918.22</v>
      </c>
      <c r="F131" s="1457">
        <f t="shared" si="11"/>
        <v>1208828630.0599999</v>
      </c>
      <c r="G131" s="1448">
        <f t="shared" si="11"/>
        <v>1329185979.26</v>
      </c>
      <c r="H131" s="1448">
        <f t="shared" si="11"/>
        <v>1248665017.4200001</v>
      </c>
      <c r="I131" s="1448">
        <f t="shared" si="11"/>
        <v>1275164972.3099999</v>
      </c>
      <c r="J131" s="1457">
        <f t="shared" si="11"/>
        <v>1275164972.3099999</v>
      </c>
      <c r="K131" s="1448">
        <f t="shared" si="11"/>
        <v>1287355040.0699999</v>
      </c>
      <c r="L131" s="1448">
        <f t="shared" si="11"/>
        <v>1330222366.2804599</v>
      </c>
      <c r="M131" s="1457">
        <f t="shared" si="11"/>
        <v>1389067331.9454012</v>
      </c>
    </row>
    <row r="132" spans="1:13" ht="13.5">
      <c r="A132" s="1437" t="s">
        <v>1691</v>
      </c>
      <c r="B132" s="1446"/>
      <c r="C132" s="1447"/>
      <c r="D132" s="1448">
        <f t="shared" si="11"/>
        <v>-21167011.839999914</v>
      </c>
      <c r="E132" s="1448">
        <f t="shared" si="11"/>
        <v>-115205575.6500001</v>
      </c>
      <c r="F132" s="1457">
        <f t="shared" si="11"/>
        <v>-116257836.53999996</v>
      </c>
      <c r="G132" s="1448">
        <f t="shared" si="11"/>
        <v>-59559522.25999999</v>
      </c>
      <c r="H132" s="1448">
        <f t="shared" si="11"/>
        <v>20293169.599999905</v>
      </c>
      <c r="I132" s="1448">
        <f t="shared" si="11"/>
        <v>29088537.53000021</v>
      </c>
      <c r="J132" s="1457">
        <f t="shared" si="11"/>
        <v>29088537.53000021</v>
      </c>
      <c r="K132" s="1448">
        <f t="shared" si="11"/>
        <v>29352141.930000067</v>
      </c>
      <c r="L132" s="1448">
        <f t="shared" si="11"/>
        <v>52872554.391540051</v>
      </c>
      <c r="M132" s="1457">
        <f t="shared" si="11"/>
        <v>65246645.277510643</v>
      </c>
    </row>
    <row r="133" spans="1:13" ht="13.5">
      <c r="A133" s="1437" t="s">
        <v>1693</v>
      </c>
      <c r="B133" s="1446"/>
      <c r="C133" s="1447"/>
      <c r="D133" s="1448">
        <f>'A8-ResRecon'!C19</f>
        <v>157678209.14999998</v>
      </c>
      <c r="E133" s="1448">
        <f>'A8-ResRecon'!D19</f>
        <v>98246983</v>
      </c>
      <c r="F133" s="1457">
        <f>'A8-ResRecon'!E19</f>
        <v>145066193</v>
      </c>
      <c r="G133" s="1448">
        <f>'A8-ResRecon'!F19</f>
        <v>137760093.31665009</v>
      </c>
      <c r="H133" s="1448">
        <f>'A8-ResRecon'!G19</f>
        <v>205756385.87285</v>
      </c>
      <c r="I133" s="1448">
        <f>'A8-ResRecon'!H19</f>
        <v>71217073.06720005</v>
      </c>
      <c r="J133" s="1457">
        <f>'A8-ResRecon'!I19</f>
        <v>67879167.770000055</v>
      </c>
      <c r="K133" s="1448">
        <f>'A8-ResRecon'!J19</f>
        <v>103668069.75995347</v>
      </c>
      <c r="L133" s="1448">
        <f>'A8-ResRecon'!K19</f>
        <v>100745403.78283331</v>
      </c>
      <c r="M133" s="1457">
        <f>'A8-ResRecon'!L19</f>
        <v>98956943.205382437</v>
      </c>
    </row>
    <row r="134" spans="1:13" ht="13.5">
      <c r="A134" s="1438" t="s">
        <v>1692</v>
      </c>
      <c r="B134" s="1437"/>
      <c r="C134" s="1817">
        <v>15</v>
      </c>
      <c r="D134" s="1458">
        <f>IF(D133&gt;=0,1,0)</f>
        <v>1</v>
      </c>
      <c r="E134" s="1458">
        <f t="shared" ref="E134:M134" si="12">IF(E133&gt;=0,1,0)</f>
        <v>1</v>
      </c>
      <c r="F134" s="1459">
        <f t="shared" si="12"/>
        <v>1</v>
      </c>
      <c r="G134" s="1458">
        <f t="shared" si="12"/>
        <v>1</v>
      </c>
      <c r="H134" s="1458">
        <f t="shared" si="12"/>
        <v>1</v>
      </c>
      <c r="I134" s="1458">
        <f t="shared" si="12"/>
        <v>1</v>
      </c>
      <c r="J134" s="1459">
        <f t="shared" si="12"/>
        <v>1</v>
      </c>
      <c r="K134" s="1458">
        <f t="shared" si="12"/>
        <v>1</v>
      </c>
      <c r="L134" s="1458">
        <f t="shared" si="12"/>
        <v>1</v>
      </c>
      <c r="M134" s="1459">
        <f t="shared" si="12"/>
        <v>1</v>
      </c>
    </row>
    <row r="135" spans="1:13" s="1505" customFormat="1" ht="13.5">
      <c r="A135" s="1501" t="s">
        <v>1700</v>
      </c>
      <c r="B135" s="1502"/>
      <c r="C135" s="1447">
        <v>15</v>
      </c>
      <c r="D135" s="1503" t="str">
        <f>IF(D134=1,"ü","û")</f>
        <v>ü</v>
      </c>
      <c r="E135" s="1503" t="str">
        <f t="shared" ref="E135:M135" si="13">IF(E134=1,"ü","û")</f>
        <v>ü</v>
      </c>
      <c r="F135" s="1504" t="str">
        <f t="shared" si="13"/>
        <v>ü</v>
      </c>
      <c r="G135" s="1503" t="str">
        <f t="shared" si="13"/>
        <v>ü</v>
      </c>
      <c r="H135" s="1503" t="str">
        <f t="shared" si="13"/>
        <v>ü</v>
      </c>
      <c r="I135" s="1503" t="str">
        <f t="shared" si="13"/>
        <v>ü</v>
      </c>
      <c r="J135" s="1504" t="str">
        <f t="shared" si="13"/>
        <v>ü</v>
      </c>
      <c r="K135" s="1503" t="str">
        <f t="shared" si="13"/>
        <v>ü</v>
      </c>
      <c r="L135" s="1503" t="str">
        <f t="shared" si="13"/>
        <v>ü</v>
      </c>
      <c r="M135" s="1504" t="str">
        <f t="shared" si="13"/>
        <v>ü</v>
      </c>
    </row>
    <row r="136" spans="1:13" ht="13.5">
      <c r="A136" s="1449"/>
      <c r="B136" s="1450"/>
      <c r="C136" s="1451"/>
      <c r="D136" s="1452"/>
      <c r="E136" s="1453"/>
      <c r="F136" s="1454"/>
      <c r="G136" s="1455"/>
      <c r="H136" s="1456"/>
      <c r="I136" s="1456"/>
      <c r="J136" s="1454"/>
      <c r="K136" s="1455"/>
      <c r="L136" s="1456"/>
      <c r="M136" s="1454"/>
    </row>
    <row r="137" spans="1:13">
      <c r="A137" s="1818" t="str">
        <f>head27a</f>
        <v>References</v>
      </c>
    </row>
    <row r="138" spans="1:13">
      <c r="A138" s="328" t="s">
        <v>1965</v>
      </c>
    </row>
  </sheetData>
  <mergeCells count="5">
    <mergeCell ref="A2:A3"/>
    <mergeCell ref="K2:M2"/>
    <mergeCell ref="B2:B3"/>
    <mergeCell ref="C2:C3"/>
    <mergeCell ref="G2:J2"/>
  </mergeCells>
  <phoneticPr fontId="5"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47" activePane="bottomRight" state="frozen"/>
      <selection activeCell="C32" sqref="C32"/>
      <selection pane="topRight" activeCell="C32" sqref="C32"/>
      <selection pane="bottomLeft" activeCell="C32" sqref="C32"/>
      <selection pane="bottomRight" activeCell="M43" sqref="M43"/>
    </sheetView>
  </sheetViews>
  <sheetFormatPr defaultColWidth="9.140625"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 r="A1" s="24" t="str">
        <f>muni&amp;" - "&amp;TableA11</f>
        <v>LIM333 Greater Tzaneen - Supporting Table SA11 Property rates summary</v>
      </c>
      <c r="B1" s="24"/>
      <c r="C1" s="24"/>
      <c r="D1" s="24"/>
      <c r="E1" s="24"/>
      <c r="F1" s="24"/>
      <c r="G1" s="24"/>
      <c r="H1" s="24"/>
      <c r="I1" s="24"/>
      <c r="J1" s="24"/>
      <c r="K1" s="24"/>
    </row>
    <row r="2" spans="1:11" ht="28.5" customHeight="1">
      <c r="A2" s="2903" t="str">
        <f>desc</f>
        <v>Description</v>
      </c>
      <c r="B2" s="2875" t="str">
        <f>head27</f>
        <v>Ref</v>
      </c>
      <c r="C2" s="22" t="str">
        <f>head1b</f>
        <v>2016/17</v>
      </c>
      <c r="D2" s="27" t="str">
        <f>head1A</f>
        <v>2017/18</v>
      </c>
      <c r="E2" s="23" t="str">
        <f>Head1</f>
        <v>2018/19</v>
      </c>
      <c r="F2" s="2842" t="str">
        <f>Head2</f>
        <v>Current Year 2019/20</v>
      </c>
      <c r="G2" s="2843"/>
      <c r="H2" s="2847"/>
      <c r="I2" s="2839" t="str">
        <f>Head3</f>
        <v>2020/21 Medium Term Revenue &amp; Expenditure Framework</v>
      </c>
      <c r="J2" s="2840"/>
      <c r="K2" s="2841"/>
    </row>
    <row r="3" spans="1:11" ht="25.5">
      <c r="A3" s="2904"/>
      <c r="B3" s="2876"/>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2020/21</v>
      </c>
      <c r="J3" s="29" t="str">
        <f>Head10</f>
        <v>Budget Year +1 2021/22</v>
      </c>
      <c r="K3" s="30" t="str">
        <f>Head11</f>
        <v>Budget Year +2 2022/23</v>
      </c>
    </row>
    <row r="4" spans="1:11" ht="4.5" customHeight="1">
      <c r="A4" s="57"/>
      <c r="B4" s="2881"/>
      <c r="C4" s="34"/>
      <c r="D4" s="16"/>
      <c r="E4" s="33"/>
      <c r="F4" s="32"/>
      <c r="G4" s="16"/>
      <c r="H4" s="33"/>
      <c r="I4" s="32"/>
      <c r="J4" s="16"/>
      <c r="K4" s="33"/>
    </row>
    <row r="5" spans="1:11" ht="11.25" customHeight="1">
      <c r="A5" s="58" t="s">
        <v>647</v>
      </c>
      <c r="B5" s="460">
        <v>1</v>
      </c>
      <c r="C5" s="461"/>
      <c r="D5" s="461"/>
      <c r="E5" s="99"/>
      <c r="F5" s="462"/>
      <c r="G5" s="1468"/>
      <c r="H5" s="1469"/>
      <c r="I5" s="1470"/>
      <c r="J5" s="1468"/>
      <c r="K5" s="1471"/>
    </row>
    <row r="6" spans="1:11" ht="11.25" customHeight="1">
      <c r="A6" s="67" t="s">
        <v>646</v>
      </c>
      <c r="B6" s="424"/>
      <c r="C6" s="2182" t="str">
        <f>[3]SA11!D6</f>
        <v>1/7/2013</v>
      </c>
      <c r="D6" s="2182" t="str">
        <f>[3]SA11!E6</f>
        <v>1/7/2017</v>
      </c>
      <c r="E6" s="2183" t="s">
        <v>3212</v>
      </c>
      <c r="F6" s="2184" t="s">
        <v>3212</v>
      </c>
      <c r="G6" s="1472"/>
      <c r="H6" s="1473"/>
      <c r="I6" s="1474"/>
      <c r="J6" s="1472"/>
      <c r="K6" s="1475"/>
    </row>
    <row r="7" spans="1:11" ht="11.25" customHeight="1">
      <c r="A7" s="67" t="s">
        <v>563</v>
      </c>
      <c r="B7" s="424"/>
      <c r="C7" s="2185"/>
      <c r="D7" s="2185"/>
      <c r="E7" s="2186"/>
      <c r="F7" s="2187" t="s">
        <v>3212</v>
      </c>
      <c r="G7" s="1476"/>
      <c r="H7" s="1477"/>
      <c r="I7" s="2170" t="s">
        <v>3212</v>
      </c>
      <c r="J7" s="1480"/>
      <c r="K7" s="1481"/>
    </row>
    <row r="8" spans="1:11" ht="11.25" customHeight="1">
      <c r="A8" s="67" t="s">
        <v>348</v>
      </c>
      <c r="B8" s="464" t="s">
        <v>668</v>
      </c>
      <c r="C8" s="2172"/>
      <c r="D8" s="2172"/>
      <c r="E8" s="2174"/>
      <c r="F8" s="2188"/>
      <c r="G8" s="1478"/>
      <c r="H8" s="1479"/>
      <c r="I8" s="2171" t="s">
        <v>364</v>
      </c>
      <c r="J8" s="1480"/>
      <c r="K8" s="1481"/>
    </row>
    <row r="9" spans="1:11" ht="11.25" customHeight="1">
      <c r="A9" s="67" t="s">
        <v>1106</v>
      </c>
      <c r="B9" s="424"/>
      <c r="C9" s="2172"/>
      <c r="D9" s="2172"/>
      <c r="E9" s="2174" t="s">
        <v>364</v>
      </c>
      <c r="F9" s="2188" t="s">
        <v>364</v>
      </c>
      <c r="G9" s="1462"/>
      <c r="H9" s="1463"/>
      <c r="I9" s="2171" t="s">
        <v>364</v>
      </c>
      <c r="J9" s="1464"/>
      <c r="K9" s="1465"/>
    </row>
    <row r="10" spans="1:11" ht="11.25" customHeight="1">
      <c r="A10" s="67" t="s">
        <v>648</v>
      </c>
      <c r="B10" s="424"/>
      <c r="C10" s="2172" t="str">
        <f>[3]SA11!D10</f>
        <v>No</v>
      </c>
      <c r="D10" s="2172" t="str">
        <f>[3]SA11!E10</f>
        <v>No</v>
      </c>
      <c r="E10" s="2174" t="s">
        <v>709</v>
      </c>
      <c r="F10" s="2188" t="s">
        <v>709</v>
      </c>
      <c r="G10" s="2172" t="s">
        <v>709</v>
      </c>
      <c r="H10" s="2173" t="s">
        <v>709</v>
      </c>
      <c r="I10" s="2171" t="s">
        <v>709</v>
      </c>
      <c r="J10" s="2172" t="s">
        <v>709</v>
      </c>
      <c r="K10" s="2174" t="s">
        <v>709</v>
      </c>
    </row>
    <row r="11" spans="1:11" ht="11.25" customHeight="1">
      <c r="A11" s="67" t="s">
        <v>1107</v>
      </c>
      <c r="B11" s="464">
        <v>3</v>
      </c>
      <c r="C11" s="2175"/>
      <c r="D11" s="2189"/>
      <c r="E11" s="2190"/>
      <c r="F11" s="2191"/>
      <c r="G11" s="2175"/>
      <c r="H11" s="2176"/>
      <c r="I11" s="2177"/>
      <c r="J11" s="2175"/>
      <c r="K11" s="2178"/>
    </row>
    <row r="12" spans="1:11" ht="11.25" customHeight="1">
      <c r="A12" s="198" t="s">
        <v>1108</v>
      </c>
      <c r="B12" s="432">
        <v>3</v>
      </c>
      <c r="C12" s="2179"/>
      <c r="D12" s="2192"/>
      <c r="E12" s="2193"/>
      <c r="F12" s="2191"/>
      <c r="G12" s="2179"/>
      <c r="H12" s="2180"/>
      <c r="I12" s="2177"/>
      <c r="J12" s="2179"/>
      <c r="K12" s="2181"/>
    </row>
    <row r="13" spans="1:11" ht="11.25" customHeight="1">
      <c r="A13" s="198" t="s">
        <v>1109</v>
      </c>
      <c r="B13" s="432">
        <v>3</v>
      </c>
      <c r="C13" s="2179"/>
      <c r="D13" s="2192"/>
      <c r="E13" s="2193"/>
      <c r="F13" s="2191"/>
      <c r="G13" s="2179"/>
      <c r="H13" s="2180"/>
      <c r="I13" s="2177"/>
      <c r="J13" s="2179"/>
      <c r="K13" s="2181"/>
    </row>
    <row r="14" spans="1:11" ht="11.25" customHeight="1">
      <c r="A14" s="198" t="s">
        <v>1110</v>
      </c>
      <c r="B14" s="432">
        <v>3</v>
      </c>
      <c r="C14" s="2179"/>
      <c r="D14" s="2192"/>
      <c r="E14" s="2193">
        <v>1</v>
      </c>
      <c r="F14" s="2191">
        <v>1</v>
      </c>
      <c r="G14" s="2179">
        <v>1</v>
      </c>
      <c r="H14" s="2180">
        <v>1</v>
      </c>
      <c r="I14" s="2177">
        <v>1</v>
      </c>
      <c r="J14" s="2179">
        <v>1</v>
      </c>
      <c r="K14" s="2181">
        <v>1</v>
      </c>
    </row>
    <row r="15" spans="1:11" ht="11.25" customHeight="1">
      <c r="A15" s="198" t="s">
        <v>1392</v>
      </c>
      <c r="B15" s="465">
        <v>4</v>
      </c>
      <c r="C15" s="2179"/>
      <c r="D15" s="2192"/>
      <c r="E15" s="2193"/>
      <c r="F15" s="2191"/>
      <c r="G15" s="2179"/>
      <c r="H15" s="2180"/>
      <c r="I15" s="2177"/>
      <c r="J15" s="2179"/>
      <c r="K15" s="2181"/>
    </row>
    <row r="16" spans="1:11" ht="11.25" customHeight="1">
      <c r="A16" s="67" t="s">
        <v>564</v>
      </c>
      <c r="B16" s="424"/>
      <c r="C16" s="2172"/>
      <c r="D16" s="2172"/>
      <c r="E16" s="2174" t="s">
        <v>364</v>
      </c>
      <c r="F16" s="2188" t="s">
        <v>364</v>
      </c>
      <c r="G16" s="1462"/>
      <c r="H16" s="1463"/>
      <c r="I16" s="2171" t="s">
        <v>364</v>
      </c>
      <c r="J16" s="1464"/>
      <c r="K16" s="1465"/>
    </row>
    <row r="17" spans="1:11" ht="11.25" customHeight="1">
      <c r="A17" s="67" t="s">
        <v>346</v>
      </c>
      <c r="B17" s="424"/>
      <c r="C17" s="2179">
        <f>[3]SA11!D17</f>
        <v>0</v>
      </c>
      <c r="D17" s="2192">
        <f>[3]SA11!E17</f>
        <v>6</v>
      </c>
      <c r="E17" s="2193"/>
      <c r="F17" s="2191">
        <v>0</v>
      </c>
      <c r="G17" s="1462"/>
      <c r="H17" s="1463"/>
      <c r="I17" s="2177">
        <v>0</v>
      </c>
      <c r="J17" s="1466"/>
      <c r="K17" s="1467"/>
    </row>
    <row r="18" spans="1:11" ht="11.25" customHeight="1">
      <c r="A18" s="67" t="s">
        <v>349</v>
      </c>
      <c r="B18" s="464">
        <v>5</v>
      </c>
      <c r="C18" s="2192">
        <v>18614</v>
      </c>
      <c r="D18" s="2192">
        <v>18981</v>
      </c>
      <c r="E18" s="2193">
        <v>18829</v>
      </c>
      <c r="F18" s="2191">
        <v>18829</v>
      </c>
      <c r="G18" s="2192">
        <v>18829</v>
      </c>
      <c r="H18" s="2197">
        <v>18829</v>
      </c>
      <c r="I18" s="2177">
        <v>18994</v>
      </c>
      <c r="J18" s="2179">
        <v>18994</v>
      </c>
      <c r="K18" s="2181">
        <v>18994</v>
      </c>
    </row>
    <row r="19" spans="1:11" ht="11.25" customHeight="1">
      <c r="A19" s="67" t="s">
        <v>350</v>
      </c>
      <c r="B19" s="464">
        <v>5</v>
      </c>
      <c r="C19" s="2192">
        <v>982</v>
      </c>
      <c r="D19" s="2192">
        <v>1024</v>
      </c>
      <c r="E19" s="2193">
        <v>1046</v>
      </c>
      <c r="F19" s="2191">
        <v>1088</v>
      </c>
      <c r="G19" s="2192">
        <v>1088</v>
      </c>
      <c r="H19" s="2197">
        <v>1088</v>
      </c>
      <c r="I19" s="2177">
        <v>1088</v>
      </c>
      <c r="J19" s="2179">
        <v>1088</v>
      </c>
      <c r="K19" s="2181">
        <v>1088</v>
      </c>
    </row>
    <row r="20" spans="1:11" ht="11.25" customHeight="1">
      <c r="A20" s="67" t="s">
        <v>351</v>
      </c>
      <c r="B20" s="464"/>
      <c r="C20" s="2192">
        <v>0</v>
      </c>
      <c r="D20" s="2192">
        <v>0</v>
      </c>
      <c r="E20" s="2193">
        <v>0</v>
      </c>
      <c r="F20" s="2191">
        <v>0</v>
      </c>
      <c r="G20" s="2192">
        <v>0</v>
      </c>
      <c r="H20" s="2197">
        <v>0</v>
      </c>
      <c r="I20" s="2177">
        <v>0</v>
      </c>
      <c r="J20" s="2179">
        <v>0</v>
      </c>
      <c r="K20" s="2181">
        <v>0</v>
      </c>
    </row>
    <row r="21" spans="1:11" ht="11.25" customHeight="1">
      <c r="A21" s="67" t="s">
        <v>639</v>
      </c>
      <c r="B21" s="424"/>
      <c r="C21" s="2179">
        <v>203</v>
      </c>
      <c r="D21" s="2192">
        <v>282</v>
      </c>
      <c r="E21" s="2193">
        <v>0</v>
      </c>
      <c r="F21" s="2191">
        <v>0</v>
      </c>
      <c r="G21" s="2192">
        <v>0</v>
      </c>
      <c r="H21" s="2197">
        <v>0</v>
      </c>
      <c r="I21" s="2177">
        <v>0</v>
      </c>
      <c r="J21" s="2179">
        <v>0</v>
      </c>
      <c r="K21" s="2181">
        <v>0</v>
      </c>
    </row>
    <row r="22" spans="1:11" ht="11.25" customHeight="1">
      <c r="A22" s="67" t="s">
        <v>640</v>
      </c>
      <c r="B22" s="424"/>
      <c r="C22" s="2179">
        <v>0</v>
      </c>
      <c r="D22" s="2192">
        <v>0</v>
      </c>
      <c r="E22" s="2193">
        <v>0</v>
      </c>
      <c r="F22" s="2191">
        <v>0</v>
      </c>
      <c r="G22" s="2179">
        <v>0</v>
      </c>
      <c r="H22" s="2180">
        <v>0</v>
      </c>
      <c r="I22" s="2177">
        <v>0</v>
      </c>
      <c r="J22" s="2179">
        <v>0</v>
      </c>
      <c r="K22" s="2181">
        <v>0</v>
      </c>
    </row>
    <row r="23" spans="1:11" ht="11.25" customHeight="1">
      <c r="A23" s="67" t="s">
        <v>318</v>
      </c>
      <c r="B23" s="424"/>
      <c r="C23" s="2179">
        <v>0</v>
      </c>
      <c r="D23" s="2192">
        <v>352</v>
      </c>
      <c r="E23" s="2193">
        <v>0</v>
      </c>
      <c r="F23" s="2191">
        <v>0</v>
      </c>
      <c r="G23" s="2179">
        <v>0</v>
      </c>
      <c r="H23" s="2180">
        <v>0</v>
      </c>
      <c r="I23" s="2177">
        <v>0</v>
      </c>
      <c r="J23" s="2179">
        <v>0</v>
      </c>
      <c r="K23" s="2181">
        <v>0</v>
      </c>
    </row>
    <row r="24" spans="1:11" ht="11.25" customHeight="1">
      <c r="A24" s="67" t="s">
        <v>319</v>
      </c>
      <c r="B24" s="424"/>
      <c r="C24" s="2179">
        <v>0</v>
      </c>
      <c r="D24" s="2192">
        <v>2</v>
      </c>
      <c r="E24" s="2193">
        <v>0</v>
      </c>
      <c r="F24" s="2191">
        <v>0</v>
      </c>
      <c r="G24" s="2179">
        <v>0</v>
      </c>
      <c r="H24" s="2180">
        <v>0</v>
      </c>
      <c r="I24" s="2177">
        <v>0</v>
      </c>
      <c r="J24" s="2179">
        <v>0</v>
      </c>
      <c r="K24" s="2181">
        <v>0</v>
      </c>
    </row>
    <row r="25" spans="1:11" ht="11.25" customHeight="1">
      <c r="A25" s="67" t="s">
        <v>649</v>
      </c>
      <c r="B25" s="424">
        <v>8</v>
      </c>
      <c r="C25" s="2179">
        <v>0</v>
      </c>
      <c r="D25" s="2192">
        <v>238</v>
      </c>
      <c r="E25" s="2193">
        <v>0</v>
      </c>
      <c r="F25" s="2191">
        <v>0</v>
      </c>
      <c r="G25" s="2179">
        <v>0</v>
      </c>
      <c r="H25" s="2180">
        <v>0</v>
      </c>
      <c r="I25" s="2177">
        <v>0</v>
      </c>
      <c r="J25" s="2179">
        <v>0</v>
      </c>
      <c r="K25" s="2181">
        <v>0</v>
      </c>
    </row>
    <row r="26" spans="1:11" ht="11.25" customHeight="1">
      <c r="A26" s="67" t="s">
        <v>638</v>
      </c>
      <c r="B26" s="424">
        <v>8</v>
      </c>
      <c r="C26" s="2179">
        <v>0</v>
      </c>
      <c r="D26" s="2192">
        <v>0</v>
      </c>
      <c r="E26" s="2193">
        <v>0</v>
      </c>
      <c r="F26" s="2191">
        <v>0</v>
      </c>
      <c r="G26" s="2179">
        <v>0</v>
      </c>
      <c r="H26" s="2180">
        <v>0</v>
      </c>
      <c r="I26" s="2177">
        <v>0</v>
      </c>
      <c r="J26" s="2179">
        <v>0</v>
      </c>
      <c r="K26" s="2181">
        <v>0</v>
      </c>
    </row>
    <row r="27" spans="1:11" ht="11.25" customHeight="1">
      <c r="A27" s="67" t="s">
        <v>1349</v>
      </c>
      <c r="B27" s="424"/>
      <c r="C27" s="2192">
        <v>0</v>
      </c>
      <c r="D27" s="2192">
        <v>134</v>
      </c>
      <c r="E27" s="2193">
        <v>0</v>
      </c>
      <c r="F27" s="2191">
        <v>0</v>
      </c>
      <c r="G27" s="2192">
        <v>0</v>
      </c>
      <c r="H27" s="2197">
        <v>0</v>
      </c>
      <c r="I27" s="2177">
        <v>0</v>
      </c>
      <c r="J27" s="2179">
        <v>0</v>
      </c>
      <c r="K27" s="2181">
        <v>0</v>
      </c>
    </row>
    <row r="28" spans="1:11" ht="11.25" customHeight="1">
      <c r="A28" s="67" t="s">
        <v>451</v>
      </c>
      <c r="B28" s="464">
        <v>5</v>
      </c>
      <c r="C28" s="2194">
        <v>9000000</v>
      </c>
      <c r="D28" s="2194">
        <v>7276910</v>
      </c>
      <c r="E28" s="2195">
        <v>7276900</v>
      </c>
      <c r="F28" s="2196">
        <v>7263110</v>
      </c>
      <c r="G28" s="2194">
        <v>7263110</v>
      </c>
      <c r="H28" s="2198">
        <v>7263110</v>
      </c>
      <c r="I28" s="2199">
        <v>7263110</v>
      </c>
      <c r="J28" s="2200">
        <v>7263110</v>
      </c>
      <c r="K28" s="2201">
        <v>8000000</v>
      </c>
    </row>
    <row r="29" spans="1:11" ht="11.25" customHeight="1">
      <c r="A29" s="67" t="s">
        <v>1232</v>
      </c>
      <c r="B29" s="464"/>
      <c r="C29" s="2194">
        <v>271000000</v>
      </c>
      <c r="D29" s="2194">
        <v>385999700</v>
      </c>
      <c r="E29" s="2195">
        <v>385999700</v>
      </c>
      <c r="F29" s="2196">
        <v>385999700</v>
      </c>
      <c r="G29" s="2194">
        <v>385999700</v>
      </c>
      <c r="H29" s="2198">
        <v>385999700</v>
      </c>
      <c r="I29" s="2199">
        <v>385999700</v>
      </c>
      <c r="J29" s="2200">
        <v>385999700</v>
      </c>
      <c r="K29" s="2201">
        <v>385999700</v>
      </c>
    </row>
    <row r="30" spans="1:11" ht="11.25" customHeight="1">
      <c r="A30" s="58" t="s">
        <v>1350</v>
      </c>
      <c r="B30" s="464"/>
      <c r="C30" s="466"/>
      <c r="D30" s="466"/>
      <c r="E30" s="467"/>
      <c r="F30" s="468"/>
      <c r="G30" s="466"/>
      <c r="H30" s="469"/>
      <c r="I30" s="470"/>
      <c r="J30" s="384"/>
      <c r="K30" s="85"/>
    </row>
    <row r="31" spans="1:11" ht="11.25" customHeight="1">
      <c r="A31" s="67" t="s">
        <v>452</v>
      </c>
      <c r="B31" s="464"/>
      <c r="C31" s="2194"/>
      <c r="D31" s="2194"/>
      <c r="E31" s="2195"/>
      <c r="F31" s="2196"/>
      <c r="G31" s="2194"/>
      <c r="H31" s="2198"/>
      <c r="I31" s="2199"/>
      <c r="J31" s="2200"/>
      <c r="K31" s="2201"/>
    </row>
    <row r="32" spans="1:11" ht="11.25" customHeight="1">
      <c r="A32" s="67" t="s">
        <v>453</v>
      </c>
      <c r="B32" s="464"/>
      <c r="C32" s="2194"/>
      <c r="D32" s="2194"/>
      <c r="E32" s="2195"/>
      <c r="F32" s="2196"/>
      <c r="G32" s="2194"/>
      <c r="H32" s="2198"/>
      <c r="I32" s="2199"/>
      <c r="J32" s="2200"/>
      <c r="K32" s="2201"/>
    </row>
    <row r="33" spans="1:11" ht="11.25" customHeight="1">
      <c r="A33" s="67" t="s">
        <v>454</v>
      </c>
      <c r="B33" s="464"/>
      <c r="C33" s="2194"/>
      <c r="D33" s="2194"/>
      <c r="E33" s="2195"/>
      <c r="F33" s="2196"/>
      <c r="G33" s="2194"/>
      <c r="H33" s="2198"/>
      <c r="I33" s="2199"/>
      <c r="J33" s="2200"/>
      <c r="K33" s="2201"/>
    </row>
    <row r="34" spans="1:11" ht="11.25" customHeight="1">
      <c r="A34" s="67" t="s">
        <v>455</v>
      </c>
      <c r="B34" s="464"/>
      <c r="C34" s="2194">
        <v>162000000</v>
      </c>
      <c r="D34" s="2194">
        <v>151170000</v>
      </c>
      <c r="E34" s="2195">
        <v>151170000</v>
      </c>
      <c r="F34" s="2196">
        <v>152985000</v>
      </c>
      <c r="G34" s="2194">
        <v>152985000</v>
      </c>
      <c r="H34" s="2198">
        <v>152985000</v>
      </c>
      <c r="I34" s="2199">
        <v>152985000</v>
      </c>
      <c r="J34" s="2200">
        <v>152985000</v>
      </c>
      <c r="K34" s="2201">
        <v>152985000</v>
      </c>
    </row>
    <row r="35" spans="1:11" ht="11.25" customHeight="1">
      <c r="A35" s="67" t="s">
        <v>456</v>
      </c>
      <c r="B35" s="464"/>
      <c r="C35" s="2194">
        <v>0</v>
      </c>
      <c r="D35" s="2194">
        <v>0</v>
      </c>
      <c r="E35" s="2195"/>
      <c r="F35" s="2196"/>
      <c r="G35" s="2194"/>
      <c r="H35" s="2198"/>
      <c r="I35" s="2199"/>
      <c r="J35" s="2200"/>
      <c r="K35" s="2201"/>
    </row>
    <row r="36" spans="1:11" ht="11.25" customHeight="1">
      <c r="A36" s="67" t="s">
        <v>457</v>
      </c>
      <c r="B36" s="464"/>
      <c r="C36" s="2194">
        <v>202182054.65000001</v>
      </c>
      <c r="D36" s="2194">
        <v>31298563</v>
      </c>
      <c r="E36" s="2195">
        <v>31298563</v>
      </c>
      <c r="F36" s="2196">
        <v>33471897</v>
      </c>
      <c r="G36" s="2194">
        <v>33471897</v>
      </c>
      <c r="H36" s="2198">
        <v>33471897</v>
      </c>
      <c r="I36" s="2199">
        <v>34498365.770000003</v>
      </c>
      <c r="J36" s="2200">
        <v>34498365.770000003</v>
      </c>
      <c r="K36" s="2201">
        <v>34498365.770000003</v>
      </c>
    </row>
    <row r="37" spans="1:11" ht="11.25" customHeight="1">
      <c r="A37" s="199" t="s">
        <v>1351</v>
      </c>
      <c r="B37" s="464"/>
      <c r="C37" s="471">
        <f>SUM(C31:C36)</f>
        <v>364182054.64999998</v>
      </c>
      <c r="D37" s="471">
        <f t="shared" ref="D37:K37" si="0">SUM(D31:D36)</f>
        <v>182468563</v>
      </c>
      <c r="E37" s="472">
        <f t="shared" si="0"/>
        <v>182468563</v>
      </c>
      <c r="F37" s="473">
        <f t="shared" si="0"/>
        <v>186456897</v>
      </c>
      <c r="G37" s="471">
        <f t="shared" si="0"/>
        <v>186456897</v>
      </c>
      <c r="H37" s="474">
        <f t="shared" si="0"/>
        <v>186456897</v>
      </c>
      <c r="I37" s="475">
        <f t="shared" si="0"/>
        <v>187483365.77000001</v>
      </c>
      <c r="J37" s="476">
        <f t="shared" si="0"/>
        <v>187483365.77000001</v>
      </c>
      <c r="K37" s="477">
        <f t="shared" si="0"/>
        <v>187483365.77000001</v>
      </c>
    </row>
    <row r="38" spans="1:11" ht="15.75" customHeight="1">
      <c r="A38" s="67" t="s">
        <v>1280</v>
      </c>
      <c r="B38" s="464">
        <v>5</v>
      </c>
      <c r="C38" s="2200">
        <v>12464000000</v>
      </c>
      <c r="D38" s="2200">
        <v>12491158471</v>
      </c>
      <c r="E38" s="2201">
        <v>15491158471</v>
      </c>
      <c r="F38" s="2202">
        <v>15590169471</v>
      </c>
      <c r="G38" s="2200">
        <v>15590169471</v>
      </c>
      <c r="H38" s="2203">
        <v>15590169471</v>
      </c>
      <c r="I38" s="2204">
        <v>15590169471</v>
      </c>
      <c r="J38" s="2200">
        <v>15590169471</v>
      </c>
      <c r="K38" s="2201">
        <v>15590169471</v>
      </c>
    </row>
    <row r="39" spans="1:11" ht="11.25" customHeight="1">
      <c r="A39" s="67" t="s">
        <v>1281</v>
      </c>
      <c r="B39" s="464">
        <v>5</v>
      </c>
      <c r="C39" s="2200">
        <v>0</v>
      </c>
      <c r="D39" s="2200">
        <v>0</v>
      </c>
      <c r="E39" s="2201"/>
      <c r="F39" s="2202"/>
      <c r="G39" s="2200"/>
      <c r="H39" s="2203"/>
      <c r="I39" s="2204"/>
      <c r="J39" s="2205"/>
      <c r="K39" s="2206"/>
    </row>
    <row r="40" spans="1:11" ht="11.25" customHeight="1">
      <c r="A40" s="198" t="s">
        <v>1282</v>
      </c>
      <c r="B40" s="464">
        <v>5</v>
      </c>
      <c r="C40" s="2200">
        <v>0</v>
      </c>
      <c r="D40" s="2200">
        <v>0</v>
      </c>
      <c r="E40" s="2201"/>
      <c r="F40" s="2202"/>
      <c r="G40" s="2200"/>
      <c r="H40" s="2203"/>
      <c r="I40" s="2204"/>
      <c r="J40" s="2200"/>
      <c r="K40" s="2201"/>
    </row>
    <row r="41" spans="1:11" ht="11.25" customHeight="1">
      <c r="A41" s="198" t="s">
        <v>1283</v>
      </c>
      <c r="B41" s="464">
        <v>5</v>
      </c>
      <c r="C41" s="2200">
        <v>12464000000</v>
      </c>
      <c r="D41" s="2194">
        <v>12491158471</v>
      </c>
      <c r="E41" s="2195">
        <v>15590169471</v>
      </c>
      <c r="F41" s="2196">
        <v>15590169471</v>
      </c>
      <c r="G41" s="2194">
        <v>15590169471</v>
      </c>
      <c r="H41" s="2198">
        <v>15590169471</v>
      </c>
      <c r="I41" s="2199">
        <v>15590169471</v>
      </c>
      <c r="J41" s="2200">
        <v>15590169471</v>
      </c>
      <c r="K41" s="2201">
        <v>15590169471</v>
      </c>
    </row>
    <row r="42" spans="1:11" ht="4.9000000000000004" customHeight="1">
      <c r="A42" s="275"/>
      <c r="B42" s="464"/>
      <c r="C42" s="1996"/>
      <c r="D42" s="2207"/>
      <c r="E42" s="2208"/>
      <c r="F42" s="2209"/>
      <c r="G42" s="2207"/>
      <c r="H42" s="2210"/>
      <c r="I42" s="2211"/>
      <c r="J42" s="1996"/>
      <c r="K42" s="1997"/>
    </row>
    <row r="43" spans="1:11" ht="11.25" customHeight="1">
      <c r="A43" s="481" t="s">
        <v>1352</v>
      </c>
      <c r="B43" s="482"/>
      <c r="C43" s="483"/>
      <c r="D43" s="483"/>
      <c r="E43" s="484"/>
      <c r="F43" s="485"/>
      <c r="G43" s="483"/>
      <c r="H43" s="486"/>
      <c r="I43" s="487"/>
      <c r="J43" s="483"/>
      <c r="K43" s="484"/>
    </row>
    <row r="44" spans="1:11" ht="26.25" customHeight="1">
      <c r="A44" s="344" t="s">
        <v>1279</v>
      </c>
      <c r="B44" s="424"/>
      <c r="C44" s="2172" t="s">
        <v>364</v>
      </c>
      <c r="D44" s="2172" t="s">
        <v>364</v>
      </c>
      <c r="E44" s="2213" t="s">
        <v>364</v>
      </c>
      <c r="F44" s="2214" t="s">
        <v>364</v>
      </c>
      <c r="G44" s="1482"/>
      <c r="H44" s="1483"/>
      <c r="I44" s="2212" t="s">
        <v>364</v>
      </c>
      <c r="J44" s="1482"/>
      <c r="K44" s="1486"/>
    </row>
    <row r="45" spans="1:11" ht="11.25" customHeight="1">
      <c r="A45" s="67" t="s">
        <v>643</v>
      </c>
      <c r="B45" s="424">
        <v>5</v>
      </c>
      <c r="C45" s="2172" t="s">
        <v>709</v>
      </c>
      <c r="D45" s="2172" t="s">
        <v>709</v>
      </c>
      <c r="E45" s="2174" t="s">
        <v>709</v>
      </c>
      <c r="F45" s="2188" t="s">
        <v>709</v>
      </c>
      <c r="G45" s="1484"/>
      <c r="H45" s="1485"/>
      <c r="I45" s="2171" t="s">
        <v>709</v>
      </c>
      <c r="J45" s="1484"/>
      <c r="K45" s="1487"/>
    </row>
    <row r="46" spans="1:11" ht="11.25" customHeight="1">
      <c r="A46" s="67" t="s">
        <v>644</v>
      </c>
      <c r="B46" s="424"/>
      <c r="C46" s="2172" t="s">
        <v>364</v>
      </c>
      <c r="D46" s="2172" t="s">
        <v>364</v>
      </c>
      <c r="E46" s="2174" t="s">
        <v>364</v>
      </c>
      <c r="F46" s="2188" t="s">
        <v>364</v>
      </c>
      <c r="G46" s="2172" t="s">
        <v>364</v>
      </c>
      <c r="H46" s="2173" t="s">
        <v>364</v>
      </c>
      <c r="I46" s="2171" t="s">
        <v>364</v>
      </c>
      <c r="J46" s="2172" t="s">
        <v>364</v>
      </c>
      <c r="K46" s="2174" t="s">
        <v>364</v>
      </c>
    </row>
    <row r="47" spans="1:11" ht="11.25" customHeight="1">
      <c r="A47" s="67" t="s">
        <v>645</v>
      </c>
      <c r="B47" s="424"/>
      <c r="C47" s="2172" t="s">
        <v>709</v>
      </c>
      <c r="D47" s="2172" t="s">
        <v>709</v>
      </c>
      <c r="E47" s="2174" t="s">
        <v>709</v>
      </c>
      <c r="F47" s="2188" t="s">
        <v>709</v>
      </c>
      <c r="G47" s="1484"/>
      <c r="H47" s="1485"/>
      <c r="I47" s="2171" t="s">
        <v>709</v>
      </c>
      <c r="J47" s="1484"/>
      <c r="K47" s="1487"/>
    </row>
    <row r="48" spans="1:11" ht="11.25" customHeight="1">
      <c r="A48" s="67" t="s">
        <v>140</v>
      </c>
      <c r="B48" s="424"/>
      <c r="C48" s="2172">
        <v>0</v>
      </c>
      <c r="D48" s="2172">
        <v>0</v>
      </c>
      <c r="E48" s="2174">
        <v>0</v>
      </c>
      <c r="F48" s="2188"/>
      <c r="G48" s="2172"/>
      <c r="H48" s="2173"/>
      <c r="I48" s="2171"/>
      <c r="J48" s="2172"/>
      <c r="K48" s="2174"/>
    </row>
    <row r="49" spans="1:12" ht="11.25" customHeight="1">
      <c r="A49" s="67" t="s">
        <v>347</v>
      </c>
      <c r="B49" s="424"/>
      <c r="C49" s="2172" t="s">
        <v>364</v>
      </c>
      <c r="D49" s="2172" t="s">
        <v>364</v>
      </c>
      <c r="E49" s="2174" t="s">
        <v>364</v>
      </c>
      <c r="F49" s="2188" t="s">
        <v>364</v>
      </c>
      <c r="G49" s="1484"/>
      <c r="H49" s="1485"/>
      <c r="I49" s="2171" t="s">
        <v>364</v>
      </c>
      <c r="J49" s="1484"/>
      <c r="K49" s="1487"/>
    </row>
    <row r="50" spans="1:12" ht="11.25" customHeight="1">
      <c r="A50" s="67" t="s">
        <v>355</v>
      </c>
      <c r="B50" s="424"/>
      <c r="C50" s="1951">
        <v>0</v>
      </c>
      <c r="D50" s="1951">
        <v>0</v>
      </c>
      <c r="E50" s="1960">
        <v>0</v>
      </c>
      <c r="F50" s="1961">
        <v>0</v>
      </c>
      <c r="G50" s="1484"/>
      <c r="H50" s="1485"/>
      <c r="I50" s="1962">
        <v>0</v>
      </c>
      <c r="J50" s="1484"/>
      <c r="K50" s="1487"/>
    </row>
    <row r="51" spans="1:12" ht="11.25" customHeight="1">
      <c r="A51" s="67" t="s">
        <v>458</v>
      </c>
      <c r="B51" s="424"/>
      <c r="C51" s="2215">
        <v>0</v>
      </c>
      <c r="D51" s="2215">
        <v>0</v>
      </c>
      <c r="E51" s="2216">
        <v>0</v>
      </c>
      <c r="F51" s="2217">
        <v>0</v>
      </c>
      <c r="G51" s="1484"/>
      <c r="H51" s="1485"/>
      <c r="I51" s="2218">
        <v>0</v>
      </c>
      <c r="J51" s="1484"/>
      <c r="K51" s="1487"/>
    </row>
    <row r="52" spans="1:12" ht="4.9000000000000004" customHeight="1">
      <c r="A52" s="78"/>
      <c r="B52" s="424"/>
      <c r="C52" s="384"/>
      <c r="D52" s="384"/>
      <c r="E52" s="85"/>
      <c r="F52" s="383"/>
      <c r="G52" s="1484"/>
      <c r="H52" s="1485"/>
      <c r="I52" s="1999"/>
      <c r="J52" s="1484"/>
      <c r="K52" s="1487"/>
    </row>
    <row r="53" spans="1:12" ht="11.25" customHeight="1">
      <c r="A53" s="58" t="s">
        <v>567</v>
      </c>
      <c r="B53" s="424"/>
      <c r="C53" s="384"/>
      <c r="D53" s="384"/>
      <c r="E53" s="85"/>
      <c r="F53" s="383"/>
      <c r="G53" s="1484"/>
      <c r="H53" s="1485"/>
      <c r="I53" s="236"/>
      <c r="J53" s="1484"/>
      <c r="K53" s="1487"/>
    </row>
    <row r="54" spans="1:12" ht="11.25" customHeight="1">
      <c r="A54" s="198" t="s">
        <v>1284</v>
      </c>
      <c r="B54" s="464">
        <v>6</v>
      </c>
      <c r="C54" s="1951">
        <v>86517000</v>
      </c>
      <c r="D54" s="1951">
        <v>94000000</v>
      </c>
      <c r="E54" s="1960">
        <v>109304000</v>
      </c>
      <c r="F54" s="1961">
        <v>118192628.34999999</v>
      </c>
      <c r="G54" s="1951">
        <v>118193628.34999999</v>
      </c>
      <c r="H54" s="1954">
        <v>118192628.34999999</v>
      </c>
      <c r="I54" s="1962">
        <v>126576744.25</v>
      </c>
      <c r="J54" s="1951">
        <v>132272697.75</v>
      </c>
      <c r="K54" s="1960">
        <v>138886000</v>
      </c>
      <c r="L54" s="240"/>
    </row>
    <row r="55" spans="1:12" ht="11.25" customHeight="1">
      <c r="A55" s="198" t="s">
        <v>1285</v>
      </c>
      <c r="B55" s="464">
        <v>6</v>
      </c>
      <c r="C55" s="1951">
        <v>77865000</v>
      </c>
      <c r="D55" s="1951">
        <v>84600000</v>
      </c>
      <c r="E55" s="1960">
        <v>98373000</v>
      </c>
      <c r="F55" s="1961">
        <v>106373000</v>
      </c>
      <c r="G55" s="1951">
        <v>106373000</v>
      </c>
      <c r="H55" s="1954">
        <v>106373000</v>
      </c>
      <c r="I55" s="1962">
        <v>113919000</v>
      </c>
      <c r="J55" s="1951">
        <v>119045700</v>
      </c>
      <c r="K55" s="1960">
        <v>124997400</v>
      </c>
      <c r="L55" s="240"/>
    </row>
    <row r="56" spans="1:12" ht="11.25" customHeight="1">
      <c r="A56" s="67" t="s">
        <v>1388</v>
      </c>
      <c r="B56" s="464"/>
      <c r="C56" s="2219">
        <v>0.9</v>
      </c>
      <c r="D56" s="2219">
        <v>0.9</v>
      </c>
      <c r="E56" s="2220">
        <v>0.9</v>
      </c>
      <c r="F56" s="2221">
        <v>0.9</v>
      </c>
      <c r="G56" s="2219">
        <v>0.9</v>
      </c>
      <c r="H56" s="2222">
        <v>0.9</v>
      </c>
      <c r="I56" s="2223">
        <v>0.9</v>
      </c>
      <c r="J56" s="2215">
        <v>0.9</v>
      </c>
      <c r="K56" s="2216">
        <v>0.9</v>
      </c>
    </row>
    <row r="57" spans="1:12" ht="11.25" customHeight="1">
      <c r="A57" s="67" t="s">
        <v>1316</v>
      </c>
      <c r="B57" s="464">
        <v>7</v>
      </c>
      <c r="C57" s="2224">
        <v>0</v>
      </c>
      <c r="D57" s="2224">
        <v>0</v>
      </c>
      <c r="E57" s="2225">
        <v>0</v>
      </c>
      <c r="F57" s="2226">
        <v>0</v>
      </c>
      <c r="G57" s="2224">
        <v>0</v>
      </c>
      <c r="H57" s="2227">
        <v>0</v>
      </c>
      <c r="I57" s="2228">
        <v>0</v>
      </c>
      <c r="J57" s="1951">
        <v>0</v>
      </c>
      <c r="K57" s="1960">
        <v>0</v>
      </c>
    </row>
    <row r="58" spans="1:12" ht="15.75" customHeight="1">
      <c r="A58" s="67" t="s">
        <v>356</v>
      </c>
      <c r="B58" s="464"/>
      <c r="C58" s="2229">
        <v>3378000</v>
      </c>
      <c r="D58" s="2229">
        <v>3939000</v>
      </c>
      <c r="E58" s="2230">
        <v>3939000</v>
      </c>
      <c r="F58" s="2231">
        <v>4200000</v>
      </c>
      <c r="G58" s="2229">
        <v>4200000</v>
      </c>
      <c r="H58" s="2232">
        <v>4200000</v>
      </c>
      <c r="I58" s="2233">
        <v>4200000</v>
      </c>
      <c r="J58" s="1956">
        <v>4200000</v>
      </c>
      <c r="K58" s="2234">
        <v>4200000</v>
      </c>
    </row>
    <row r="59" spans="1:12" ht="11.25" customHeight="1">
      <c r="A59" s="67" t="s">
        <v>448</v>
      </c>
      <c r="B59" s="464"/>
      <c r="C59" s="2224">
        <v>2460000</v>
      </c>
      <c r="D59" s="2224">
        <v>2460000</v>
      </c>
      <c r="E59" s="2225">
        <v>2460000</v>
      </c>
      <c r="F59" s="2226">
        <v>2700000</v>
      </c>
      <c r="G59" s="2224">
        <v>2700000</v>
      </c>
      <c r="H59" s="2227">
        <v>2700000</v>
      </c>
      <c r="I59" s="2228">
        <v>2700000</v>
      </c>
      <c r="J59" s="1951">
        <v>2700000</v>
      </c>
      <c r="K59" s="1960">
        <v>2700000</v>
      </c>
    </row>
    <row r="60" spans="1:12" ht="11.25" customHeight="1">
      <c r="A60" s="67" t="s">
        <v>449</v>
      </c>
      <c r="B60" s="464"/>
      <c r="C60" s="2224">
        <v>0</v>
      </c>
      <c r="D60" s="2224">
        <v>0</v>
      </c>
      <c r="E60" s="2225"/>
      <c r="F60" s="2226"/>
      <c r="G60" s="2224"/>
      <c r="H60" s="2227"/>
      <c r="I60" s="2228"/>
      <c r="J60" s="1951"/>
      <c r="K60" s="1960"/>
    </row>
    <row r="61" spans="1:12" ht="11.25" customHeight="1">
      <c r="A61" s="67" t="s">
        <v>450</v>
      </c>
      <c r="B61" s="464"/>
      <c r="C61" s="2224">
        <v>18124000</v>
      </c>
      <c r="D61" s="2224">
        <v>22197000</v>
      </c>
      <c r="E61" s="2225">
        <v>23184121.460000001</v>
      </c>
      <c r="F61" s="2226">
        <v>27139376.760000002</v>
      </c>
      <c r="G61" s="2224">
        <v>27139376.760000002</v>
      </c>
      <c r="H61" s="2227">
        <v>27139376.760000002</v>
      </c>
      <c r="I61" s="2228">
        <v>28360648.710000001</v>
      </c>
      <c r="J61" s="1951">
        <v>29000000</v>
      </c>
      <c r="K61" s="1960">
        <v>33000000</v>
      </c>
    </row>
    <row r="62" spans="1:12" ht="11.25" customHeight="1">
      <c r="A62" s="67" t="s">
        <v>1315</v>
      </c>
      <c r="B62" s="464"/>
      <c r="C62" s="2235">
        <v>0</v>
      </c>
      <c r="D62" s="2235">
        <v>8114420</v>
      </c>
      <c r="E62" s="2236">
        <v>8114442.5099999998</v>
      </c>
      <c r="F62" s="2237">
        <v>6332521.2400000002</v>
      </c>
      <c r="G62" s="2235">
        <v>6332521.2400000002</v>
      </c>
      <c r="H62" s="2238">
        <v>6332521.2400000002</v>
      </c>
      <c r="I62" s="2239">
        <v>3308742</v>
      </c>
      <c r="J62" s="1981">
        <v>4000000</v>
      </c>
      <c r="K62" s="1984">
        <v>4000000</v>
      </c>
    </row>
    <row r="63" spans="1:12" ht="11.25" customHeight="1">
      <c r="A63" s="199" t="s">
        <v>565</v>
      </c>
      <c r="B63" s="464"/>
      <c r="C63" s="264">
        <f>SUM(C58:C62)</f>
        <v>23962000</v>
      </c>
      <c r="D63" s="264">
        <f t="shared" ref="D63:K63" si="1">SUM(D58:D62)</f>
        <v>36710420</v>
      </c>
      <c r="E63" s="218">
        <f t="shared" si="1"/>
        <v>37697563.969999999</v>
      </c>
      <c r="F63" s="265">
        <f t="shared" si="1"/>
        <v>40371898.000000007</v>
      </c>
      <c r="G63" s="264">
        <f t="shared" si="1"/>
        <v>40371898.000000007</v>
      </c>
      <c r="H63" s="491">
        <f t="shared" si="1"/>
        <v>40371898.000000007</v>
      </c>
      <c r="I63" s="266">
        <f t="shared" si="1"/>
        <v>38569390.710000001</v>
      </c>
      <c r="J63" s="264">
        <f t="shared" si="1"/>
        <v>39900000</v>
      </c>
      <c r="K63" s="218">
        <f t="shared" si="1"/>
        <v>43900000</v>
      </c>
    </row>
    <row r="64" spans="1:12" ht="4.9000000000000004" customHeight="1">
      <c r="A64" s="209"/>
      <c r="B64" s="492"/>
      <c r="C64" s="493"/>
      <c r="D64" s="493"/>
      <c r="E64" s="494"/>
      <c r="F64" s="495"/>
      <c r="G64" s="496"/>
      <c r="H64" s="497"/>
      <c r="I64" s="498"/>
      <c r="J64" s="493"/>
      <c r="K64" s="494"/>
    </row>
    <row r="65" spans="1:11" s="576" customFormat="1">
      <c r="A65" s="1063" t="str">
        <f>head27a</f>
        <v>References</v>
      </c>
      <c r="B65" s="874"/>
      <c r="C65" s="878"/>
      <c r="D65" s="878"/>
      <c r="E65" s="878"/>
      <c r="F65" s="878"/>
      <c r="G65" s="878"/>
      <c r="H65" s="878"/>
      <c r="I65" s="878"/>
      <c r="J65" s="878"/>
      <c r="K65" s="878"/>
    </row>
    <row r="66" spans="1:11" s="576" customFormat="1">
      <c r="A66" s="1028" t="s">
        <v>1387</v>
      </c>
      <c r="B66" s="898"/>
      <c r="C66" s="898"/>
      <c r="D66" s="898"/>
      <c r="E66" s="898"/>
      <c r="F66" s="898"/>
      <c r="G66" s="898"/>
      <c r="H66" s="898"/>
      <c r="I66" s="898"/>
      <c r="J66" s="898"/>
      <c r="K66" s="898"/>
    </row>
    <row r="67" spans="1:11" s="576" customFormat="1">
      <c r="A67" s="1025" t="s">
        <v>1389</v>
      </c>
      <c r="B67" s="898"/>
      <c r="C67" s="898"/>
      <c r="D67" s="898"/>
      <c r="E67" s="898"/>
      <c r="F67" s="898"/>
      <c r="G67" s="898"/>
      <c r="H67" s="898"/>
      <c r="I67" s="898"/>
      <c r="J67" s="898"/>
      <c r="K67" s="898"/>
    </row>
    <row r="68" spans="1:11" s="576" customFormat="1">
      <c r="A68" s="1025" t="s">
        <v>1390</v>
      </c>
      <c r="B68" s="898"/>
      <c r="C68" s="898"/>
      <c r="D68" s="898"/>
      <c r="E68" s="899"/>
      <c r="F68" s="899"/>
      <c r="G68" s="898"/>
      <c r="H68" s="898"/>
      <c r="I68" s="898"/>
      <c r="J68" s="898"/>
      <c r="K68" s="898"/>
    </row>
    <row r="69" spans="1:11" s="576" customFormat="1">
      <c r="A69" s="1025" t="s">
        <v>1391</v>
      </c>
      <c r="B69" s="898"/>
      <c r="C69" s="898"/>
      <c r="D69" s="898"/>
      <c r="E69" s="899"/>
      <c r="F69" s="899"/>
      <c r="G69" s="898"/>
      <c r="H69" s="898"/>
      <c r="I69" s="898"/>
      <c r="J69" s="898"/>
      <c r="K69" s="898"/>
    </row>
    <row r="70" spans="1:11" s="576" customFormat="1">
      <c r="A70" s="1028" t="s">
        <v>1405</v>
      </c>
      <c r="B70" s="898"/>
      <c r="C70" s="898"/>
      <c r="D70" s="898"/>
      <c r="E70" s="899"/>
      <c r="F70" s="899"/>
      <c r="G70" s="898"/>
      <c r="H70" s="898"/>
      <c r="I70" s="898"/>
      <c r="J70" s="898"/>
      <c r="K70" s="898"/>
    </row>
    <row r="71" spans="1:11" s="576" customFormat="1">
      <c r="A71" s="1028" t="str">
        <f>"6. Current and budget year must reconcile to "&amp;'Template names'!F103</f>
        <v>6. Current and budget year must reconcile to Table A4 Budgeted Financial Performance (revenue and expenditure)</v>
      </c>
      <c r="B71" s="898"/>
      <c r="C71" s="898"/>
      <c r="D71" s="898"/>
      <c r="E71" s="899"/>
      <c r="F71" s="899"/>
      <c r="G71" s="898"/>
      <c r="H71" s="898"/>
      <c r="I71" s="898"/>
      <c r="J71" s="898"/>
      <c r="K71" s="898"/>
    </row>
    <row r="72" spans="1:11" s="576" customFormat="1">
      <c r="A72" s="1028" t="s">
        <v>566</v>
      </c>
      <c r="B72" s="898"/>
      <c r="C72" s="898"/>
      <c r="D72" s="898"/>
      <c r="E72" s="899"/>
      <c r="F72" s="899"/>
      <c r="G72" s="898"/>
      <c r="H72" s="898"/>
      <c r="I72" s="898"/>
      <c r="J72" s="898"/>
      <c r="K72" s="898"/>
    </row>
    <row r="73" spans="1:11">
      <c r="A73" s="1028" t="s">
        <v>1403</v>
      </c>
      <c r="B73" s="123"/>
      <c r="C73" s="123"/>
      <c r="D73" s="123"/>
      <c r="E73" s="233"/>
      <c r="F73" s="233"/>
      <c r="G73" s="123"/>
      <c r="H73" s="123"/>
      <c r="I73" s="123"/>
      <c r="J73" s="123"/>
      <c r="K73" s="123"/>
    </row>
    <row r="74" spans="1:11">
      <c r="A74" s="123"/>
      <c r="B74" s="123"/>
      <c r="C74" s="123"/>
      <c r="D74" s="123"/>
      <c r="E74" s="233"/>
      <c r="F74" s="233"/>
      <c r="G74" s="123"/>
      <c r="H74" s="123"/>
      <c r="I74" s="123"/>
      <c r="J74" s="123"/>
      <c r="K74" s="123"/>
    </row>
    <row r="75" spans="1:11">
      <c r="A75" s="123"/>
      <c r="B75" s="113"/>
      <c r="C75" s="117"/>
      <c r="D75" s="117"/>
      <c r="E75" s="118"/>
      <c r="F75" s="118"/>
      <c r="G75" s="118"/>
      <c r="H75" s="118"/>
      <c r="I75" s="118"/>
      <c r="J75" s="118"/>
      <c r="K75" s="118"/>
    </row>
    <row r="76" spans="1:11">
      <c r="A76" s="123"/>
      <c r="B76" s="113"/>
      <c r="C76" s="117"/>
      <c r="D76" s="117"/>
      <c r="E76" s="118"/>
      <c r="F76" s="118"/>
      <c r="G76" s="118"/>
      <c r="H76" s="118"/>
      <c r="I76" s="118"/>
      <c r="J76" s="118"/>
      <c r="K76" s="118"/>
    </row>
    <row r="77" spans="1:11">
      <c r="A77" s="123"/>
      <c r="B77" s="113"/>
      <c r="C77" s="117"/>
      <c r="D77" s="117"/>
      <c r="E77" s="118"/>
      <c r="F77" s="118"/>
      <c r="G77" s="118"/>
      <c r="H77" s="118"/>
      <c r="I77" s="118"/>
      <c r="J77" s="118"/>
      <c r="K77" s="118"/>
    </row>
    <row r="78" spans="1:11">
      <c r="A78" s="123"/>
      <c r="B78" s="113"/>
      <c r="C78" s="117"/>
      <c r="D78" s="117"/>
      <c r="E78" s="118"/>
      <c r="F78" s="118"/>
      <c r="G78" s="118"/>
      <c r="H78" s="118"/>
      <c r="I78" s="118"/>
      <c r="J78" s="118"/>
      <c r="K78" s="118"/>
    </row>
    <row r="79" spans="1:11" ht="11.25" customHeight="1">
      <c r="A79" s="123"/>
      <c r="B79" s="113"/>
      <c r="C79" s="123"/>
      <c r="D79" s="123"/>
      <c r="E79" s="123"/>
      <c r="F79" s="123"/>
      <c r="G79" s="123"/>
    </row>
    <row r="80" spans="1:11" ht="11.25" customHeight="1">
      <c r="A80" s="123"/>
      <c r="B80" s="123"/>
      <c r="C80" s="123"/>
      <c r="D80" s="123"/>
      <c r="E80" s="123"/>
      <c r="F80" s="123"/>
      <c r="G80" s="123"/>
    </row>
    <row r="81" spans="1:7" ht="11.25" customHeight="1">
      <c r="A81" s="123"/>
      <c r="B81" s="123"/>
      <c r="C81" s="123"/>
      <c r="D81" s="123"/>
      <c r="E81" s="123"/>
      <c r="F81" s="123"/>
      <c r="G81" s="123"/>
    </row>
    <row r="82" spans="1:7" ht="11.25" customHeight="1">
      <c r="A82" s="123"/>
      <c r="B82" s="123"/>
      <c r="C82" s="123"/>
      <c r="D82" s="123"/>
      <c r="E82" s="123"/>
      <c r="F82" s="123"/>
      <c r="G82" s="123"/>
    </row>
    <row r="83" spans="1:7" ht="11.25" customHeight="1">
      <c r="A83" s="123"/>
      <c r="B83" s="113"/>
      <c r="C83" s="123"/>
      <c r="D83" s="123"/>
      <c r="E83" s="123"/>
      <c r="F83" s="123"/>
      <c r="G83" s="123"/>
    </row>
    <row r="84" spans="1:7" ht="11.25" customHeight="1"/>
    <row r="85" spans="1:7" ht="11.25" customHeight="1"/>
    <row r="86" spans="1:7" ht="11.25" customHeight="1"/>
    <row r="87" spans="1:7" ht="11.25" customHeight="1"/>
    <row r="88" spans="1:7" ht="11.25" customHeight="1"/>
    <row r="89" spans="1:7" ht="11.25" customHeight="1"/>
    <row r="90" spans="1:7" ht="11.25" customHeight="1"/>
    <row r="91" spans="1:7" ht="11.25" customHeight="1"/>
    <row r="92" spans="1:7" ht="11.25" customHeight="1"/>
    <row r="93" spans="1:7" ht="11.25" customHeight="1"/>
    <row r="94" spans="1:7" ht="11.25" customHeight="1"/>
    <row r="95" spans="1:7" ht="11.25" customHeight="1"/>
    <row r="96" spans="1: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sheetData>
  <mergeCells count="4">
    <mergeCell ref="F2:H2"/>
    <mergeCell ref="I2:K2"/>
    <mergeCell ref="B2:B4"/>
    <mergeCell ref="A2:A3"/>
  </mergeCells>
  <phoneticPr fontId="5"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rintOptions horizontalCentered="1"/>
  <pageMargins left="0.35433070866141736" right="0" top="0.59055118110236227" bottom="0.39370078740157483" header="0.51181102362204722" footer="0.39370078740157483"/>
  <pageSetup paperSize="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S146"/>
  <sheetViews>
    <sheetView showGridLines="0" zoomScaleNormal="100" workbookViewId="0">
      <pane xSplit="2" ySplit="2" topLeftCell="C18" activePane="bottomRight" state="frozen"/>
      <selection activeCell="C32" sqref="C32"/>
      <selection pane="topRight" activeCell="C32" sqref="C32"/>
      <selection pane="bottomLeft" activeCell="C32" sqref="C32"/>
      <selection pane="bottomRight" activeCell="I44" sqref="I44"/>
    </sheetView>
  </sheetViews>
  <sheetFormatPr defaultColWidth="9.140625" defaultRowHeight="12.75"/>
  <cols>
    <col min="1" max="1" width="30.7109375" style="26" customWidth="1"/>
    <col min="2" max="2" width="3" style="521"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c r="A1" s="24" t="str">
        <f>muni&amp;" - "&amp;TableA12a</f>
        <v>LIM333 Greater Tzaneen - Supporting Table SA12a Property rates by category (current year)</v>
      </c>
      <c r="B1" s="500"/>
      <c r="C1" s="24"/>
      <c r="D1" s="24"/>
      <c r="E1" s="24"/>
      <c r="F1" s="24"/>
      <c r="G1" s="24"/>
      <c r="H1" s="24"/>
      <c r="I1" s="24"/>
      <c r="J1" s="24"/>
      <c r="K1" s="24"/>
      <c r="L1" s="24"/>
      <c r="M1" s="24"/>
      <c r="N1" s="24"/>
      <c r="O1" s="24"/>
      <c r="P1" s="24"/>
      <c r="Q1" s="24"/>
      <c r="R1" s="24"/>
    </row>
    <row r="2" spans="1:18" ht="38.25">
      <c r="A2" s="501" t="str">
        <f>desc</f>
        <v>Description</v>
      </c>
      <c r="B2" s="502" t="str">
        <f>head27</f>
        <v>Ref</v>
      </c>
      <c r="C2" s="386" t="s">
        <v>936</v>
      </c>
      <c r="D2" s="386" t="s">
        <v>937</v>
      </c>
      <c r="E2" s="386" t="s">
        <v>938</v>
      </c>
      <c r="F2" s="386" t="s">
        <v>939</v>
      </c>
      <c r="G2" s="386" t="s">
        <v>1286</v>
      </c>
      <c r="H2" s="386" t="s">
        <v>1353</v>
      </c>
      <c r="I2" s="386" t="s">
        <v>1287</v>
      </c>
      <c r="J2" s="386" t="s">
        <v>940</v>
      </c>
      <c r="K2" s="386" t="s">
        <v>352</v>
      </c>
      <c r="L2" s="386" t="s">
        <v>941</v>
      </c>
      <c r="M2" s="386" t="s">
        <v>353</v>
      </c>
      <c r="N2" s="386" t="s">
        <v>1354</v>
      </c>
      <c r="O2" s="386" t="s">
        <v>942</v>
      </c>
      <c r="P2" s="386" t="s">
        <v>354</v>
      </c>
      <c r="Q2" s="386" t="s">
        <v>1355</v>
      </c>
      <c r="R2" s="503" t="s">
        <v>1356</v>
      </c>
    </row>
    <row r="3" spans="1:18" ht="11.25" customHeight="1">
      <c r="A3" s="126" t="str">
        <f>Head2</f>
        <v>Current Year 2019/20</v>
      </c>
      <c r="B3" s="59"/>
      <c r="C3" s="504"/>
      <c r="D3" s="504"/>
      <c r="E3" s="504"/>
      <c r="F3" s="504"/>
      <c r="G3" s="504"/>
      <c r="H3" s="504"/>
      <c r="I3" s="504"/>
      <c r="J3" s="504"/>
      <c r="K3" s="504"/>
      <c r="L3" s="504"/>
      <c r="M3" s="504"/>
      <c r="N3" s="504"/>
      <c r="O3" s="504"/>
      <c r="P3" s="504"/>
      <c r="Q3" s="504"/>
      <c r="R3" s="505"/>
    </row>
    <row r="4" spans="1:18" ht="11.25" customHeight="1">
      <c r="A4" s="126" t="s">
        <v>647</v>
      </c>
      <c r="B4" s="59"/>
      <c r="C4" s="504"/>
      <c r="D4" s="504"/>
      <c r="E4" s="504"/>
      <c r="F4" s="504"/>
      <c r="G4" s="504"/>
      <c r="H4" s="504"/>
      <c r="I4" s="504"/>
      <c r="J4" s="504"/>
      <c r="K4" s="504"/>
      <c r="L4" s="504"/>
      <c r="M4" s="504"/>
      <c r="N4" s="504"/>
      <c r="O4" s="504"/>
      <c r="P4" s="504"/>
      <c r="Q4" s="504"/>
      <c r="R4" s="505"/>
    </row>
    <row r="5" spans="1:18" ht="11.25" customHeight="1">
      <c r="A5" s="127" t="s">
        <v>349</v>
      </c>
      <c r="B5" s="59"/>
      <c r="C5" s="1989">
        <v>10791</v>
      </c>
      <c r="D5" s="1989">
        <v>403</v>
      </c>
      <c r="E5" s="1989">
        <v>784</v>
      </c>
      <c r="F5" s="1989">
        <v>2612</v>
      </c>
      <c r="G5" s="1989">
        <v>259</v>
      </c>
      <c r="H5" s="1989">
        <v>2082</v>
      </c>
      <c r="I5" s="1989">
        <v>77</v>
      </c>
      <c r="J5" s="1989">
        <v>216</v>
      </c>
      <c r="K5" s="1989"/>
      <c r="L5" s="1989"/>
      <c r="M5" s="1989"/>
      <c r="N5" s="1989"/>
      <c r="O5" s="1989"/>
      <c r="P5" s="1989"/>
      <c r="Q5" s="1989">
        <v>16</v>
      </c>
      <c r="R5" s="2240"/>
    </row>
    <row r="6" spans="1:18" ht="11.25" customHeight="1">
      <c r="A6" s="127" t="s">
        <v>1229</v>
      </c>
      <c r="B6" s="59"/>
      <c r="C6" s="1989">
        <v>1080</v>
      </c>
      <c r="D6" s="1989"/>
      <c r="E6" s="1989"/>
      <c r="F6" s="1989"/>
      <c r="G6" s="1989"/>
      <c r="H6" s="1989"/>
      <c r="I6" s="1989"/>
      <c r="J6" s="1989"/>
      <c r="K6" s="1989"/>
      <c r="L6" s="1989"/>
      <c r="M6" s="1989"/>
      <c r="N6" s="1989"/>
      <c r="O6" s="1989"/>
      <c r="P6" s="1989"/>
      <c r="Q6" s="1989"/>
      <c r="R6" s="2240"/>
    </row>
    <row r="7" spans="1:18" ht="11.25" customHeight="1">
      <c r="A7" s="127" t="s">
        <v>351</v>
      </c>
      <c r="B7" s="59"/>
      <c r="C7" s="1989"/>
      <c r="D7" s="1989"/>
      <c r="E7" s="1989"/>
      <c r="F7" s="1989"/>
      <c r="G7" s="1989"/>
      <c r="H7" s="1989"/>
      <c r="I7" s="1989"/>
      <c r="J7" s="1989"/>
      <c r="K7" s="1989"/>
      <c r="L7" s="1989"/>
      <c r="M7" s="1989"/>
      <c r="N7" s="1989"/>
      <c r="O7" s="1989"/>
      <c r="P7" s="1989"/>
      <c r="Q7" s="1989"/>
      <c r="R7" s="2240"/>
    </row>
    <row r="8" spans="1:18" ht="11.25" customHeight="1">
      <c r="A8" s="127" t="s">
        <v>639</v>
      </c>
      <c r="B8" s="59"/>
      <c r="C8" s="1989"/>
      <c r="D8" s="1989"/>
      <c r="E8" s="1989"/>
      <c r="F8" s="1989"/>
      <c r="G8" s="1989"/>
      <c r="H8" s="1989"/>
      <c r="I8" s="1989"/>
      <c r="J8" s="1989"/>
      <c r="K8" s="1989"/>
      <c r="L8" s="1989"/>
      <c r="M8" s="1989"/>
      <c r="N8" s="1989"/>
      <c r="O8" s="1989"/>
      <c r="P8" s="1989"/>
      <c r="Q8" s="1989"/>
      <c r="R8" s="2240"/>
    </row>
    <row r="9" spans="1:18" ht="11.25" customHeight="1">
      <c r="A9" s="127" t="s">
        <v>1230</v>
      </c>
      <c r="B9" s="59"/>
      <c r="C9" s="1989"/>
      <c r="D9" s="1989"/>
      <c r="E9" s="1989"/>
      <c r="F9" s="1989"/>
      <c r="G9" s="1989"/>
      <c r="H9" s="1989"/>
      <c r="I9" s="1989"/>
      <c r="J9" s="1989"/>
      <c r="K9" s="1989"/>
      <c r="L9" s="1989"/>
      <c r="M9" s="1989"/>
      <c r="N9" s="1989"/>
      <c r="O9" s="1989"/>
      <c r="P9" s="1989"/>
      <c r="Q9" s="1989"/>
      <c r="R9" s="2240"/>
    </row>
    <row r="10" spans="1:18" ht="11.25" customHeight="1">
      <c r="A10" s="127" t="s">
        <v>640</v>
      </c>
      <c r="B10" s="59"/>
      <c r="C10" s="1989"/>
      <c r="D10" s="1989"/>
      <c r="E10" s="1989"/>
      <c r="F10" s="1989"/>
      <c r="G10" s="1989"/>
      <c r="H10" s="1989"/>
      <c r="I10" s="1989"/>
      <c r="J10" s="1989"/>
      <c r="K10" s="1989"/>
      <c r="L10" s="1989"/>
      <c r="M10" s="1989"/>
      <c r="N10" s="1989"/>
      <c r="O10" s="1989"/>
      <c r="P10" s="1989"/>
      <c r="Q10" s="1989"/>
      <c r="R10" s="2240"/>
    </row>
    <row r="11" spans="1:18" ht="11.25" customHeight="1">
      <c r="A11" s="127" t="s">
        <v>315</v>
      </c>
      <c r="B11" s="59"/>
      <c r="C11" s="1989"/>
      <c r="D11" s="1989"/>
      <c r="E11" s="1989"/>
      <c r="F11" s="1989"/>
      <c r="G11" s="1989"/>
      <c r="H11" s="1989"/>
      <c r="I11" s="1989"/>
      <c r="J11" s="1989"/>
      <c r="K11" s="1989"/>
      <c r="L11" s="1989"/>
      <c r="M11" s="1989"/>
      <c r="N11" s="1989"/>
      <c r="O11" s="1989"/>
      <c r="P11" s="1989"/>
      <c r="Q11" s="1989"/>
      <c r="R11" s="2240"/>
    </row>
    <row r="12" spans="1:18" ht="11.25" customHeight="1">
      <c r="A12" s="127" t="s">
        <v>316</v>
      </c>
      <c r="B12" s="59"/>
      <c r="C12" s="1989"/>
      <c r="D12" s="1989"/>
      <c r="E12" s="1989"/>
      <c r="F12" s="1989"/>
      <c r="G12" s="1989"/>
      <c r="H12" s="1989"/>
      <c r="I12" s="1989"/>
      <c r="J12" s="1989"/>
      <c r="K12" s="1989"/>
      <c r="L12" s="1989"/>
      <c r="M12" s="1989"/>
      <c r="N12" s="1989"/>
      <c r="O12" s="1989"/>
      <c r="P12" s="1989"/>
      <c r="Q12" s="1989"/>
      <c r="R12" s="2240"/>
    </row>
    <row r="13" spans="1:18" ht="11.25" customHeight="1">
      <c r="A13" s="127" t="s">
        <v>317</v>
      </c>
      <c r="B13" s="59"/>
      <c r="C13" s="1989"/>
      <c r="D13" s="1989"/>
      <c r="E13" s="1989"/>
      <c r="F13" s="1989"/>
      <c r="G13" s="1989"/>
      <c r="H13" s="1989"/>
      <c r="I13" s="1989"/>
      <c r="J13" s="1989"/>
      <c r="K13" s="1989"/>
      <c r="L13" s="1989"/>
      <c r="M13" s="1989"/>
      <c r="N13" s="1989"/>
      <c r="O13" s="1989"/>
      <c r="P13" s="1989"/>
      <c r="Q13" s="1989"/>
      <c r="R13" s="2240"/>
    </row>
    <row r="14" spans="1:18" ht="11.25" customHeight="1">
      <c r="A14" s="127" t="s">
        <v>649</v>
      </c>
      <c r="B14" s="59">
        <v>5</v>
      </c>
      <c r="C14" s="1989"/>
      <c r="D14" s="1989"/>
      <c r="E14" s="1989"/>
      <c r="F14" s="1989"/>
      <c r="G14" s="1989"/>
      <c r="H14" s="1989"/>
      <c r="I14" s="1989"/>
      <c r="J14" s="1989"/>
      <c r="K14" s="1989"/>
      <c r="L14" s="1989"/>
      <c r="M14" s="1989"/>
      <c r="N14" s="1989"/>
      <c r="O14" s="1989"/>
      <c r="P14" s="1989"/>
      <c r="Q14" s="1989"/>
      <c r="R14" s="2240"/>
    </row>
    <row r="15" spans="1:18" ht="11.25" customHeight="1">
      <c r="A15" s="127" t="s">
        <v>638</v>
      </c>
      <c r="B15" s="59">
        <v>5</v>
      </c>
      <c r="C15" s="1989"/>
      <c r="D15" s="1989"/>
      <c r="E15" s="1989"/>
      <c r="F15" s="1989"/>
      <c r="G15" s="1989"/>
      <c r="H15" s="1989"/>
      <c r="I15" s="1989"/>
      <c r="J15" s="1989"/>
      <c r="K15" s="1989"/>
      <c r="L15" s="1989"/>
      <c r="M15" s="1989"/>
      <c r="N15" s="1989"/>
      <c r="O15" s="1989"/>
      <c r="P15" s="1989"/>
      <c r="Q15" s="1989"/>
      <c r="R15" s="2240"/>
    </row>
    <row r="16" spans="1:18" ht="11.25" customHeight="1">
      <c r="A16" s="131" t="s">
        <v>1231</v>
      </c>
      <c r="B16" s="223"/>
      <c r="C16" s="1406"/>
      <c r="D16" s="1406"/>
      <c r="E16" s="1406"/>
      <c r="F16" s="1406"/>
      <c r="G16" s="1406"/>
      <c r="H16" s="1406"/>
      <c r="I16" s="1996"/>
      <c r="J16" s="1406"/>
      <c r="K16" s="1406"/>
      <c r="L16" s="1406"/>
      <c r="M16" s="1406"/>
      <c r="N16" s="1406"/>
      <c r="O16" s="1406"/>
      <c r="P16" s="1406"/>
      <c r="Q16" s="1406"/>
      <c r="R16" s="1987"/>
    </row>
    <row r="17" spans="1:18" ht="11.25" customHeight="1">
      <c r="A17" s="127" t="s">
        <v>1465</v>
      </c>
      <c r="B17" s="59"/>
      <c r="C17" s="2172">
        <v>3</v>
      </c>
      <c r="D17" s="2172">
        <v>3</v>
      </c>
      <c r="E17" s="2172">
        <v>3</v>
      </c>
      <c r="F17" s="2172">
        <v>3</v>
      </c>
      <c r="G17" s="2172">
        <v>3</v>
      </c>
      <c r="H17" s="2172">
        <v>3</v>
      </c>
      <c r="I17" s="2172">
        <v>3</v>
      </c>
      <c r="J17" s="2172">
        <v>3</v>
      </c>
      <c r="K17" s="2172"/>
      <c r="L17" s="2172"/>
      <c r="M17" s="2172"/>
      <c r="N17" s="2172"/>
      <c r="O17" s="2172"/>
      <c r="P17" s="2172"/>
      <c r="Q17" s="2172">
        <v>3</v>
      </c>
      <c r="R17" s="2173"/>
    </row>
    <row r="18" spans="1:18" ht="11.25" customHeight="1">
      <c r="A18" s="127" t="s">
        <v>1466</v>
      </c>
      <c r="B18" s="59"/>
      <c r="C18" s="2172">
        <v>5</v>
      </c>
      <c r="D18" s="2241">
        <v>5</v>
      </c>
      <c r="E18" s="2241">
        <v>5</v>
      </c>
      <c r="F18" s="2241">
        <v>5</v>
      </c>
      <c r="G18" s="2241">
        <v>5</v>
      </c>
      <c r="H18" s="2241">
        <v>5</v>
      </c>
      <c r="I18" s="2241">
        <v>5</v>
      </c>
      <c r="J18" s="2241">
        <v>5</v>
      </c>
      <c r="K18" s="2241"/>
      <c r="L18" s="2241"/>
      <c r="M18" s="2241"/>
      <c r="N18" s="2241"/>
      <c r="O18" s="2241"/>
      <c r="P18" s="2241"/>
      <c r="Q18" s="2241">
        <v>5</v>
      </c>
      <c r="R18" s="2242"/>
    </row>
    <row r="19" spans="1:18" ht="11.25" customHeight="1">
      <c r="A19" s="127" t="s">
        <v>1467</v>
      </c>
      <c r="B19" s="59"/>
      <c r="C19" s="2172" t="s">
        <v>137</v>
      </c>
      <c r="D19" s="2172" t="s">
        <v>137</v>
      </c>
      <c r="E19" s="2172" t="s">
        <v>137</v>
      </c>
      <c r="F19" s="2172" t="s">
        <v>137</v>
      </c>
      <c r="G19" s="2172" t="s">
        <v>137</v>
      </c>
      <c r="H19" s="2172" t="s">
        <v>137</v>
      </c>
      <c r="I19" s="2172" t="s">
        <v>137</v>
      </c>
      <c r="J19" s="2172" t="s">
        <v>137</v>
      </c>
      <c r="K19" s="2172"/>
      <c r="L19" s="2172"/>
      <c r="M19" s="2172"/>
      <c r="N19" s="2172"/>
      <c r="O19" s="2172"/>
      <c r="P19" s="2172"/>
      <c r="Q19" s="2172" t="s">
        <v>137</v>
      </c>
      <c r="R19" s="2173"/>
    </row>
    <row r="20" spans="1:18" ht="11.25" customHeight="1">
      <c r="A20" s="127" t="s">
        <v>1468</v>
      </c>
      <c r="B20" s="59"/>
      <c r="C20" s="2172" t="s">
        <v>141</v>
      </c>
      <c r="D20" s="2172" t="s">
        <v>141</v>
      </c>
      <c r="E20" s="2172" t="s">
        <v>141</v>
      </c>
      <c r="F20" s="2172" t="s">
        <v>141</v>
      </c>
      <c r="G20" s="2172" t="s">
        <v>141</v>
      </c>
      <c r="H20" s="2172" t="s">
        <v>141</v>
      </c>
      <c r="I20" s="2172" t="s">
        <v>141</v>
      </c>
      <c r="J20" s="2172" t="s">
        <v>141</v>
      </c>
      <c r="K20" s="2172"/>
      <c r="L20" s="2172"/>
      <c r="M20" s="2172"/>
      <c r="N20" s="2172"/>
      <c r="O20" s="2172"/>
      <c r="P20" s="2172"/>
      <c r="Q20" s="2172" t="s">
        <v>141</v>
      </c>
      <c r="R20" s="2173"/>
    </row>
    <row r="21" spans="1:18" ht="11.25" customHeight="1">
      <c r="A21" s="127" t="s">
        <v>140</v>
      </c>
      <c r="B21" s="59"/>
      <c r="C21" s="2172"/>
      <c r="D21" s="2172"/>
      <c r="E21" s="2172"/>
      <c r="F21" s="2172"/>
      <c r="G21" s="2172"/>
      <c r="H21" s="2172"/>
      <c r="I21" s="2172"/>
      <c r="J21" s="2172"/>
      <c r="K21" s="2172"/>
      <c r="L21" s="2172"/>
      <c r="M21" s="2172"/>
      <c r="N21" s="2172"/>
      <c r="O21" s="2172"/>
      <c r="P21" s="2172"/>
      <c r="Q21" s="2172"/>
      <c r="R21" s="2173"/>
    </row>
    <row r="22" spans="1:18" ht="11.25" customHeight="1">
      <c r="A22" s="127" t="s">
        <v>579</v>
      </c>
      <c r="B22" s="506"/>
      <c r="C22" s="2172"/>
      <c r="D22" s="2172"/>
      <c r="E22" s="2172"/>
      <c r="F22" s="2172"/>
      <c r="G22" s="2172"/>
      <c r="H22" s="2172"/>
      <c r="I22" s="2172"/>
      <c r="J22" s="2172"/>
      <c r="K22" s="2172"/>
      <c r="L22" s="2172"/>
      <c r="M22" s="2172"/>
      <c r="N22" s="2172"/>
      <c r="O22" s="2172"/>
      <c r="P22" s="2172"/>
      <c r="Q22" s="2172" t="s">
        <v>709</v>
      </c>
      <c r="R22" s="2173"/>
    </row>
    <row r="23" spans="1:18" ht="11.25" customHeight="1">
      <c r="A23" s="127" t="s">
        <v>580</v>
      </c>
      <c r="B23" s="506"/>
      <c r="C23" s="2172" t="s">
        <v>709</v>
      </c>
      <c r="D23" s="2172" t="s">
        <v>709</v>
      </c>
      <c r="E23" s="2172" t="s">
        <v>709</v>
      </c>
      <c r="F23" s="2172" t="s">
        <v>709</v>
      </c>
      <c r="G23" s="2172" t="s">
        <v>709</v>
      </c>
      <c r="H23" s="2172" t="s">
        <v>709</v>
      </c>
      <c r="I23" s="2172" t="s">
        <v>709</v>
      </c>
      <c r="J23" s="2172" t="s">
        <v>709</v>
      </c>
      <c r="K23" s="2172"/>
      <c r="L23" s="2172"/>
      <c r="M23" s="2172"/>
      <c r="N23" s="2172"/>
      <c r="O23" s="2172"/>
      <c r="P23" s="2172"/>
      <c r="Q23" s="2172"/>
      <c r="R23" s="2173"/>
    </row>
    <row r="24" spans="1:18" ht="11.25" customHeight="1">
      <c r="A24" s="127" t="s">
        <v>264</v>
      </c>
      <c r="B24" s="506"/>
      <c r="C24" s="2172"/>
      <c r="D24" s="2172"/>
      <c r="E24" s="2172"/>
      <c r="F24" s="2172"/>
      <c r="G24" s="2172"/>
      <c r="H24" s="2172"/>
      <c r="I24" s="2172"/>
      <c r="J24" s="2172"/>
      <c r="K24" s="2172"/>
      <c r="L24" s="2172"/>
      <c r="M24" s="2172"/>
      <c r="N24" s="2172"/>
      <c r="O24" s="2172"/>
      <c r="P24" s="2172"/>
      <c r="Q24" s="2172"/>
      <c r="R24" s="2173"/>
    </row>
    <row r="25" spans="1:18" ht="11.25" customHeight="1">
      <c r="A25" s="126" t="s">
        <v>1350</v>
      </c>
      <c r="B25" s="59"/>
      <c r="C25" s="466"/>
      <c r="D25" s="466"/>
      <c r="E25" s="466"/>
      <c r="F25" s="466"/>
      <c r="G25" s="466"/>
      <c r="H25" s="466"/>
      <c r="I25" s="466"/>
      <c r="J25" s="466"/>
      <c r="K25" s="466"/>
      <c r="L25" s="466"/>
      <c r="M25" s="466"/>
      <c r="N25" s="466"/>
      <c r="O25" s="466"/>
      <c r="P25" s="466"/>
      <c r="Q25" s="466"/>
      <c r="R25" s="469"/>
    </row>
    <row r="26" spans="1:18" ht="11.25" customHeight="1">
      <c r="A26" s="127" t="s">
        <v>452</v>
      </c>
      <c r="B26" s="59"/>
      <c r="C26" s="2194"/>
      <c r="D26" s="2194"/>
      <c r="E26" s="2194"/>
      <c r="F26" s="2194"/>
      <c r="G26" s="2194"/>
      <c r="H26" s="2194"/>
      <c r="I26" s="2194"/>
      <c r="J26" s="2194"/>
      <c r="K26" s="2194"/>
      <c r="L26" s="2194"/>
      <c r="M26" s="2194"/>
      <c r="N26" s="2194"/>
      <c r="O26" s="2194"/>
      <c r="P26" s="2194"/>
      <c r="Q26" s="2194"/>
      <c r="R26" s="2198"/>
    </row>
    <row r="27" spans="1:18" ht="11.25" customHeight="1">
      <c r="A27" s="127" t="s">
        <v>453</v>
      </c>
      <c r="B27" s="59"/>
      <c r="C27" s="2194"/>
      <c r="D27" s="2194"/>
      <c r="E27" s="2194"/>
      <c r="F27" s="2194"/>
      <c r="G27" s="2194"/>
      <c r="H27" s="2194"/>
      <c r="I27" s="2194"/>
      <c r="J27" s="2194"/>
      <c r="K27" s="2194"/>
      <c r="L27" s="2194"/>
      <c r="M27" s="2194"/>
      <c r="N27" s="2194"/>
      <c r="O27" s="2194"/>
      <c r="P27" s="2194"/>
      <c r="Q27" s="2194"/>
      <c r="R27" s="2198"/>
    </row>
    <row r="28" spans="1:18" ht="11.25" customHeight="1">
      <c r="A28" s="127" t="s">
        <v>454</v>
      </c>
      <c r="B28" s="59"/>
      <c r="C28" s="2194"/>
      <c r="D28" s="2194"/>
      <c r="E28" s="2194"/>
      <c r="F28" s="2194"/>
      <c r="G28" s="2194"/>
      <c r="H28" s="2194"/>
      <c r="I28" s="2194"/>
      <c r="J28" s="2194"/>
      <c r="K28" s="2194"/>
      <c r="L28" s="2194"/>
      <c r="M28" s="2194"/>
      <c r="N28" s="2194"/>
      <c r="O28" s="2194"/>
      <c r="P28" s="2194"/>
      <c r="Q28" s="2194"/>
      <c r="R28" s="2198"/>
    </row>
    <row r="29" spans="1:18" ht="11.25" customHeight="1">
      <c r="A29" s="127" t="s">
        <v>455</v>
      </c>
      <c r="B29" s="59"/>
      <c r="C29" s="2194">
        <v>149865000</v>
      </c>
      <c r="D29" s="2194"/>
      <c r="E29" s="2194"/>
      <c r="F29" s="2194"/>
      <c r="G29" s="2194"/>
      <c r="H29" s="2194"/>
      <c r="I29" s="2194"/>
      <c r="J29" s="2194">
        <v>3120000</v>
      </c>
      <c r="K29" s="2194"/>
      <c r="L29" s="2194"/>
      <c r="M29" s="2194"/>
      <c r="N29" s="2194"/>
      <c r="O29" s="2194"/>
      <c r="P29" s="2194"/>
      <c r="Q29" s="2194"/>
      <c r="R29" s="2198"/>
    </row>
    <row r="30" spans="1:18" ht="11.25" customHeight="1">
      <c r="A30" s="127" t="s">
        <v>456</v>
      </c>
      <c r="B30" s="59"/>
      <c r="C30" s="2194"/>
      <c r="D30" s="2194"/>
      <c r="E30" s="2194"/>
      <c r="F30" s="2194"/>
      <c r="G30" s="2194"/>
      <c r="H30" s="2194"/>
      <c r="I30" s="2194"/>
      <c r="J30" s="2194"/>
      <c r="K30" s="2194"/>
      <c r="L30" s="2194"/>
      <c r="M30" s="2194"/>
      <c r="N30" s="2194"/>
      <c r="O30" s="2194"/>
      <c r="P30" s="2194"/>
      <c r="Q30" s="2194"/>
      <c r="R30" s="2198"/>
    </row>
    <row r="31" spans="1:18" ht="11.25" customHeight="1">
      <c r="A31" s="127" t="s">
        <v>457</v>
      </c>
      <c r="B31" s="506">
        <v>2</v>
      </c>
      <c r="C31" s="2194"/>
      <c r="D31" s="2194"/>
      <c r="E31" s="2194"/>
      <c r="F31" s="2194"/>
      <c r="G31" s="2194"/>
      <c r="H31" s="2194"/>
      <c r="I31" s="2194"/>
      <c r="J31" s="2194"/>
      <c r="K31" s="2194"/>
      <c r="L31" s="2194"/>
      <c r="M31" s="2194"/>
      <c r="N31" s="2194"/>
      <c r="O31" s="2194"/>
      <c r="P31" s="2194"/>
      <c r="Q31" s="2194"/>
      <c r="R31" s="2198"/>
    </row>
    <row r="32" spans="1:18" ht="11.25" customHeight="1">
      <c r="A32" s="140" t="s">
        <v>1351</v>
      </c>
      <c r="B32" s="59"/>
      <c r="C32" s="507"/>
      <c r="D32" s="507"/>
      <c r="E32" s="507"/>
      <c r="F32" s="507"/>
      <c r="G32" s="507"/>
      <c r="H32" s="507"/>
      <c r="I32" s="507"/>
      <c r="J32" s="507"/>
      <c r="K32" s="507"/>
      <c r="L32" s="507"/>
      <c r="M32" s="507"/>
      <c r="N32" s="507"/>
      <c r="O32" s="507"/>
      <c r="P32" s="507"/>
      <c r="Q32" s="507"/>
      <c r="R32" s="508"/>
    </row>
    <row r="33" spans="1:19" ht="15.75" customHeight="1">
      <c r="A33" s="127" t="s">
        <v>1280</v>
      </c>
      <c r="B33" s="59">
        <v>6</v>
      </c>
      <c r="C33" s="2200">
        <v>6625538000</v>
      </c>
      <c r="D33" s="2200">
        <v>674294000</v>
      </c>
      <c r="E33" s="2200">
        <v>2299280500</v>
      </c>
      <c r="F33" s="2200">
        <v>4672206360</v>
      </c>
      <c r="G33" s="2200">
        <v>673397700</v>
      </c>
      <c r="H33" s="2200">
        <v>407015000</v>
      </c>
      <c r="I33" s="2200">
        <v>7263110</v>
      </c>
      <c r="J33" s="2200">
        <v>263205000</v>
      </c>
      <c r="K33" s="2200"/>
      <c r="L33" s="2200"/>
      <c r="M33" s="2200"/>
      <c r="N33" s="2200"/>
      <c r="O33" s="2200"/>
      <c r="P33" s="2200"/>
      <c r="Q33" s="2200">
        <v>67745000</v>
      </c>
      <c r="R33" s="2203"/>
    </row>
    <row r="34" spans="1:19" ht="11.25" customHeight="1">
      <c r="A34" s="127" t="s">
        <v>1281</v>
      </c>
      <c r="B34" s="59">
        <v>6</v>
      </c>
      <c r="C34" s="2200"/>
      <c r="D34" s="2200"/>
      <c r="E34" s="2200"/>
      <c r="F34" s="2200"/>
      <c r="G34" s="2200"/>
      <c r="H34" s="2200"/>
      <c r="I34" s="2200"/>
      <c r="J34" s="2200"/>
      <c r="K34" s="2200"/>
      <c r="L34" s="2200"/>
      <c r="M34" s="2200"/>
      <c r="N34" s="2200"/>
      <c r="O34" s="2200"/>
      <c r="P34" s="2200"/>
      <c r="Q34" s="2200"/>
      <c r="R34" s="2203"/>
    </row>
    <row r="35" spans="1:19" ht="11.25" customHeight="1">
      <c r="A35" s="127" t="s">
        <v>1282</v>
      </c>
      <c r="B35" s="59">
        <v>6</v>
      </c>
      <c r="C35" s="2200"/>
      <c r="D35" s="2200"/>
      <c r="E35" s="2200"/>
      <c r="F35" s="2200"/>
      <c r="G35" s="2200"/>
      <c r="H35" s="2200"/>
      <c r="I35" s="2200"/>
      <c r="J35" s="2200"/>
      <c r="K35" s="2200"/>
      <c r="L35" s="2200"/>
      <c r="M35" s="2200"/>
      <c r="N35" s="2200"/>
      <c r="O35" s="2200"/>
      <c r="P35" s="2200"/>
      <c r="Q35" s="2200"/>
      <c r="R35" s="2203"/>
    </row>
    <row r="36" spans="1:19" ht="11.25" customHeight="1">
      <c r="A36" s="127" t="s">
        <v>1283</v>
      </c>
      <c r="B36" s="59">
        <v>6</v>
      </c>
      <c r="C36" s="2205">
        <v>6625538000</v>
      </c>
      <c r="D36" s="2205">
        <v>674294000</v>
      </c>
      <c r="E36" s="2205">
        <v>2299280500</v>
      </c>
      <c r="F36" s="2205">
        <v>4672206360</v>
      </c>
      <c r="G36" s="2205">
        <v>673397700</v>
      </c>
      <c r="H36" s="2205">
        <v>407015000</v>
      </c>
      <c r="I36" s="2205">
        <v>7263110</v>
      </c>
      <c r="J36" s="2205">
        <v>263205000</v>
      </c>
      <c r="K36" s="2205"/>
      <c r="L36" s="2205"/>
      <c r="M36" s="2205"/>
      <c r="N36" s="2205"/>
      <c r="O36" s="2205"/>
      <c r="P36" s="2205"/>
      <c r="Q36" s="2205">
        <v>67745000</v>
      </c>
      <c r="R36" s="2243"/>
    </row>
    <row r="37" spans="1:19" ht="15.75" customHeight="1">
      <c r="A37" s="509" t="s">
        <v>1352</v>
      </c>
      <c r="B37" s="510"/>
      <c r="C37" s="511"/>
      <c r="D37" s="511"/>
      <c r="E37" s="511"/>
      <c r="F37" s="511"/>
      <c r="G37" s="511"/>
      <c r="H37" s="511"/>
      <c r="I37" s="511"/>
      <c r="J37" s="511"/>
      <c r="K37" s="511"/>
      <c r="L37" s="511"/>
      <c r="M37" s="511"/>
      <c r="N37" s="511"/>
      <c r="O37" s="511"/>
      <c r="P37" s="511"/>
      <c r="Q37" s="511"/>
      <c r="R37" s="512"/>
    </row>
    <row r="38" spans="1:19" ht="11.25" customHeight="1">
      <c r="A38" s="131" t="s">
        <v>263</v>
      </c>
      <c r="B38" s="513">
        <v>3</v>
      </c>
      <c r="C38" s="2244">
        <v>1.3217E-2</v>
      </c>
      <c r="D38" s="2244">
        <v>1.3217E-2</v>
      </c>
      <c r="E38" s="2244">
        <v>1.3217E-2</v>
      </c>
      <c r="F38" s="2244">
        <v>3.3040000000000001E-3</v>
      </c>
      <c r="G38" s="2244">
        <v>1.3217E-2</v>
      </c>
      <c r="H38" s="2244"/>
      <c r="I38" s="2244">
        <v>3.3040000000000001E-3</v>
      </c>
      <c r="J38" s="2244">
        <v>1.3217E-2</v>
      </c>
      <c r="K38" s="2244"/>
      <c r="L38" s="2244"/>
      <c r="M38" s="2244"/>
      <c r="N38" s="2244"/>
      <c r="O38" s="2244"/>
      <c r="P38" s="2244"/>
      <c r="Q38" s="2244">
        <v>3.3040000000000001E-3</v>
      </c>
      <c r="R38" s="2245"/>
      <c r="S38" s="240"/>
    </row>
    <row r="39" spans="1:19" ht="11.25" customHeight="1">
      <c r="A39" s="131" t="s">
        <v>1284</v>
      </c>
      <c r="B39" s="513"/>
      <c r="C39" s="1951">
        <v>54918314</v>
      </c>
      <c r="D39" s="1951">
        <v>8970298.5999999996</v>
      </c>
      <c r="E39" s="1951">
        <v>31273675.5</v>
      </c>
      <c r="F39" s="1951">
        <v>9998601.1799999997</v>
      </c>
      <c r="G39" s="1951">
        <v>9769817.4000000004</v>
      </c>
      <c r="H39" s="1951"/>
      <c r="I39" s="1951">
        <v>14954.05</v>
      </c>
      <c r="J39" s="1951">
        <v>2207868.79</v>
      </c>
      <c r="K39" s="1951"/>
      <c r="L39" s="1951"/>
      <c r="M39" s="1951"/>
      <c r="N39" s="1951"/>
      <c r="O39" s="1951"/>
      <c r="P39" s="1951"/>
      <c r="Q39" s="1951">
        <v>1039098.74</v>
      </c>
      <c r="R39" s="1954"/>
      <c r="S39" s="514">
        <f>SUM(C39:R39)</f>
        <v>118192628.26000001</v>
      </c>
    </row>
    <row r="40" spans="1:19" ht="11.25" customHeight="1">
      <c r="A40" s="131" t="s">
        <v>1285</v>
      </c>
      <c r="B40" s="513"/>
      <c r="C40" s="1951">
        <v>49426200</v>
      </c>
      <c r="D40" s="1951">
        <v>8073000</v>
      </c>
      <c r="E40" s="1951">
        <v>28146600</v>
      </c>
      <c r="F40" s="1951">
        <v>8999100</v>
      </c>
      <c r="G40" s="1951">
        <v>8793000</v>
      </c>
      <c r="H40" s="1951"/>
      <c r="I40" s="1951">
        <v>13000</v>
      </c>
      <c r="J40" s="1951">
        <v>1987000</v>
      </c>
      <c r="K40" s="1951"/>
      <c r="L40" s="1951"/>
      <c r="M40" s="1951"/>
      <c r="N40" s="1951"/>
      <c r="O40" s="1951"/>
      <c r="P40" s="1951"/>
      <c r="Q40" s="1951">
        <v>935100</v>
      </c>
      <c r="R40" s="1954"/>
      <c r="S40" s="514">
        <f>SUM(C40:R40)</f>
        <v>106373000</v>
      </c>
    </row>
    <row r="41" spans="1:19" ht="11.25" customHeight="1">
      <c r="A41" s="131" t="s">
        <v>1388</v>
      </c>
      <c r="B41" s="513">
        <v>4</v>
      </c>
      <c r="C41" s="2219">
        <v>0.9</v>
      </c>
      <c r="D41" s="2219">
        <v>0.9</v>
      </c>
      <c r="E41" s="2219">
        <v>0.9</v>
      </c>
      <c r="F41" s="2219">
        <v>0.9</v>
      </c>
      <c r="G41" s="2219">
        <v>0.9</v>
      </c>
      <c r="H41" s="2219"/>
      <c r="I41" s="2219">
        <v>0.9</v>
      </c>
      <c r="J41" s="2219">
        <v>0.9</v>
      </c>
      <c r="K41" s="2219"/>
      <c r="L41" s="2219"/>
      <c r="M41" s="2219"/>
      <c r="N41" s="2219"/>
      <c r="O41" s="2219"/>
      <c r="P41" s="2219"/>
      <c r="Q41" s="2219">
        <v>0.9</v>
      </c>
      <c r="R41" s="2222"/>
    </row>
    <row r="42" spans="1:19" ht="11.25" customHeight="1">
      <c r="A42" s="131" t="s">
        <v>1316</v>
      </c>
      <c r="B42" s="513"/>
      <c r="C42" s="1964"/>
      <c r="D42" s="1964"/>
      <c r="E42" s="1964"/>
      <c r="F42" s="1964"/>
      <c r="G42" s="1964"/>
      <c r="H42" s="1964"/>
      <c r="I42" s="1964"/>
      <c r="J42" s="1964"/>
      <c r="K42" s="1964"/>
      <c r="L42" s="1964"/>
      <c r="M42" s="1964"/>
      <c r="N42" s="1964"/>
      <c r="O42" s="1964"/>
      <c r="P42" s="1964"/>
      <c r="Q42" s="1964"/>
      <c r="R42" s="1965"/>
      <c r="S42" s="240"/>
    </row>
    <row r="43" spans="1:19" ht="15.75" customHeight="1">
      <c r="A43" s="131" t="s">
        <v>356</v>
      </c>
      <c r="B43" s="513"/>
      <c r="C43" s="2246">
        <v>4200000</v>
      </c>
      <c r="D43" s="2246"/>
      <c r="E43" s="2246"/>
      <c r="F43" s="2246"/>
      <c r="G43" s="2246"/>
      <c r="H43" s="2246"/>
      <c r="I43" s="2246"/>
      <c r="J43" s="2246"/>
      <c r="K43" s="2246"/>
      <c r="L43" s="2246"/>
      <c r="M43" s="2246"/>
      <c r="N43" s="2246"/>
      <c r="O43" s="2246"/>
      <c r="P43" s="2246"/>
      <c r="Q43" s="2246"/>
      <c r="R43" s="2247"/>
      <c r="S43" s="240"/>
    </row>
    <row r="44" spans="1:19" ht="11.25" customHeight="1">
      <c r="A44" s="131" t="s">
        <v>448</v>
      </c>
      <c r="B44" s="513"/>
      <c r="C44" s="1964">
        <v>2700000</v>
      </c>
      <c r="D44" s="1964"/>
      <c r="E44" s="1964"/>
      <c r="F44" s="1964"/>
      <c r="G44" s="1964"/>
      <c r="H44" s="1964"/>
      <c r="I44" s="1964"/>
      <c r="J44" s="1964"/>
      <c r="K44" s="1964"/>
      <c r="L44" s="1964"/>
      <c r="M44" s="1964"/>
      <c r="N44" s="1964"/>
      <c r="O44" s="1964"/>
      <c r="P44" s="1964"/>
      <c r="Q44" s="1964"/>
      <c r="R44" s="1965"/>
      <c r="S44" s="240"/>
    </row>
    <row r="45" spans="1:19" ht="11.25" customHeight="1">
      <c r="A45" s="131" t="s">
        <v>449</v>
      </c>
      <c r="B45" s="513"/>
      <c r="C45" s="1964"/>
      <c r="D45" s="1964"/>
      <c r="E45" s="1964"/>
      <c r="F45" s="1964"/>
      <c r="G45" s="1964"/>
      <c r="H45" s="1964"/>
      <c r="I45" s="1964"/>
      <c r="J45" s="1964"/>
      <c r="K45" s="1964"/>
      <c r="L45" s="1964"/>
      <c r="M45" s="1964"/>
      <c r="N45" s="1964"/>
      <c r="O45" s="1964"/>
      <c r="P45" s="1964"/>
      <c r="Q45" s="1964"/>
      <c r="R45" s="1965"/>
      <c r="S45" s="240"/>
    </row>
    <row r="46" spans="1:19" ht="11.25" customHeight="1">
      <c r="A46" s="131" t="s">
        <v>450</v>
      </c>
      <c r="B46" s="513"/>
      <c r="C46" s="1964">
        <v>26088010.670000002</v>
      </c>
      <c r="D46" s="1964"/>
      <c r="E46" s="1964"/>
      <c r="F46" s="1964"/>
      <c r="G46" s="1964"/>
      <c r="H46" s="1964"/>
      <c r="I46" s="1964"/>
      <c r="J46" s="1964">
        <v>1051366.0900000001</v>
      </c>
      <c r="K46" s="1964"/>
      <c r="L46" s="1964"/>
      <c r="M46" s="1964"/>
      <c r="N46" s="1964"/>
      <c r="O46" s="1964"/>
      <c r="P46" s="1964"/>
      <c r="Q46" s="1964"/>
      <c r="R46" s="1965"/>
      <c r="S46" s="240"/>
    </row>
    <row r="47" spans="1:19" ht="11.25" customHeight="1">
      <c r="A47" s="131" t="s">
        <v>1315</v>
      </c>
      <c r="B47" s="513"/>
      <c r="C47" s="1964">
        <v>6087202.4900000002</v>
      </c>
      <c r="D47" s="1964"/>
      <c r="E47" s="1964"/>
      <c r="F47" s="1964"/>
      <c r="G47" s="1964"/>
      <c r="H47" s="1964"/>
      <c r="I47" s="1964"/>
      <c r="J47" s="1964">
        <v>245318.75</v>
      </c>
      <c r="K47" s="1964"/>
      <c r="L47" s="1964"/>
      <c r="M47" s="1964"/>
      <c r="N47" s="1964"/>
      <c r="O47" s="1964"/>
      <c r="P47" s="1964"/>
      <c r="Q47" s="1964"/>
      <c r="R47" s="1965"/>
      <c r="S47" s="240"/>
    </row>
    <row r="48" spans="1:19" ht="11.25" customHeight="1">
      <c r="A48" s="517" t="s">
        <v>565</v>
      </c>
      <c r="B48" s="506"/>
      <c r="C48" s="515"/>
      <c r="D48" s="515"/>
      <c r="E48" s="515"/>
      <c r="F48" s="515"/>
      <c r="G48" s="515"/>
      <c r="H48" s="515"/>
      <c r="I48" s="515"/>
      <c r="J48" s="515"/>
      <c r="K48" s="515"/>
      <c r="L48" s="515"/>
      <c r="M48" s="515"/>
      <c r="N48" s="515"/>
      <c r="O48" s="515"/>
      <c r="P48" s="515"/>
      <c r="Q48" s="515"/>
      <c r="R48" s="516"/>
      <c r="S48" s="240"/>
    </row>
    <row r="49" spans="1:19" ht="4.9000000000000004" customHeight="1">
      <c r="A49" s="518"/>
      <c r="B49" s="268"/>
      <c r="C49" s="496"/>
      <c r="D49" s="496"/>
      <c r="E49" s="496"/>
      <c r="F49" s="496"/>
      <c r="G49" s="496"/>
      <c r="H49" s="496"/>
      <c r="I49" s="496"/>
      <c r="J49" s="496"/>
      <c r="K49" s="496"/>
      <c r="L49" s="496"/>
      <c r="M49" s="496"/>
      <c r="N49" s="496"/>
      <c r="O49" s="496"/>
      <c r="P49" s="496"/>
      <c r="Q49" s="496"/>
      <c r="R49" s="497"/>
    </row>
    <row r="50" spans="1:19" s="576" customFormat="1">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c r="A51" s="1236" t="s">
        <v>460</v>
      </c>
      <c r="B51" s="912"/>
      <c r="C51" s="878"/>
      <c r="D51" s="878"/>
      <c r="E51" s="878"/>
      <c r="F51" s="878"/>
      <c r="G51" s="878"/>
      <c r="H51" s="878"/>
      <c r="I51" s="878"/>
      <c r="J51" s="878"/>
      <c r="K51" s="878"/>
      <c r="L51" s="878"/>
      <c r="M51" s="878"/>
      <c r="N51" s="878"/>
      <c r="O51" s="878"/>
      <c r="P51" s="878"/>
      <c r="Q51" s="878"/>
      <c r="R51" s="878"/>
    </row>
    <row r="52" spans="1:19" s="576" customFormat="1">
      <c r="A52" s="1236" t="s">
        <v>461</v>
      </c>
      <c r="B52" s="912"/>
      <c r="C52" s="878"/>
      <c r="D52" s="878"/>
      <c r="E52" s="878"/>
      <c r="F52" s="878"/>
      <c r="G52" s="878"/>
      <c r="H52" s="878"/>
      <c r="I52" s="878"/>
      <c r="J52" s="878"/>
      <c r="K52" s="878"/>
      <c r="L52" s="878"/>
      <c r="M52" s="878"/>
      <c r="N52" s="878"/>
      <c r="O52" s="878"/>
      <c r="P52" s="878"/>
      <c r="Q52" s="878"/>
      <c r="R52" s="878"/>
    </row>
    <row r="53" spans="1:19" s="576" customFormat="1">
      <c r="A53" s="1093" t="s">
        <v>462</v>
      </c>
      <c r="B53" s="912"/>
      <c r="C53" s="878"/>
      <c r="D53" s="878"/>
      <c r="E53" s="878"/>
      <c r="F53" s="878"/>
      <c r="G53" s="878"/>
      <c r="H53" s="878"/>
      <c r="I53" s="878"/>
      <c r="J53" s="878"/>
      <c r="K53" s="878"/>
      <c r="L53" s="878"/>
      <c r="M53" s="878"/>
      <c r="N53" s="878"/>
      <c r="O53" s="878"/>
      <c r="P53" s="878"/>
      <c r="Q53" s="878"/>
      <c r="R53" s="878"/>
    </row>
    <row r="54" spans="1:19" s="576" customFormat="1">
      <c r="A54" s="1236" t="s">
        <v>463</v>
      </c>
      <c r="B54" s="912"/>
      <c r="C54" s="878"/>
      <c r="D54" s="878"/>
      <c r="E54" s="878"/>
      <c r="F54" s="878"/>
      <c r="G54" s="878"/>
      <c r="H54" s="878"/>
      <c r="I54" s="878"/>
      <c r="J54" s="878"/>
      <c r="K54" s="878"/>
      <c r="L54" s="878"/>
      <c r="M54" s="878"/>
      <c r="N54" s="878"/>
      <c r="O54" s="878"/>
      <c r="P54" s="878"/>
      <c r="Q54" s="878"/>
      <c r="R54" s="878"/>
    </row>
    <row r="55" spans="1:19" s="576" customFormat="1">
      <c r="A55" s="1025" t="s">
        <v>1404</v>
      </c>
      <c r="B55" s="912"/>
      <c r="C55" s="878"/>
      <c r="D55" s="878"/>
      <c r="E55" s="878"/>
      <c r="F55" s="878"/>
      <c r="G55" s="878"/>
      <c r="H55" s="878"/>
      <c r="I55" s="878"/>
      <c r="J55" s="878"/>
      <c r="K55" s="878"/>
      <c r="L55" s="878"/>
      <c r="M55" s="878"/>
      <c r="N55" s="878"/>
      <c r="O55" s="878"/>
      <c r="P55" s="878"/>
      <c r="Q55" s="878"/>
      <c r="R55" s="878"/>
    </row>
    <row r="56" spans="1:19" s="576" customFormat="1">
      <c r="A56" s="1025" t="s">
        <v>1406</v>
      </c>
      <c r="B56" s="912"/>
      <c r="C56" s="878"/>
      <c r="D56" s="878"/>
      <c r="E56" s="878"/>
      <c r="F56" s="878"/>
      <c r="G56" s="878"/>
      <c r="H56" s="878"/>
      <c r="I56" s="878"/>
      <c r="J56" s="878"/>
      <c r="K56" s="878"/>
      <c r="L56" s="878"/>
      <c r="M56" s="878"/>
      <c r="N56" s="878"/>
      <c r="O56" s="878"/>
      <c r="P56" s="878"/>
      <c r="Q56" s="878"/>
      <c r="R56" s="878"/>
    </row>
    <row r="57" spans="1:19" ht="15.75" customHeight="1">
      <c r="A57" s="1616"/>
      <c r="B57" s="1616"/>
      <c r="C57" s="796"/>
      <c r="D57" s="796"/>
      <c r="E57" s="796"/>
      <c r="F57" s="796"/>
      <c r="G57" s="796"/>
      <c r="H57" s="796"/>
      <c r="I57" s="796"/>
      <c r="J57" s="796"/>
      <c r="K57" s="796"/>
      <c r="L57" s="796"/>
      <c r="M57" s="796"/>
      <c r="N57" s="796"/>
      <c r="O57" s="796"/>
      <c r="P57" s="796"/>
      <c r="Q57" s="796"/>
      <c r="R57" s="796"/>
      <c r="S57" s="233"/>
    </row>
    <row r="58" spans="1:19" ht="38.25" customHeight="1">
      <c r="A58" s="1617"/>
      <c r="B58" s="1618"/>
      <c r="C58" s="1619"/>
      <c r="D58" s="1619"/>
      <c r="E58" s="1619"/>
      <c r="F58" s="1619"/>
      <c r="G58" s="1619"/>
      <c r="H58" s="1619"/>
      <c r="I58" s="1619"/>
      <c r="J58" s="1619"/>
      <c r="K58" s="1619"/>
      <c r="L58" s="1619"/>
      <c r="M58" s="1619"/>
      <c r="N58" s="1619"/>
      <c r="O58" s="1619"/>
      <c r="P58" s="1619"/>
      <c r="Q58" s="1619"/>
      <c r="R58" s="1619"/>
      <c r="S58" s="233"/>
    </row>
    <row r="59" spans="1:19" ht="11.25" customHeight="1">
      <c r="A59" s="1627"/>
      <c r="B59" s="1621"/>
      <c r="C59" s="115"/>
      <c r="D59" s="115"/>
      <c r="E59" s="115"/>
      <c r="F59" s="115"/>
      <c r="G59" s="115"/>
      <c r="H59" s="115"/>
      <c r="I59" s="115"/>
      <c r="J59" s="115"/>
      <c r="K59" s="115"/>
      <c r="L59" s="115"/>
      <c r="M59" s="115"/>
      <c r="N59" s="115"/>
      <c r="O59" s="115"/>
      <c r="P59" s="115"/>
      <c r="Q59" s="115"/>
      <c r="R59" s="115"/>
      <c r="S59" s="233"/>
    </row>
    <row r="60" spans="1:19" ht="11.25" customHeight="1">
      <c r="A60" s="1627"/>
      <c r="B60" s="1621"/>
      <c r="C60" s="115"/>
      <c r="D60" s="115"/>
      <c r="E60" s="115"/>
      <c r="F60" s="115"/>
      <c r="G60" s="115"/>
      <c r="H60" s="115"/>
      <c r="I60" s="115"/>
      <c r="J60" s="115"/>
      <c r="K60" s="115"/>
      <c r="L60" s="115"/>
      <c r="M60" s="115"/>
      <c r="N60" s="115"/>
      <c r="O60" s="115"/>
      <c r="P60" s="115"/>
      <c r="Q60" s="115"/>
      <c r="R60" s="115"/>
      <c r="S60" s="233"/>
    </row>
    <row r="61" spans="1:19" ht="11.25" customHeight="1">
      <c r="A61" s="1620"/>
      <c r="B61" s="1621"/>
      <c r="C61" s="1498"/>
      <c r="D61" s="1498"/>
      <c r="E61" s="1498"/>
      <c r="F61" s="1498"/>
      <c r="G61" s="1498"/>
      <c r="H61" s="1498"/>
      <c r="I61" s="1498"/>
      <c r="J61" s="1498"/>
      <c r="K61" s="1498"/>
      <c r="L61" s="1498"/>
      <c r="M61" s="1498"/>
      <c r="N61" s="1498"/>
      <c r="O61" s="1498"/>
      <c r="P61" s="1498"/>
      <c r="Q61" s="1498"/>
      <c r="R61" s="1498"/>
      <c r="S61" s="233"/>
    </row>
    <row r="62" spans="1:19" ht="11.25" customHeight="1">
      <c r="A62" s="1620"/>
      <c r="B62" s="1621"/>
      <c r="C62" s="1498"/>
      <c r="D62" s="1498"/>
      <c r="E62" s="1498"/>
      <c r="F62" s="1498"/>
      <c r="G62" s="1498"/>
      <c r="H62" s="1498"/>
      <c r="I62" s="1498"/>
      <c r="J62" s="1498"/>
      <c r="K62" s="1498"/>
      <c r="L62" s="1498"/>
      <c r="M62" s="1498"/>
      <c r="N62" s="1498"/>
      <c r="O62" s="1498"/>
      <c r="P62" s="1498"/>
      <c r="Q62" s="1498"/>
      <c r="R62" s="1498"/>
      <c r="S62" s="233"/>
    </row>
    <row r="63" spans="1:19" ht="11.25" customHeight="1">
      <c r="A63" s="1620"/>
      <c r="B63" s="1621"/>
      <c r="C63" s="1498"/>
      <c r="D63" s="1498"/>
      <c r="E63" s="1498"/>
      <c r="F63" s="1498"/>
      <c r="G63" s="1498"/>
      <c r="H63" s="1498"/>
      <c r="I63" s="1498"/>
      <c r="J63" s="1498"/>
      <c r="K63" s="1498"/>
      <c r="L63" s="1498"/>
      <c r="M63" s="1498"/>
      <c r="N63" s="1498"/>
      <c r="O63" s="1498"/>
      <c r="P63" s="1498"/>
      <c r="Q63" s="1498"/>
      <c r="R63" s="1498"/>
      <c r="S63" s="233"/>
    </row>
    <row r="64" spans="1:19" ht="11.25" customHeight="1">
      <c r="A64" s="1620"/>
      <c r="B64" s="1621"/>
      <c r="C64" s="1498"/>
      <c r="D64" s="1498"/>
      <c r="E64" s="1498"/>
      <c r="F64" s="1498"/>
      <c r="G64" s="1498"/>
      <c r="H64" s="1498"/>
      <c r="I64" s="1498"/>
      <c r="J64" s="1498"/>
      <c r="K64" s="1498"/>
      <c r="L64" s="1498"/>
      <c r="M64" s="1498"/>
      <c r="N64" s="1498"/>
      <c r="O64" s="1498"/>
      <c r="P64" s="1498"/>
      <c r="Q64" s="1498"/>
      <c r="R64" s="1498"/>
      <c r="S64" s="233"/>
    </row>
    <row r="65" spans="1:19" ht="11.25" customHeight="1">
      <c r="A65" s="1620"/>
      <c r="B65" s="1621"/>
      <c r="C65" s="1498"/>
      <c r="D65" s="1498"/>
      <c r="E65" s="1498"/>
      <c r="F65" s="1498"/>
      <c r="G65" s="1498"/>
      <c r="H65" s="1498"/>
      <c r="I65" s="1498"/>
      <c r="J65" s="1498"/>
      <c r="K65" s="1498"/>
      <c r="L65" s="1498"/>
      <c r="M65" s="1498"/>
      <c r="N65" s="1498"/>
      <c r="O65" s="1498"/>
      <c r="P65" s="1498"/>
      <c r="Q65" s="1498"/>
      <c r="R65" s="1498"/>
      <c r="S65" s="233"/>
    </row>
    <row r="66" spans="1:19" ht="11.25" customHeight="1">
      <c r="A66" s="1620"/>
      <c r="B66" s="1621"/>
      <c r="C66" s="1498"/>
      <c r="D66" s="1498"/>
      <c r="E66" s="1498"/>
      <c r="F66" s="1498"/>
      <c r="G66" s="1498"/>
      <c r="H66" s="1498"/>
      <c r="I66" s="1498"/>
      <c r="J66" s="1498"/>
      <c r="K66" s="1498"/>
      <c r="L66" s="1498"/>
      <c r="M66" s="1498"/>
      <c r="N66" s="1498"/>
      <c r="O66" s="1498"/>
      <c r="P66" s="1498"/>
      <c r="Q66" s="1498"/>
      <c r="R66" s="1498"/>
      <c r="S66" s="233"/>
    </row>
    <row r="67" spans="1:19" ht="11.25" customHeight="1">
      <c r="A67" s="1620"/>
      <c r="B67" s="1621"/>
      <c r="C67" s="1498"/>
      <c r="D67" s="1498"/>
      <c r="E67" s="1498"/>
      <c r="F67" s="1498"/>
      <c r="G67" s="1498"/>
      <c r="H67" s="1498"/>
      <c r="I67" s="1498"/>
      <c r="J67" s="1498"/>
      <c r="K67" s="1498"/>
      <c r="L67" s="1498"/>
      <c r="M67" s="1498"/>
      <c r="N67" s="1498"/>
      <c r="O67" s="1498"/>
      <c r="P67" s="1498"/>
      <c r="Q67" s="1498"/>
      <c r="R67" s="1498"/>
      <c r="S67" s="233"/>
    </row>
    <row r="68" spans="1:19" ht="11.25" customHeight="1">
      <c r="A68" s="1620"/>
      <c r="B68" s="1621"/>
      <c r="C68" s="1498"/>
      <c r="D68" s="1498"/>
      <c r="E68" s="1498"/>
      <c r="F68" s="1498"/>
      <c r="G68" s="1498"/>
      <c r="H68" s="1498"/>
      <c r="I68" s="1498"/>
      <c r="J68" s="1498"/>
      <c r="K68" s="1498"/>
      <c r="L68" s="1498"/>
      <c r="M68" s="1498"/>
      <c r="N68" s="1498"/>
      <c r="O68" s="1498"/>
      <c r="P68" s="1498"/>
      <c r="Q68" s="1498"/>
      <c r="R68" s="1498"/>
      <c r="S68" s="233"/>
    </row>
    <row r="69" spans="1:19" ht="11.25" customHeight="1">
      <c r="A69" s="1620"/>
      <c r="B69" s="1621"/>
      <c r="C69" s="1498"/>
      <c r="D69" s="1498"/>
      <c r="E69" s="1498"/>
      <c r="F69" s="1498"/>
      <c r="G69" s="1498"/>
      <c r="H69" s="1498"/>
      <c r="I69" s="1498"/>
      <c r="J69" s="1498"/>
      <c r="K69" s="1498"/>
      <c r="L69" s="1498"/>
      <c r="M69" s="1498"/>
      <c r="N69" s="1498"/>
      <c r="O69" s="1498"/>
      <c r="P69" s="1498"/>
      <c r="Q69" s="1498"/>
      <c r="R69" s="1498"/>
      <c r="S69" s="233"/>
    </row>
    <row r="70" spans="1:19" ht="11.25" customHeight="1">
      <c r="A70" s="1620"/>
      <c r="B70" s="1621"/>
      <c r="C70" s="1498"/>
      <c r="D70" s="1498"/>
      <c r="E70" s="1498"/>
      <c r="F70" s="1498"/>
      <c r="G70" s="1498"/>
      <c r="H70" s="1498"/>
      <c r="I70" s="1498"/>
      <c r="J70" s="1498"/>
      <c r="K70" s="1498"/>
      <c r="L70" s="1498"/>
      <c r="M70" s="1498"/>
      <c r="N70" s="1498"/>
      <c r="O70" s="1498"/>
      <c r="P70" s="1498"/>
      <c r="Q70" s="1498"/>
      <c r="R70" s="1498"/>
      <c r="S70" s="233"/>
    </row>
    <row r="71" spans="1:19" ht="11.25" customHeight="1">
      <c r="A71" s="1620"/>
      <c r="B71" s="1621"/>
      <c r="C71" s="1498"/>
      <c r="D71" s="1498"/>
      <c r="E71" s="1498"/>
      <c r="F71" s="1498"/>
      <c r="G71" s="1498"/>
      <c r="H71" s="1498"/>
      <c r="I71" s="1498"/>
      <c r="J71" s="1498"/>
      <c r="K71" s="1498"/>
      <c r="L71" s="1498"/>
      <c r="M71" s="1498"/>
      <c r="N71" s="1498"/>
      <c r="O71" s="1498"/>
      <c r="P71" s="1498"/>
      <c r="Q71" s="1498"/>
      <c r="R71" s="1498"/>
      <c r="S71" s="233"/>
    </row>
    <row r="72" spans="1:19" ht="11.25" customHeight="1">
      <c r="A72" s="1620"/>
      <c r="B72" s="1621"/>
      <c r="C72" s="1628"/>
      <c r="D72" s="1628"/>
      <c r="E72" s="1628"/>
      <c r="F72" s="1628"/>
      <c r="G72" s="1628"/>
      <c r="H72" s="1628"/>
      <c r="I72" s="1629"/>
      <c r="J72" s="1628"/>
      <c r="K72" s="1628"/>
      <c r="L72" s="1628"/>
      <c r="M72" s="1628"/>
      <c r="N72" s="1628"/>
      <c r="O72" s="1628"/>
      <c r="P72" s="1628"/>
      <c r="Q72" s="1628"/>
      <c r="R72" s="1628"/>
      <c r="S72" s="233"/>
    </row>
    <row r="73" spans="1:19" ht="11.25" customHeight="1">
      <c r="A73" s="1620"/>
      <c r="B73" s="1621"/>
      <c r="C73" s="1630"/>
      <c r="D73" s="1630"/>
      <c r="E73" s="1630"/>
      <c r="F73" s="1630"/>
      <c r="G73" s="1630"/>
      <c r="H73" s="1630"/>
      <c r="I73" s="1630"/>
      <c r="J73" s="1630"/>
      <c r="K73" s="1630"/>
      <c r="L73" s="1630"/>
      <c r="M73" s="1630"/>
      <c r="N73" s="1630"/>
      <c r="O73" s="1630"/>
      <c r="P73" s="1630"/>
      <c r="Q73" s="1630"/>
      <c r="R73" s="1630"/>
      <c r="S73" s="233"/>
    </row>
    <row r="74" spans="1:19" ht="11.25" customHeight="1">
      <c r="A74" s="1620"/>
      <c r="B74" s="1621"/>
      <c r="C74" s="1631"/>
      <c r="D74" s="1631"/>
      <c r="E74" s="1631"/>
      <c r="F74" s="1631"/>
      <c r="G74" s="1631"/>
      <c r="H74" s="1631"/>
      <c r="I74" s="1631"/>
      <c r="J74" s="1631"/>
      <c r="K74" s="1631"/>
      <c r="L74" s="1631"/>
      <c r="M74" s="1631"/>
      <c r="N74" s="1631"/>
      <c r="O74" s="1631"/>
      <c r="P74" s="1631"/>
      <c r="Q74" s="1631"/>
      <c r="R74" s="1631"/>
      <c r="S74" s="233"/>
    </row>
    <row r="75" spans="1:19" ht="11.25" customHeight="1">
      <c r="A75" s="1620"/>
      <c r="B75" s="1621"/>
      <c r="C75" s="1630"/>
      <c r="D75" s="1630"/>
      <c r="E75" s="1630"/>
      <c r="F75" s="1630"/>
      <c r="G75" s="1630"/>
      <c r="H75" s="1630"/>
      <c r="I75" s="1630"/>
      <c r="J75" s="1630"/>
      <c r="K75" s="1630"/>
      <c r="L75" s="1630"/>
      <c r="M75" s="1630"/>
      <c r="N75" s="1630"/>
      <c r="O75" s="1630"/>
      <c r="P75" s="1630"/>
      <c r="Q75" s="1630"/>
      <c r="R75" s="1630"/>
      <c r="S75" s="233"/>
    </row>
    <row r="76" spans="1:19" ht="11.25" customHeight="1">
      <c r="A76" s="1620"/>
      <c r="B76" s="1621"/>
      <c r="C76" s="1630"/>
      <c r="D76" s="1630"/>
      <c r="E76" s="1630"/>
      <c r="F76" s="1630"/>
      <c r="G76" s="1630"/>
      <c r="H76" s="1630"/>
      <c r="I76" s="1630"/>
      <c r="J76" s="1630"/>
      <c r="K76" s="1630"/>
      <c r="L76" s="1630"/>
      <c r="M76" s="1630"/>
      <c r="N76" s="1630"/>
      <c r="O76" s="1630"/>
      <c r="P76" s="1630"/>
      <c r="Q76" s="1630"/>
      <c r="R76" s="1630"/>
      <c r="S76" s="233"/>
    </row>
    <row r="77" spans="1:19" ht="11.25" customHeight="1">
      <c r="A77" s="1620"/>
      <c r="B77" s="1621"/>
      <c r="C77" s="1630"/>
      <c r="D77" s="1630"/>
      <c r="E77" s="1630"/>
      <c r="F77" s="1630"/>
      <c r="G77" s="1630"/>
      <c r="H77" s="1630"/>
      <c r="I77" s="1630"/>
      <c r="J77" s="1630"/>
      <c r="K77" s="1630"/>
      <c r="L77" s="1630"/>
      <c r="M77" s="1630"/>
      <c r="N77" s="1630"/>
      <c r="O77" s="1630"/>
      <c r="P77" s="1630"/>
      <c r="Q77" s="1630"/>
      <c r="R77" s="1630"/>
      <c r="S77" s="233"/>
    </row>
    <row r="78" spans="1:19" ht="11.25" customHeight="1">
      <c r="A78" s="1620"/>
      <c r="B78" s="1624"/>
      <c r="C78" s="1630"/>
      <c r="D78" s="1630"/>
      <c r="E78" s="1630"/>
      <c r="F78" s="1630"/>
      <c r="G78" s="1630"/>
      <c r="H78" s="1630"/>
      <c r="I78" s="1630"/>
      <c r="J78" s="1630"/>
      <c r="K78" s="1630"/>
      <c r="L78" s="1630"/>
      <c r="M78" s="1630"/>
      <c r="N78" s="1630"/>
      <c r="O78" s="1630"/>
      <c r="P78" s="1630"/>
      <c r="Q78" s="1630"/>
      <c r="R78" s="1630"/>
      <c r="S78" s="233"/>
    </row>
    <row r="79" spans="1:19" ht="11.25" customHeight="1">
      <c r="A79" s="1620"/>
      <c r="B79" s="1624"/>
      <c r="C79" s="1630"/>
      <c r="D79" s="1630"/>
      <c r="E79" s="1630"/>
      <c r="F79" s="1630"/>
      <c r="G79" s="1630"/>
      <c r="H79" s="1630"/>
      <c r="I79" s="1630"/>
      <c r="J79" s="1630"/>
      <c r="K79" s="1630"/>
      <c r="L79" s="1630"/>
      <c r="M79" s="1630"/>
      <c r="N79" s="1630"/>
      <c r="O79" s="1630"/>
      <c r="P79" s="1630"/>
      <c r="Q79" s="1630"/>
      <c r="R79" s="1630"/>
      <c r="S79" s="233"/>
    </row>
    <row r="80" spans="1:19" ht="11.25" customHeight="1">
      <c r="A80" s="1620"/>
      <c r="B80" s="1624"/>
      <c r="C80" s="1630"/>
      <c r="D80" s="1630"/>
      <c r="E80" s="1630"/>
      <c r="F80" s="1630"/>
      <c r="G80" s="1630"/>
      <c r="H80" s="1630"/>
      <c r="I80" s="1630"/>
      <c r="J80" s="1630"/>
      <c r="K80" s="1630"/>
      <c r="L80" s="1630"/>
      <c r="M80" s="1630"/>
      <c r="N80" s="1630"/>
      <c r="O80" s="1630"/>
      <c r="P80" s="1630"/>
      <c r="Q80" s="1630"/>
      <c r="R80" s="1630"/>
      <c r="S80" s="233"/>
    </row>
    <row r="81" spans="1:19" ht="11.25" customHeight="1">
      <c r="A81" s="1627"/>
      <c r="B81" s="1621"/>
      <c r="C81" s="470"/>
      <c r="D81" s="470"/>
      <c r="E81" s="470"/>
      <c r="F81" s="470"/>
      <c r="G81" s="470"/>
      <c r="H81" s="470"/>
      <c r="I81" s="470"/>
      <c r="J81" s="470"/>
      <c r="K81" s="470"/>
      <c r="L81" s="470"/>
      <c r="M81" s="470"/>
      <c r="N81" s="470"/>
      <c r="O81" s="470"/>
      <c r="P81" s="470"/>
      <c r="Q81" s="470"/>
      <c r="R81" s="470"/>
      <c r="S81" s="233"/>
    </row>
    <row r="82" spans="1:19" ht="11.25" customHeight="1">
      <c r="A82" s="1620"/>
      <c r="B82" s="1621"/>
      <c r="C82" s="1632"/>
      <c r="D82" s="1632"/>
      <c r="E82" s="1632"/>
      <c r="F82" s="1632"/>
      <c r="G82" s="1632"/>
      <c r="H82" s="1632"/>
      <c r="I82" s="1632"/>
      <c r="J82" s="1632"/>
      <c r="K82" s="1632"/>
      <c r="L82" s="1632"/>
      <c r="M82" s="1632"/>
      <c r="N82" s="1632"/>
      <c r="O82" s="1632"/>
      <c r="P82" s="1632"/>
      <c r="Q82" s="1632"/>
      <c r="R82" s="1632"/>
      <c r="S82" s="233"/>
    </row>
    <row r="83" spans="1:19" ht="11.25" customHeight="1">
      <c r="A83" s="1620"/>
      <c r="B83" s="1621"/>
      <c r="C83" s="1632"/>
      <c r="D83" s="1632"/>
      <c r="E83" s="1632"/>
      <c r="F83" s="1632"/>
      <c r="G83" s="1632"/>
      <c r="H83" s="1632"/>
      <c r="I83" s="1632"/>
      <c r="J83" s="1632"/>
      <c r="K83" s="1632"/>
      <c r="L83" s="1632"/>
      <c r="M83" s="1632"/>
      <c r="N83" s="1632"/>
      <c r="O83" s="1632"/>
      <c r="P83" s="1632"/>
      <c r="Q83" s="1632"/>
      <c r="R83" s="1632"/>
      <c r="S83" s="233"/>
    </row>
    <row r="84" spans="1:19" ht="11.25" customHeight="1">
      <c r="A84" s="1620"/>
      <c r="B84" s="1621"/>
      <c r="C84" s="1632"/>
      <c r="D84" s="1632"/>
      <c r="E84" s="1632"/>
      <c r="F84" s="1632"/>
      <c r="G84" s="1632"/>
      <c r="H84" s="1632"/>
      <c r="I84" s="1632"/>
      <c r="J84" s="1632"/>
      <c r="K84" s="1632"/>
      <c r="L84" s="1632"/>
      <c r="M84" s="1632"/>
      <c r="N84" s="1632"/>
      <c r="O84" s="1632"/>
      <c r="P84" s="1632"/>
      <c r="Q84" s="1632"/>
      <c r="R84" s="1632"/>
      <c r="S84" s="233"/>
    </row>
    <row r="85" spans="1:19" ht="11.25" customHeight="1">
      <c r="A85" s="1620"/>
      <c r="B85" s="1621"/>
      <c r="C85" s="1632"/>
      <c r="D85" s="1632"/>
      <c r="E85" s="1632"/>
      <c r="F85" s="1632"/>
      <c r="G85" s="1632"/>
      <c r="H85" s="1632"/>
      <c r="I85" s="1632"/>
      <c r="J85" s="1632"/>
      <c r="K85" s="1632"/>
      <c r="L85" s="1632"/>
      <c r="M85" s="1632"/>
      <c r="N85" s="1632"/>
      <c r="O85" s="1632"/>
      <c r="P85" s="1632"/>
      <c r="Q85" s="1632"/>
      <c r="R85" s="1632"/>
      <c r="S85" s="233"/>
    </row>
    <row r="86" spans="1:19" ht="11.25" customHeight="1">
      <c r="A86" s="1620"/>
      <c r="B86" s="1621"/>
      <c r="C86" s="1632"/>
      <c r="D86" s="1632"/>
      <c r="E86" s="1632"/>
      <c r="F86" s="1632"/>
      <c r="G86" s="1632"/>
      <c r="H86" s="1632"/>
      <c r="I86" s="1632"/>
      <c r="J86" s="1632"/>
      <c r="K86" s="1632"/>
      <c r="L86" s="1632"/>
      <c r="M86" s="1632"/>
      <c r="N86" s="1632"/>
      <c r="O86" s="1632"/>
      <c r="P86" s="1632"/>
      <c r="Q86" s="1632"/>
      <c r="R86" s="1632"/>
      <c r="S86" s="233"/>
    </row>
    <row r="87" spans="1:19" ht="11.25" customHeight="1">
      <c r="A87" s="1620"/>
      <c r="B87" s="1624"/>
      <c r="C87" s="1632"/>
      <c r="D87" s="1632"/>
      <c r="E87" s="1632"/>
      <c r="F87" s="1632"/>
      <c r="G87" s="1632"/>
      <c r="H87" s="1632"/>
      <c r="I87" s="1632"/>
      <c r="J87" s="1632"/>
      <c r="K87" s="1632"/>
      <c r="L87" s="1632"/>
      <c r="M87" s="1632"/>
      <c r="N87" s="1632"/>
      <c r="O87" s="1632"/>
      <c r="P87" s="1632"/>
      <c r="Q87" s="1632"/>
      <c r="R87" s="1632"/>
      <c r="S87" s="233"/>
    </row>
    <row r="88" spans="1:19" ht="11.25" customHeight="1">
      <c r="A88" s="1625"/>
      <c r="B88" s="1621"/>
      <c r="C88" s="1622"/>
      <c r="D88" s="1622"/>
      <c r="E88" s="1622"/>
      <c r="F88" s="1622"/>
      <c r="G88" s="1622"/>
      <c r="H88" s="1622"/>
      <c r="I88" s="1622"/>
      <c r="J88" s="1622"/>
      <c r="K88" s="1622"/>
      <c r="L88" s="1622"/>
      <c r="M88" s="1622"/>
      <c r="N88" s="1622"/>
      <c r="O88" s="1622"/>
      <c r="P88" s="1622"/>
      <c r="Q88" s="1622"/>
      <c r="R88" s="1622"/>
      <c r="S88" s="233"/>
    </row>
    <row r="89" spans="1:19" ht="11.25" customHeight="1">
      <c r="A89" s="1620"/>
      <c r="B89" s="1621"/>
      <c r="C89" s="1633"/>
      <c r="D89" s="1633"/>
      <c r="E89" s="1633"/>
      <c r="F89" s="1633"/>
      <c r="G89" s="1633"/>
      <c r="H89" s="1633"/>
      <c r="I89" s="1633"/>
      <c r="J89" s="1633"/>
      <c r="K89" s="1633"/>
      <c r="L89" s="1633"/>
      <c r="M89" s="1633"/>
      <c r="N89" s="1633"/>
      <c r="O89" s="1633"/>
      <c r="P89" s="1633"/>
      <c r="Q89" s="1633"/>
      <c r="R89" s="1633"/>
      <c r="S89" s="233"/>
    </row>
    <row r="90" spans="1:19" ht="11.25" customHeight="1">
      <c r="A90" s="1620"/>
      <c r="B90" s="1621"/>
      <c r="C90" s="1633"/>
      <c r="D90" s="1633"/>
      <c r="E90" s="1633"/>
      <c r="F90" s="1633"/>
      <c r="G90" s="1633"/>
      <c r="H90" s="1633"/>
      <c r="I90" s="1633"/>
      <c r="J90" s="1633"/>
      <c r="K90" s="1633"/>
      <c r="L90" s="1633"/>
      <c r="M90" s="1633"/>
      <c r="N90" s="1633"/>
      <c r="O90" s="1633"/>
      <c r="P90" s="1633"/>
      <c r="Q90" s="1633"/>
      <c r="R90" s="1633"/>
      <c r="S90" s="233"/>
    </row>
    <row r="91" spans="1:19" ht="11.25" customHeight="1">
      <c r="A91" s="1620"/>
      <c r="B91" s="1621"/>
      <c r="C91" s="1633"/>
      <c r="D91" s="1633"/>
      <c r="E91" s="1633"/>
      <c r="F91" s="1633"/>
      <c r="G91" s="1633"/>
      <c r="H91" s="1633"/>
      <c r="I91" s="1633"/>
      <c r="J91" s="1633"/>
      <c r="K91" s="1633"/>
      <c r="L91" s="1633"/>
      <c r="M91" s="1633"/>
      <c r="N91" s="1633"/>
      <c r="O91" s="1633"/>
      <c r="P91" s="1633"/>
      <c r="Q91" s="1633"/>
      <c r="R91" s="1633"/>
      <c r="S91" s="233"/>
    </row>
    <row r="92" spans="1:19" ht="11.25" customHeight="1">
      <c r="A92" s="1620"/>
      <c r="B92" s="1634"/>
      <c r="C92" s="1635"/>
      <c r="D92" s="1635"/>
      <c r="E92" s="1635"/>
      <c r="F92" s="1635"/>
      <c r="G92" s="1635"/>
      <c r="H92" s="1635"/>
      <c r="I92" s="1635"/>
      <c r="J92" s="1635"/>
      <c r="K92" s="1635"/>
      <c r="L92" s="1635"/>
      <c r="M92" s="1635"/>
      <c r="N92" s="1635"/>
      <c r="O92" s="1635"/>
      <c r="P92" s="1635"/>
      <c r="Q92" s="1635"/>
      <c r="R92" s="1635"/>
      <c r="S92" s="233"/>
    </row>
    <row r="93" spans="1:19" ht="11.25" customHeight="1">
      <c r="A93" s="1627"/>
      <c r="B93" s="1634"/>
      <c r="C93" s="1623"/>
      <c r="D93" s="1623"/>
      <c r="E93" s="1623"/>
      <c r="F93" s="1623"/>
      <c r="G93" s="1623"/>
      <c r="H93" s="1623"/>
      <c r="I93" s="1623"/>
      <c r="J93" s="1623"/>
      <c r="K93" s="1623"/>
      <c r="L93" s="1623"/>
      <c r="M93" s="1623"/>
      <c r="N93" s="1623"/>
      <c r="O93" s="1623"/>
      <c r="P93" s="1623"/>
      <c r="Q93" s="1623"/>
      <c r="R93" s="1623"/>
      <c r="S93" s="233"/>
    </row>
    <row r="94" spans="1:19" ht="11.25" customHeight="1">
      <c r="A94" s="1620"/>
      <c r="B94" s="1624"/>
      <c r="C94" s="1636"/>
      <c r="D94" s="1636"/>
      <c r="E94" s="1636"/>
      <c r="F94" s="1636"/>
      <c r="G94" s="1636"/>
      <c r="H94" s="1636"/>
      <c r="I94" s="1636"/>
      <c r="J94" s="1636"/>
      <c r="K94" s="1636"/>
      <c r="L94" s="1636"/>
      <c r="M94" s="1636"/>
      <c r="N94" s="1636"/>
      <c r="O94" s="1636"/>
      <c r="P94" s="1636"/>
      <c r="Q94" s="1636"/>
      <c r="R94" s="1636"/>
      <c r="S94" s="233"/>
    </row>
    <row r="95" spans="1:19" ht="11.25" customHeight="1">
      <c r="A95" s="1620"/>
      <c r="B95" s="1624"/>
      <c r="C95" s="1158"/>
      <c r="D95" s="1158"/>
      <c r="E95" s="1158"/>
      <c r="F95" s="1158"/>
      <c r="G95" s="1158"/>
      <c r="H95" s="1158"/>
      <c r="I95" s="1158"/>
      <c r="J95" s="1158"/>
      <c r="K95" s="1158"/>
      <c r="L95" s="1158"/>
      <c r="M95" s="1158"/>
      <c r="N95" s="1158"/>
      <c r="O95" s="1158"/>
      <c r="P95" s="1158"/>
      <c r="Q95" s="1158"/>
      <c r="R95" s="1158"/>
      <c r="S95" s="233"/>
    </row>
    <row r="96" spans="1:19" ht="11.25" customHeight="1">
      <c r="A96" s="1620"/>
      <c r="B96" s="1624"/>
      <c r="C96" s="1158"/>
      <c r="D96" s="1158"/>
      <c r="E96" s="1158"/>
      <c r="F96" s="1158"/>
      <c r="G96" s="1158"/>
      <c r="H96" s="1158"/>
      <c r="I96" s="1158"/>
      <c r="J96" s="1158"/>
      <c r="K96" s="1158"/>
      <c r="L96" s="1158"/>
      <c r="M96" s="1158"/>
      <c r="N96" s="1158"/>
      <c r="O96" s="1158"/>
      <c r="P96" s="1158"/>
      <c r="Q96" s="1158"/>
      <c r="R96" s="1158"/>
      <c r="S96" s="233"/>
    </row>
    <row r="97" spans="1:19" ht="11.25" customHeight="1">
      <c r="A97" s="1620"/>
      <c r="B97" s="1624"/>
      <c r="C97" s="1637"/>
      <c r="D97" s="1637"/>
      <c r="E97" s="1637"/>
      <c r="F97" s="1637"/>
      <c r="G97" s="1637"/>
      <c r="H97" s="1637"/>
      <c r="I97" s="1637"/>
      <c r="J97" s="1637"/>
      <c r="K97" s="1637"/>
      <c r="L97" s="1637"/>
      <c r="M97" s="1637"/>
      <c r="N97" s="1637"/>
      <c r="O97" s="1637"/>
      <c r="P97" s="1637"/>
      <c r="Q97" s="1637"/>
      <c r="R97" s="1637"/>
      <c r="S97" s="233"/>
    </row>
    <row r="98" spans="1:19" ht="11.25" customHeight="1">
      <c r="A98" s="1620"/>
      <c r="B98" s="1624"/>
      <c r="C98" s="1638"/>
      <c r="D98" s="1638"/>
      <c r="E98" s="1638"/>
      <c r="F98" s="1638"/>
      <c r="G98" s="1638"/>
      <c r="H98" s="1638"/>
      <c r="I98" s="1638"/>
      <c r="J98" s="1638"/>
      <c r="K98" s="1638"/>
      <c r="L98" s="1638"/>
      <c r="M98" s="1638"/>
      <c r="N98" s="1638"/>
      <c r="O98" s="1638"/>
      <c r="P98" s="1638"/>
      <c r="Q98" s="1638"/>
      <c r="R98" s="1638"/>
      <c r="S98" s="233"/>
    </row>
    <row r="99" spans="1:19" ht="11.25" customHeight="1">
      <c r="A99" s="1620"/>
      <c r="B99" s="1624"/>
      <c r="C99" s="1638"/>
      <c r="D99" s="1638"/>
      <c r="E99" s="1638"/>
      <c r="F99" s="1638"/>
      <c r="G99" s="1638"/>
      <c r="H99" s="1638"/>
      <c r="I99" s="1638"/>
      <c r="J99" s="1638"/>
      <c r="K99" s="1638"/>
      <c r="L99" s="1638"/>
      <c r="M99" s="1638"/>
      <c r="N99" s="1638"/>
      <c r="O99" s="1638"/>
      <c r="P99" s="1638"/>
      <c r="Q99" s="1638"/>
      <c r="R99" s="1638"/>
      <c r="S99" s="233"/>
    </row>
    <row r="100" spans="1:19" ht="11.25" customHeight="1">
      <c r="A100" s="1620"/>
      <c r="B100" s="1624"/>
      <c r="C100" s="1638"/>
      <c r="D100" s="1638"/>
      <c r="E100" s="1638"/>
      <c r="F100" s="1638"/>
      <c r="G100" s="1638"/>
      <c r="H100" s="1638"/>
      <c r="I100" s="1638"/>
      <c r="J100" s="1638"/>
      <c r="K100" s="1638"/>
      <c r="L100" s="1638"/>
      <c r="M100" s="1638"/>
      <c r="N100" s="1638"/>
      <c r="O100" s="1638"/>
      <c r="P100" s="1638"/>
      <c r="Q100" s="1638"/>
      <c r="R100" s="1638"/>
      <c r="S100" s="233"/>
    </row>
    <row r="101" spans="1:19" ht="11.25" customHeight="1">
      <c r="A101" s="1620"/>
      <c r="B101" s="1624"/>
      <c r="C101" s="1638"/>
      <c r="D101" s="1638"/>
      <c r="E101" s="1638"/>
      <c r="F101" s="1638"/>
      <c r="G101" s="1638"/>
      <c r="H101" s="1638"/>
      <c r="I101" s="1638"/>
      <c r="J101" s="1638"/>
      <c r="K101" s="1638"/>
      <c r="L101" s="1638"/>
      <c r="M101" s="1638"/>
      <c r="N101" s="1638"/>
      <c r="O101" s="1638"/>
      <c r="P101" s="1638"/>
      <c r="Q101" s="1638"/>
      <c r="R101" s="1638"/>
      <c r="S101" s="233"/>
    </row>
    <row r="102" spans="1:19" ht="11.25" customHeight="1">
      <c r="A102" s="1620"/>
      <c r="B102" s="1624"/>
      <c r="C102" s="1638"/>
      <c r="D102" s="1638"/>
      <c r="E102" s="1638"/>
      <c r="F102" s="1638"/>
      <c r="G102" s="1638"/>
      <c r="H102" s="1638"/>
      <c r="I102" s="1638"/>
      <c r="J102" s="1638"/>
      <c r="K102" s="1638"/>
      <c r="L102" s="1638"/>
      <c r="M102" s="1638"/>
      <c r="N102" s="1638"/>
      <c r="O102" s="1638"/>
      <c r="P102" s="1638"/>
      <c r="Q102" s="1638"/>
      <c r="R102" s="1638"/>
      <c r="S102" s="233"/>
    </row>
    <row r="103" spans="1:19" ht="11.25" customHeight="1">
      <c r="A103" s="1620"/>
      <c r="B103" s="1624"/>
      <c r="C103" s="1638"/>
      <c r="D103" s="1638"/>
      <c r="E103" s="1638"/>
      <c r="F103" s="1638"/>
      <c r="G103" s="1638"/>
      <c r="H103" s="1638"/>
      <c r="I103" s="1638"/>
      <c r="J103" s="1638"/>
      <c r="K103" s="1638"/>
      <c r="L103" s="1638"/>
      <c r="M103" s="1638"/>
      <c r="N103" s="1638"/>
      <c r="O103" s="1638"/>
      <c r="P103" s="1638"/>
      <c r="Q103" s="1638"/>
      <c r="R103" s="1638"/>
      <c r="S103" s="233"/>
    </row>
    <row r="104" spans="1:19" ht="11.25" customHeight="1">
      <c r="A104" s="1625"/>
      <c r="B104" s="1624"/>
      <c r="C104" s="136"/>
      <c r="D104" s="136"/>
      <c r="E104" s="136"/>
      <c r="F104" s="136"/>
      <c r="G104" s="136"/>
      <c r="H104" s="136"/>
      <c r="I104" s="136"/>
      <c r="J104" s="136"/>
      <c r="K104" s="136"/>
      <c r="L104" s="136"/>
      <c r="M104" s="136"/>
      <c r="N104" s="136"/>
      <c r="O104" s="136"/>
      <c r="P104" s="136"/>
      <c r="Q104" s="136"/>
      <c r="R104" s="136"/>
      <c r="S104" s="233"/>
    </row>
    <row r="105" spans="1:19" ht="4.9000000000000004" customHeight="1">
      <c r="A105" s="1626"/>
      <c r="B105" s="1621"/>
      <c r="C105" s="236"/>
      <c r="D105" s="236"/>
      <c r="E105" s="236"/>
      <c r="F105" s="236"/>
      <c r="G105" s="236"/>
      <c r="H105" s="236"/>
      <c r="I105" s="236"/>
      <c r="J105" s="236"/>
      <c r="K105" s="236"/>
      <c r="L105" s="236"/>
      <c r="M105" s="236"/>
      <c r="N105" s="236"/>
      <c r="O105" s="236"/>
      <c r="P105" s="236"/>
      <c r="Q105" s="236"/>
      <c r="R105" s="236"/>
      <c r="S105" s="233"/>
    </row>
    <row r="106" spans="1:19" s="576" customFormat="1">
      <c r="A106" s="1639"/>
      <c r="B106" s="1630"/>
      <c r="C106" s="876"/>
      <c r="D106" s="876"/>
      <c r="E106" s="876"/>
      <c r="F106" s="876"/>
      <c r="G106" s="876"/>
      <c r="H106" s="876"/>
      <c r="I106" s="876"/>
      <c r="J106" s="876"/>
      <c r="K106" s="876"/>
      <c r="L106" s="876"/>
      <c r="M106" s="876"/>
      <c r="N106" s="876"/>
      <c r="O106" s="876"/>
      <c r="P106" s="876"/>
      <c r="Q106" s="876"/>
      <c r="R106" s="876"/>
      <c r="S106" s="899"/>
    </row>
    <row r="107" spans="1:19" s="576" customFormat="1">
      <c r="A107" s="1640"/>
      <c r="B107" s="1630"/>
      <c r="C107" s="876"/>
      <c r="D107" s="876"/>
      <c r="E107" s="876"/>
      <c r="F107" s="876"/>
      <c r="G107" s="876"/>
      <c r="H107" s="876"/>
      <c r="I107" s="876"/>
      <c r="J107" s="876"/>
      <c r="K107" s="876"/>
      <c r="L107" s="876"/>
      <c r="M107" s="876"/>
      <c r="N107" s="876"/>
      <c r="O107" s="876"/>
      <c r="P107" s="876"/>
      <c r="Q107" s="876"/>
      <c r="R107" s="876"/>
      <c r="S107" s="899"/>
    </row>
    <row r="108" spans="1:19" s="576" customFormat="1">
      <c r="A108" s="1640"/>
      <c r="B108" s="1630"/>
      <c r="C108" s="876"/>
      <c r="D108" s="876"/>
      <c r="E108" s="876"/>
      <c r="F108" s="876"/>
      <c r="G108" s="876"/>
      <c r="H108" s="876"/>
      <c r="I108" s="876"/>
      <c r="J108" s="876"/>
      <c r="K108" s="876"/>
      <c r="L108" s="876"/>
      <c r="M108" s="876"/>
      <c r="N108" s="876"/>
      <c r="O108" s="876"/>
      <c r="P108" s="876"/>
      <c r="Q108" s="876"/>
      <c r="R108" s="876"/>
      <c r="S108" s="899"/>
    </row>
    <row r="109" spans="1:19" s="576" customFormat="1">
      <c r="A109" s="1325"/>
      <c r="B109" s="1630"/>
      <c r="C109" s="876"/>
      <c r="D109" s="876"/>
      <c r="E109" s="876"/>
      <c r="F109" s="876"/>
      <c r="G109" s="876"/>
      <c r="H109" s="876"/>
      <c r="I109" s="876"/>
      <c r="J109" s="876"/>
      <c r="K109" s="876"/>
      <c r="L109" s="876"/>
      <c r="M109" s="876"/>
      <c r="N109" s="876"/>
      <c r="O109" s="876"/>
      <c r="P109" s="876"/>
      <c r="Q109" s="876"/>
      <c r="R109" s="876"/>
      <c r="S109" s="899"/>
    </row>
    <row r="110" spans="1:19" s="576" customFormat="1">
      <c r="A110" s="1640"/>
      <c r="B110" s="1630"/>
      <c r="C110" s="876"/>
      <c r="D110" s="876"/>
      <c r="E110" s="876"/>
      <c r="F110" s="876"/>
      <c r="G110" s="876"/>
      <c r="H110" s="876"/>
      <c r="I110" s="876"/>
      <c r="J110" s="876"/>
      <c r="K110" s="876"/>
      <c r="L110" s="876"/>
      <c r="M110" s="876"/>
      <c r="N110" s="876"/>
      <c r="O110" s="876"/>
      <c r="P110" s="876"/>
      <c r="Q110" s="876"/>
      <c r="R110" s="876"/>
      <c r="S110" s="899"/>
    </row>
    <row r="111" spans="1:19">
      <c r="A111" s="990"/>
      <c r="B111" s="1621"/>
      <c r="C111" s="114"/>
      <c r="D111" s="114"/>
      <c r="E111" s="114"/>
      <c r="F111" s="114"/>
      <c r="G111" s="115"/>
      <c r="H111" s="115"/>
      <c r="I111" s="115"/>
      <c r="J111" s="115"/>
      <c r="K111" s="115"/>
      <c r="L111" s="115"/>
      <c r="M111" s="115"/>
      <c r="N111" s="115"/>
      <c r="O111" s="115"/>
      <c r="P111" s="115"/>
      <c r="Q111" s="115"/>
      <c r="R111" s="115"/>
      <c r="S111" s="233"/>
    </row>
    <row r="112" spans="1:19">
      <c r="A112" s="990"/>
      <c r="B112" s="1621"/>
      <c r="C112" s="114"/>
      <c r="D112" s="114"/>
      <c r="E112" s="114"/>
      <c r="F112" s="114"/>
      <c r="G112" s="115"/>
      <c r="H112" s="115"/>
      <c r="I112" s="115"/>
      <c r="J112" s="115"/>
      <c r="K112" s="115"/>
      <c r="L112" s="115"/>
      <c r="M112" s="115"/>
      <c r="N112" s="115"/>
      <c r="O112" s="115"/>
      <c r="P112" s="115"/>
      <c r="Q112" s="115"/>
      <c r="R112" s="115"/>
      <c r="S112" s="233"/>
    </row>
    <row r="113" spans="1:9" ht="11.25" customHeight="1">
      <c r="A113" s="123"/>
      <c r="B113" s="519"/>
      <c r="C113" s="123"/>
      <c r="D113" s="123"/>
      <c r="E113" s="123"/>
      <c r="F113" s="123"/>
      <c r="G113" s="123"/>
      <c r="H113" s="123"/>
      <c r="I113" s="123"/>
    </row>
    <row r="114" spans="1:9" ht="11.25" customHeight="1">
      <c r="A114" s="123"/>
      <c r="B114" s="520"/>
      <c r="C114" s="123"/>
      <c r="D114" s="123"/>
      <c r="E114" s="123"/>
      <c r="F114" s="123"/>
      <c r="G114" s="123"/>
      <c r="H114" s="123"/>
      <c r="I114" s="123"/>
    </row>
    <row r="115" spans="1:9" ht="11.25" customHeight="1">
      <c r="A115" s="123"/>
      <c r="B115" s="520"/>
      <c r="C115" s="123"/>
      <c r="D115" s="123"/>
      <c r="E115" s="123"/>
      <c r="F115" s="123"/>
      <c r="G115" s="123"/>
      <c r="H115" s="123"/>
      <c r="I115" s="123"/>
    </row>
    <row r="116" spans="1:9" ht="11.25" customHeight="1">
      <c r="A116" s="123"/>
      <c r="B116" s="520"/>
      <c r="C116" s="123"/>
      <c r="D116" s="123"/>
      <c r="E116" s="123"/>
      <c r="F116" s="123"/>
      <c r="G116" s="123"/>
      <c r="H116" s="123"/>
      <c r="I116" s="123"/>
    </row>
    <row r="117" spans="1:9" ht="11.25" customHeight="1">
      <c r="A117" s="123"/>
      <c r="B117" s="519"/>
      <c r="C117" s="123"/>
      <c r="D117" s="123"/>
      <c r="E117" s="123"/>
      <c r="F117" s="123"/>
      <c r="G117" s="123"/>
      <c r="H117" s="123"/>
      <c r="I117" s="123"/>
    </row>
    <row r="118" spans="1:9" ht="11.25" customHeight="1"/>
    <row r="119" spans="1:9" ht="11.25" customHeight="1"/>
    <row r="120" spans="1:9" ht="11.25" customHeight="1"/>
    <row r="121" spans="1:9" ht="11.25" customHeight="1"/>
    <row r="122" spans="1:9" ht="11.25" customHeight="1"/>
    <row r="123" spans="1:9" ht="11.25" customHeight="1"/>
    <row r="124" spans="1:9" ht="11.25" customHeight="1"/>
    <row r="125" spans="1:9" ht="11.25" customHeight="1"/>
    <row r="126" spans="1:9" ht="11.25" customHeight="1"/>
    <row r="127" spans="1:9" ht="11.25" customHeight="1"/>
    <row r="128" spans="1:9"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phoneticPr fontId="5"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35433070866141736" right="0" top="0.59055118110236227" bottom="0.39370078740157483" header="0.51181102362204722" footer="0.39370078740157483"/>
  <pageSetup paperSize="8" fitToHeight="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46"/>
  <sheetViews>
    <sheetView showGridLines="0" zoomScaleNormal="100" workbookViewId="0">
      <pane xSplit="2" ySplit="2" topLeftCell="C27" activePane="bottomRight" state="frozen"/>
      <selection activeCell="C32" sqref="C32"/>
      <selection pane="topRight" activeCell="C32" sqref="C32"/>
      <selection pane="bottomLeft" activeCell="C32" sqref="C32"/>
      <selection pane="bottomRight" activeCell="C38" sqref="C38:R47"/>
    </sheetView>
  </sheetViews>
  <sheetFormatPr defaultColWidth="9.140625" defaultRowHeight="12.75"/>
  <cols>
    <col min="1" max="1" width="30.7109375" style="26" customWidth="1"/>
    <col min="2" max="2" width="3" style="521"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c r="A1" s="24" t="str">
        <f>muni&amp;" - "&amp;TableA12b</f>
        <v>LIM333 Greater Tzaneen - Supporting Table SA12b Property rates by category (budget year)</v>
      </c>
      <c r="B1" s="500"/>
      <c r="C1" s="24"/>
      <c r="D1" s="24"/>
      <c r="E1" s="24"/>
      <c r="F1" s="24"/>
      <c r="G1" s="24"/>
      <c r="H1" s="24"/>
      <c r="I1" s="24"/>
      <c r="J1" s="24"/>
      <c r="K1" s="24"/>
      <c r="L1" s="24"/>
      <c r="M1" s="24"/>
      <c r="N1" s="24"/>
      <c r="O1" s="24"/>
      <c r="P1" s="24"/>
      <c r="Q1" s="24"/>
      <c r="R1" s="24"/>
    </row>
    <row r="2" spans="1:18" ht="38.25">
      <c r="A2" s="501" t="str">
        <f>desc</f>
        <v>Description</v>
      </c>
      <c r="B2" s="502" t="str">
        <f>head27</f>
        <v>Ref</v>
      </c>
      <c r="C2" s="386" t="s">
        <v>936</v>
      </c>
      <c r="D2" s="386" t="s">
        <v>937</v>
      </c>
      <c r="E2" s="386" t="s">
        <v>938</v>
      </c>
      <c r="F2" s="386" t="s">
        <v>939</v>
      </c>
      <c r="G2" s="386" t="s">
        <v>1286</v>
      </c>
      <c r="H2" s="386" t="s">
        <v>1353</v>
      </c>
      <c r="I2" s="386" t="s">
        <v>1287</v>
      </c>
      <c r="J2" s="386" t="s">
        <v>940</v>
      </c>
      <c r="K2" s="386" t="s">
        <v>352</v>
      </c>
      <c r="L2" s="386" t="s">
        <v>941</v>
      </c>
      <c r="M2" s="386" t="s">
        <v>353</v>
      </c>
      <c r="N2" s="386" t="s">
        <v>1354</v>
      </c>
      <c r="O2" s="386" t="s">
        <v>942</v>
      </c>
      <c r="P2" s="386" t="s">
        <v>354</v>
      </c>
      <c r="Q2" s="386" t="s">
        <v>1355</v>
      </c>
      <c r="R2" s="503" t="s">
        <v>1356</v>
      </c>
    </row>
    <row r="3" spans="1:18" ht="11.25" customHeight="1">
      <c r="A3" s="126" t="str">
        <f>Head9</f>
        <v>Budget Year 2020/21</v>
      </c>
      <c r="B3" s="59"/>
      <c r="C3" s="504"/>
      <c r="D3" s="504"/>
      <c r="E3" s="504"/>
      <c r="F3" s="504"/>
      <c r="G3" s="504"/>
      <c r="H3" s="504"/>
      <c r="I3" s="504"/>
      <c r="J3" s="504"/>
      <c r="K3" s="504"/>
      <c r="L3" s="504"/>
      <c r="M3" s="504"/>
      <c r="N3" s="504"/>
      <c r="O3" s="504"/>
      <c r="P3" s="504"/>
      <c r="Q3" s="504"/>
      <c r="R3" s="505"/>
    </row>
    <row r="4" spans="1:18" ht="11.25" customHeight="1">
      <c r="A4" s="126" t="s">
        <v>647</v>
      </c>
      <c r="B4" s="59"/>
      <c r="C4" s="504"/>
      <c r="D4" s="504"/>
      <c r="E4" s="504"/>
      <c r="F4" s="504"/>
      <c r="G4" s="504"/>
      <c r="H4" s="504"/>
      <c r="I4" s="504"/>
      <c r="J4" s="504"/>
      <c r="K4" s="504"/>
      <c r="L4" s="504"/>
      <c r="M4" s="504"/>
      <c r="N4" s="504"/>
      <c r="O4" s="504"/>
      <c r="P4" s="504"/>
      <c r="Q4" s="504"/>
      <c r="R4" s="505"/>
    </row>
    <row r="5" spans="1:18" ht="11.25" customHeight="1">
      <c r="A5" s="127" t="s">
        <v>349</v>
      </c>
      <c r="B5" s="59"/>
      <c r="C5" s="1989">
        <v>10791</v>
      </c>
      <c r="D5" s="1989">
        <v>403</v>
      </c>
      <c r="E5" s="1989">
        <v>784</v>
      </c>
      <c r="F5" s="1989">
        <v>2612</v>
      </c>
      <c r="G5" s="1989">
        <v>259</v>
      </c>
      <c r="H5" s="1989">
        <v>2082</v>
      </c>
      <c r="I5" s="1989">
        <v>77</v>
      </c>
      <c r="J5" s="1989">
        <v>216</v>
      </c>
      <c r="K5" s="1989"/>
      <c r="L5" s="1989"/>
      <c r="M5" s="1989"/>
      <c r="N5" s="1989"/>
      <c r="O5" s="1989"/>
      <c r="P5" s="1989"/>
      <c r="Q5" s="1989">
        <v>16</v>
      </c>
      <c r="R5" s="2240"/>
    </row>
    <row r="6" spans="1:18" ht="11.25" customHeight="1">
      <c r="A6" s="127" t="s">
        <v>1229</v>
      </c>
      <c r="B6" s="59"/>
      <c r="C6" s="1989">
        <v>1080</v>
      </c>
      <c r="D6" s="1989"/>
      <c r="E6" s="1989"/>
      <c r="F6" s="1989"/>
      <c r="G6" s="1989"/>
      <c r="H6" s="1989"/>
      <c r="I6" s="1989"/>
      <c r="J6" s="1989"/>
      <c r="K6" s="1989"/>
      <c r="L6" s="1989"/>
      <c r="M6" s="1989"/>
      <c r="N6" s="1989"/>
      <c r="O6" s="1989"/>
      <c r="P6" s="1989"/>
      <c r="Q6" s="1989"/>
      <c r="R6" s="2240"/>
    </row>
    <row r="7" spans="1:18" ht="11.25" customHeight="1">
      <c r="A7" s="127" t="s">
        <v>351</v>
      </c>
      <c r="B7" s="59"/>
      <c r="C7" s="1989"/>
      <c r="D7" s="1989"/>
      <c r="E7" s="1989"/>
      <c r="F7" s="1989"/>
      <c r="G7" s="1989"/>
      <c r="H7" s="1989"/>
      <c r="I7" s="1989"/>
      <c r="J7" s="1989"/>
      <c r="K7" s="1989"/>
      <c r="L7" s="1989"/>
      <c r="M7" s="1989"/>
      <c r="N7" s="1989"/>
      <c r="O7" s="1989"/>
      <c r="P7" s="1989"/>
      <c r="Q7" s="1989"/>
      <c r="R7" s="2240"/>
    </row>
    <row r="8" spans="1:18" ht="11.25" customHeight="1">
      <c r="A8" s="127" t="s">
        <v>639</v>
      </c>
      <c r="B8" s="59"/>
      <c r="C8" s="1989"/>
      <c r="D8" s="1989"/>
      <c r="E8" s="1989"/>
      <c r="F8" s="1989"/>
      <c r="G8" s="1989"/>
      <c r="H8" s="1989"/>
      <c r="I8" s="1989"/>
      <c r="J8" s="1989"/>
      <c r="K8" s="1989"/>
      <c r="L8" s="1989"/>
      <c r="M8" s="1989"/>
      <c r="N8" s="1989"/>
      <c r="O8" s="1989"/>
      <c r="P8" s="1989"/>
      <c r="Q8" s="1989"/>
      <c r="R8" s="2240"/>
    </row>
    <row r="9" spans="1:18" ht="11.25" customHeight="1">
      <c r="A9" s="127" t="s">
        <v>1230</v>
      </c>
      <c r="B9" s="59"/>
      <c r="C9" s="1989"/>
      <c r="D9" s="1989"/>
      <c r="E9" s="1989"/>
      <c r="F9" s="1989"/>
      <c r="G9" s="1989"/>
      <c r="H9" s="1989"/>
      <c r="I9" s="1989"/>
      <c r="J9" s="1989"/>
      <c r="K9" s="1989"/>
      <c r="L9" s="1989"/>
      <c r="M9" s="1989"/>
      <c r="N9" s="1989"/>
      <c r="O9" s="1989"/>
      <c r="P9" s="1989"/>
      <c r="Q9" s="1989"/>
      <c r="R9" s="2240"/>
    </row>
    <row r="10" spans="1:18" ht="11.25" customHeight="1">
      <c r="A10" s="127" t="s">
        <v>640</v>
      </c>
      <c r="B10" s="59"/>
      <c r="C10" s="1989"/>
      <c r="D10" s="1989"/>
      <c r="E10" s="1989"/>
      <c r="F10" s="1989"/>
      <c r="G10" s="1989"/>
      <c r="H10" s="1989"/>
      <c r="I10" s="1989"/>
      <c r="J10" s="1989"/>
      <c r="K10" s="1989"/>
      <c r="L10" s="1989"/>
      <c r="M10" s="1989"/>
      <c r="N10" s="1989"/>
      <c r="O10" s="1989"/>
      <c r="P10" s="1989"/>
      <c r="Q10" s="1989"/>
      <c r="R10" s="2240"/>
    </row>
    <row r="11" spans="1:18" ht="11.25" customHeight="1">
      <c r="A11" s="127" t="s">
        <v>315</v>
      </c>
      <c r="B11" s="59"/>
      <c r="C11" s="1989"/>
      <c r="D11" s="1989"/>
      <c r="E11" s="1989"/>
      <c r="F11" s="1989"/>
      <c r="G11" s="1989"/>
      <c r="H11" s="1989"/>
      <c r="I11" s="1989"/>
      <c r="J11" s="1989"/>
      <c r="K11" s="1989"/>
      <c r="L11" s="1989"/>
      <c r="M11" s="1989"/>
      <c r="N11" s="1989"/>
      <c r="O11" s="1989"/>
      <c r="P11" s="1989"/>
      <c r="Q11" s="1989"/>
      <c r="R11" s="2240"/>
    </row>
    <row r="12" spans="1:18" ht="11.25" customHeight="1">
      <c r="A12" s="127" t="s">
        <v>316</v>
      </c>
      <c r="B12" s="59"/>
      <c r="C12" s="1989"/>
      <c r="D12" s="1989"/>
      <c r="E12" s="1989"/>
      <c r="F12" s="1989"/>
      <c r="G12" s="1989"/>
      <c r="H12" s="1989"/>
      <c r="I12" s="1989"/>
      <c r="J12" s="1989"/>
      <c r="K12" s="1989"/>
      <c r="L12" s="1989"/>
      <c r="M12" s="1989"/>
      <c r="N12" s="1989"/>
      <c r="O12" s="1989"/>
      <c r="P12" s="1989"/>
      <c r="Q12" s="1989"/>
      <c r="R12" s="2240"/>
    </row>
    <row r="13" spans="1:18" ht="11.25" customHeight="1">
      <c r="A13" s="127" t="s">
        <v>317</v>
      </c>
      <c r="B13" s="59"/>
      <c r="C13" s="1989"/>
      <c r="D13" s="1989"/>
      <c r="E13" s="1989"/>
      <c r="F13" s="1989"/>
      <c r="G13" s="1989"/>
      <c r="H13" s="1989"/>
      <c r="I13" s="1989"/>
      <c r="J13" s="1989"/>
      <c r="K13" s="1989"/>
      <c r="L13" s="1989"/>
      <c r="M13" s="1989"/>
      <c r="N13" s="1989"/>
      <c r="O13" s="1989"/>
      <c r="P13" s="1989"/>
      <c r="Q13" s="1989"/>
      <c r="R13" s="2240"/>
    </row>
    <row r="14" spans="1:18" ht="11.25" customHeight="1">
      <c r="A14" s="127" t="s">
        <v>649</v>
      </c>
      <c r="B14" s="59">
        <v>5</v>
      </c>
      <c r="C14" s="1989"/>
      <c r="D14" s="1989"/>
      <c r="E14" s="1989"/>
      <c r="F14" s="1989"/>
      <c r="G14" s="1989"/>
      <c r="H14" s="1989"/>
      <c r="I14" s="1989"/>
      <c r="J14" s="1989"/>
      <c r="K14" s="1989"/>
      <c r="L14" s="1989"/>
      <c r="M14" s="1989"/>
      <c r="N14" s="1989"/>
      <c r="O14" s="1989"/>
      <c r="P14" s="1989"/>
      <c r="Q14" s="1989"/>
      <c r="R14" s="2240"/>
    </row>
    <row r="15" spans="1:18" ht="11.25" customHeight="1">
      <c r="A15" s="127" t="s">
        <v>638</v>
      </c>
      <c r="B15" s="59">
        <v>5</v>
      </c>
      <c r="C15" s="1989"/>
      <c r="D15" s="1989"/>
      <c r="E15" s="1989"/>
      <c r="F15" s="1989"/>
      <c r="G15" s="1989"/>
      <c r="H15" s="1989"/>
      <c r="I15" s="1989"/>
      <c r="J15" s="1989"/>
      <c r="K15" s="1989"/>
      <c r="L15" s="1989"/>
      <c r="M15" s="1989"/>
      <c r="N15" s="1989"/>
      <c r="O15" s="1989"/>
      <c r="P15" s="1989"/>
      <c r="Q15" s="1989"/>
      <c r="R15" s="2240"/>
    </row>
    <row r="16" spans="1:18" ht="11.25" customHeight="1">
      <c r="A16" s="131" t="s">
        <v>1231</v>
      </c>
      <c r="B16" s="223"/>
      <c r="C16" s="1406"/>
      <c r="D16" s="1406"/>
      <c r="E16" s="1406"/>
      <c r="F16" s="1406"/>
      <c r="G16" s="1406"/>
      <c r="H16" s="1406"/>
      <c r="I16" s="1996"/>
      <c r="J16" s="1406"/>
      <c r="K16" s="1406"/>
      <c r="L16" s="1406"/>
      <c r="M16" s="1406"/>
      <c r="N16" s="1406"/>
      <c r="O16" s="1406"/>
      <c r="P16" s="1406"/>
      <c r="Q16" s="1406"/>
      <c r="R16" s="1987"/>
    </row>
    <row r="17" spans="1:18" ht="11.25" customHeight="1">
      <c r="A17" s="127" t="s">
        <v>1465</v>
      </c>
      <c r="B17" s="59"/>
      <c r="C17" s="2172">
        <v>4</v>
      </c>
      <c r="D17" s="2172">
        <v>4</v>
      </c>
      <c r="E17" s="2172">
        <v>4</v>
      </c>
      <c r="F17" s="2172">
        <v>4</v>
      </c>
      <c r="G17" s="2172">
        <v>4</v>
      </c>
      <c r="H17" s="2172">
        <v>4</v>
      </c>
      <c r="I17" s="2172">
        <v>4</v>
      </c>
      <c r="J17" s="2172">
        <v>4</v>
      </c>
      <c r="K17" s="2172"/>
      <c r="L17" s="2172"/>
      <c r="M17" s="2172"/>
      <c r="N17" s="2172"/>
      <c r="O17" s="2172"/>
      <c r="P17" s="2172"/>
      <c r="Q17" s="2172">
        <v>4</v>
      </c>
      <c r="R17" s="2173"/>
    </row>
    <row r="18" spans="1:18" ht="11.25" customHeight="1">
      <c r="A18" s="127" t="s">
        <v>1466</v>
      </c>
      <c r="B18" s="59"/>
      <c r="C18" s="2172">
        <v>5</v>
      </c>
      <c r="D18" s="2241">
        <v>5</v>
      </c>
      <c r="E18" s="2241">
        <v>5</v>
      </c>
      <c r="F18" s="2241">
        <v>5</v>
      </c>
      <c r="G18" s="2241">
        <v>5</v>
      </c>
      <c r="H18" s="2241">
        <v>5</v>
      </c>
      <c r="I18" s="2241">
        <v>5</v>
      </c>
      <c r="J18" s="2241">
        <v>5</v>
      </c>
      <c r="K18" s="2241"/>
      <c r="L18" s="2241"/>
      <c r="M18" s="2241"/>
      <c r="N18" s="2241"/>
      <c r="O18" s="2241"/>
      <c r="P18" s="2241"/>
      <c r="Q18" s="2241">
        <v>5</v>
      </c>
      <c r="R18" s="2242"/>
    </row>
    <row r="19" spans="1:18" ht="11.25" customHeight="1">
      <c r="A19" s="127" t="s">
        <v>1467</v>
      </c>
      <c r="B19" s="59"/>
      <c r="C19" s="2172" t="s">
        <v>137</v>
      </c>
      <c r="D19" s="2172" t="s">
        <v>137</v>
      </c>
      <c r="E19" s="2172" t="s">
        <v>137</v>
      </c>
      <c r="F19" s="2172" t="s">
        <v>137</v>
      </c>
      <c r="G19" s="2172" t="s">
        <v>137</v>
      </c>
      <c r="H19" s="2172" t="s">
        <v>137</v>
      </c>
      <c r="I19" s="2172" t="s">
        <v>137</v>
      </c>
      <c r="J19" s="2172" t="s">
        <v>137</v>
      </c>
      <c r="K19" s="2172"/>
      <c r="L19" s="2172"/>
      <c r="M19" s="2172"/>
      <c r="N19" s="2172"/>
      <c r="O19" s="2172"/>
      <c r="P19" s="2172"/>
      <c r="Q19" s="2172" t="s">
        <v>137</v>
      </c>
      <c r="R19" s="2173"/>
    </row>
    <row r="20" spans="1:18" ht="11.25" customHeight="1">
      <c r="A20" s="127" t="s">
        <v>1468</v>
      </c>
      <c r="B20" s="59"/>
      <c r="C20" s="2172" t="s">
        <v>141</v>
      </c>
      <c r="D20" s="2172" t="s">
        <v>141</v>
      </c>
      <c r="E20" s="2172" t="s">
        <v>141</v>
      </c>
      <c r="F20" s="2172" t="s">
        <v>141</v>
      </c>
      <c r="G20" s="2172" t="s">
        <v>141</v>
      </c>
      <c r="H20" s="2172" t="s">
        <v>141</v>
      </c>
      <c r="I20" s="2172" t="s">
        <v>141</v>
      </c>
      <c r="J20" s="2172" t="s">
        <v>141</v>
      </c>
      <c r="K20" s="2172"/>
      <c r="L20" s="2172"/>
      <c r="M20" s="2172"/>
      <c r="N20" s="2172"/>
      <c r="O20" s="2172"/>
      <c r="P20" s="2172"/>
      <c r="Q20" s="2172" t="s">
        <v>141</v>
      </c>
      <c r="R20" s="2173"/>
    </row>
    <row r="21" spans="1:18" ht="11.25" customHeight="1">
      <c r="A21" s="127" t="s">
        <v>140</v>
      </c>
      <c r="B21" s="59"/>
      <c r="C21" s="2172"/>
      <c r="D21" s="2172"/>
      <c r="E21" s="2172"/>
      <c r="F21" s="2172"/>
      <c r="G21" s="2172"/>
      <c r="H21" s="2172"/>
      <c r="I21" s="2172"/>
      <c r="J21" s="2172"/>
      <c r="K21" s="2172"/>
      <c r="L21" s="2172"/>
      <c r="M21" s="2172"/>
      <c r="N21" s="2172"/>
      <c r="O21" s="2172"/>
      <c r="P21" s="2172"/>
      <c r="Q21" s="2172"/>
      <c r="R21" s="2173"/>
    </row>
    <row r="22" spans="1:18" ht="11.25" customHeight="1">
      <c r="A22" s="127" t="s">
        <v>579</v>
      </c>
      <c r="B22" s="506"/>
      <c r="C22" s="2172"/>
      <c r="D22" s="2172"/>
      <c r="E22" s="2172"/>
      <c r="F22" s="2172"/>
      <c r="G22" s="2172"/>
      <c r="H22" s="2172"/>
      <c r="I22" s="2172"/>
      <c r="J22" s="2172"/>
      <c r="K22" s="2172"/>
      <c r="L22" s="2172"/>
      <c r="M22" s="2172"/>
      <c r="N22" s="2172"/>
      <c r="O22" s="2172"/>
      <c r="P22" s="2172"/>
      <c r="Q22" s="2172"/>
      <c r="R22" s="2173"/>
    </row>
    <row r="23" spans="1:18" ht="11.25" customHeight="1">
      <c r="A23" s="127" t="s">
        <v>580</v>
      </c>
      <c r="B23" s="506"/>
      <c r="C23" s="2172"/>
      <c r="D23" s="2172"/>
      <c r="E23" s="2172"/>
      <c r="F23" s="2172"/>
      <c r="G23" s="2172"/>
      <c r="H23" s="2172"/>
      <c r="I23" s="2172"/>
      <c r="J23" s="2172"/>
      <c r="K23" s="2172"/>
      <c r="L23" s="2172"/>
      <c r="M23" s="2172"/>
      <c r="N23" s="2172"/>
      <c r="O23" s="2172"/>
      <c r="P23" s="2172"/>
      <c r="Q23" s="2172"/>
      <c r="R23" s="2173"/>
    </row>
    <row r="24" spans="1:18" ht="11.25" customHeight="1">
      <c r="A24" s="127" t="s">
        <v>264</v>
      </c>
      <c r="B24" s="506"/>
      <c r="C24" s="2172"/>
      <c r="D24" s="2172"/>
      <c r="E24" s="2172"/>
      <c r="F24" s="2172"/>
      <c r="G24" s="2172"/>
      <c r="H24" s="2172"/>
      <c r="I24" s="2172"/>
      <c r="J24" s="2172"/>
      <c r="K24" s="2172"/>
      <c r="L24" s="2172"/>
      <c r="M24" s="2172"/>
      <c r="N24" s="2172"/>
      <c r="O24" s="2172"/>
      <c r="P24" s="2172"/>
      <c r="Q24" s="2172"/>
      <c r="R24" s="2173"/>
    </row>
    <row r="25" spans="1:18" ht="11.25" customHeight="1">
      <c r="A25" s="126" t="s">
        <v>1350</v>
      </c>
      <c r="B25" s="59"/>
      <c r="C25" s="466"/>
      <c r="D25" s="466"/>
      <c r="E25" s="466"/>
      <c r="F25" s="466"/>
      <c r="G25" s="466"/>
      <c r="H25" s="466"/>
      <c r="I25" s="466"/>
      <c r="J25" s="466"/>
      <c r="K25" s="466"/>
      <c r="L25" s="466"/>
      <c r="M25" s="466"/>
      <c r="N25" s="466"/>
      <c r="O25" s="466"/>
      <c r="P25" s="466"/>
      <c r="Q25" s="466"/>
      <c r="R25" s="469"/>
    </row>
    <row r="26" spans="1:18" ht="11.25" customHeight="1">
      <c r="A26" s="127" t="s">
        <v>452</v>
      </c>
      <c r="B26" s="59"/>
      <c r="C26" s="2194"/>
      <c r="D26" s="2194"/>
      <c r="E26" s="2194"/>
      <c r="F26" s="2194"/>
      <c r="G26" s="2194"/>
      <c r="H26" s="2194"/>
      <c r="I26" s="2194"/>
      <c r="J26" s="2194"/>
      <c r="K26" s="2194"/>
      <c r="L26" s="2194"/>
      <c r="M26" s="2194"/>
      <c r="N26" s="2194"/>
      <c r="O26" s="2194"/>
      <c r="P26" s="2194"/>
      <c r="Q26" s="2194"/>
      <c r="R26" s="2198"/>
    </row>
    <row r="27" spans="1:18" ht="11.25" customHeight="1">
      <c r="A27" s="127" t="s">
        <v>453</v>
      </c>
      <c r="B27" s="59"/>
      <c r="C27" s="2194"/>
      <c r="D27" s="2194"/>
      <c r="E27" s="2194"/>
      <c r="F27" s="2194"/>
      <c r="G27" s="2194"/>
      <c r="H27" s="2194"/>
      <c r="I27" s="2194"/>
      <c r="J27" s="2194"/>
      <c r="K27" s="2194"/>
      <c r="L27" s="2194"/>
      <c r="M27" s="2194"/>
      <c r="N27" s="2194"/>
      <c r="O27" s="2194"/>
      <c r="P27" s="2194"/>
      <c r="Q27" s="2194"/>
      <c r="R27" s="2198"/>
    </row>
    <row r="28" spans="1:18" ht="11.25" customHeight="1">
      <c r="A28" s="127" t="s">
        <v>454</v>
      </c>
      <c r="B28" s="59"/>
      <c r="C28" s="2194"/>
      <c r="D28" s="2194"/>
      <c r="E28" s="2194"/>
      <c r="F28" s="2194"/>
      <c r="G28" s="2194"/>
      <c r="H28" s="2194"/>
      <c r="I28" s="2194"/>
      <c r="J28" s="2194"/>
      <c r="K28" s="2194"/>
      <c r="L28" s="2194"/>
      <c r="M28" s="2194"/>
      <c r="N28" s="2194"/>
      <c r="O28" s="2194"/>
      <c r="P28" s="2194"/>
      <c r="Q28" s="2194"/>
      <c r="R28" s="2198"/>
    </row>
    <row r="29" spans="1:18" ht="11.25" customHeight="1">
      <c r="A29" s="127" t="s">
        <v>455</v>
      </c>
      <c r="B29" s="59"/>
      <c r="C29" s="2194">
        <v>149865000</v>
      </c>
      <c r="D29" s="2194"/>
      <c r="E29" s="2194"/>
      <c r="F29" s="2194"/>
      <c r="G29" s="2194"/>
      <c r="H29" s="2194"/>
      <c r="I29" s="2194"/>
      <c r="J29" s="2194">
        <v>3120000</v>
      </c>
      <c r="K29" s="2194"/>
      <c r="L29" s="2194"/>
      <c r="M29" s="2194"/>
      <c r="N29" s="2194"/>
      <c r="O29" s="2194"/>
      <c r="P29" s="2194"/>
      <c r="Q29" s="2194"/>
      <c r="R29" s="2198"/>
    </row>
    <row r="30" spans="1:18" ht="11.25" customHeight="1">
      <c r="A30" s="127" t="s">
        <v>456</v>
      </c>
      <c r="B30" s="59"/>
      <c r="C30" s="2194"/>
      <c r="D30" s="2194"/>
      <c r="E30" s="2194"/>
      <c r="F30" s="2194"/>
      <c r="G30" s="2194"/>
      <c r="H30" s="2194"/>
      <c r="I30" s="2194"/>
      <c r="J30" s="2194"/>
      <c r="K30" s="2194"/>
      <c r="L30" s="2194"/>
      <c r="M30" s="2194"/>
      <c r="N30" s="2194"/>
      <c r="O30" s="2194"/>
      <c r="P30" s="2194"/>
      <c r="Q30" s="2194"/>
      <c r="R30" s="2198"/>
    </row>
    <row r="31" spans="1:18" ht="11.25" customHeight="1">
      <c r="A31" s="127" t="s">
        <v>457</v>
      </c>
      <c r="B31" s="506">
        <v>2</v>
      </c>
      <c r="C31" s="2194"/>
      <c r="D31" s="2194"/>
      <c r="E31" s="2194"/>
      <c r="F31" s="2194"/>
      <c r="G31" s="2194"/>
      <c r="H31" s="2194"/>
      <c r="I31" s="2194"/>
      <c r="J31" s="2194"/>
      <c r="K31" s="2194"/>
      <c r="L31" s="2194"/>
      <c r="M31" s="2194"/>
      <c r="N31" s="2194"/>
      <c r="O31" s="2194"/>
      <c r="P31" s="2194"/>
      <c r="Q31" s="2194"/>
      <c r="R31" s="2198"/>
    </row>
    <row r="32" spans="1:18" ht="11.25" customHeight="1">
      <c r="A32" s="140" t="s">
        <v>1351</v>
      </c>
      <c r="B32" s="59"/>
      <c r="C32" s="507"/>
      <c r="D32" s="507"/>
      <c r="E32" s="507"/>
      <c r="F32" s="507"/>
      <c r="G32" s="507"/>
      <c r="H32" s="507"/>
      <c r="I32" s="507"/>
      <c r="J32" s="507"/>
      <c r="K32" s="507"/>
      <c r="L32" s="507"/>
      <c r="M32" s="507"/>
      <c r="N32" s="507"/>
      <c r="O32" s="507"/>
      <c r="P32" s="507"/>
      <c r="Q32" s="507"/>
      <c r="R32" s="508"/>
    </row>
    <row r="33" spans="1:19" ht="15.75" customHeight="1">
      <c r="A33" s="127" t="s">
        <v>1280</v>
      </c>
      <c r="B33" s="59">
        <v>6</v>
      </c>
      <c r="C33" s="2200">
        <v>6625538000</v>
      </c>
      <c r="D33" s="2200">
        <v>674294000</v>
      </c>
      <c r="E33" s="2200">
        <v>2299280500</v>
      </c>
      <c r="F33" s="2200">
        <v>4672206360</v>
      </c>
      <c r="G33" s="2200">
        <v>673397700</v>
      </c>
      <c r="H33" s="2200">
        <v>407015000</v>
      </c>
      <c r="I33" s="2200">
        <v>7263110</v>
      </c>
      <c r="J33" s="2200">
        <v>263205000</v>
      </c>
      <c r="K33" s="2200"/>
      <c r="L33" s="2200"/>
      <c r="M33" s="2200"/>
      <c r="N33" s="2200"/>
      <c r="O33" s="2200"/>
      <c r="P33" s="2200"/>
      <c r="Q33" s="2200">
        <v>67745000</v>
      </c>
      <c r="R33" s="2203"/>
    </row>
    <row r="34" spans="1:19" ht="11.25" customHeight="1">
      <c r="A34" s="127" t="s">
        <v>1281</v>
      </c>
      <c r="B34" s="59">
        <v>6</v>
      </c>
      <c r="C34" s="2200"/>
      <c r="D34" s="2200"/>
      <c r="E34" s="2200"/>
      <c r="F34" s="2200"/>
      <c r="G34" s="2200"/>
      <c r="H34" s="2200"/>
      <c r="I34" s="2200"/>
      <c r="J34" s="2200"/>
      <c r="K34" s="2200"/>
      <c r="L34" s="2200"/>
      <c r="M34" s="2200"/>
      <c r="N34" s="2200"/>
      <c r="O34" s="2200"/>
      <c r="P34" s="2200"/>
      <c r="Q34" s="2200"/>
      <c r="R34" s="2203"/>
    </row>
    <row r="35" spans="1:19" ht="11.25" customHeight="1">
      <c r="A35" s="127" t="s">
        <v>1282</v>
      </c>
      <c r="B35" s="59">
        <v>6</v>
      </c>
      <c r="C35" s="2200"/>
      <c r="D35" s="2200"/>
      <c r="E35" s="2200"/>
      <c r="F35" s="2200"/>
      <c r="G35" s="2200"/>
      <c r="H35" s="2200"/>
      <c r="I35" s="2200"/>
      <c r="J35" s="2200"/>
      <c r="K35" s="2200"/>
      <c r="L35" s="2200"/>
      <c r="M35" s="2200"/>
      <c r="N35" s="2200"/>
      <c r="O35" s="2200"/>
      <c r="P35" s="2200"/>
      <c r="Q35" s="2200"/>
      <c r="R35" s="2203"/>
    </row>
    <row r="36" spans="1:19" ht="11.25" customHeight="1">
      <c r="A36" s="127" t="s">
        <v>1283</v>
      </c>
      <c r="B36" s="1343">
        <v>6</v>
      </c>
      <c r="C36" s="2205">
        <v>6625538000</v>
      </c>
      <c r="D36" s="2205">
        <v>674294000</v>
      </c>
      <c r="E36" s="2205">
        <v>2299280500</v>
      </c>
      <c r="F36" s="2205">
        <v>4672206360</v>
      </c>
      <c r="G36" s="2205">
        <v>673397700</v>
      </c>
      <c r="H36" s="2205">
        <v>407015000</v>
      </c>
      <c r="I36" s="2205">
        <v>7263110</v>
      </c>
      <c r="J36" s="2205">
        <v>263205000</v>
      </c>
      <c r="K36" s="2205"/>
      <c r="L36" s="2205"/>
      <c r="M36" s="2205"/>
      <c r="N36" s="2205"/>
      <c r="O36" s="2205"/>
      <c r="P36" s="2205"/>
      <c r="Q36" s="2205">
        <v>67745000</v>
      </c>
      <c r="R36" s="2243"/>
    </row>
    <row r="37" spans="1:19" ht="15.75" customHeight="1">
      <c r="A37" s="509" t="s">
        <v>1352</v>
      </c>
      <c r="B37" s="510"/>
      <c r="C37" s="511"/>
      <c r="D37" s="511"/>
      <c r="E37" s="511"/>
      <c r="F37" s="511"/>
      <c r="G37" s="511"/>
      <c r="H37" s="511"/>
      <c r="I37" s="511"/>
      <c r="J37" s="511"/>
      <c r="K37" s="511"/>
      <c r="L37" s="511"/>
      <c r="M37" s="511"/>
      <c r="N37" s="511"/>
      <c r="O37" s="511"/>
      <c r="P37" s="511"/>
      <c r="Q37" s="511"/>
      <c r="R37" s="512"/>
    </row>
    <row r="38" spans="1:19" ht="11.25" customHeight="1">
      <c r="A38" s="131" t="s">
        <v>263</v>
      </c>
      <c r="B38" s="513">
        <v>3</v>
      </c>
      <c r="C38" s="2244">
        <v>3.1812E-2</v>
      </c>
      <c r="D38" s="2244">
        <v>3.1812E-2</v>
      </c>
      <c r="E38" s="2244">
        <v>1.3812E-2</v>
      </c>
      <c r="F38" s="2244">
        <v>2.258E-3</v>
      </c>
      <c r="G38" s="2244">
        <v>1.3812E-2</v>
      </c>
      <c r="H38" s="2244"/>
      <c r="I38" s="2244">
        <v>2.258E-3</v>
      </c>
      <c r="J38" s="2244">
        <v>1.3812E-2</v>
      </c>
      <c r="K38" s="2244"/>
      <c r="L38" s="2244"/>
      <c r="M38" s="2244"/>
      <c r="N38" s="2244"/>
      <c r="O38" s="2244"/>
      <c r="P38" s="2244"/>
      <c r="Q38" s="2244">
        <v>2.258E-3</v>
      </c>
      <c r="R38" s="2245"/>
      <c r="S38" s="240"/>
    </row>
    <row r="39" spans="1:19" ht="11.25" customHeight="1">
      <c r="A39" s="131" t="s">
        <v>1284</v>
      </c>
      <c r="B39" s="513"/>
      <c r="C39" s="1951">
        <v>60570201.530000001</v>
      </c>
      <c r="D39" s="1951">
        <v>9373962.0299999993</v>
      </c>
      <c r="E39" s="1951">
        <v>32680990.899999999</v>
      </c>
      <c r="F39" s="1951">
        <v>10986297.550000001</v>
      </c>
      <c r="G39" s="1951">
        <v>10209459.18</v>
      </c>
      <c r="H39" s="1951"/>
      <c r="I39" s="1951">
        <v>16431.259999999998</v>
      </c>
      <c r="J39" s="1951">
        <v>2435401.9300000002</v>
      </c>
      <c r="K39" s="1951"/>
      <c r="L39" s="1951"/>
      <c r="M39" s="1951"/>
      <c r="N39" s="1951"/>
      <c r="O39" s="1951"/>
      <c r="P39" s="1951"/>
      <c r="Q39" s="1951">
        <v>303999.86</v>
      </c>
      <c r="R39" s="1954"/>
      <c r="S39" s="514">
        <f>SUM(C39:R39)</f>
        <v>126576744.24000001</v>
      </c>
    </row>
    <row r="40" spans="1:19" ht="11.25" customHeight="1">
      <c r="A40" s="131" t="s">
        <v>1285</v>
      </c>
      <c r="B40" s="513"/>
      <c r="C40" s="1951">
        <v>54513000</v>
      </c>
      <c r="D40" s="1951">
        <v>8436600</v>
      </c>
      <c r="E40" s="1951">
        <v>29412900</v>
      </c>
      <c r="F40" s="1951">
        <v>9887400</v>
      </c>
      <c r="G40" s="1951">
        <v>9188100</v>
      </c>
      <c r="H40" s="1951"/>
      <c r="I40" s="1951">
        <v>14400</v>
      </c>
      <c r="J40" s="1951">
        <v>2191500</v>
      </c>
      <c r="K40" s="1951"/>
      <c r="L40" s="1951"/>
      <c r="M40" s="1951"/>
      <c r="N40" s="1951"/>
      <c r="O40" s="1951"/>
      <c r="P40" s="1951"/>
      <c r="Q40" s="1951">
        <v>273600</v>
      </c>
      <c r="R40" s="1954"/>
      <c r="S40" s="514">
        <f>SUM(C40:R40)</f>
        <v>113917500</v>
      </c>
    </row>
    <row r="41" spans="1:19" ht="11.25" customHeight="1">
      <c r="A41" s="131" t="s">
        <v>1388</v>
      </c>
      <c r="B41" s="513">
        <v>4</v>
      </c>
      <c r="C41" s="2219">
        <v>0.9</v>
      </c>
      <c r="D41" s="2219">
        <v>0.9</v>
      </c>
      <c r="E41" s="2219">
        <v>0.9</v>
      </c>
      <c r="F41" s="2219">
        <v>0.9</v>
      </c>
      <c r="G41" s="2219">
        <v>0.9</v>
      </c>
      <c r="H41" s="2219"/>
      <c r="I41" s="2219">
        <v>0.9</v>
      </c>
      <c r="J41" s="2219">
        <v>0.9</v>
      </c>
      <c r="K41" s="2219"/>
      <c r="L41" s="2219"/>
      <c r="M41" s="2219"/>
      <c r="N41" s="2219"/>
      <c r="O41" s="2219"/>
      <c r="P41" s="2219"/>
      <c r="Q41" s="2219">
        <v>0.9</v>
      </c>
      <c r="R41" s="2222"/>
    </row>
    <row r="42" spans="1:19" ht="11.25" customHeight="1">
      <c r="A42" s="131" t="s">
        <v>1316</v>
      </c>
      <c r="B42" s="513"/>
      <c r="C42" s="1964"/>
      <c r="D42" s="1964"/>
      <c r="E42" s="1964"/>
      <c r="F42" s="1964"/>
      <c r="G42" s="1964"/>
      <c r="H42" s="1964"/>
      <c r="I42" s="1964"/>
      <c r="J42" s="1964"/>
      <c r="K42" s="1964"/>
      <c r="L42" s="1964"/>
      <c r="M42" s="1964"/>
      <c r="N42" s="1964"/>
      <c r="O42" s="1964"/>
      <c r="P42" s="1964"/>
      <c r="Q42" s="1964"/>
      <c r="R42" s="1965"/>
      <c r="S42" s="240"/>
    </row>
    <row r="43" spans="1:19" ht="15.75" customHeight="1">
      <c r="A43" s="131" t="s">
        <v>356</v>
      </c>
      <c r="B43" s="513"/>
      <c r="C43" s="2246">
        <v>4200000</v>
      </c>
      <c r="D43" s="2246"/>
      <c r="E43" s="2246"/>
      <c r="F43" s="2246"/>
      <c r="G43" s="2246"/>
      <c r="H43" s="2246"/>
      <c r="I43" s="2246"/>
      <c r="J43" s="2246"/>
      <c r="K43" s="2246"/>
      <c r="L43" s="2246"/>
      <c r="M43" s="2246"/>
      <c r="N43" s="2246"/>
      <c r="O43" s="2246"/>
      <c r="P43" s="2246"/>
      <c r="Q43" s="2246"/>
      <c r="R43" s="2247"/>
      <c r="S43" s="240"/>
    </row>
    <row r="44" spans="1:19" ht="11.25" customHeight="1">
      <c r="A44" s="131" t="s">
        <v>448</v>
      </c>
      <c r="B44" s="513"/>
      <c r="C44" s="1964">
        <v>2700000</v>
      </c>
      <c r="D44" s="1964"/>
      <c r="E44" s="1964"/>
      <c r="F44" s="1964"/>
      <c r="G44" s="1964"/>
      <c r="H44" s="1964"/>
      <c r="I44" s="1964"/>
      <c r="J44" s="1964"/>
      <c r="K44" s="1964"/>
      <c r="L44" s="1964"/>
      <c r="M44" s="1964"/>
      <c r="N44" s="1964"/>
      <c r="O44" s="1964"/>
      <c r="P44" s="1964"/>
      <c r="Q44" s="1964"/>
      <c r="R44" s="1965"/>
      <c r="S44" s="240"/>
    </row>
    <row r="45" spans="1:19" ht="11.25" customHeight="1">
      <c r="A45" s="131" t="s">
        <v>449</v>
      </c>
      <c r="B45" s="513"/>
      <c r="C45" s="1964"/>
      <c r="D45" s="1964"/>
      <c r="E45" s="1964"/>
      <c r="F45" s="1964"/>
      <c r="G45" s="1964"/>
      <c r="H45" s="1964"/>
      <c r="I45" s="1964"/>
      <c r="J45" s="1964"/>
      <c r="K45" s="1964"/>
      <c r="L45" s="1964"/>
      <c r="M45" s="1964"/>
      <c r="N45" s="1964"/>
      <c r="O45" s="1964"/>
      <c r="P45" s="1964"/>
      <c r="Q45" s="1964"/>
      <c r="R45" s="1965"/>
      <c r="S45" s="240"/>
    </row>
    <row r="46" spans="1:19" ht="11.25" customHeight="1">
      <c r="A46" s="131" t="s">
        <v>450</v>
      </c>
      <c r="B46" s="513"/>
      <c r="C46" s="1964">
        <v>27261971</v>
      </c>
      <c r="D46" s="1964"/>
      <c r="E46" s="1964"/>
      <c r="F46" s="1964"/>
      <c r="G46" s="1964"/>
      <c r="H46" s="1964"/>
      <c r="I46" s="1964"/>
      <c r="J46" s="1964">
        <v>1098677.56</v>
      </c>
      <c r="K46" s="1964"/>
      <c r="L46" s="1964"/>
      <c r="M46" s="1964"/>
      <c r="N46" s="1964"/>
      <c r="O46" s="1964"/>
      <c r="P46" s="1964"/>
      <c r="Q46" s="1964"/>
      <c r="R46" s="1965"/>
      <c r="S46" s="240"/>
    </row>
    <row r="47" spans="1:19" ht="11.25" customHeight="1">
      <c r="A47" s="131" t="s">
        <v>1315</v>
      </c>
      <c r="B47" s="513"/>
      <c r="C47" s="1964">
        <v>3180563.3</v>
      </c>
      <c r="D47" s="1964"/>
      <c r="E47" s="1964"/>
      <c r="F47" s="1964"/>
      <c r="G47" s="1964"/>
      <c r="H47" s="1964"/>
      <c r="I47" s="1964"/>
      <c r="J47" s="1964">
        <v>128179.05</v>
      </c>
      <c r="K47" s="1964"/>
      <c r="L47" s="1964"/>
      <c r="M47" s="1964"/>
      <c r="N47" s="1964"/>
      <c r="O47" s="1964"/>
      <c r="P47" s="1964"/>
      <c r="Q47" s="1964"/>
      <c r="R47" s="1965"/>
      <c r="S47" s="240"/>
    </row>
    <row r="48" spans="1:19" ht="11.25" customHeight="1">
      <c r="A48" s="517" t="s">
        <v>565</v>
      </c>
      <c r="B48" s="506"/>
      <c r="C48" s="515"/>
      <c r="D48" s="515"/>
      <c r="E48" s="515"/>
      <c r="F48" s="515"/>
      <c r="G48" s="515"/>
      <c r="H48" s="515"/>
      <c r="I48" s="515"/>
      <c r="J48" s="515"/>
      <c r="K48" s="515"/>
      <c r="L48" s="515"/>
      <c r="M48" s="515"/>
      <c r="N48" s="515"/>
      <c r="O48" s="515"/>
      <c r="P48" s="515"/>
      <c r="Q48" s="515"/>
      <c r="R48" s="516"/>
      <c r="S48" s="240"/>
    </row>
    <row r="49" spans="1:19" ht="4.9000000000000004" customHeight="1">
      <c r="A49" s="518"/>
      <c r="B49" s="268"/>
      <c r="C49" s="496"/>
      <c r="D49" s="496"/>
      <c r="E49" s="496"/>
      <c r="F49" s="496"/>
      <c r="G49" s="496"/>
      <c r="H49" s="496"/>
      <c r="I49" s="496"/>
      <c r="J49" s="496"/>
      <c r="K49" s="496"/>
      <c r="L49" s="496"/>
      <c r="M49" s="496"/>
      <c r="N49" s="496"/>
      <c r="O49" s="496"/>
      <c r="P49" s="496"/>
      <c r="Q49" s="496"/>
      <c r="R49" s="497"/>
    </row>
    <row r="50" spans="1:19" s="576" customFormat="1">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c r="A51" s="1236" t="s">
        <v>460</v>
      </c>
      <c r="B51" s="912"/>
      <c r="C51" s="878"/>
      <c r="D51" s="878"/>
      <c r="E51" s="878"/>
      <c r="F51" s="878"/>
      <c r="G51" s="878"/>
      <c r="H51" s="878"/>
      <c r="I51" s="878"/>
      <c r="J51" s="878"/>
      <c r="K51" s="878"/>
      <c r="L51" s="878"/>
      <c r="M51" s="878"/>
      <c r="N51" s="878"/>
      <c r="O51" s="878"/>
      <c r="P51" s="878"/>
      <c r="Q51" s="878"/>
      <c r="R51" s="878"/>
    </row>
    <row r="52" spans="1:19" s="576" customFormat="1">
      <c r="A52" s="1236" t="s">
        <v>461</v>
      </c>
      <c r="B52" s="912"/>
      <c r="C52" s="878"/>
      <c r="D52" s="878"/>
      <c r="E52" s="878"/>
      <c r="F52" s="878"/>
      <c r="G52" s="878"/>
      <c r="H52" s="878"/>
      <c r="I52" s="878"/>
      <c r="J52" s="878"/>
      <c r="K52" s="878"/>
      <c r="L52" s="878"/>
      <c r="M52" s="878"/>
      <c r="N52" s="878"/>
      <c r="O52" s="878"/>
      <c r="P52" s="878"/>
      <c r="Q52" s="878"/>
      <c r="R52" s="878"/>
    </row>
    <row r="53" spans="1:19" s="576" customFormat="1">
      <c r="A53" s="1093" t="s">
        <v>2020</v>
      </c>
      <c r="B53" s="912"/>
      <c r="C53" s="878"/>
      <c r="D53" s="878"/>
      <c r="E53" s="878"/>
      <c r="F53" s="878"/>
      <c r="G53" s="878"/>
      <c r="H53" s="878"/>
      <c r="I53" s="878"/>
      <c r="J53" s="878"/>
      <c r="K53" s="878"/>
      <c r="L53" s="878"/>
      <c r="M53" s="878"/>
      <c r="N53" s="878"/>
      <c r="O53" s="878"/>
      <c r="P53" s="878"/>
      <c r="Q53" s="878"/>
      <c r="R53" s="878"/>
    </row>
    <row r="54" spans="1:19" s="576" customFormat="1">
      <c r="A54" s="1236" t="s">
        <v>463</v>
      </c>
      <c r="B54" s="912"/>
      <c r="C54" s="878"/>
      <c r="D54" s="878"/>
      <c r="E54" s="878"/>
      <c r="F54" s="878"/>
      <c r="G54" s="878"/>
      <c r="H54" s="878"/>
      <c r="I54" s="878"/>
      <c r="J54" s="878"/>
      <c r="K54" s="878"/>
      <c r="L54" s="878"/>
      <c r="M54" s="878"/>
      <c r="N54" s="878"/>
      <c r="O54" s="878"/>
      <c r="P54" s="878"/>
      <c r="Q54" s="878"/>
      <c r="R54" s="878"/>
    </row>
    <row r="55" spans="1:19" s="576" customFormat="1">
      <c r="A55" s="1025" t="s">
        <v>1404</v>
      </c>
      <c r="B55" s="912"/>
      <c r="C55" s="878"/>
      <c r="D55" s="878"/>
      <c r="E55" s="878"/>
      <c r="F55" s="878"/>
      <c r="G55" s="878"/>
      <c r="H55" s="878"/>
      <c r="I55" s="878"/>
      <c r="J55" s="878"/>
      <c r="K55" s="878"/>
      <c r="L55" s="878"/>
      <c r="M55" s="878"/>
      <c r="N55" s="878"/>
      <c r="O55" s="878"/>
      <c r="P55" s="878"/>
      <c r="Q55" s="878"/>
      <c r="R55" s="878"/>
    </row>
    <row r="56" spans="1:19" s="576" customFormat="1">
      <c r="A56" s="1025" t="s">
        <v>1406</v>
      </c>
      <c r="B56" s="912"/>
      <c r="C56" s="878"/>
      <c r="D56" s="878"/>
      <c r="E56" s="878"/>
      <c r="F56" s="878"/>
      <c r="G56" s="878"/>
      <c r="H56" s="878"/>
      <c r="I56" s="878"/>
      <c r="J56" s="878"/>
      <c r="K56" s="878"/>
      <c r="L56" s="878"/>
      <c r="M56" s="878"/>
      <c r="N56" s="878"/>
      <c r="O56" s="878"/>
      <c r="P56" s="878"/>
      <c r="Q56" s="878"/>
      <c r="R56" s="878"/>
    </row>
    <row r="57" spans="1:19" ht="15.75" customHeight="1">
      <c r="A57" s="1616"/>
      <c r="B57" s="1616"/>
      <c r="C57" s="796"/>
      <c r="D57" s="796"/>
      <c r="E57" s="796"/>
      <c r="F57" s="796"/>
      <c r="G57" s="796"/>
      <c r="H57" s="796"/>
      <c r="I57" s="796"/>
      <c r="J57" s="796"/>
      <c r="K57" s="796"/>
      <c r="L57" s="796"/>
      <c r="M57" s="796"/>
      <c r="N57" s="796"/>
      <c r="O57" s="796"/>
      <c r="P57" s="796"/>
      <c r="Q57" s="796"/>
      <c r="R57" s="796"/>
      <c r="S57" s="233"/>
    </row>
    <row r="58" spans="1:19" ht="38.25" customHeight="1">
      <c r="A58" s="1617"/>
      <c r="B58" s="1618"/>
      <c r="C58" s="1619"/>
      <c r="D58" s="1619"/>
      <c r="E58" s="1619"/>
      <c r="F58" s="1619"/>
      <c r="G58" s="1619"/>
      <c r="H58" s="1619"/>
      <c r="I58" s="1619"/>
      <c r="J58" s="1619"/>
      <c r="K58" s="1619"/>
      <c r="L58" s="1619"/>
      <c r="M58" s="1619"/>
      <c r="N58" s="1619"/>
      <c r="O58" s="1619"/>
      <c r="P58" s="1619"/>
      <c r="Q58" s="1619"/>
      <c r="R58" s="1619"/>
      <c r="S58" s="233"/>
    </row>
    <row r="59" spans="1:19" ht="11.25" customHeight="1">
      <c r="A59" s="1627"/>
      <c r="B59" s="1621"/>
      <c r="C59" s="115"/>
      <c r="D59" s="115"/>
      <c r="E59" s="115"/>
      <c r="F59" s="115"/>
      <c r="G59" s="115"/>
      <c r="H59" s="115"/>
      <c r="I59" s="115"/>
      <c r="J59" s="115"/>
      <c r="K59" s="115"/>
      <c r="L59" s="115"/>
      <c r="M59" s="115"/>
      <c r="N59" s="115"/>
      <c r="O59" s="115"/>
      <c r="P59" s="115"/>
      <c r="Q59" s="115"/>
      <c r="R59" s="115"/>
      <c r="S59" s="233"/>
    </row>
    <row r="60" spans="1:19" ht="11.25" customHeight="1">
      <c r="A60" s="1627"/>
      <c r="B60" s="1621"/>
      <c r="C60" s="115"/>
      <c r="D60" s="115"/>
      <c r="E60" s="115"/>
      <c r="F60" s="115"/>
      <c r="G60" s="115"/>
      <c r="H60" s="115"/>
      <c r="I60" s="115"/>
      <c r="J60" s="115"/>
      <c r="K60" s="115"/>
      <c r="L60" s="115"/>
      <c r="M60" s="115"/>
      <c r="N60" s="115"/>
      <c r="O60" s="115"/>
      <c r="P60" s="115"/>
      <c r="Q60" s="115"/>
      <c r="R60" s="115"/>
      <c r="S60" s="233"/>
    </row>
    <row r="61" spans="1:19" ht="11.25" customHeight="1">
      <c r="A61" s="1620"/>
      <c r="B61" s="1621"/>
      <c r="C61" s="1498"/>
      <c r="D61" s="1498"/>
      <c r="E61" s="1498"/>
      <c r="F61" s="1498"/>
      <c r="G61" s="1498"/>
      <c r="H61" s="1498"/>
      <c r="I61" s="1498"/>
      <c r="J61" s="1498"/>
      <c r="K61" s="1498"/>
      <c r="L61" s="1498"/>
      <c r="M61" s="1498"/>
      <c r="N61" s="1498"/>
      <c r="O61" s="1498"/>
      <c r="P61" s="1498"/>
      <c r="Q61" s="1498"/>
      <c r="R61" s="1498"/>
      <c r="S61" s="233"/>
    </row>
    <row r="62" spans="1:19" ht="11.25" customHeight="1">
      <c r="A62" s="1620"/>
      <c r="B62" s="1621"/>
      <c r="C62" s="1498"/>
      <c r="D62" s="1498"/>
      <c r="E62" s="1498"/>
      <c r="F62" s="1498"/>
      <c r="G62" s="1498"/>
      <c r="H62" s="1498"/>
      <c r="I62" s="1498"/>
      <c r="J62" s="1498"/>
      <c r="K62" s="1498"/>
      <c r="L62" s="1498"/>
      <c r="M62" s="1498"/>
      <c r="N62" s="1498"/>
      <c r="O62" s="1498"/>
      <c r="P62" s="1498"/>
      <c r="Q62" s="1498"/>
      <c r="R62" s="1498"/>
      <c r="S62" s="233"/>
    </row>
    <row r="63" spans="1:19" ht="11.25" customHeight="1">
      <c r="A63" s="1620"/>
      <c r="B63" s="1621"/>
      <c r="C63" s="1498"/>
      <c r="D63" s="1498"/>
      <c r="E63" s="1498"/>
      <c r="F63" s="1498"/>
      <c r="G63" s="1498"/>
      <c r="H63" s="1498"/>
      <c r="I63" s="1498"/>
      <c r="J63" s="1498"/>
      <c r="K63" s="1498"/>
      <c r="L63" s="1498"/>
      <c r="M63" s="1498"/>
      <c r="N63" s="1498"/>
      <c r="O63" s="1498"/>
      <c r="P63" s="1498"/>
      <c r="Q63" s="1498"/>
      <c r="R63" s="1498"/>
      <c r="S63" s="233"/>
    </row>
    <row r="64" spans="1:19" ht="11.25" customHeight="1">
      <c r="A64" s="1620"/>
      <c r="B64" s="1621"/>
      <c r="C64" s="1498"/>
      <c r="D64" s="1498"/>
      <c r="E64" s="1498"/>
      <c r="F64" s="1498"/>
      <c r="G64" s="1498"/>
      <c r="H64" s="1498"/>
      <c r="I64" s="1498"/>
      <c r="J64" s="1498"/>
      <c r="K64" s="1498"/>
      <c r="L64" s="1498"/>
      <c r="M64" s="1498"/>
      <c r="N64" s="1498"/>
      <c r="O64" s="1498"/>
      <c r="P64" s="1498"/>
      <c r="Q64" s="1498"/>
      <c r="R64" s="1498"/>
      <c r="S64" s="233"/>
    </row>
    <row r="65" spans="1:19" ht="11.25" customHeight="1">
      <c r="A65" s="1620"/>
      <c r="B65" s="1621"/>
      <c r="C65" s="1498"/>
      <c r="D65" s="1498"/>
      <c r="E65" s="1498"/>
      <c r="F65" s="1498"/>
      <c r="G65" s="1498"/>
      <c r="H65" s="1498"/>
      <c r="I65" s="1498"/>
      <c r="J65" s="1498"/>
      <c r="K65" s="1498"/>
      <c r="L65" s="1498"/>
      <c r="M65" s="1498"/>
      <c r="N65" s="1498"/>
      <c r="O65" s="1498"/>
      <c r="P65" s="1498"/>
      <c r="Q65" s="1498"/>
      <c r="R65" s="1498"/>
      <c r="S65" s="233"/>
    </row>
    <row r="66" spans="1:19" ht="11.25" customHeight="1">
      <c r="A66" s="1620"/>
      <c r="B66" s="1621"/>
      <c r="C66" s="1498"/>
      <c r="D66" s="1498"/>
      <c r="E66" s="1498"/>
      <c r="F66" s="1498"/>
      <c r="G66" s="1498"/>
      <c r="H66" s="1498"/>
      <c r="I66" s="1498"/>
      <c r="J66" s="1498"/>
      <c r="K66" s="1498"/>
      <c r="L66" s="1498"/>
      <c r="M66" s="1498"/>
      <c r="N66" s="1498"/>
      <c r="O66" s="1498"/>
      <c r="P66" s="1498"/>
      <c r="Q66" s="1498"/>
      <c r="R66" s="1498"/>
      <c r="S66" s="233"/>
    </row>
    <row r="67" spans="1:19" ht="11.25" customHeight="1">
      <c r="A67" s="1620"/>
      <c r="B67" s="1621"/>
      <c r="C67" s="1498"/>
      <c r="D67" s="1498"/>
      <c r="E67" s="1498"/>
      <c r="F67" s="1498"/>
      <c r="G67" s="1498"/>
      <c r="H67" s="1498"/>
      <c r="I67" s="1498"/>
      <c r="J67" s="1498"/>
      <c r="K67" s="1498"/>
      <c r="L67" s="1498"/>
      <c r="M67" s="1498"/>
      <c r="N67" s="1498"/>
      <c r="O67" s="1498"/>
      <c r="P67" s="1498"/>
      <c r="Q67" s="1498"/>
      <c r="R67" s="1498"/>
      <c r="S67" s="233"/>
    </row>
    <row r="68" spans="1:19" ht="11.25" customHeight="1">
      <c r="A68" s="1620"/>
      <c r="B68" s="1621"/>
      <c r="C68" s="1498"/>
      <c r="D68" s="1498"/>
      <c r="E68" s="1498"/>
      <c r="F68" s="1498"/>
      <c r="G68" s="1498"/>
      <c r="H68" s="1498"/>
      <c r="I68" s="1498"/>
      <c r="J68" s="1498"/>
      <c r="K68" s="1498"/>
      <c r="L68" s="1498"/>
      <c r="M68" s="1498"/>
      <c r="N68" s="1498"/>
      <c r="O68" s="1498"/>
      <c r="P68" s="1498"/>
      <c r="Q68" s="1498"/>
      <c r="R68" s="1498"/>
      <c r="S68" s="233"/>
    </row>
    <row r="69" spans="1:19" ht="11.25" customHeight="1">
      <c r="A69" s="1620"/>
      <c r="B69" s="1621"/>
      <c r="C69" s="1498"/>
      <c r="D69" s="1498"/>
      <c r="E69" s="1498"/>
      <c r="F69" s="1498"/>
      <c r="G69" s="1498"/>
      <c r="H69" s="1498"/>
      <c r="I69" s="1498"/>
      <c r="J69" s="1498"/>
      <c r="K69" s="1498"/>
      <c r="L69" s="1498"/>
      <c r="M69" s="1498"/>
      <c r="N69" s="1498"/>
      <c r="O69" s="1498"/>
      <c r="P69" s="1498"/>
      <c r="Q69" s="1498"/>
      <c r="R69" s="1498"/>
      <c r="S69" s="233"/>
    </row>
    <row r="70" spans="1:19" ht="11.25" customHeight="1">
      <c r="A70" s="1620"/>
      <c r="B70" s="1621"/>
      <c r="C70" s="1498"/>
      <c r="D70" s="1498"/>
      <c r="E70" s="1498"/>
      <c r="F70" s="1498"/>
      <c r="G70" s="1498"/>
      <c r="H70" s="1498"/>
      <c r="I70" s="1498"/>
      <c r="J70" s="1498"/>
      <c r="K70" s="1498"/>
      <c r="L70" s="1498"/>
      <c r="M70" s="1498"/>
      <c r="N70" s="1498"/>
      <c r="O70" s="1498"/>
      <c r="P70" s="1498"/>
      <c r="Q70" s="1498"/>
      <c r="R70" s="1498"/>
      <c r="S70" s="233"/>
    </row>
    <row r="71" spans="1:19" ht="11.25" customHeight="1">
      <c r="A71" s="1620"/>
      <c r="B71" s="1621"/>
      <c r="C71" s="1498"/>
      <c r="D71" s="1498"/>
      <c r="E71" s="1498"/>
      <c r="F71" s="1498"/>
      <c r="G71" s="1498"/>
      <c r="H71" s="1498"/>
      <c r="I71" s="1498"/>
      <c r="J71" s="1498"/>
      <c r="K71" s="1498"/>
      <c r="L71" s="1498"/>
      <c r="M71" s="1498"/>
      <c r="N71" s="1498"/>
      <c r="O71" s="1498"/>
      <c r="P71" s="1498"/>
      <c r="Q71" s="1498"/>
      <c r="R71" s="1498"/>
      <c r="S71" s="233"/>
    </row>
    <row r="72" spans="1:19" ht="11.25" customHeight="1">
      <c r="A72" s="1620"/>
      <c r="B72" s="1621"/>
      <c r="C72" s="1628"/>
      <c r="D72" s="1628"/>
      <c r="E72" s="1628"/>
      <c r="F72" s="1628"/>
      <c r="G72" s="1628"/>
      <c r="H72" s="1628"/>
      <c r="I72" s="1629"/>
      <c r="J72" s="1628"/>
      <c r="K72" s="1628"/>
      <c r="L72" s="1628"/>
      <c r="M72" s="1628"/>
      <c r="N72" s="1628"/>
      <c r="O72" s="1628"/>
      <c r="P72" s="1628"/>
      <c r="Q72" s="1628"/>
      <c r="R72" s="1628"/>
      <c r="S72" s="233"/>
    </row>
    <row r="73" spans="1:19" ht="11.25" customHeight="1">
      <c r="A73" s="1620"/>
      <c r="B73" s="1621"/>
      <c r="C73" s="1630"/>
      <c r="D73" s="1630"/>
      <c r="E73" s="1630"/>
      <c r="F73" s="1630"/>
      <c r="G73" s="1630"/>
      <c r="H73" s="1630"/>
      <c r="I73" s="1630"/>
      <c r="J73" s="1630"/>
      <c r="K73" s="1630"/>
      <c r="L73" s="1630"/>
      <c r="M73" s="1630"/>
      <c r="N73" s="1630"/>
      <c r="O73" s="1630"/>
      <c r="P73" s="1630"/>
      <c r="Q73" s="1630"/>
      <c r="R73" s="1630"/>
      <c r="S73" s="233"/>
    </row>
    <row r="74" spans="1:19" ht="11.25" customHeight="1">
      <c r="A74" s="1620"/>
      <c r="B74" s="1621"/>
      <c r="C74" s="1631"/>
      <c r="D74" s="1631"/>
      <c r="E74" s="1631"/>
      <c r="F74" s="1631"/>
      <c r="G74" s="1631"/>
      <c r="H74" s="1631"/>
      <c r="I74" s="1631"/>
      <c r="J74" s="1631"/>
      <c r="K74" s="1631"/>
      <c r="L74" s="1631"/>
      <c r="M74" s="1631"/>
      <c r="N74" s="1631"/>
      <c r="O74" s="1631"/>
      <c r="P74" s="1631"/>
      <c r="Q74" s="1631"/>
      <c r="R74" s="1631"/>
      <c r="S74" s="233"/>
    </row>
    <row r="75" spans="1:19" ht="11.25" customHeight="1">
      <c r="A75" s="1620"/>
      <c r="B75" s="1621"/>
      <c r="C75" s="1630"/>
      <c r="D75" s="1630"/>
      <c r="E75" s="1630"/>
      <c r="F75" s="1630"/>
      <c r="G75" s="1630"/>
      <c r="H75" s="1630"/>
      <c r="I75" s="1630"/>
      <c r="J75" s="1630"/>
      <c r="K75" s="1630"/>
      <c r="L75" s="1630"/>
      <c r="M75" s="1630"/>
      <c r="N75" s="1630"/>
      <c r="O75" s="1630"/>
      <c r="P75" s="1630"/>
      <c r="Q75" s="1630"/>
      <c r="R75" s="1630"/>
      <c r="S75" s="233"/>
    </row>
    <row r="76" spans="1:19" ht="11.25" customHeight="1">
      <c r="A76" s="1620"/>
      <c r="B76" s="1621"/>
      <c r="C76" s="1630"/>
      <c r="D76" s="1630"/>
      <c r="E76" s="1630"/>
      <c r="F76" s="1630"/>
      <c r="G76" s="1630"/>
      <c r="H76" s="1630"/>
      <c r="I76" s="1630"/>
      <c r="J76" s="1630"/>
      <c r="K76" s="1630"/>
      <c r="L76" s="1630"/>
      <c r="M76" s="1630"/>
      <c r="N76" s="1630"/>
      <c r="O76" s="1630"/>
      <c r="P76" s="1630"/>
      <c r="Q76" s="1630"/>
      <c r="R76" s="1630"/>
      <c r="S76" s="233"/>
    </row>
    <row r="77" spans="1:19" ht="11.25" customHeight="1">
      <c r="A77" s="1620"/>
      <c r="B77" s="1621"/>
      <c r="C77" s="1630"/>
      <c r="D77" s="1630"/>
      <c r="E77" s="1630"/>
      <c r="F77" s="1630"/>
      <c r="G77" s="1630"/>
      <c r="H77" s="1630"/>
      <c r="I77" s="1630"/>
      <c r="J77" s="1630"/>
      <c r="K77" s="1630"/>
      <c r="L77" s="1630"/>
      <c r="M77" s="1630"/>
      <c r="N77" s="1630"/>
      <c r="O77" s="1630"/>
      <c r="P77" s="1630"/>
      <c r="Q77" s="1630"/>
      <c r="R77" s="1630"/>
      <c r="S77" s="233"/>
    </row>
    <row r="78" spans="1:19" ht="11.25" customHeight="1">
      <c r="A78" s="1620"/>
      <c r="B78" s="1624"/>
      <c r="C78" s="1630"/>
      <c r="D78" s="1630"/>
      <c r="E78" s="1630"/>
      <c r="F78" s="1630"/>
      <c r="G78" s="1630"/>
      <c r="H78" s="1630"/>
      <c r="I78" s="1630"/>
      <c r="J78" s="1630"/>
      <c r="K78" s="1630"/>
      <c r="L78" s="1630"/>
      <c r="M78" s="1630"/>
      <c r="N78" s="1630"/>
      <c r="O78" s="1630"/>
      <c r="P78" s="1630"/>
      <c r="Q78" s="1630"/>
      <c r="R78" s="1630"/>
      <c r="S78" s="233"/>
    </row>
    <row r="79" spans="1:19" ht="11.25" customHeight="1">
      <c r="A79" s="1620"/>
      <c r="B79" s="1624"/>
      <c r="C79" s="1630"/>
      <c r="D79" s="1630"/>
      <c r="E79" s="1630"/>
      <c r="F79" s="1630"/>
      <c r="G79" s="1630"/>
      <c r="H79" s="1630"/>
      <c r="I79" s="1630"/>
      <c r="J79" s="1630"/>
      <c r="K79" s="1630"/>
      <c r="L79" s="1630"/>
      <c r="M79" s="1630"/>
      <c r="N79" s="1630"/>
      <c r="O79" s="1630"/>
      <c r="P79" s="1630"/>
      <c r="Q79" s="1630"/>
      <c r="R79" s="1630"/>
      <c r="S79" s="233"/>
    </row>
    <row r="80" spans="1:19" ht="11.25" customHeight="1">
      <c r="A80" s="1620"/>
      <c r="B80" s="1624"/>
      <c r="C80" s="1630"/>
      <c r="D80" s="1630"/>
      <c r="E80" s="1630"/>
      <c r="F80" s="1630"/>
      <c r="G80" s="1630"/>
      <c r="H80" s="1630"/>
      <c r="I80" s="1630"/>
      <c r="J80" s="1630"/>
      <c r="K80" s="1630"/>
      <c r="L80" s="1630"/>
      <c r="M80" s="1630"/>
      <c r="N80" s="1630"/>
      <c r="O80" s="1630"/>
      <c r="P80" s="1630"/>
      <c r="Q80" s="1630"/>
      <c r="R80" s="1630"/>
      <c r="S80" s="233"/>
    </row>
    <row r="81" spans="1:19" ht="11.25" customHeight="1">
      <c r="A81" s="1627"/>
      <c r="B81" s="1621"/>
      <c r="C81" s="470"/>
      <c r="D81" s="470"/>
      <c r="E81" s="470"/>
      <c r="F81" s="470"/>
      <c r="G81" s="470"/>
      <c r="H81" s="470"/>
      <c r="I81" s="470"/>
      <c r="J81" s="470"/>
      <c r="K81" s="470"/>
      <c r="L81" s="470"/>
      <c r="M81" s="470"/>
      <c r="N81" s="470"/>
      <c r="O81" s="470"/>
      <c r="P81" s="470"/>
      <c r="Q81" s="470"/>
      <c r="R81" s="470"/>
      <c r="S81" s="233"/>
    </row>
    <row r="82" spans="1:19" ht="11.25" customHeight="1">
      <c r="A82" s="1620"/>
      <c r="B82" s="1621"/>
      <c r="C82" s="1632"/>
      <c r="D82" s="1632"/>
      <c r="E82" s="1632"/>
      <c r="F82" s="1632"/>
      <c r="G82" s="1632"/>
      <c r="H82" s="1632"/>
      <c r="I82" s="1632"/>
      <c r="J82" s="1632"/>
      <c r="K82" s="1632"/>
      <c r="L82" s="1632"/>
      <c r="M82" s="1632"/>
      <c r="N82" s="1632"/>
      <c r="O82" s="1632"/>
      <c r="P82" s="1632"/>
      <c r="Q82" s="1632"/>
      <c r="R82" s="1632"/>
      <c r="S82" s="233"/>
    </row>
    <row r="83" spans="1:19" ht="11.25" customHeight="1">
      <c r="A83" s="1620"/>
      <c r="B83" s="1621"/>
      <c r="C83" s="1632"/>
      <c r="D83" s="1632"/>
      <c r="E83" s="1632"/>
      <c r="F83" s="1632"/>
      <c r="G83" s="1632"/>
      <c r="H83" s="1632"/>
      <c r="I83" s="1632"/>
      <c r="J83" s="1632"/>
      <c r="K83" s="1632"/>
      <c r="L83" s="1632"/>
      <c r="M83" s="1632"/>
      <c r="N83" s="1632"/>
      <c r="O83" s="1632"/>
      <c r="P83" s="1632"/>
      <c r="Q83" s="1632"/>
      <c r="R83" s="1632"/>
      <c r="S83" s="233"/>
    </row>
    <row r="84" spans="1:19" ht="11.25" customHeight="1">
      <c r="A84" s="1620"/>
      <c r="B84" s="1621"/>
      <c r="C84" s="1632"/>
      <c r="D84" s="1632"/>
      <c r="E84" s="1632"/>
      <c r="F84" s="1632"/>
      <c r="G84" s="1632"/>
      <c r="H84" s="1632"/>
      <c r="I84" s="1632"/>
      <c r="J84" s="1632"/>
      <c r="K84" s="1632"/>
      <c r="L84" s="1632"/>
      <c r="M84" s="1632"/>
      <c r="N84" s="1632"/>
      <c r="O84" s="1632"/>
      <c r="P84" s="1632"/>
      <c r="Q84" s="1632"/>
      <c r="R84" s="1632"/>
      <c r="S84" s="233"/>
    </row>
    <row r="85" spans="1:19" ht="11.25" customHeight="1">
      <c r="A85" s="1620"/>
      <c r="B85" s="1621"/>
      <c r="C85" s="1632"/>
      <c r="D85" s="1632"/>
      <c r="E85" s="1632"/>
      <c r="F85" s="1632"/>
      <c r="G85" s="1632"/>
      <c r="H85" s="1632"/>
      <c r="I85" s="1632"/>
      <c r="J85" s="1632"/>
      <c r="K85" s="1632"/>
      <c r="L85" s="1632"/>
      <c r="M85" s="1632"/>
      <c r="N85" s="1632"/>
      <c r="O85" s="1632"/>
      <c r="P85" s="1632"/>
      <c r="Q85" s="1632"/>
      <c r="R85" s="1632"/>
      <c r="S85" s="233"/>
    </row>
    <row r="86" spans="1:19" ht="11.25" customHeight="1">
      <c r="A86" s="1620"/>
      <c r="B86" s="1621"/>
      <c r="C86" s="1632"/>
      <c r="D86" s="1632"/>
      <c r="E86" s="1632"/>
      <c r="F86" s="1632"/>
      <c r="G86" s="1632"/>
      <c r="H86" s="1632"/>
      <c r="I86" s="1632"/>
      <c r="J86" s="1632"/>
      <c r="K86" s="1632"/>
      <c r="L86" s="1632"/>
      <c r="M86" s="1632"/>
      <c r="N86" s="1632"/>
      <c r="O86" s="1632"/>
      <c r="P86" s="1632"/>
      <c r="Q86" s="1632"/>
      <c r="R86" s="1632"/>
      <c r="S86" s="233"/>
    </row>
    <row r="87" spans="1:19" ht="11.25" customHeight="1">
      <c r="A87" s="1620"/>
      <c r="B87" s="1624"/>
      <c r="C87" s="1632"/>
      <c r="D87" s="1632"/>
      <c r="E87" s="1632"/>
      <c r="F87" s="1632"/>
      <c r="G87" s="1632"/>
      <c r="H87" s="1632"/>
      <c r="I87" s="1632"/>
      <c r="J87" s="1632"/>
      <c r="K87" s="1632"/>
      <c r="L87" s="1632"/>
      <c r="M87" s="1632"/>
      <c r="N87" s="1632"/>
      <c r="O87" s="1632"/>
      <c r="P87" s="1632"/>
      <c r="Q87" s="1632"/>
      <c r="R87" s="1632"/>
      <c r="S87" s="233"/>
    </row>
    <row r="88" spans="1:19" ht="11.25" customHeight="1">
      <c r="A88" s="1625"/>
      <c r="B88" s="1621"/>
      <c r="C88" s="1622"/>
      <c r="D88" s="1622"/>
      <c r="E88" s="1622"/>
      <c r="F88" s="1622"/>
      <c r="G88" s="1622"/>
      <c r="H88" s="1622"/>
      <c r="I88" s="1622"/>
      <c r="J88" s="1622"/>
      <c r="K88" s="1622"/>
      <c r="L88" s="1622"/>
      <c r="M88" s="1622"/>
      <c r="N88" s="1622"/>
      <c r="O88" s="1622"/>
      <c r="P88" s="1622"/>
      <c r="Q88" s="1622"/>
      <c r="R88" s="1622"/>
      <c r="S88" s="233"/>
    </row>
    <row r="89" spans="1:19" ht="11.25" customHeight="1">
      <c r="A89" s="1620"/>
      <c r="B89" s="1621"/>
      <c r="C89" s="1633"/>
      <c r="D89" s="1633"/>
      <c r="E89" s="1633"/>
      <c r="F89" s="1633"/>
      <c r="G89" s="1633"/>
      <c r="H89" s="1633"/>
      <c r="I89" s="1633"/>
      <c r="J89" s="1633"/>
      <c r="K89" s="1633"/>
      <c r="L89" s="1633"/>
      <c r="M89" s="1633"/>
      <c r="N89" s="1633"/>
      <c r="O89" s="1633"/>
      <c r="P89" s="1633"/>
      <c r="Q89" s="1633"/>
      <c r="R89" s="1633"/>
      <c r="S89" s="233"/>
    </row>
    <row r="90" spans="1:19" ht="11.25" customHeight="1">
      <c r="A90" s="1620"/>
      <c r="B90" s="1621"/>
      <c r="C90" s="1633"/>
      <c r="D90" s="1633"/>
      <c r="E90" s="1633"/>
      <c r="F90" s="1633"/>
      <c r="G90" s="1633"/>
      <c r="H90" s="1633"/>
      <c r="I90" s="1633"/>
      <c r="J90" s="1633"/>
      <c r="K90" s="1633"/>
      <c r="L90" s="1633"/>
      <c r="M90" s="1633"/>
      <c r="N90" s="1633"/>
      <c r="O90" s="1633"/>
      <c r="P90" s="1633"/>
      <c r="Q90" s="1633"/>
      <c r="R90" s="1633"/>
      <c r="S90" s="233"/>
    </row>
    <row r="91" spans="1:19" ht="11.25" customHeight="1">
      <c r="A91" s="1620"/>
      <c r="B91" s="1621"/>
      <c r="C91" s="1633"/>
      <c r="D91" s="1633"/>
      <c r="E91" s="1633"/>
      <c r="F91" s="1633"/>
      <c r="G91" s="1633"/>
      <c r="H91" s="1633"/>
      <c r="I91" s="1633"/>
      <c r="J91" s="1633"/>
      <c r="K91" s="1633"/>
      <c r="L91" s="1633"/>
      <c r="M91" s="1633"/>
      <c r="N91" s="1633"/>
      <c r="O91" s="1633"/>
      <c r="P91" s="1633"/>
      <c r="Q91" s="1633"/>
      <c r="R91" s="1633"/>
      <c r="S91" s="233"/>
    </row>
    <row r="92" spans="1:19" ht="11.25" customHeight="1">
      <c r="A92" s="1620"/>
      <c r="B92" s="1634"/>
      <c r="C92" s="1635"/>
      <c r="D92" s="1635"/>
      <c r="E92" s="1635"/>
      <c r="F92" s="1635"/>
      <c r="G92" s="1635"/>
      <c r="H92" s="1635"/>
      <c r="I92" s="1635"/>
      <c r="J92" s="1635"/>
      <c r="K92" s="1635"/>
      <c r="L92" s="1635"/>
      <c r="M92" s="1635"/>
      <c r="N92" s="1635"/>
      <c r="O92" s="1635"/>
      <c r="P92" s="1635"/>
      <c r="Q92" s="1635"/>
      <c r="R92" s="1635"/>
      <c r="S92" s="233"/>
    </row>
    <row r="93" spans="1:19" ht="11.25" customHeight="1">
      <c r="A93" s="1627"/>
      <c r="B93" s="1634"/>
      <c r="C93" s="1623"/>
      <c r="D93" s="1623"/>
      <c r="E93" s="1623"/>
      <c r="F93" s="1623"/>
      <c r="G93" s="1623"/>
      <c r="H93" s="1623"/>
      <c r="I93" s="1623"/>
      <c r="J93" s="1623"/>
      <c r="K93" s="1623"/>
      <c r="L93" s="1623"/>
      <c r="M93" s="1623"/>
      <c r="N93" s="1623"/>
      <c r="O93" s="1623"/>
      <c r="P93" s="1623"/>
      <c r="Q93" s="1623"/>
      <c r="R93" s="1623"/>
      <c r="S93" s="233"/>
    </row>
    <row r="94" spans="1:19" ht="11.25" customHeight="1">
      <c r="A94" s="1620"/>
      <c r="B94" s="1624"/>
      <c r="C94" s="1636"/>
      <c r="D94" s="1636"/>
      <c r="E94" s="1636"/>
      <c r="F94" s="1636"/>
      <c r="G94" s="1636"/>
      <c r="H94" s="1636"/>
      <c r="I94" s="1636"/>
      <c r="J94" s="1636"/>
      <c r="K94" s="1636"/>
      <c r="L94" s="1636"/>
      <c r="M94" s="1636"/>
      <c r="N94" s="1636"/>
      <c r="O94" s="1636"/>
      <c r="P94" s="1636"/>
      <c r="Q94" s="1636"/>
      <c r="R94" s="1636"/>
      <c r="S94" s="233"/>
    </row>
    <row r="95" spans="1:19" ht="11.25" customHeight="1">
      <c r="A95" s="1620"/>
      <c r="B95" s="1624"/>
      <c r="C95" s="1158"/>
      <c r="D95" s="1158"/>
      <c r="E95" s="1158"/>
      <c r="F95" s="1158"/>
      <c r="G95" s="1158"/>
      <c r="H95" s="1158"/>
      <c r="I95" s="1158"/>
      <c r="J95" s="1158"/>
      <c r="K95" s="1158"/>
      <c r="L95" s="1158"/>
      <c r="M95" s="1158"/>
      <c r="N95" s="1158"/>
      <c r="O95" s="1158"/>
      <c r="P95" s="1158"/>
      <c r="Q95" s="1158"/>
      <c r="R95" s="1158"/>
      <c r="S95" s="233"/>
    </row>
    <row r="96" spans="1:19" ht="11.25" customHeight="1">
      <c r="A96" s="1620"/>
      <c r="B96" s="1624"/>
      <c r="C96" s="1158"/>
      <c r="D96" s="1158"/>
      <c r="E96" s="1158"/>
      <c r="F96" s="1158"/>
      <c r="G96" s="1158"/>
      <c r="H96" s="1158"/>
      <c r="I96" s="1158"/>
      <c r="J96" s="1158"/>
      <c r="K96" s="1158"/>
      <c r="L96" s="1158"/>
      <c r="M96" s="1158"/>
      <c r="N96" s="1158"/>
      <c r="O96" s="1158"/>
      <c r="P96" s="1158"/>
      <c r="Q96" s="1158"/>
      <c r="R96" s="1158"/>
      <c r="S96" s="233"/>
    </row>
    <row r="97" spans="1:19" ht="11.25" customHeight="1">
      <c r="A97" s="1620"/>
      <c r="B97" s="1624"/>
      <c r="C97" s="1637"/>
      <c r="D97" s="1637"/>
      <c r="E97" s="1637"/>
      <c r="F97" s="1637"/>
      <c r="G97" s="1637"/>
      <c r="H97" s="1637"/>
      <c r="I97" s="1637"/>
      <c r="J97" s="1637"/>
      <c r="K97" s="1637"/>
      <c r="L97" s="1637"/>
      <c r="M97" s="1637"/>
      <c r="N97" s="1637"/>
      <c r="O97" s="1637"/>
      <c r="P97" s="1637"/>
      <c r="Q97" s="1637"/>
      <c r="R97" s="1637"/>
      <c r="S97" s="233"/>
    </row>
    <row r="98" spans="1:19" ht="11.25" customHeight="1">
      <c r="A98" s="1620"/>
      <c r="B98" s="1624"/>
      <c r="C98" s="1638"/>
      <c r="D98" s="1638"/>
      <c r="E98" s="1638"/>
      <c r="F98" s="1638"/>
      <c r="G98" s="1638"/>
      <c r="H98" s="1638"/>
      <c r="I98" s="1638"/>
      <c r="J98" s="1638"/>
      <c r="K98" s="1638"/>
      <c r="L98" s="1638"/>
      <c r="M98" s="1638"/>
      <c r="N98" s="1638"/>
      <c r="O98" s="1638"/>
      <c r="P98" s="1638"/>
      <c r="Q98" s="1638"/>
      <c r="R98" s="1638"/>
      <c r="S98" s="233"/>
    </row>
    <row r="99" spans="1:19" ht="11.25" customHeight="1">
      <c r="A99" s="1620"/>
      <c r="B99" s="1624"/>
      <c r="C99" s="1638"/>
      <c r="D99" s="1638"/>
      <c r="E99" s="1638"/>
      <c r="F99" s="1638"/>
      <c r="G99" s="1638"/>
      <c r="H99" s="1638"/>
      <c r="I99" s="1638"/>
      <c r="J99" s="1638"/>
      <c r="K99" s="1638"/>
      <c r="L99" s="1638"/>
      <c r="M99" s="1638"/>
      <c r="N99" s="1638"/>
      <c r="O99" s="1638"/>
      <c r="P99" s="1638"/>
      <c r="Q99" s="1638"/>
      <c r="R99" s="1638"/>
      <c r="S99" s="233"/>
    </row>
    <row r="100" spans="1:19" ht="11.25" customHeight="1">
      <c r="A100" s="1620"/>
      <c r="B100" s="1624"/>
      <c r="C100" s="1638"/>
      <c r="D100" s="1638"/>
      <c r="E100" s="1638"/>
      <c r="F100" s="1638"/>
      <c r="G100" s="1638"/>
      <c r="H100" s="1638"/>
      <c r="I100" s="1638"/>
      <c r="J100" s="1638"/>
      <c r="K100" s="1638"/>
      <c r="L100" s="1638"/>
      <c r="M100" s="1638"/>
      <c r="N100" s="1638"/>
      <c r="O100" s="1638"/>
      <c r="P100" s="1638"/>
      <c r="Q100" s="1638"/>
      <c r="R100" s="1638"/>
      <c r="S100" s="233"/>
    </row>
    <row r="101" spans="1:19" ht="11.25" customHeight="1">
      <c r="A101" s="1620"/>
      <c r="B101" s="1624"/>
      <c r="C101" s="1638"/>
      <c r="D101" s="1638"/>
      <c r="E101" s="1638"/>
      <c r="F101" s="1638"/>
      <c r="G101" s="1638"/>
      <c r="H101" s="1638"/>
      <c r="I101" s="1638"/>
      <c r="J101" s="1638"/>
      <c r="K101" s="1638"/>
      <c r="L101" s="1638"/>
      <c r="M101" s="1638"/>
      <c r="N101" s="1638"/>
      <c r="O101" s="1638"/>
      <c r="P101" s="1638"/>
      <c r="Q101" s="1638"/>
      <c r="R101" s="1638"/>
      <c r="S101" s="233"/>
    </row>
    <row r="102" spans="1:19" ht="11.25" customHeight="1">
      <c r="A102" s="1620"/>
      <c r="B102" s="1624"/>
      <c r="C102" s="1638"/>
      <c r="D102" s="1638"/>
      <c r="E102" s="1638"/>
      <c r="F102" s="1638"/>
      <c r="G102" s="1638"/>
      <c r="H102" s="1638"/>
      <c r="I102" s="1638"/>
      <c r="J102" s="1638"/>
      <c r="K102" s="1638"/>
      <c r="L102" s="1638"/>
      <c r="M102" s="1638"/>
      <c r="N102" s="1638"/>
      <c r="O102" s="1638"/>
      <c r="P102" s="1638"/>
      <c r="Q102" s="1638"/>
      <c r="R102" s="1638"/>
      <c r="S102" s="233"/>
    </row>
    <row r="103" spans="1:19" ht="11.25" customHeight="1">
      <c r="A103" s="1620"/>
      <c r="B103" s="1624"/>
      <c r="C103" s="1638"/>
      <c r="D103" s="1638"/>
      <c r="E103" s="1638"/>
      <c r="F103" s="1638"/>
      <c r="G103" s="1638"/>
      <c r="H103" s="1638"/>
      <c r="I103" s="1638"/>
      <c r="J103" s="1638"/>
      <c r="K103" s="1638"/>
      <c r="L103" s="1638"/>
      <c r="M103" s="1638"/>
      <c r="N103" s="1638"/>
      <c r="O103" s="1638"/>
      <c r="P103" s="1638"/>
      <c r="Q103" s="1638"/>
      <c r="R103" s="1638"/>
      <c r="S103" s="233"/>
    </row>
    <row r="104" spans="1:19" ht="11.25" customHeight="1">
      <c r="A104" s="1625"/>
      <c r="B104" s="1624"/>
      <c r="C104" s="136"/>
      <c r="D104" s="136"/>
      <c r="E104" s="136"/>
      <c r="F104" s="136"/>
      <c r="G104" s="136"/>
      <c r="H104" s="136"/>
      <c r="I104" s="136"/>
      <c r="J104" s="136"/>
      <c r="K104" s="136"/>
      <c r="L104" s="136"/>
      <c r="M104" s="136"/>
      <c r="N104" s="136"/>
      <c r="O104" s="136"/>
      <c r="P104" s="136"/>
      <c r="Q104" s="136"/>
      <c r="R104" s="136"/>
      <c r="S104" s="233"/>
    </row>
    <row r="105" spans="1:19" ht="4.9000000000000004" customHeight="1">
      <c r="A105" s="1626"/>
      <c r="B105" s="1621"/>
      <c r="C105" s="236"/>
      <c r="D105" s="236"/>
      <c r="E105" s="236"/>
      <c r="F105" s="236"/>
      <c r="G105" s="236"/>
      <c r="H105" s="236"/>
      <c r="I105" s="236"/>
      <c r="J105" s="236"/>
      <c r="K105" s="236"/>
      <c r="L105" s="236"/>
      <c r="M105" s="236"/>
      <c r="N105" s="236"/>
      <c r="O105" s="236"/>
      <c r="P105" s="236"/>
      <c r="Q105" s="236"/>
      <c r="R105" s="236"/>
      <c r="S105" s="233"/>
    </row>
    <row r="106" spans="1:19" s="576" customFormat="1">
      <c r="A106" s="1639"/>
      <c r="B106" s="1630"/>
      <c r="C106" s="876"/>
      <c r="D106" s="876"/>
      <c r="E106" s="876"/>
      <c r="F106" s="876"/>
      <c r="G106" s="876"/>
      <c r="H106" s="876"/>
      <c r="I106" s="876"/>
      <c r="J106" s="876"/>
      <c r="K106" s="876"/>
      <c r="L106" s="876"/>
      <c r="M106" s="876"/>
      <c r="N106" s="876"/>
      <c r="O106" s="876"/>
      <c r="P106" s="876"/>
      <c r="Q106" s="876"/>
      <c r="R106" s="876"/>
      <c r="S106" s="899"/>
    </row>
    <row r="107" spans="1:19" s="576" customFormat="1">
      <c r="A107" s="1640"/>
      <c r="B107" s="1630"/>
      <c r="C107" s="876"/>
      <c r="D107" s="876"/>
      <c r="E107" s="876"/>
      <c r="F107" s="876"/>
      <c r="G107" s="876"/>
      <c r="H107" s="876"/>
      <c r="I107" s="876"/>
      <c r="J107" s="876"/>
      <c r="K107" s="876"/>
      <c r="L107" s="876"/>
      <c r="M107" s="876"/>
      <c r="N107" s="876"/>
      <c r="O107" s="876"/>
      <c r="P107" s="876"/>
      <c r="Q107" s="876"/>
      <c r="R107" s="876"/>
      <c r="S107" s="899"/>
    </row>
    <row r="108" spans="1:19" s="576" customFormat="1">
      <c r="A108" s="1640"/>
      <c r="B108" s="1630"/>
      <c r="C108" s="876"/>
      <c r="D108" s="876"/>
      <c r="E108" s="876"/>
      <c r="F108" s="876"/>
      <c r="G108" s="876"/>
      <c r="H108" s="876"/>
      <c r="I108" s="876"/>
      <c r="J108" s="876"/>
      <c r="K108" s="876"/>
      <c r="L108" s="876"/>
      <c r="M108" s="876"/>
      <c r="N108" s="876"/>
      <c r="O108" s="876"/>
      <c r="P108" s="876"/>
      <c r="Q108" s="876"/>
      <c r="R108" s="876"/>
      <c r="S108" s="899"/>
    </row>
    <row r="109" spans="1:19" s="576" customFormat="1">
      <c r="A109" s="1325"/>
      <c r="B109" s="1630"/>
      <c r="C109" s="876"/>
      <c r="D109" s="876"/>
      <c r="E109" s="876"/>
      <c r="F109" s="876"/>
      <c r="G109" s="876"/>
      <c r="H109" s="876"/>
      <c r="I109" s="876"/>
      <c r="J109" s="876"/>
      <c r="K109" s="876"/>
      <c r="L109" s="876"/>
      <c r="M109" s="876"/>
      <c r="N109" s="876"/>
      <c r="O109" s="876"/>
      <c r="P109" s="876"/>
      <c r="Q109" s="876"/>
      <c r="R109" s="876"/>
      <c r="S109" s="899"/>
    </row>
    <row r="110" spans="1:19" s="576" customFormat="1">
      <c r="A110" s="1640"/>
      <c r="B110" s="1630"/>
      <c r="C110" s="876"/>
      <c r="D110" s="876"/>
      <c r="E110" s="876"/>
      <c r="F110" s="876"/>
      <c r="G110" s="876"/>
      <c r="H110" s="876"/>
      <c r="I110" s="876"/>
      <c r="J110" s="876"/>
      <c r="K110" s="876"/>
      <c r="L110" s="876"/>
      <c r="M110" s="876"/>
      <c r="N110" s="876"/>
      <c r="O110" s="876"/>
      <c r="P110" s="876"/>
      <c r="Q110" s="876"/>
      <c r="R110" s="876"/>
      <c r="S110" s="899"/>
    </row>
    <row r="111" spans="1:19">
      <c r="A111" s="990"/>
      <c r="B111" s="1621"/>
      <c r="C111" s="114"/>
      <c r="D111" s="114"/>
      <c r="E111" s="114"/>
      <c r="F111" s="114"/>
      <c r="G111" s="115"/>
      <c r="H111" s="115"/>
      <c r="I111" s="115"/>
      <c r="J111" s="115"/>
      <c r="K111" s="115"/>
      <c r="L111" s="115"/>
      <c r="M111" s="115"/>
      <c r="N111" s="115"/>
      <c r="O111" s="115"/>
      <c r="P111" s="115"/>
      <c r="Q111" s="115"/>
      <c r="R111" s="115"/>
      <c r="S111" s="233"/>
    </row>
    <row r="112" spans="1:19">
      <c r="A112" s="990"/>
      <c r="B112" s="1621"/>
      <c r="C112" s="114"/>
      <c r="D112" s="114"/>
      <c r="E112" s="114"/>
      <c r="F112" s="114"/>
      <c r="G112" s="115"/>
      <c r="H112" s="115"/>
      <c r="I112" s="115"/>
      <c r="J112" s="115"/>
      <c r="K112" s="115"/>
      <c r="L112" s="115"/>
      <c r="M112" s="115"/>
      <c r="N112" s="115"/>
      <c r="O112" s="115"/>
      <c r="P112" s="115"/>
      <c r="Q112" s="115"/>
      <c r="R112" s="115"/>
      <c r="S112" s="233"/>
    </row>
    <row r="113" spans="1:19" ht="11.25" customHeight="1">
      <c r="A113" s="233"/>
      <c r="B113" s="1621"/>
      <c r="C113" s="233"/>
      <c r="D113" s="233"/>
      <c r="E113" s="233"/>
      <c r="F113" s="233"/>
      <c r="G113" s="233"/>
      <c r="H113" s="233"/>
      <c r="I113" s="233"/>
      <c r="J113" s="233"/>
      <c r="K113" s="233"/>
      <c r="L113" s="233"/>
      <c r="M113" s="233"/>
      <c r="N113" s="233"/>
      <c r="O113" s="233"/>
      <c r="P113" s="233"/>
      <c r="Q113" s="233"/>
      <c r="R113" s="233"/>
      <c r="S113" s="233"/>
    </row>
    <row r="114" spans="1:19" ht="11.25" customHeight="1">
      <c r="A114" s="233"/>
      <c r="B114" s="1626"/>
      <c r="C114" s="233"/>
      <c r="D114" s="233"/>
      <c r="E114" s="233"/>
      <c r="F114" s="233"/>
      <c r="G114" s="233"/>
      <c r="H114" s="233"/>
      <c r="I114" s="233"/>
      <c r="J114" s="233"/>
      <c r="K114" s="233"/>
      <c r="L114" s="233"/>
      <c r="M114" s="233"/>
      <c r="N114" s="233"/>
      <c r="O114" s="233"/>
      <c r="P114" s="233"/>
      <c r="Q114" s="233"/>
      <c r="R114" s="233"/>
      <c r="S114" s="233"/>
    </row>
    <row r="115" spans="1:19" ht="11.25" customHeight="1">
      <c r="A115" s="123"/>
      <c r="B115" s="520"/>
      <c r="C115" s="123"/>
      <c r="D115" s="123"/>
      <c r="E115" s="123"/>
      <c r="F115" s="123"/>
      <c r="G115" s="123"/>
      <c r="H115" s="123"/>
      <c r="I115" s="123"/>
    </row>
    <row r="116" spans="1:19" ht="11.25" customHeight="1">
      <c r="A116" s="123"/>
      <c r="B116" s="520"/>
      <c r="C116" s="123"/>
      <c r="D116" s="123"/>
      <c r="E116" s="123"/>
      <c r="F116" s="123"/>
      <c r="G116" s="123"/>
      <c r="H116" s="123"/>
      <c r="I116" s="123"/>
    </row>
    <row r="117" spans="1:19" ht="11.25" customHeight="1">
      <c r="A117" s="123"/>
      <c r="B117" s="519"/>
      <c r="C117" s="123"/>
      <c r="D117" s="123"/>
      <c r="E117" s="123"/>
      <c r="F117" s="123"/>
      <c r="G117" s="123"/>
      <c r="H117" s="123"/>
      <c r="I117" s="123"/>
    </row>
    <row r="118" spans="1:19" ht="11.25" customHeight="1"/>
    <row r="119" spans="1:19" ht="11.25" customHeight="1"/>
    <row r="120" spans="1:19" ht="11.25" customHeight="1"/>
    <row r="121" spans="1:19" ht="11.25" customHeight="1"/>
    <row r="122" spans="1:19" ht="11.25" customHeight="1"/>
    <row r="123" spans="1:19" ht="11.25" customHeight="1"/>
    <row r="124" spans="1:19" ht="11.25" customHeight="1"/>
    <row r="125" spans="1:19" ht="11.25" customHeight="1"/>
    <row r="126" spans="1:19" ht="11.25" customHeight="1"/>
    <row r="127" spans="1:19" ht="11.25" customHeight="1"/>
    <row r="128" spans="1:19"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35433070866141736" right="0" top="0.59055118110236227" bottom="0.39370078740157483" header="0.51181102362204722" footer="0.39370078740157483"/>
  <pageSetup paperSize="8" fitToHeight="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66"/>
  <sheetViews>
    <sheetView showGridLines="0" topLeftCell="A58" zoomScaleNormal="100" workbookViewId="0">
      <selection activeCell="D85" sqref="D85"/>
    </sheetView>
  </sheetViews>
  <sheetFormatPr defaultColWidth="9.140625" defaultRowHeight="12.75"/>
  <cols>
    <col min="1" max="1" width="31.42578125" style="233" customWidth="1"/>
    <col min="2" max="2" width="3.7109375" style="1621"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c r="A1" s="1824" t="str">
        <f>muni&amp;" - "&amp;TableA13a</f>
        <v>LIM333 Greater Tzaneen - Supporting Table SA13a Service Tariffs by category</v>
      </c>
      <c r="B1" s="954"/>
      <c r="C1" s="954"/>
      <c r="D1" s="954"/>
      <c r="E1" s="954"/>
      <c r="F1" s="954"/>
      <c r="G1" s="954"/>
      <c r="H1" s="954"/>
      <c r="I1" s="954"/>
      <c r="J1" s="954"/>
      <c r="K1" s="796"/>
      <c r="L1" s="796"/>
      <c r="M1" s="796"/>
      <c r="N1" s="796"/>
      <c r="O1" s="796"/>
      <c r="P1" s="796"/>
      <c r="Q1" s="796"/>
      <c r="R1" s="796"/>
    </row>
    <row r="2" spans="1:18" ht="25.15" customHeight="1">
      <c r="A2" s="2909" t="str">
        <f>desc</f>
        <v>Description</v>
      </c>
      <c r="B2" s="2871" t="str">
        <f>head27</f>
        <v>Ref</v>
      </c>
      <c r="C2" s="2912" t="s">
        <v>1835</v>
      </c>
      <c r="D2" s="2912" t="str">
        <f>head1b</f>
        <v>2016/17</v>
      </c>
      <c r="E2" s="2912" t="str">
        <f>head1A</f>
        <v>2017/18</v>
      </c>
      <c r="F2" s="2914" t="str">
        <f>Head1</f>
        <v>2018/19</v>
      </c>
      <c r="G2" s="2907" t="str">
        <f>Head2</f>
        <v>Current Year 2019/20</v>
      </c>
      <c r="H2" s="1825" t="str">
        <f>Head3</f>
        <v>2020/21 Medium Term Revenue &amp; Expenditure Framework</v>
      </c>
      <c r="I2" s="1826"/>
      <c r="J2" s="1827"/>
      <c r="K2" s="1619"/>
      <c r="L2" s="1619"/>
      <c r="M2" s="1619"/>
      <c r="N2" s="1619"/>
      <c r="O2" s="1619"/>
      <c r="P2" s="1619"/>
      <c r="Q2" s="1619"/>
      <c r="R2" s="1619"/>
    </row>
    <row r="3" spans="1:18" ht="25.15" customHeight="1">
      <c r="A3" s="2910"/>
      <c r="B3" s="2911"/>
      <c r="C3" s="2913"/>
      <c r="D3" s="2913"/>
      <c r="E3" s="2913"/>
      <c r="F3" s="2915"/>
      <c r="G3" s="2908"/>
      <c r="H3" s="1695" t="str">
        <f>Head9</f>
        <v>Budget Year 2020/21</v>
      </c>
      <c r="I3" s="1828" t="str">
        <f>Head10</f>
        <v>Budget Year +1 2021/22</v>
      </c>
      <c r="J3" s="1694" t="str">
        <f>Head11</f>
        <v>Budget Year +2 2022/23</v>
      </c>
      <c r="K3" s="115"/>
      <c r="L3" s="115"/>
      <c r="M3" s="115"/>
      <c r="N3" s="115"/>
      <c r="O3" s="115"/>
      <c r="P3" s="115"/>
      <c r="Q3" s="115"/>
      <c r="R3" s="115"/>
    </row>
    <row r="4" spans="1:18" ht="12.75" customHeight="1">
      <c r="A4" s="1829" t="s">
        <v>1836</v>
      </c>
      <c r="B4" s="1830">
        <v>1</v>
      </c>
      <c r="C4" s="1830"/>
      <c r="D4" s="1831"/>
      <c r="E4" s="1831"/>
      <c r="F4" s="1832"/>
      <c r="G4" s="1833"/>
      <c r="H4" s="1833"/>
      <c r="I4" s="1831"/>
      <c r="J4" s="1832"/>
      <c r="K4" s="115"/>
      <c r="L4" s="115"/>
      <c r="M4" s="115"/>
      <c r="N4" s="115"/>
      <c r="O4" s="115"/>
      <c r="P4" s="115"/>
      <c r="Q4" s="115"/>
      <c r="R4" s="115"/>
    </row>
    <row r="5" spans="1:18" ht="12.75" customHeight="1">
      <c r="A5" s="1834" t="s">
        <v>1837</v>
      </c>
      <c r="B5" s="1835"/>
      <c r="C5" s="2248" t="s">
        <v>4055</v>
      </c>
      <c r="D5" s="2249">
        <v>1.2504</v>
      </c>
      <c r="E5" s="2249">
        <v>1.2504</v>
      </c>
      <c r="F5" s="2250">
        <v>1.2516</v>
      </c>
      <c r="G5" s="2251">
        <v>1.3217000000000001</v>
      </c>
      <c r="H5" s="2251">
        <v>1.3812</v>
      </c>
      <c r="I5" s="2249">
        <v>1.4512</v>
      </c>
      <c r="J5" s="2250">
        <v>1.5212000000000001</v>
      </c>
      <c r="K5" s="1498"/>
      <c r="L5" s="1498"/>
      <c r="M5" s="1498"/>
      <c r="N5" s="1498"/>
      <c r="O5" s="1498"/>
      <c r="P5" s="1498"/>
      <c r="Q5" s="1498"/>
      <c r="R5" s="1498"/>
    </row>
    <row r="6" spans="1:18" ht="12.75" customHeight="1">
      <c r="A6" s="1834" t="s">
        <v>1838</v>
      </c>
      <c r="B6" s="1835"/>
      <c r="C6" s="2248" t="s">
        <v>4055</v>
      </c>
      <c r="D6" s="2249">
        <v>1.2504</v>
      </c>
      <c r="E6" s="2249">
        <v>1.2504</v>
      </c>
      <c r="F6" s="2250">
        <v>1.2516</v>
      </c>
      <c r="G6" s="2251">
        <v>1.3217000000000001</v>
      </c>
      <c r="H6" s="2251">
        <v>1.3812</v>
      </c>
      <c r="I6" s="2249">
        <v>1.4512</v>
      </c>
      <c r="J6" s="2250">
        <v>1.5212000000000001</v>
      </c>
      <c r="K6" s="1498"/>
      <c r="L6" s="1498"/>
      <c r="M6" s="1498"/>
      <c r="N6" s="1498"/>
      <c r="O6" s="1498"/>
      <c r="P6" s="1498"/>
      <c r="Q6" s="1498"/>
      <c r="R6" s="1498"/>
    </row>
    <row r="7" spans="1:18" ht="12.75" customHeight="1">
      <c r="A7" s="1834" t="s">
        <v>1839</v>
      </c>
      <c r="B7" s="1835"/>
      <c r="C7" s="2248" t="s">
        <v>4055</v>
      </c>
      <c r="D7" s="2249">
        <v>0</v>
      </c>
      <c r="E7" s="2249">
        <v>0</v>
      </c>
      <c r="F7" s="2250"/>
      <c r="G7" s="2251"/>
      <c r="H7" s="2251"/>
      <c r="I7" s="2249"/>
      <c r="J7" s="2250"/>
      <c r="K7" s="1498"/>
      <c r="L7" s="1498"/>
      <c r="M7" s="1498"/>
      <c r="N7" s="1498"/>
      <c r="O7" s="1498"/>
      <c r="P7" s="1498"/>
      <c r="Q7" s="1498"/>
      <c r="R7" s="1498"/>
    </row>
    <row r="8" spans="1:18" ht="12.75" customHeight="1">
      <c r="A8" s="1834" t="s">
        <v>1840</v>
      </c>
      <c r="B8" s="1835"/>
      <c r="C8" s="2248" t="s">
        <v>4055</v>
      </c>
      <c r="D8" s="2249">
        <v>0.3125</v>
      </c>
      <c r="E8" s="2249">
        <v>0.3125</v>
      </c>
      <c r="F8" s="2250">
        <v>0.31280000000000002</v>
      </c>
      <c r="G8" s="2251">
        <v>0.20549999999999999</v>
      </c>
      <c r="H8" s="2251">
        <v>0.2258</v>
      </c>
      <c r="I8" s="2249">
        <v>0.23580000000000001</v>
      </c>
      <c r="J8" s="2250">
        <v>0.24579999999999999</v>
      </c>
      <c r="K8" s="1498"/>
      <c r="L8" s="1498"/>
      <c r="M8" s="1498"/>
      <c r="N8" s="1498"/>
      <c r="O8" s="1498"/>
      <c r="P8" s="1498"/>
      <c r="Q8" s="1498"/>
      <c r="R8" s="1498"/>
    </row>
    <row r="9" spans="1:18" ht="12.75" customHeight="1">
      <c r="A9" s="1834" t="s">
        <v>1841</v>
      </c>
      <c r="B9" s="1835"/>
      <c r="C9" s="2248" t="s">
        <v>4055</v>
      </c>
      <c r="D9" s="2249">
        <v>0.3125</v>
      </c>
      <c r="E9" s="2249">
        <v>0.3125</v>
      </c>
      <c r="F9" s="2250">
        <v>0.31280000000000002</v>
      </c>
      <c r="G9" s="2251">
        <v>0.20549999999999999</v>
      </c>
      <c r="H9" s="2251">
        <v>0.2258</v>
      </c>
      <c r="I9" s="2249">
        <v>0.23580000000000001</v>
      </c>
      <c r="J9" s="2250">
        <v>0.24579999999999999</v>
      </c>
      <c r="K9" s="1498"/>
      <c r="L9" s="1498"/>
      <c r="M9" s="1498"/>
      <c r="N9" s="1498"/>
      <c r="O9" s="1498"/>
      <c r="P9" s="1498"/>
      <c r="Q9" s="1498"/>
      <c r="R9" s="1498"/>
    </row>
    <row r="10" spans="1:18" ht="12.75" customHeight="1">
      <c r="A10" s="1834" t="s">
        <v>1842</v>
      </c>
      <c r="B10" s="1835"/>
      <c r="C10" s="2248" t="s">
        <v>4055</v>
      </c>
      <c r="D10" s="2249">
        <v>0.3125</v>
      </c>
      <c r="E10" s="2249">
        <v>0.3125</v>
      </c>
      <c r="F10" s="2250">
        <v>0.31280000000000002</v>
      </c>
      <c r="G10" s="2251">
        <v>0.20549999999999999</v>
      </c>
      <c r="H10" s="2251">
        <v>0.2258</v>
      </c>
      <c r="I10" s="2249">
        <v>0.23580000000000001</v>
      </c>
      <c r="J10" s="2250">
        <v>0.24579999999999999</v>
      </c>
      <c r="K10" s="1498"/>
      <c r="L10" s="1498"/>
      <c r="M10" s="1498"/>
      <c r="N10" s="1498"/>
      <c r="O10" s="1498"/>
      <c r="P10" s="1498"/>
      <c r="Q10" s="1498"/>
      <c r="R10" s="1498"/>
    </row>
    <row r="11" spans="1:18" ht="12.75" customHeight="1">
      <c r="A11" s="1834" t="s">
        <v>1843</v>
      </c>
      <c r="B11" s="1835"/>
      <c r="C11" s="2248" t="s">
        <v>4055</v>
      </c>
      <c r="D11" s="2249">
        <v>1.2504</v>
      </c>
      <c r="E11" s="2249">
        <v>1.2504</v>
      </c>
      <c r="F11" s="2250">
        <v>1.2516</v>
      </c>
      <c r="G11" s="2251">
        <v>1.3217000000000001</v>
      </c>
      <c r="H11" s="2251">
        <v>1.3812</v>
      </c>
      <c r="I11" s="2249">
        <v>1.4512</v>
      </c>
      <c r="J11" s="2250">
        <v>1.5212000000000001</v>
      </c>
      <c r="K11" s="1498"/>
      <c r="L11" s="1498"/>
      <c r="M11" s="1498"/>
      <c r="N11" s="1498"/>
      <c r="O11" s="1498"/>
      <c r="P11" s="1498"/>
      <c r="Q11" s="1498"/>
      <c r="R11" s="1498"/>
    </row>
    <row r="12" spans="1:18" ht="12.75" customHeight="1">
      <c r="A12" s="1834" t="s">
        <v>1844</v>
      </c>
      <c r="B12" s="1835"/>
      <c r="C12" s="2248" t="s">
        <v>4055</v>
      </c>
      <c r="D12" s="2249">
        <v>1.2504</v>
      </c>
      <c r="E12" s="2249">
        <v>1.2504</v>
      </c>
      <c r="F12" s="2250">
        <v>1.2516</v>
      </c>
      <c r="G12" s="2251">
        <v>1.3217000000000001</v>
      </c>
      <c r="H12" s="2251">
        <v>1.3812</v>
      </c>
      <c r="I12" s="2249">
        <v>1.4512</v>
      </c>
      <c r="J12" s="2250">
        <v>1.5212000000000001</v>
      </c>
      <c r="K12" s="1498"/>
      <c r="L12" s="1498"/>
      <c r="M12" s="1498"/>
      <c r="N12" s="1498"/>
      <c r="O12" s="1498"/>
      <c r="P12" s="1498"/>
      <c r="Q12" s="1498"/>
      <c r="R12" s="1498"/>
    </row>
    <row r="13" spans="1:18" ht="12.75" customHeight="1">
      <c r="A13" s="1834" t="s">
        <v>1845</v>
      </c>
      <c r="B13" s="1835"/>
      <c r="C13" s="2248" t="s">
        <v>4055</v>
      </c>
      <c r="D13" s="2249">
        <v>1.2504</v>
      </c>
      <c r="E13" s="2249">
        <v>1.2504</v>
      </c>
      <c r="F13" s="2250">
        <v>1.2516</v>
      </c>
      <c r="G13" s="2251">
        <v>1.3217000000000001</v>
      </c>
      <c r="H13" s="2251">
        <v>1.3812</v>
      </c>
      <c r="I13" s="2249">
        <v>1.4512</v>
      </c>
      <c r="J13" s="2250">
        <v>1.5212000000000001</v>
      </c>
      <c r="K13" s="1498"/>
      <c r="L13" s="1498"/>
      <c r="M13" s="1498"/>
      <c r="N13" s="1498"/>
      <c r="O13" s="1498"/>
      <c r="P13" s="1498"/>
      <c r="Q13" s="1498"/>
      <c r="R13" s="1498"/>
    </row>
    <row r="14" spans="1:18" ht="12.75" customHeight="1">
      <c r="A14" s="1834" t="s">
        <v>1846</v>
      </c>
      <c r="B14" s="1835"/>
      <c r="C14" s="2248" t="s">
        <v>4055</v>
      </c>
      <c r="D14" s="2249">
        <v>0.3125</v>
      </c>
      <c r="E14" s="2249">
        <v>0.3125</v>
      </c>
      <c r="F14" s="2250">
        <v>0.31280000000000002</v>
      </c>
      <c r="G14" s="2251">
        <v>0.20549999999999999</v>
      </c>
      <c r="H14" s="2251">
        <v>0.2258</v>
      </c>
      <c r="I14" s="2249">
        <v>0.23580000000000001</v>
      </c>
      <c r="J14" s="2250">
        <v>0.24579999999999999</v>
      </c>
      <c r="K14" s="1498"/>
      <c r="L14" s="1498"/>
      <c r="M14" s="1498"/>
      <c r="N14" s="1498"/>
      <c r="O14" s="1498"/>
      <c r="P14" s="1498"/>
      <c r="Q14" s="1498"/>
      <c r="R14" s="1498"/>
    </row>
    <row r="15" spans="1:18" ht="12.75" customHeight="1">
      <c r="A15" s="1834" t="s">
        <v>1847</v>
      </c>
      <c r="B15" s="1835"/>
      <c r="C15" s="2248" t="s">
        <v>4055</v>
      </c>
      <c r="D15" s="2249">
        <v>0.3125</v>
      </c>
      <c r="E15" s="2249">
        <v>0.3125</v>
      </c>
      <c r="F15" s="2250">
        <v>0.31280000000000002</v>
      </c>
      <c r="G15" s="2251">
        <v>0.20549999999999999</v>
      </c>
      <c r="H15" s="2251">
        <v>0.2258</v>
      </c>
      <c r="I15" s="2249">
        <v>0.23580000000000001</v>
      </c>
      <c r="J15" s="2250">
        <v>0.24579999999999999</v>
      </c>
      <c r="K15" s="1498"/>
      <c r="L15" s="1498"/>
      <c r="M15" s="1498"/>
      <c r="N15" s="1498"/>
      <c r="O15" s="1498"/>
      <c r="P15" s="1498"/>
      <c r="Q15" s="1498"/>
      <c r="R15" s="1498"/>
    </row>
    <row r="16" spans="1:18" ht="12.75" customHeight="1">
      <c r="A16" s="1834" t="s">
        <v>1848</v>
      </c>
      <c r="B16" s="1835"/>
      <c r="C16" s="2248" t="s">
        <v>4055</v>
      </c>
      <c r="D16" s="2249">
        <v>1.2504</v>
      </c>
      <c r="E16" s="2249">
        <v>1.2504</v>
      </c>
      <c r="F16" s="2250">
        <v>1.2516</v>
      </c>
      <c r="G16" s="2251">
        <v>1.3217000000000001</v>
      </c>
      <c r="H16" s="2251">
        <v>1.3812</v>
      </c>
      <c r="I16" s="2249">
        <v>1.4512</v>
      </c>
      <c r="J16" s="2250">
        <v>1.5212000000000001</v>
      </c>
      <c r="K16" s="1628"/>
      <c r="L16" s="1628"/>
      <c r="M16" s="1628"/>
      <c r="N16" s="1628"/>
      <c r="O16" s="1628"/>
      <c r="P16" s="1628"/>
      <c r="Q16" s="1628"/>
      <c r="R16" s="1628"/>
    </row>
    <row r="17" spans="1:18" ht="12.75" customHeight="1">
      <c r="A17" s="1834" t="s">
        <v>1849</v>
      </c>
      <c r="B17" s="1835"/>
      <c r="C17" s="2248" t="s">
        <v>4055</v>
      </c>
      <c r="D17" s="2249">
        <v>1.2504</v>
      </c>
      <c r="E17" s="2249">
        <v>1.2504</v>
      </c>
      <c r="F17" s="2250">
        <v>1.2516</v>
      </c>
      <c r="G17" s="2251">
        <v>1.3217000000000001</v>
      </c>
      <c r="H17" s="2251">
        <v>1.3812</v>
      </c>
      <c r="I17" s="2249">
        <v>1.4512</v>
      </c>
      <c r="J17" s="2250">
        <v>1.5212000000000001</v>
      </c>
      <c r="K17" s="1630"/>
      <c r="L17" s="1630"/>
      <c r="M17" s="1630"/>
      <c r="N17" s="1630"/>
      <c r="O17" s="1630"/>
      <c r="P17" s="1630"/>
      <c r="Q17" s="1630"/>
      <c r="R17" s="1630"/>
    </row>
    <row r="18" spans="1:18" ht="12.75" customHeight="1">
      <c r="A18" s="1834" t="s">
        <v>1850</v>
      </c>
      <c r="B18" s="1835"/>
      <c r="C18" s="2248" t="s">
        <v>4055</v>
      </c>
      <c r="D18" s="2249">
        <v>1.2504</v>
      </c>
      <c r="E18" s="2249">
        <v>1.2504</v>
      </c>
      <c r="F18" s="2250">
        <v>1.2516</v>
      </c>
      <c r="G18" s="2251">
        <v>1.3217000000000001</v>
      </c>
      <c r="H18" s="2251">
        <v>1.3812</v>
      </c>
      <c r="I18" s="2249">
        <v>1.4512</v>
      </c>
      <c r="J18" s="2250">
        <v>1.5212000000000001</v>
      </c>
      <c r="K18" s="1631"/>
      <c r="L18" s="1631"/>
      <c r="M18" s="1631"/>
      <c r="N18" s="1631"/>
      <c r="O18" s="1631"/>
      <c r="P18" s="1631"/>
      <c r="Q18" s="1631"/>
      <c r="R18" s="1631"/>
    </row>
    <row r="19" spans="1:18" ht="12.75" customHeight="1">
      <c r="A19" s="1834" t="s">
        <v>1851</v>
      </c>
      <c r="B19" s="1835"/>
      <c r="C19" s="2248" t="s">
        <v>4055</v>
      </c>
      <c r="D19" s="2249">
        <v>0</v>
      </c>
      <c r="E19" s="2249">
        <v>0</v>
      </c>
      <c r="F19" s="2250"/>
      <c r="G19" s="2251"/>
      <c r="H19" s="2251"/>
      <c r="I19" s="2249"/>
      <c r="J19" s="2250"/>
      <c r="K19" s="1630"/>
      <c r="L19" s="1630"/>
      <c r="M19" s="1630"/>
      <c r="N19" s="1630"/>
      <c r="O19" s="1630"/>
      <c r="P19" s="1630"/>
      <c r="Q19" s="1630"/>
      <c r="R19" s="1630"/>
    </row>
    <row r="20" spans="1:18" ht="12.75" customHeight="1">
      <c r="A20" s="1834" t="s">
        <v>1852</v>
      </c>
      <c r="B20" s="1835"/>
      <c r="C20" s="2248" t="s">
        <v>4055</v>
      </c>
      <c r="D20" s="2249">
        <v>0.3125</v>
      </c>
      <c r="E20" s="2249">
        <v>0.3125</v>
      </c>
      <c r="F20" s="2250">
        <v>0.31280000000000002</v>
      </c>
      <c r="G20" s="2251">
        <v>0.20549999999999999</v>
      </c>
      <c r="H20" s="2251">
        <v>0.2258</v>
      </c>
      <c r="I20" s="2249">
        <v>0.23580000000000001</v>
      </c>
      <c r="J20" s="2250">
        <v>0.24579999999999999</v>
      </c>
      <c r="K20" s="1630"/>
      <c r="L20" s="1630"/>
      <c r="M20" s="1630"/>
      <c r="N20" s="1630"/>
      <c r="O20" s="1630"/>
      <c r="P20" s="1630"/>
      <c r="Q20" s="1630"/>
      <c r="R20" s="1630"/>
    </row>
    <row r="21" spans="1:18" ht="12.75" customHeight="1">
      <c r="A21" s="1834" t="s">
        <v>1853</v>
      </c>
      <c r="B21" s="1835"/>
      <c r="C21" s="2248" t="s">
        <v>4055</v>
      </c>
      <c r="D21" s="2249">
        <v>1.2504</v>
      </c>
      <c r="E21" s="2249">
        <v>1.2504</v>
      </c>
      <c r="F21" s="2250">
        <v>1.2516</v>
      </c>
      <c r="G21" s="2251">
        <v>1.3217000000000001</v>
      </c>
      <c r="H21" s="2251">
        <v>1.3812</v>
      </c>
      <c r="I21" s="2249">
        <v>1.4512</v>
      </c>
      <c r="J21" s="2250">
        <v>1.5212000000000001</v>
      </c>
      <c r="K21" s="1630"/>
      <c r="L21" s="1630"/>
      <c r="M21" s="1630"/>
      <c r="N21" s="1630"/>
      <c r="O21" s="1630"/>
      <c r="P21" s="1630"/>
      <c r="Q21" s="1630"/>
      <c r="R21" s="1630"/>
    </row>
    <row r="22" spans="1:18" ht="12.75" customHeight="1">
      <c r="A22" s="1834" t="s">
        <v>353</v>
      </c>
      <c r="B22" s="1835"/>
      <c r="C22" s="2248"/>
      <c r="D22" s="2249">
        <v>0</v>
      </c>
      <c r="E22" s="2249">
        <v>0</v>
      </c>
      <c r="F22" s="2250"/>
      <c r="G22" s="2251"/>
      <c r="H22" s="2251"/>
      <c r="I22" s="2249"/>
      <c r="J22" s="2250"/>
      <c r="K22" s="1630"/>
      <c r="L22" s="1630"/>
      <c r="M22" s="1630"/>
      <c r="N22" s="1630"/>
      <c r="O22" s="1630"/>
      <c r="P22" s="1630"/>
      <c r="Q22" s="1630"/>
      <c r="R22" s="1630"/>
    </row>
    <row r="23" spans="1:18" ht="12.75" customHeight="1">
      <c r="A23" s="1834" t="s">
        <v>1854</v>
      </c>
      <c r="B23" s="1835"/>
      <c r="C23" s="2248"/>
      <c r="D23" s="2249"/>
      <c r="E23" s="2249">
        <v>0</v>
      </c>
      <c r="F23" s="2250"/>
      <c r="G23" s="2251"/>
      <c r="H23" s="2251"/>
      <c r="I23" s="2249"/>
      <c r="J23" s="2250"/>
      <c r="K23" s="1630"/>
      <c r="L23" s="1630"/>
      <c r="M23" s="1630"/>
      <c r="N23" s="1630"/>
      <c r="O23" s="1630"/>
      <c r="P23" s="1630"/>
      <c r="Q23" s="1630"/>
      <c r="R23" s="1630"/>
    </row>
    <row r="24" spans="1:18" ht="12.75" customHeight="1">
      <c r="A24" s="1834" t="s">
        <v>1855</v>
      </c>
      <c r="B24" s="1835"/>
      <c r="C24" s="2248"/>
      <c r="D24" s="2249"/>
      <c r="E24" s="2249">
        <v>0</v>
      </c>
      <c r="F24" s="2250"/>
      <c r="G24" s="2251"/>
      <c r="H24" s="2251"/>
      <c r="I24" s="2249"/>
      <c r="J24" s="2250"/>
      <c r="K24" s="1630"/>
      <c r="L24" s="1630"/>
      <c r="M24" s="1630"/>
      <c r="N24" s="1630"/>
      <c r="O24" s="1630"/>
      <c r="P24" s="1630"/>
      <c r="Q24" s="1630"/>
      <c r="R24" s="1630"/>
    </row>
    <row r="25" spans="1:18" ht="12.75" customHeight="1">
      <c r="A25" s="1834" t="s">
        <v>1856</v>
      </c>
      <c r="B25" s="1836"/>
      <c r="C25" s="2248"/>
      <c r="D25" s="2249"/>
      <c r="E25" s="2249">
        <v>0</v>
      </c>
      <c r="F25" s="2250"/>
      <c r="G25" s="2251"/>
      <c r="H25" s="2251"/>
      <c r="I25" s="2249"/>
      <c r="J25" s="2250"/>
      <c r="K25" s="470"/>
      <c r="L25" s="470"/>
      <c r="M25" s="470"/>
      <c r="N25" s="470"/>
      <c r="O25" s="470"/>
      <c r="P25" s="470"/>
      <c r="Q25" s="470"/>
      <c r="R25" s="470"/>
    </row>
    <row r="26" spans="1:18" ht="4.9000000000000004" customHeight="1">
      <c r="A26" s="1834"/>
      <c r="B26" s="1836"/>
      <c r="C26" s="2248"/>
      <c r="D26" s="2248"/>
      <c r="E26" s="2248"/>
      <c r="F26" s="2252"/>
      <c r="G26" s="2253"/>
      <c r="H26" s="2253"/>
      <c r="I26" s="2248"/>
      <c r="J26" s="2252"/>
      <c r="K26" s="470"/>
      <c r="L26" s="470"/>
      <c r="M26" s="470"/>
      <c r="N26" s="470"/>
      <c r="O26" s="470"/>
      <c r="P26" s="470"/>
      <c r="Q26" s="470"/>
      <c r="R26" s="470"/>
    </row>
    <row r="27" spans="1:18" ht="12.75" customHeight="1">
      <c r="A27" s="1829" t="s">
        <v>1857</v>
      </c>
      <c r="B27" s="1836"/>
      <c r="C27" s="1837"/>
      <c r="D27" s="1837"/>
      <c r="E27" s="1837"/>
      <c r="F27" s="1838"/>
      <c r="G27" s="1839"/>
      <c r="H27" s="1839"/>
      <c r="I27" s="1837"/>
      <c r="J27" s="1838"/>
      <c r="K27" s="1632"/>
      <c r="L27" s="1632"/>
      <c r="M27" s="1632"/>
      <c r="N27" s="1632"/>
      <c r="O27" s="1632"/>
      <c r="P27" s="1632"/>
      <c r="Q27" s="1632"/>
      <c r="R27" s="1632"/>
    </row>
    <row r="28" spans="1:18" ht="12.75" customHeight="1">
      <c r="A28" s="1840" t="s">
        <v>1837</v>
      </c>
      <c r="B28" s="1836"/>
      <c r="C28" s="1837"/>
      <c r="D28" s="1837"/>
      <c r="E28" s="1837"/>
      <c r="F28" s="1838"/>
      <c r="G28" s="1839"/>
      <c r="H28" s="1839"/>
      <c r="I28" s="1837"/>
      <c r="J28" s="1838"/>
      <c r="K28" s="1632"/>
      <c r="L28" s="1632"/>
      <c r="M28" s="1632"/>
      <c r="N28" s="1632"/>
      <c r="O28" s="1632"/>
      <c r="P28" s="1632"/>
      <c r="Q28" s="1632"/>
      <c r="R28" s="1632"/>
    </row>
    <row r="29" spans="1:18" ht="12.75" customHeight="1">
      <c r="A29" s="1834" t="s">
        <v>1892</v>
      </c>
      <c r="B29" s="1835"/>
      <c r="C29" s="1837"/>
      <c r="D29" s="1837">
        <v>15000</v>
      </c>
      <c r="E29" s="1837">
        <v>15000</v>
      </c>
      <c r="F29" s="1838">
        <v>15000</v>
      </c>
      <c r="G29" s="1839">
        <v>15000</v>
      </c>
      <c r="H29" s="1839">
        <v>15000</v>
      </c>
      <c r="I29" s="1837">
        <v>15000</v>
      </c>
      <c r="J29" s="1838">
        <v>15000</v>
      </c>
      <c r="K29" s="1632"/>
      <c r="L29" s="1632"/>
      <c r="M29" s="1632"/>
      <c r="N29" s="1632"/>
      <c r="O29" s="1632"/>
      <c r="P29" s="1632"/>
      <c r="Q29" s="1632"/>
      <c r="R29" s="1632"/>
    </row>
    <row r="30" spans="1:18" ht="12.75" customHeight="1">
      <c r="A30" s="1841" t="s">
        <v>1858</v>
      </c>
      <c r="B30" s="1835"/>
      <c r="C30" s="2248"/>
      <c r="D30" s="2248"/>
      <c r="E30" s="2248">
        <v>30</v>
      </c>
      <c r="F30" s="2252">
        <v>30</v>
      </c>
      <c r="G30" s="2253">
        <v>30</v>
      </c>
      <c r="H30" s="2253">
        <v>30</v>
      </c>
      <c r="I30" s="2248">
        <v>30</v>
      </c>
      <c r="J30" s="2252">
        <v>30</v>
      </c>
      <c r="K30" s="1632"/>
      <c r="L30" s="1632"/>
      <c r="M30" s="1632"/>
      <c r="N30" s="1632"/>
      <c r="O30" s="1632"/>
      <c r="P30" s="1632"/>
      <c r="Q30" s="1632"/>
      <c r="R30" s="1632"/>
    </row>
    <row r="31" spans="1:18" ht="12.75" customHeight="1">
      <c r="A31" s="1102" t="s">
        <v>1859</v>
      </c>
      <c r="B31" s="1835"/>
      <c r="C31" s="2248"/>
      <c r="D31" s="2248"/>
      <c r="E31" s="2248">
        <v>100</v>
      </c>
      <c r="F31" s="2252">
        <v>100</v>
      </c>
      <c r="G31" s="2253">
        <v>100</v>
      </c>
      <c r="H31" s="2253">
        <v>100</v>
      </c>
      <c r="I31" s="2248">
        <v>100</v>
      </c>
      <c r="J31" s="2252">
        <v>100</v>
      </c>
      <c r="K31" s="1632"/>
      <c r="L31" s="1632"/>
      <c r="M31" s="1632"/>
      <c r="N31" s="1632"/>
      <c r="O31" s="1632"/>
      <c r="P31" s="1632"/>
      <c r="Q31" s="1632"/>
      <c r="R31" s="1632"/>
    </row>
    <row r="32" spans="1:18" ht="12.75" customHeight="1">
      <c r="A32" s="1102" t="s">
        <v>1860</v>
      </c>
      <c r="B32" s="1835"/>
      <c r="C32" s="2248"/>
      <c r="D32" s="2248"/>
      <c r="E32" s="2248">
        <v>30</v>
      </c>
      <c r="F32" s="2252">
        <v>30</v>
      </c>
      <c r="G32" s="2253">
        <v>30</v>
      </c>
      <c r="H32" s="2253">
        <v>30</v>
      </c>
      <c r="I32" s="2248">
        <v>30</v>
      </c>
      <c r="J32" s="2252">
        <v>30</v>
      </c>
      <c r="K32" s="1632"/>
      <c r="L32" s="1632"/>
      <c r="M32" s="1632"/>
      <c r="N32" s="1632"/>
      <c r="O32" s="1632"/>
      <c r="P32" s="1632"/>
      <c r="Q32" s="1632"/>
      <c r="R32" s="1632"/>
    </row>
    <row r="33" spans="1:19" ht="12.75" customHeight="1">
      <c r="A33" s="1102" t="s">
        <v>1861</v>
      </c>
      <c r="B33" s="1835"/>
      <c r="C33" s="2248"/>
      <c r="D33" s="2248"/>
      <c r="E33" s="2248">
        <v>20</v>
      </c>
      <c r="F33" s="2252">
        <v>15</v>
      </c>
      <c r="G33" s="2253">
        <v>10</v>
      </c>
      <c r="H33" s="2253">
        <v>5</v>
      </c>
      <c r="I33" s="2248">
        <v>0</v>
      </c>
      <c r="J33" s="2252">
        <v>25</v>
      </c>
      <c r="K33" s="1622"/>
      <c r="L33" s="1622"/>
      <c r="M33" s="1622"/>
      <c r="N33" s="1622"/>
      <c r="O33" s="1622"/>
      <c r="P33" s="1622"/>
      <c r="Q33" s="1622"/>
      <c r="R33" s="1622"/>
    </row>
    <row r="34" spans="1:19" ht="12.75" customHeight="1">
      <c r="A34" s="1102" t="s">
        <v>1862</v>
      </c>
      <c r="B34" s="1835"/>
      <c r="C34" s="2248"/>
      <c r="D34" s="2248"/>
      <c r="E34" s="2248"/>
      <c r="F34" s="2252"/>
      <c r="G34" s="2253"/>
      <c r="H34" s="2253"/>
      <c r="I34" s="2248"/>
      <c r="J34" s="2252"/>
      <c r="K34" s="1633"/>
      <c r="L34" s="1633"/>
      <c r="M34" s="1633"/>
      <c r="N34" s="1633"/>
      <c r="O34" s="1633"/>
      <c r="P34" s="1633"/>
      <c r="Q34" s="1633"/>
      <c r="R34" s="1633"/>
    </row>
    <row r="35" spans="1:19" ht="12.75" customHeight="1">
      <c r="A35" s="1101" t="s">
        <v>1997</v>
      </c>
      <c r="B35" s="1835">
        <v>2</v>
      </c>
      <c r="C35" s="2248"/>
      <c r="D35" s="2248"/>
      <c r="E35" s="2248"/>
      <c r="F35" s="2252"/>
      <c r="G35" s="2253"/>
      <c r="H35" s="2253"/>
      <c r="I35" s="2248"/>
      <c r="J35" s="2252"/>
      <c r="K35" s="1633"/>
      <c r="L35" s="1633"/>
      <c r="M35" s="1633"/>
      <c r="N35" s="1633"/>
      <c r="O35" s="1633"/>
      <c r="P35" s="1633"/>
      <c r="Q35" s="1633"/>
      <c r="R35" s="1633"/>
    </row>
    <row r="36" spans="1:19" ht="4.9000000000000004" customHeight="1">
      <c r="A36" s="1842"/>
      <c r="B36" s="1836"/>
      <c r="C36" s="1836"/>
      <c r="D36" s="1843"/>
      <c r="E36" s="1843"/>
      <c r="F36" s="1844"/>
      <c r="G36" s="1845"/>
      <c r="H36" s="1845"/>
      <c r="I36" s="1843"/>
      <c r="J36" s="1844"/>
      <c r="K36" s="1635"/>
      <c r="L36" s="1635"/>
      <c r="M36" s="1635"/>
      <c r="N36" s="1635"/>
      <c r="O36" s="1635"/>
      <c r="P36" s="1635"/>
      <c r="Q36" s="1635"/>
      <c r="R36" s="1635"/>
    </row>
    <row r="37" spans="1:19" ht="12.75" customHeight="1">
      <c r="A37" s="1829" t="s">
        <v>1863</v>
      </c>
      <c r="B37" s="1836"/>
      <c r="C37" s="1836"/>
      <c r="D37" s="1837"/>
      <c r="E37" s="1837"/>
      <c r="F37" s="1838"/>
      <c r="G37" s="1839"/>
      <c r="H37" s="1839"/>
      <c r="I37" s="1837"/>
      <c r="J37" s="1838"/>
      <c r="K37" s="1623"/>
      <c r="L37" s="1623"/>
      <c r="M37" s="1623"/>
      <c r="N37" s="1623"/>
      <c r="O37" s="1623"/>
      <c r="P37" s="1623"/>
      <c r="Q37" s="1623"/>
      <c r="R37" s="1623"/>
    </row>
    <row r="38" spans="1:19" ht="12.75" customHeight="1">
      <c r="A38" s="1840" t="s">
        <v>1864</v>
      </c>
      <c r="B38" s="1835"/>
      <c r="C38" s="1836"/>
      <c r="D38" s="1837"/>
      <c r="E38" s="1837"/>
      <c r="F38" s="1838"/>
      <c r="G38" s="1839"/>
      <c r="H38" s="1839"/>
      <c r="I38" s="1837"/>
      <c r="J38" s="1838"/>
      <c r="K38" s="1636"/>
      <c r="L38" s="1636"/>
      <c r="M38" s="1636"/>
      <c r="N38" s="1636"/>
      <c r="O38" s="1636"/>
      <c r="P38" s="1636"/>
      <c r="Q38" s="1636"/>
      <c r="R38" s="1636"/>
    </row>
    <row r="39" spans="1:19" ht="12.75" customHeight="1">
      <c r="A39" s="1834" t="s">
        <v>1865</v>
      </c>
      <c r="B39" s="1835"/>
      <c r="C39" s="2248"/>
      <c r="D39" s="2248"/>
      <c r="E39" s="2248"/>
      <c r="F39" s="2252"/>
      <c r="G39" s="2253"/>
      <c r="H39" s="2253"/>
      <c r="I39" s="2248"/>
      <c r="J39" s="2252"/>
      <c r="K39" s="1158"/>
      <c r="L39" s="1158"/>
      <c r="M39" s="1158"/>
      <c r="N39" s="1158"/>
      <c r="O39" s="1158"/>
      <c r="P39" s="1158"/>
      <c r="Q39" s="1158"/>
      <c r="R39" s="1158"/>
      <c r="S39" s="87">
        <f>SUM(C39:R39)</f>
        <v>0</v>
      </c>
    </row>
    <row r="40" spans="1:19" ht="12.75" customHeight="1">
      <c r="A40" s="1834" t="s">
        <v>1866</v>
      </c>
      <c r="B40" s="1835"/>
      <c r="C40" s="2248"/>
      <c r="D40" s="2248"/>
      <c r="E40" s="2248"/>
      <c r="F40" s="2252"/>
      <c r="G40" s="2253"/>
      <c r="H40" s="2253"/>
      <c r="I40" s="2248"/>
      <c r="J40" s="2252"/>
      <c r="K40" s="1158"/>
      <c r="L40" s="1158"/>
      <c r="M40" s="1158"/>
      <c r="N40" s="1158"/>
      <c r="O40" s="1158"/>
      <c r="P40" s="1158"/>
      <c r="Q40" s="1158"/>
      <c r="R40" s="1158"/>
      <c r="S40" s="87">
        <f>SUM(C40:R40)</f>
        <v>0</v>
      </c>
    </row>
    <row r="41" spans="1:19" ht="12.75" customHeight="1">
      <c r="A41" s="1834" t="s">
        <v>1867</v>
      </c>
      <c r="B41" s="1835"/>
      <c r="C41" s="2248"/>
      <c r="D41" s="2248"/>
      <c r="E41" s="2248"/>
      <c r="F41" s="2252"/>
      <c r="G41" s="2253"/>
      <c r="H41" s="2253"/>
      <c r="I41" s="2248"/>
      <c r="J41" s="2252"/>
      <c r="K41" s="1637"/>
      <c r="L41" s="1637"/>
      <c r="M41" s="1637"/>
      <c r="N41" s="1637"/>
      <c r="O41" s="1637"/>
      <c r="P41" s="1637"/>
      <c r="Q41" s="1637"/>
      <c r="R41" s="1637"/>
    </row>
    <row r="42" spans="1:19" ht="12.75" customHeight="1">
      <c r="A42" s="1102" t="s">
        <v>1868</v>
      </c>
      <c r="B42" s="1835"/>
      <c r="C42" s="2248" t="s">
        <v>1869</v>
      </c>
      <c r="D42" s="2248"/>
      <c r="E42" s="2248"/>
      <c r="F42" s="2252"/>
      <c r="G42" s="2253"/>
      <c r="H42" s="2253"/>
      <c r="I42" s="2248"/>
      <c r="J42" s="2252"/>
      <c r="K42" s="1638"/>
      <c r="L42" s="1638"/>
      <c r="M42" s="1638"/>
      <c r="N42" s="1638"/>
      <c r="O42" s="1638"/>
      <c r="P42" s="1638"/>
      <c r="Q42" s="1638"/>
      <c r="R42" s="1638"/>
    </row>
    <row r="43" spans="1:19" ht="12.75" customHeight="1">
      <c r="A43" s="1102" t="s">
        <v>1870</v>
      </c>
      <c r="B43" s="1835"/>
      <c r="C43" s="2248" t="s">
        <v>1871</v>
      </c>
      <c r="D43" s="2248"/>
      <c r="E43" s="2248"/>
      <c r="F43" s="2252"/>
      <c r="G43" s="2253"/>
      <c r="H43" s="2253"/>
      <c r="I43" s="2248"/>
      <c r="J43" s="2252"/>
      <c r="K43" s="1638"/>
      <c r="L43" s="1638"/>
      <c r="M43" s="1638"/>
      <c r="N43" s="1638"/>
      <c r="O43" s="1638"/>
      <c r="P43" s="1638"/>
      <c r="Q43" s="1638"/>
      <c r="R43" s="1638"/>
    </row>
    <row r="44" spans="1:19" ht="12.75" customHeight="1">
      <c r="A44" s="1102" t="s">
        <v>1872</v>
      </c>
      <c r="B44" s="1835"/>
      <c r="C44" s="2248" t="s">
        <v>1871</v>
      </c>
      <c r="D44" s="2248"/>
      <c r="E44" s="2248"/>
      <c r="F44" s="2252"/>
      <c r="G44" s="2253"/>
      <c r="H44" s="2253"/>
      <c r="I44" s="2248"/>
      <c r="J44" s="2252"/>
      <c r="K44" s="1638"/>
      <c r="L44" s="1638"/>
      <c r="M44" s="1638"/>
      <c r="N44" s="1638"/>
      <c r="O44" s="1638"/>
      <c r="P44" s="1638"/>
      <c r="Q44" s="1638"/>
      <c r="R44" s="1638"/>
    </row>
    <row r="45" spans="1:19" ht="12.75" customHeight="1">
      <c r="A45" s="1102" t="s">
        <v>1873</v>
      </c>
      <c r="B45" s="1835"/>
      <c r="C45" s="2248" t="s">
        <v>1871</v>
      </c>
      <c r="D45" s="2248"/>
      <c r="E45" s="2248"/>
      <c r="F45" s="2252"/>
      <c r="G45" s="2253"/>
      <c r="H45" s="2253"/>
      <c r="I45" s="2248"/>
      <c r="J45" s="2252"/>
      <c r="K45" s="1638"/>
      <c r="L45" s="1638"/>
      <c r="M45" s="1638"/>
      <c r="N45" s="1638"/>
      <c r="O45" s="1638"/>
      <c r="P45" s="1638"/>
      <c r="Q45" s="1638"/>
      <c r="R45" s="1638"/>
    </row>
    <row r="46" spans="1:19" ht="12.75" customHeight="1">
      <c r="A46" s="1102" t="s">
        <v>1874</v>
      </c>
      <c r="B46" s="1835"/>
      <c r="C46" s="2248" t="s">
        <v>1871</v>
      </c>
      <c r="D46" s="2248"/>
      <c r="E46" s="2248"/>
      <c r="F46" s="2252"/>
      <c r="G46" s="2253"/>
      <c r="H46" s="2253"/>
      <c r="I46" s="2248"/>
      <c r="J46" s="2252"/>
      <c r="K46" s="1638"/>
      <c r="L46" s="1638"/>
      <c r="M46" s="1638"/>
      <c r="N46" s="1638"/>
      <c r="O46" s="1638"/>
      <c r="P46" s="1638"/>
      <c r="Q46" s="1638"/>
      <c r="R46" s="1638"/>
    </row>
    <row r="47" spans="1:19" ht="12.75" customHeight="1">
      <c r="A47" s="1101" t="s">
        <v>245</v>
      </c>
      <c r="B47" s="1835">
        <v>2</v>
      </c>
      <c r="C47" s="2248"/>
      <c r="D47" s="2248"/>
      <c r="E47" s="2248"/>
      <c r="F47" s="2252"/>
      <c r="G47" s="2253"/>
      <c r="H47" s="2253"/>
      <c r="I47" s="2248"/>
      <c r="J47" s="2252"/>
      <c r="K47" s="1638"/>
      <c r="L47" s="1638"/>
      <c r="M47" s="1638"/>
      <c r="N47" s="1638"/>
      <c r="O47" s="1638"/>
      <c r="P47" s="1638"/>
      <c r="Q47" s="1638"/>
      <c r="R47" s="1638"/>
    </row>
    <row r="48" spans="1:19" ht="4.5" customHeight="1">
      <c r="A48" s="1051"/>
      <c r="B48" s="1835"/>
      <c r="C48" s="1836"/>
      <c r="D48" s="1837"/>
      <c r="E48" s="1837"/>
      <c r="F48" s="1838"/>
      <c r="G48" s="1839"/>
      <c r="H48" s="1839"/>
      <c r="I48" s="1837"/>
      <c r="J48" s="1838"/>
      <c r="K48" s="136"/>
      <c r="L48" s="136"/>
      <c r="M48" s="136"/>
      <c r="N48" s="136"/>
      <c r="O48" s="136"/>
      <c r="P48" s="136"/>
      <c r="Q48" s="136"/>
      <c r="R48" s="136"/>
    </row>
    <row r="49" spans="1:18" ht="12.75" customHeight="1">
      <c r="A49" s="1829" t="s">
        <v>1875</v>
      </c>
      <c r="B49" s="1835"/>
      <c r="C49" s="1836"/>
      <c r="D49" s="1837"/>
      <c r="E49" s="1837"/>
      <c r="F49" s="1838"/>
      <c r="G49" s="1839"/>
      <c r="H49" s="1839"/>
      <c r="I49" s="1837"/>
      <c r="J49" s="1838"/>
      <c r="K49" s="236"/>
      <c r="L49" s="236"/>
      <c r="M49" s="236"/>
      <c r="N49" s="236"/>
      <c r="O49" s="236"/>
      <c r="P49" s="236"/>
      <c r="Q49" s="236"/>
      <c r="R49" s="236"/>
    </row>
    <row r="50" spans="1:18" s="899" customFormat="1" ht="12.75" customHeight="1">
      <c r="A50" s="1840" t="s">
        <v>1864</v>
      </c>
      <c r="B50" s="1835"/>
      <c r="C50" s="1836"/>
      <c r="D50" s="1837"/>
      <c r="E50" s="1837"/>
      <c r="F50" s="1838"/>
      <c r="G50" s="1839"/>
      <c r="H50" s="1839"/>
      <c r="I50" s="1837"/>
      <c r="J50" s="1838"/>
      <c r="K50" s="876"/>
      <c r="L50" s="876"/>
      <c r="M50" s="876"/>
      <c r="N50" s="876"/>
      <c r="O50" s="876"/>
      <c r="P50" s="876"/>
      <c r="Q50" s="876"/>
      <c r="R50" s="876"/>
    </row>
    <row r="51" spans="1:18" s="899" customFormat="1" ht="12.75" customHeight="1">
      <c r="A51" s="1834" t="s">
        <v>1865</v>
      </c>
      <c r="B51" s="1835"/>
      <c r="C51" s="2248"/>
      <c r="D51" s="2248"/>
      <c r="E51" s="2248"/>
      <c r="F51" s="2252"/>
      <c r="G51" s="2253"/>
      <c r="H51" s="2253"/>
      <c r="I51" s="2248"/>
      <c r="J51" s="2252"/>
      <c r="K51" s="876"/>
      <c r="L51" s="876"/>
      <c r="M51" s="876"/>
      <c r="N51" s="876"/>
      <c r="O51" s="876"/>
      <c r="P51" s="876"/>
      <c r="Q51" s="876"/>
      <c r="R51" s="876"/>
    </row>
    <row r="52" spans="1:18" s="899" customFormat="1" ht="12.75" customHeight="1">
      <c r="A52" s="1834" t="s">
        <v>1866</v>
      </c>
      <c r="B52" s="1835"/>
      <c r="C52" s="2248"/>
      <c r="D52" s="2248"/>
      <c r="E52" s="2248"/>
      <c r="F52" s="2252"/>
      <c r="G52" s="2253"/>
      <c r="H52" s="2253"/>
      <c r="I52" s="2248"/>
      <c r="J52" s="2252"/>
      <c r="K52" s="876"/>
      <c r="L52" s="876"/>
      <c r="M52" s="876"/>
      <c r="N52" s="876"/>
      <c r="O52" s="876"/>
      <c r="P52" s="876"/>
      <c r="Q52" s="876"/>
      <c r="R52" s="876"/>
    </row>
    <row r="53" spans="1:18" s="899" customFormat="1" ht="12.75" customHeight="1">
      <c r="A53" s="1834" t="s">
        <v>1876</v>
      </c>
      <c r="B53" s="1835"/>
      <c r="C53" s="2248"/>
      <c r="D53" s="2248"/>
      <c r="E53" s="2248"/>
      <c r="F53" s="2252"/>
      <c r="G53" s="2253"/>
      <c r="H53" s="2253"/>
      <c r="I53" s="2248"/>
      <c r="J53" s="2252"/>
      <c r="K53" s="876"/>
      <c r="L53" s="876"/>
      <c r="M53" s="876"/>
      <c r="N53" s="876"/>
      <c r="O53" s="876"/>
      <c r="P53" s="876"/>
      <c r="Q53" s="876"/>
      <c r="R53" s="876"/>
    </row>
    <row r="54" spans="1:18" s="899" customFormat="1" ht="12.75" customHeight="1">
      <c r="A54" s="1834" t="s">
        <v>1877</v>
      </c>
      <c r="B54" s="1835"/>
      <c r="C54" s="2248" t="s">
        <v>1878</v>
      </c>
      <c r="D54" s="2248"/>
      <c r="E54" s="2248"/>
      <c r="F54" s="2252"/>
      <c r="G54" s="2253"/>
      <c r="H54" s="2253"/>
      <c r="I54" s="2248"/>
      <c r="J54" s="2252"/>
      <c r="K54" s="876"/>
      <c r="L54" s="876"/>
      <c r="M54" s="876"/>
      <c r="N54" s="876"/>
      <c r="O54" s="876"/>
      <c r="P54" s="876"/>
      <c r="Q54" s="876"/>
      <c r="R54" s="876"/>
    </row>
    <row r="55" spans="1:18" s="899" customFormat="1" ht="12.75" customHeight="1">
      <c r="A55" s="1834" t="s">
        <v>1879</v>
      </c>
      <c r="B55" s="1835"/>
      <c r="C55" s="2248" t="s">
        <v>1878</v>
      </c>
      <c r="D55" s="2248"/>
      <c r="E55" s="2248"/>
      <c r="F55" s="2252"/>
      <c r="G55" s="2253"/>
      <c r="H55" s="2253"/>
      <c r="I55" s="2248"/>
      <c r="J55" s="2252"/>
      <c r="K55" s="876"/>
      <c r="L55" s="876"/>
      <c r="M55" s="876"/>
      <c r="N55" s="876"/>
      <c r="O55" s="876"/>
      <c r="P55" s="876"/>
      <c r="Q55" s="876"/>
      <c r="R55" s="876"/>
    </row>
    <row r="56" spans="1:18" s="899" customFormat="1" ht="12.75" customHeight="1">
      <c r="A56" s="1834" t="s">
        <v>1880</v>
      </c>
      <c r="B56" s="1835"/>
      <c r="C56" s="2248" t="s">
        <v>1878</v>
      </c>
      <c r="D56" s="2248"/>
      <c r="E56" s="2248"/>
      <c r="F56" s="2252"/>
      <c r="G56" s="2253"/>
      <c r="H56" s="2253"/>
      <c r="I56" s="2248"/>
      <c r="J56" s="2252"/>
      <c r="K56" s="876"/>
      <c r="L56" s="876"/>
      <c r="M56" s="876"/>
      <c r="N56" s="876"/>
      <c r="O56" s="876"/>
      <c r="P56" s="876"/>
      <c r="Q56" s="876"/>
      <c r="R56" s="876"/>
    </row>
    <row r="57" spans="1:18" ht="12.75" customHeight="1">
      <c r="A57" s="1834" t="s">
        <v>1881</v>
      </c>
      <c r="B57" s="1835"/>
      <c r="C57" s="2248" t="s">
        <v>1878</v>
      </c>
      <c r="D57" s="2248"/>
      <c r="E57" s="2248"/>
      <c r="F57" s="2252"/>
      <c r="G57" s="2253"/>
      <c r="H57" s="2253"/>
      <c r="I57" s="2248"/>
      <c r="J57" s="2252"/>
      <c r="K57" s="796"/>
      <c r="L57" s="796"/>
      <c r="M57" s="796"/>
      <c r="N57" s="796"/>
      <c r="O57" s="796"/>
      <c r="P57" s="796"/>
      <c r="Q57" s="796"/>
      <c r="R57" s="796"/>
    </row>
    <row r="58" spans="1:18" ht="12.75" customHeight="1">
      <c r="A58" s="1101" t="s">
        <v>245</v>
      </c>
      <c r="B58" s="1835">
        <v>2</v>
      </c>
      <c r="C58" s="2248"/>
      <c r="D58" s="2248"/>
      <c r="E58" s="2248"/>
      <c r="F58" s="2252"/>
      <c r="G58" s="2253"/>
      <c r="H58" s="2253"/>
      <c r="I58" s="2248"/>
      <c r="J58" s="2252"/>
      <c r="K58" s="1619"/>
      <c r="L58" s="1619"/>
      <c r="M58" s="1619"/>
      <c r="N58" s="1619"/>
      <c r="O58" s="1619"/>
      <c r="P58" s="1619"/>
      <c r="Q58" s="1619"/>
      <c r="R58" s="1619"/>
    </row>
    <row r="59" spans="1:18" ht="4.5" customHeight="1">
      <c r="A59" s="1846"/>
      <c r="B59" s="1836"/>
      <c r="C59" s="1836"/>
      <c r="D59" s="1837"/>
      <c r="E59" s="1837"/>
      <c r="F59" s="1838"/>
      <c r="G59" s="1839"/>
      <c r="H59" s="1839"/>
      <c r="I59" s="1837"/>
      <c r="J59" s="1838"/>
      <c r="K59" s="115"/>
      <c r="L59" s="115"/>
      <c r="M59" s="115"/>
      <c r="N59" s="115"/>
      <c r="O59" s="115"/>
      <c r="P59" s="115"/>
      <c r="Q59" s="115"/>
      <c r="R59" s="115"/>
    </row>
    <row r="60" spans="1:18" ht="12.75" customHeight="1">
      <c r="A60" s="1829" t="s">
        <v>1882</v>
      </c>
      <c r="B60" s="1835"/>
      <c r="C60" s="1836"/>
      <c r="D60" s="1837"/>
      <c r="E60" s="1837"/>
      <c r="F60" s="1838"/>
      <c r="G60" s="1839"/>
      <c r="H60" s="1839"/>
      <c r="I60" s="1837"/>
      <c r="J60" s="1838"/>
      <c r="K60" s="115"/>
      <c r="L60" s="115"/>
      <c r="M60" s="115"/>
      <c r="N60" s="115"/>
      <c r="O60" s="115"/>
      <c r="P60" s="115"/>
      <c r="Q60" s="115"/>
      <c r="R60" s="115"/>
    </row>
    <row r="61" spans="1:18" ht="12.75" customHeight="1">
      <c r="A61" s="1840" t="s">
        <v>1864</v>
      </c>
      <c r="B61" s="1835"/>
      <c r="C61" s="1836"/>
      <c r="D61" s="1837"/>
      <c r="E61" s="1837"/>
      <c r="F61" s="1838"/>
      <c r="G61" s="1839"/>
      <c r="H61" s="1839"/>
      <c r="I61" s="1837"/>
      <c r="J61" s="1838"/>
      <c r="K61" s="1498"/>
      <c r="L61" s="1498"/>
      <c r="M61" s="1498"/>
      <c r="N61" s="1498"/>
      <c r="O61" s="1498"/>
      <c r="P61" s="1498"/>
      <c r="Q61" s="1498"/>
      <c r="R61" s="1498"/>
    </row>
    <row r="62" spans="1:18" ht="12.75" customHeight="1">
      <c r="A62" s="1834" t="s">
        <v>1865</v>
      </c>
      <c r="B62" s="1835"/>
      <c r="C62" s="2248"/>
      <c r="D62" s="2248">
        <v>3343</v>
      </c>
      <c r="E62" s="2248">
        <v>345</v>
      </c>
      <c r="F62" s="2252">
        <v>364</v>
      </c>
      <c r="G62" s="2253">
        <v>412</v>
      </c>
      <c r="H62" s="2253">
        <v>412</v>
      </c>
      <c r="I62" s="2248">
        <v>412</v>
      </c>
      <c r="J62" s="2252">
        <v>412</v>
      </c>
      <c r="K62" s="1498"/>
      <c r="L62" s="1498"/>
      <c r="M62" s="1498"/>
      <c r="N62" s="1498"/>
      <c r="O62" s="1498"/>
      <c r="P62" s="1498"/>
      <c r="Q62" s="1498"/>
      <c r="R62" s="1498"/>
    </row>
    <row r="63" spans="1:18" ht="12.75" customHeight="1">
      <c r="A63" s="1834" t="s">
        <v>1883</v>
      </c>
      <c r="B63" s="1835"/>
      <c r="C63" s="2248"/>
      <c r="D63" s="2248">
        <v>0</v>
      </c>
      <c r="E63" s="2248">
        <v>0</v>
      </c>
      <c r="F63" s="2252"/>
      <c r="G63" s="2253"/>
      <c r="H63" s="2253"/>
      <c r="I63" s="2248"/>
      <c r="J63" s="2252"/>
      <c r="K63" s="1498"/>
      <c r="L63" s="1498"/>
      <c r="M63" s="1498"/>
      <c r="N63" s="1498"/>
      <c r="O63" s="1498"/>
      <c r="P63" s="1498"/>
      <c r="Q63" s="1498"/>
      <c r="R63" s="1498"/>
    </row>
    <row r="64" spans="1:18" ht="12.75" customHeight="1">
      <c r="A64" s="1847" t="s">
        <v>1884</v>
      </c>
      <c r="B64" s="1835"/>
      <c r="C64" s="2248" t="s">
        <v>1885</v>
      </c>
      <c r="D64" s="2248">
        <v>0</v>
      </c>
      <c r="E64" s="2248">
        <v>0</v>
      </c>
      <c r="F64" s="2252"/>
      <c r="G64" s="2253"/>
      <c r="H64" s="2253"/>
      <c r="I64" s="2248"/>
      <c r="J64" s="2252"/>
      <c r="K64" s="1498"/>
      <c r="L64" s="1498"/>
      <c r="M64" s="1498"/>
      <c r="N64" s="1498"/>
      <c r="O64" s="1498"/>
      <c r="P64" s="1498"/>
      <c r="Q64" s="1498"/>
      <c r="R64" s="1498"/>
    </row>
    <row r="65" spans="1:18" ht="12.75" customHeight="1">
      <c r="A65" s="1834" t="s">
        <v>1905</v>
      </c>
      <c r="B65" s="1835"/>
      <c r="C65" s="2248" t="s">
        <v>1869</v>
      </c>
      <c r="D65" s="2248">
        <v>0</v>
      </c>
      <c r="E65" s="2248">
        <v>0</v>
      </c>
      <c r="F65" s="2252"/>
      <c r="G65" s="2253"/>
      <c r="H65" s="2253"/>
      <c r="I65" s="2248"/>
      <c r="J65" s="2252"/>
      <c r="K65" s="1498"/>
      <c r="L65" s="1498"/>
      <c r="M65" s="1498"/>
      <c r="N65" s="1498"/>
      <c r="O65" s="1498"/>
      <c r="P65" s="1498"/>
      <c r="Q65" s="1498"/>
      <c r="R65" s="1498"/>
    </row>
    <row r="66" spans="1:18" ht="12.75" customHeight="1">
      <c r="A66" s="1834" t="s">
        <v>1906</v>
      </c>
      <c r="B66" s="1835"/>
      <c r="C66" s="2248" t="s">
        <v>1869</v>
      </c>
      <c r="D66" s="2248">
        <v>0</v>
      </c>
      <c r="E66" s="2248">
        <v>0</v>
      </c>
      <c r="F66" s="2252"/>
      <c r="G66" s="2253"/>
      <c r="H66" s="2253"/>
      <c r="I66" s="2248"/>
      <c r="J66" s="2252"/>
      <c r="K66" s="1498"/>
      <c r="L66" s="1498"/>
      <c r="M66" s="1498"/>
      <c r="N66" s="1498"/>
      <c r="O66" s="1498"/>
      <c r="P66" s="1498"/>
      <c r="Q66" s="1498"/>
      <c r="R66" s="1498"/>
    </row>
    <row r="67" spans="1:18" ht="12.75" customHeight="1">
      <c r="A67" s="1834" t="s">
        <v>1907</v>
      </c>
      <c r="B67" s="1835"/>
      <c r="C67" s="2248"/>
      <c r="D67" s="2248">
        <v>0</v>
      </c>
      <c r="E67" s="2248">
        <v>164</v>
      </c>
      <c r="F67" s="2252"/>
      <c r="G67" s="2253"/>
      <c r="H67" s="2253"/>
      <c r="I67" s="2248"/>
      <c r="J67" s="2252"/>
      <c r="K67" s="1498"/>
      <c r="L67" s="1498"/>
      <c r="M67" s="1498"/>
      <c r="N67" s="1498"/>
      <c r="O67" s="1498"/>
      <c r="P67" s="1498"/>
      <c r="Q67" s="1498"/>
      <c r="R67" s="1498"/>
    </row>
    <row r="68" spans="1:18" ht="12.75" customHeight="1">
      <c r="A68" s="1834" t="s">
        <v>1908</v>
      </c>
      <c r="B68" s="1835"/>
      <c r="C68" s="2248"/>
      <c r="D68" s="2248">
        <v>0</v>
      </c>
      <c r="E68" s="2248">
        <v>0</v>
      </c>
      <c r="F68" s="2252"/>
      <c r="G68" s="2253"/>
      <c r="H68" s="2253"/>
      <c r="I68" s="2248"/>
      <c r="J68" s="2252"/>
      <c r="K68" s="1498"/>
      <c r="L68" s="1498"/>
      <c r="M68" s="1498"/>
      <c r="N68" s="1498"/>
      <c r="O68" s="1498"/>
      <c r="P68" s="1498"/>
      <c r="Q68" s="1498"/>
      <c r="R68" s="1498"/>
    </row>
    <row r="69" spans="1:18" ht="12.75" customHeight="1">
      <c r="A69" s="1834" t="s">
        <v>1909</v>
      </c>
      <c r="B69" s="1835"/>
      <c r="C69" s="2248" t="s">
        <v>1886</v>
      </c>
      <c r="D69" s="2248">
        <v>0</v>
      </c>
      <c r="E69" s="2248">
        <v>0</v>
      </c>
      <c r="F69" s="2252"/>
      <c r="G69" s="2253"/>
      <c r="H69" s="2253"/>
      <c r="I69" s="2248"/>
      <c r="J69" s="2252"/>
      <c r="K69" s="1498"/>
      <c r="L69" s="1498"/>
      <c r="M69" s="1498"/>
      <c r="N69" s="1498"/>
      <c r="O69" s="1498"/>
      <c r="P69" s="1498"/>
      <c r="Q69" s="1498"/>
      <c r="R69" s="1498"/>
    </row>
    <row r="70" spans="1:18" ht="12.75" customHeight="1">
      <c r="A70" s="1834" t="s">
        <v>1910</v>
      </c>
      <c r="B70" s="1835"/>
      <c r="C70" s="2248" t="s">
        <v>1886</v>
      </c>
      <c r="D70" s="2248">
        <v>0</v>
      </c>
      <c r="E70" s="2248">
        <v>0</v>
      </c>
      <c r="F70" s="2252"/>
      <c r="G70" s="2253"/>
      <c r="H70" s="2253"/>
      <c r="I70" s="2248"/>
      <c r="J70" s="2252"/>
      <c r="K70" s="1498"/>
      <c r="L70" s="1498"/>
      <c r="M70" s="1498"/>
      <c r="N70" s="1498"/>
      <c r="O70" s="1498"/>
      <c r="P70" s="1498"/>
      <c r="Q70" s="1498"/>
      <c r="R70" s="1498"/>
    </row>
    <row r="71" spans="1:18" ht="12.75" customHeight="1">
      <c r="A71" s="1834" t="s">
        <v>1911</v>
      </c>
      <c r="B71" s="1835"/>
      <c r="C71" s="2248" t="s">
        <v>1886</v>
      </c>
      <c r="D71" s="2248">
        <v>0</v>
      </c>
      <c r="E71" s="2248">
        <v>0</v>
      </c>
      <c r="F71" s="2252"/>
      <c r="G71" s="2253"/>
      <c r="H71" s="2253"/>
      <c r="I71" s="2248"/>
      <c r="J71" s="2252"/>
      <c r="K71" s="1498"/>
      <c r="L71" s="1498"/>
      <c r="M71" s="1498"/>
      <c r="N71" s="1498"/>
      <c r="O71" s="1498"/>
      <c r="P71" s="1498"/>
      <c r="Q71" s="1498"/>
      <c r="R71" s="1498"/>
    </row>
    <row r="72" spans="1:18" ht="12.75" customHeight="1">
      <c r="A72" s="1834" t="s">
        <v>1912</v>
      </c>
      <c r="B72" s="1835"/>
      <c r="C72" s="2248" t="s">
        <v>1886</v>
      </c>
      <c r="D72" s="2248">
        <v>0</v>
      </c>
      <c r="E72" s="2248">
        <v>0</v>
      </c>
      <c r="F72" s="2252"/>
      <c r="G72" s="2253"/>
      <c r="H72" s="2253"/>
      <c r="I72" s="2248"/>
      <c r="J72" s="2252"/>
      <c r="K72" s="1498"/>
      <c r="L72" s="1498"/>
      <c r="M72" s="1498"/>
      <c r="N72" s="1498"/>
      <c r="O72" s="1498"/>
      <c r="P72" s="1498"/>
      <c r="Q72" s="1498"/>
      <c r="R72" s="1498"/>
    </row>
    <row r="73" spans="1:18" ht="12.75" customHeight="1">
      <c r="A73" s="1834" t="s">
        <v>1913</v>
      </c>
      <c r="B73" s="1835"/>
      <c r="C73" s="2248" t="s">
        <v>1886</v>
      </c>
      <c r="D73" s="2248">
        <v>0</v>
      </c>
      <c r="E73" s="2248">
        <v>0</v>
      </c>
      <c r="F73" s="2252"/>
      <c r="G73" s="2253"/>
      <c r="H73" s="2253"/>
      <c r="I73" s="2248"/>
      <c r="J73" s="2252"/>
      <c r="K73" s="1498"/>
      <c r="L73" s="1498"/>
      <c r="M73" s="1498"/>
      <c r="N73" s="1498"/>
      <c r="O73" s="1498"/>
      <c r="P73" s="1498"/>
      <c r="Q73" s="1498"/>
      <c r="R73" s="1498"/>
    </row>
    <row r="74" spans="1:18" ht="12.75" customHeight="1">
      <c r="A74" s="1834" t="s">
        <v>1914</v>
      </c>
      <c r="B74" s="1835"/>
      <c r="C74" s="2724">
        <v>1.1143427235427621</v>
      </c>
      <c r="D74" s="2248">
        <v>79</v>
      </c>
      <c r="E74" s="2248">
        <v>85</v>
      </c>
      <c r="F74" s="2252">
        <v>91</v>
      </c>
      <c r="G74" s="2253">
        <v>103</v>
      </c>
      <c r="H74" s="2253">
        <v>103</v>
      </c>
      <c r="I74" s="2248">
        <v>103</v>
      </c>
      <c r="J74" s="2252">
        <v>103</v>
      </c>
      <c r="K74" s="1498"/>
      <c r="L74" s="1498"/>
      <c r="M74" s="1498"/>
      <c r="N74" s="1498"/>
      <c r="O74" s="1498"/>
      <c r="P74" s="1498"/>
      <c r="Q74" s="1498"/>
      <c r="R74" s="1498"/>
    </row>
    <row r="75" spans="1:18" ht="12.75" customHeight="1">
      <c r="A75" s="1834" t="s">
        <v>1915</v>
      </c>
      <c r="B75" s="1835"/>
      <c r="C75" s="2724">
        <v>1.4321419838138814</v>
      </c>
      <c r="D75" s="2248">
        <v>105</v>
      </c>
      <c r="E75" s="2248">
        <v>110</v>
      </c>
      <c r="F75" s="2252">
        <v>117</v>
      </c>
      <c r="G75" s="2253">
        <v>132</v>
      </c>
      <c r="H75" s="2253">
        <v>132</v>
      </c>
      <c r="I75" s="2248">
        <v>132</v>
      </c>
      <c r="J75" s="2252">
        <v>132</v>
      </c>
      <c r="K75" s="1498"/>
      <c r="L75" s="1498"/>
      <c r="M75" s="1498"/>
      <c r="N75" s="1498"/>
      <c r="O75" s="1498"/>
      <c r="P75" s="1498"/>
      <c r="Q75" s="1498"/>
      <c r="R75" s="1498"/>
    </row>
    <row r="76" spans="1:18" ht="12.75" customHeight="1">
      <c r="A76" s="1834" t="s">
        <v>1916</v>
      </c>
      <c r="B76" s="1835"/>
      <c r="C76" s="2724">
        <v>2.0218056483267017</v>
      </c>
      <c r="D76" s="2248">
        <v>152</v>
      </c>
      <c r="E76" s="2248">
        <v>153</v>
      </c>
      <c r="F76" s="2252">
        <v>165</v>
      </c>
      <c r="G76" s="2253">
        <v>187</v>
      </c>
      <c r="H76" s="2253">
        <v>187</v>
      </c>
      <c r="I76" s="2248">
        <v>187</v>
      </c>
      <c r="J76" s="2252">
        <v>187</v>
      </c>
      <c r="K76" s="1498"/>
      <c r="L76" s="1498"/>
      <c r="M76" s="1498"/>
      <c r="N76" s="1498"/>
      <c r="O76" s="1498"/>
      <c r="P76" s="1498"/>
      <c r="Q76" s="1498"/>
      <c r="R76" s="1498"/>
    </row>
    <row r="77" spans="1:18" ht="12.75" customHeight="1">
      <c r="A77" s="1834" t="s">
        <v>1917</v>
      </c>
      <c r="B77" s="1835"/>
      <c r="C77" s="2724">
        <v>2.3774572932146265</v>
      </c>
      <c r="D77" s="2248">
        <v>197</v>
      </c>
      <c r="E77" s="2248">
        <v>182</v>
      </c>
      <c r="F77" s="2252">
        <v>194</v>
      </c>
      <c r="G77" s="2253">
        <v>220</v>
      </c>
      <c r="H77" s="2253">
        <v>220</v>
      </c>
      <c r="I77" s="2248">
        <v>220</v>
      </c>
      <c r="J77" s="2252">
        <v>220</v>
      </c>
      <c r="K77" s="1498"/>
      <c r="L77" s="1498"/>
      <c r="M77" s="1498"/>
      <c r="N77" s="1498"/>
      <c r="O77" s="1498"/>
      <c r="P77" s="1498"/>
      <c r="Q77" s="1498"/>
      <c r="R77" s="1498"/>
    </row>
    <row r="78" spans="1:18" ht="12.75" customHeight="1">
      <c r="A78" s="1834" t="s">
        <v>1918</v>
      </c>
      <c r="B78" s="1835"/>
      <c r="C78" s="2248" t="s">
        <v>1886</v>
      </c>
      <c r="D78" s="2248"/>
      <c r="E78" s="2248">
        <v>0</v>
      </c>
      <c r="F78" s="2252"/>
      <c r="G78" s="2253"/>
      <c r="H78" s="2253"/>
      <c r="I78" s="2248"/>
      <c r="J78" s="2252"/>
      <c r="K78" s="1498"/>
      <c r="L78" s="1498"/>
      <c r="M78" s="1498"/>
      <c r="N78" s="1498"/>
      <c r="O78" s="1498"/>
      <c r="P78" s="1498"/>
      <c r="Q78" s="1498"/>
      <c r="R78" s="1498"/>
    </row>
    <row r="79" spans="1:18" ht="12.75" customHeight="1">
      <c r="A79" s="1101" t="s">
        <v>245</v>
      </c>
      <c r="B79" s="1835">
        <v>2</v>
      </c>
      <c r="C79" s="2248"/>
      <c r="D79" s="2248"/>
      <c r="E79" s="2248"/>
      <c r="F79" s="2252"/>
      <c r="G79" s="2253"/>
      <c r="H79" s="2253"/>
      <c r="I79" s="2248"/>
      <c r="J79" s="2252"/>
      <c r="K79" s="1628"/>
      <c r="L79" s="1628"/>
      <c r="M79" s="1628"/>
      <c r="N79" s="1628"/>
      <c r="O79" s="1628"/>
      <c r="P79" s="1628"/>
      <c r="Q79" s="1628"/>
      <c r="R79" s="1628"/>
    </row>
    <row r="80" spans="1:18" ht="4.9000000000000004" customHeight="1">
      <c r="A80" s="1840"/>
      <c r="B80" s="1835"/>
      <c r="C80" s="1835"/>
      <c r="D80" s="1837"/>
      <c r="E80" s="1837"/>
      <c r="F80" s="1838"/>
      <c r="G80" s="1839"/>
      <c r="H80" s="1839"/>
      <c r="I80" s="1837"/>
      <c r="J80" s="1838"/>
      <c r="K80" s="1630"/>
      <c r="L80" s="1630"/>
      <c r="M80" s="1630"/>
      <c r="N80" s="1630"/>
      <c r="O80" s="1630"/>
      <c r="P80" s="1630"/>
      <c r="Q80" s="1630"/>
      <c r="R80" s="1630"/>
    </row>
    <row r="81" spans="1:18" ht="12.75" customHeight="1">
      <c r="A81" s="1829" t="s">
        <v>1887</v>
      </c>
      <c r="B81" s="1835"/>
      <c r="C81" s="1836"/>
      <c r="D81" s="1837"/>
      <c r="E81" s="1837"/>
      <c r="F81" s="1838"/>
      <c r="G81" s="1839"/>
      <c r="H81" s="1839"/>
      <c r="I81" s="1837"/>
      <c r="J81" s="1838"/>
      <c r="K81" s="1631"/>
      <c r="L81" s="1631"/>
      <c r="M81" s="1631"/>
      <c r="N81" s="1631"/>
      <c r="O81" s="1631"/>
      <c r="P81" s="1631"/>
      <c r="Q81" s="1631"/>
      <c r="R81" s="1631"/>
    </row>
    <row r="82" spans="1:18" ht="12.75" customHeight="1">
      <c r="A82" s="1840" t="s">
        <v>1864</v>
      </c>
      <c r="B82" s="1835"/>
      <c r="C82" s="1836"/>
      <c r="D82" s="1837"/>
      <c r="E82" s="1837"/>
      <c r="F82" s="1838"/>
      <c r="G82" s="1839"/>
      <c r="H82" s="1839"/>
      <c r="I82" s="1837"/>
      <c r="J82" s="1838"/>
      <c r="K82" s="1630"/>
      <c r="L82" s="1630"/>
      <c r="M82" s="1630"/>
      <c r="N82" s="1630"/>
      <c r="O82" s="1630"/>
      <c r="P82" s="1630"/>
      <c r="Q82" s="1630"/>
      <c r="R82" s="1630"/>
    </row>
    <row r="83" spans="1:18" ht="12.75" customHeight="1">
      <c r="A83" s="1834" t="s">
        <v>1888</v>
      </c>
      <c r="B83" s="1835"/>
      <c r="C83" s="2248"/>
      <c r="D83" s="2248"/>
      <c r="E83" s="2248"/>
      <c r="F83" s="2252"/>
      <c r="G83" s="2253"/>
      <c r="H83" s="2253"/>
      <c r="I83" s="2248"/>
      <c r="J83" s="2252"/>
      <c r="K83" s="1630"/>
      <c r="L83" s="1630"/>
      <c r="M83" s="1630"/>
      <c r="N83" s="1630"/>
      <c r="O83" s="1630"/>
      <c r="P83" s="1630"/>
      <c r="Q83" s="1630"/>
      <c r="R83" s="1630"/>
    </row>
    <row r="84" spans="1:18" ht="12.75" customHeight="1">
      <c r="A84" s="1834" t="s">
        <v>1889</v>
      </c>
      <c r="B84" s="1835"/>
      <c r="C84" s="2248" t="s">
        <v>4056</v>
      </c>
      <c r="D84" s="2248">
        <v>50</v>
      </c>
      <c r="E84" s="2248">
        <v>118.43</v>
      </c>
      <c r="F84" s="2252">
        <v>124.71</v>
      </c>
      <c r="G84" s="2253">
        <v>131.69</v>
      </c>
      <c r="H84" s="2253">
        <v>137.62</v>
      </c>
      <c r="I84" s="2248">
        <v>143.94999999999999</v>
      </c>
      <c r="J84" s="2252">
        <v>150.57</v>
      </c>
      <c r="K84" s="1630"/>
      <c r="L84" s="1630"/>
      <c r="M84" s="1630"/>
      <c r="N84" s="1630"/>
      <c r="O84" s="1630"/>
      <c r="P84" s="1630"/>
      <c r="Q84" s="1630"/>
      <c r="R84" s="1630"/>
    </row>
    <row r="85" spans="1:18" ht="12.75" customHeight="1">
      <c r="A85" s="1834" t="s">
        <v>1890</v>
      </c>
      <c r="B85" s="1835"/>
      <c r="C85" s="2248"/>
      <c r="D85" s="2248"/>
      <c r="E85" s="2248"/>
      <c r="F85" s="2252"/>
      <c r="G85" s="2253"/>
      <c r="H85" s="2253"/>
      <c r="I85" s="2248"/>
      <c r="J85" s="2252"/>
      <c r="K85" s="1630"/>
      <c r="L85" s="1630"/>
      <c r="M85" s="1630"/>
      <c r="N85" s="1630"/>
      <c r="O85" s="1630"/>
      <c r="P85" s="1630"/>
      <c r="Q85" s="1630"/>
      <c r="R85" s="1630"/>
    </row>
    <row r="86" spans="1:18" ht="12.75" customHeight="1">
      <c r="A86" s="1834" t="s">
        <v>1891</v>
      </c>
      <c r="B86" s="1835"/>
      <c r="C86" s="2248"/>
      <c r="D86" s="2248"/>
      <c r="E86" s="2248"/>
      <c r="F86" s="2252"/>
      <c r="G86" s="2253"/>
      <c r="H86" s="2253"/>
      <c r="I86" s="2248"/>
      <c r="J86" s="2252"/>
      <c r="K86" s="1630"/>
      <c r="L86" s="1630"/>
      <c r="M86" s="1630"/>
      <c r="N86" s="1630"/>
      <c r="O86" s="1630"/>
      <c r="P86" s="1630"/>
      <c r="Q86" s="1630"/>
      <c r="R86" s="1630"/>
    </row>
    <row r="87" spans="1:18" ht="4.9000000000000004" customHeight="1">
      <c r="A87" s="1848"/>
      <c r="B87" s="1849"/>
      <c r="C87" s="1849" t="s">
        <v>2484</v>
      </c>
      <c r="D87" s="1850"/>
      <c r="E87" s="1850"/>
      <c r="F87" s="1851"/>
      <c r="G87" s="1852"/>
      <c r="H87" s="1852"/>
      <c r="I87" s="1850"/>
      <c r="J87" s="1851"/>
      <c r="K87" s="1630"/>
      <c r="L87" s="1630"/>
      <c r="M87" s="1630"/>
      <c r="N87" s="1630"/>
      <c r="O87" s="1630"/>
      <c r="P87" s="1630"/>
      <c r="Q87" s="1630"/>
      <c r="R87" s="1630"/>
    </row>
    <row r="88" spans="1:18" ht="11.25" customHeight="1">
      <c r="A88" s="989" t="str">
        <f>head27a</f>
        <v>References</v>
      </c>
      <c r="B88" s="571"/>
      <c r="C88" s="571"/>
      <c r="D88" s="572"/>
      <c r="E88" s="572"/>
      <c r="F88" s="572"/>
      <c r="G88" s="573"/>
      <c r="H88" s="572"/>
      <c r="I88" s="572"/>
      <c r="J88" s="574"/>
      <c r="K88" s="470"/>
      <c r="L88" s="470"/>
      <c r="M88" s="470"/>
      <c r="N88" s="470"/>
      <c r="O88" s="470"/>
      <c r="P88" s="470"/>
      <c r="Q88" s="470"/>
      <c r="R88" s="470"/>
    </row>
    <row r="89" spans="1:18" ht="11.25" customHeight="1">
      <c r="A89" s="1237" t="s">
        <v>1996</v>
      </c>
      <c r="B89" s="1853"/>
      <c r="C89" s="1853"/>
      <c r="D89" s="1235"/>
      <c r="E89" s="1235"/>
      <c r="F89" s="1235"/>
      <c r="G89" s="1235"/>
      <c r="H89" s="1235"/>
      <c r="I89" s="1235"/>
      <c r="J89" s="1235"/>
      <c r="K89" s="1632"/>
      <c r="L89" s="1632"/>
      <c r="M89" s="1632"/>
      <c r="N89" s="1632"/>
      <c r="O89" s="1632"/>
      <c r="P89" s="1632"/>
      <c r="Q89" s="1632"/>
      <c r="R89" s="1632"/>
    </row>
    <row r="90" spans="1:18" ht="11.25" customHeight="1">
      <c r="A90" s="1237" t="s">
        <v>2002</v>
      </c>
      <c r="B90" s="1853"/>
      <c r="C90" s="1853"/>
      <c r="D90" s="1235"/>
      <c r="E90" s="1235"/>
      <c r="F90" s="1235"/>
      <c r="G90" s="1235"/>
      <c r="H90" s="1235"/>
      <c r="I90" s="1235"/>
      <c r="J90" s="1235"/>
      <c r="K90" s="1632"/>
      <c r="L90" s="1632"/>
      <c r="M90" s="1632"/>
      <c r="N90" s="1632"/>
      <c r="O90" s="1632"/>
      <c r="P90" s="1632"/>
      <c r="Q90" s="1632"/>
      <c r="R90" s="1632"/>
    </row>
    <row r="91" spans="1:18" ht="11.25" customHeight="1">
      <c r="A91" s="1854"/>
      <c r="B91" s="1855"/>
      <c r="C91" s="1856"/>
      <c r="D91" s="1856"/>
      <c r="E91" s="1856"/>
      <c r="F91" s="1856"/>
      <c r="G91" s="1856"/>
      <c r="H91" s="1856"/>
      <c r="I91" s="1856"/>
      <c r="J91" s="1856"/>
      <c r="K91" s="1632"/>
      <c r="L91" s="1632"/>
      <c r="M91" s="1632"/>
      <c r="N91" s="1632"/>
      <c r="O91" s="1632"/>
      <c r="P91" s="1632"/>
      <c r="Q91" s="1632"/>
      <c r="R91" s="1632"/>
    </row>
    <row r="92" spans="1:18" ht="11.25" customHeight="1">
      <c r="A92" s="1620"/>
      <c r="C92" s="1632"/>
      <c r="D92" s="1632"/>
      <c r="E92" s="1632"/>
      <c r="F92" s="1632"/>
      <c r="G92" s="1632"/>
      <c r="H92" s="1632"/>
      <c r="I92" s="1632"/>
      <c r="J92" s="1632"/>
      <c r="K92" s="1632"/>
      <c r="L92" s="1632"/>
      <c r="M92" s="1632"/>
      <c r="N92" s="1632"/>
      <c r="O92" s="1632"/>
      <c r="P92" s="1632"/>
      <c r="Q92" s="1632"/>
      <c r="R92" s="1632"/>
    </row>
    <row r="93" spans="1:18" ht="21" customHeight="1">
      <c r="A93" s="1865"/>
      <c r="B93" s="1630"/>
      <c r="C93" s="1866"/>
      <c r="D93" s="1866"/>
      <c r="E93" s="1866"/>
      <c r="F93" s="1866"/>
      <c r="G93" s="1866"/>
      <c r="H93" s="1866"/>
      <c r="I93" s="1866"/>
      <c r="J93" s="1866"/>
      <c r="K93" s="1866"/>
      <c r="L93" s="1632"/>
      <c r="M93" s="1632"/>
      <c r="N93" s="1632"/>
      <c r="O93" s="1632"/>
      <c r="P93" s="1632"/>
      <c r="Q93" s="1632"/>
      <c r="R93" s="1632"/>
    </row>
    <row r="94" spans="1:18" ht="22.5" customHeight="1">
      <c r="A94" s="2906"/>
      <c r="B94" s="2906"/>
      <c r="C94" s="2905"/>
      <c r="D94" s="2905"/>
      <c r="E94" s="2905"/>
      <c r="F94" s="2905"/>
      <c r="G94" s="2905"/>
      <c r="H94" s="1868"/>
      <c r="I94" s="1868"/>
      <c r="J94" s="1868"/>
      <c r="K94" s="1866"/>
      <c r="L94" s="1632"/>
      <c r="M94" s="1632"/>
      <c r="N94" s="1632"/>
      <c r="O94" s="1632"/>
      <c r="P94" s="1632"/>
      <c r="Q94" s="1632"/>
      <c r="R94" s="1632"/>
    </row>
    <row r="95" spans="1:18" ht="36.75" customHeight="1">
      <c r="A95" s="2906"/>
      <c r="B95" s="2906"/>
      <c r="C95" s="2905"/>
      <c r="D95" s="2905"/>
      <c r="E95" s="2905"/>
      <c r="F95" s="2905"/>
      <c r="G95" s="2905"/>
      <c r="H95" s="1867"/>
      <c r="I95" s="1867"/>
      <c r="J95" s="1867"/>
      <c r="K95" s="1869"/>
      <c r="L95" s="1622"/>
      <c r="M95" s="1622"/>
      <c r="N95" s="1622"/>
      <c r="O95" s="1622"/>
      <c r="P95" s="1622"/>
      <c r="Q95" s="1622"/>
      <c r="R95" s="1622"/>
    </row>
    <row r="96" spans="1:18" ht="21.75" customHeight="1">
      <c r="A96" s="1863"/>
      <c r="B96" s="1859"/>
      <c r="C96" s="1870"/>
      <c r="D96" s="1870"/>
      <c r="E96" s="1870"/>
      <c r="F96" s="1870"/>
      <c r="G96" s="1870"/>
      <c r="H96" s="1870"/>
      <c r="I96" s="1870"/>
      <c r="J96" s="1870"/>
      <c r="K96" s="1871"/>
      <c r="L96" s="1633"/>
      <c r="M96" s="1633"/>
      <c r="N96" s="1633"/>
      <c r="O96" s="1633"/>
      <c r="P96" s="1633"/>
      <c r="Q96" s="1633"/>
      <c r="R96" s="1633"/>
    </row>
    <row r="97" spans="1:18" ht="11.65" customHeight="1">
      <c r="A97" s="1864"/>
      <c r="B97" s="1859"/>
      <c r="C97" s="1870"/>
      <c r="D97" s="1870"/>
      <c r="E97" s="1870"/>
      <c r="F97" s="1870"/>
      <c r="G97" s="1870"/>
      <c r="H97" s="1870"/>
      <c r="I97" s="1870"/>
      <c r="J97" s="1870"/>
      <c r="K97" s="1871"/>
      <c r="L97" s="1633"/>
      <c r="M97" s="1633"/>
      <c r="N97" s="1633"/>
      <c r="O97" s="1633"/>
      <c r="P97" s="1633"/>
      <c r="Q97" s="1633"/>
      <c r="R97" s="1633"/>
    </row>
    <row r="98" spans="1:18" ht="11.65" customHeight="1">
      <c r="A98" s="1864"/>
      <c r="B98" s="1859"/>
      <c r="C98" s="1870"/>
      <c r="D98" s="1870"/>
      <c r="E98" s="1870"/>
      <c r="F98" s="1870"/>
      <c r="G98" s="1870"/>
      <c r="H98" s="1870"/>
      <c r="I98" s="1870"/>
      <c r="J98" s="1870"/>
      <c r="K98" s="1871"/>
      <c r="L98" s="1633"/>
      <c r="M98" s="1633"/>
      <c r="N98" s="1633"/>
      <c r="O98" s="1633"/>
      <c r="P98" s="1633"/>
      <c r="Q98" s="1633"/>
      <c r="R98" s="1633"/>
    </row>
    <row r="99" spans="1:18" ht="11.65" customHeight="1">
      <c r="A99" s="1864"/>
      <c r="B99" s="1859"/>
      <c r="C99" s="1870"/>
      <c r="D99" s="1870"/>
      <c r="E99" s="1870"/>
      <c r="F99" s="1870"/>
      <c r="G99" s="1870"/>
      <c r="H99" s="1870"/>
      <c r="I99" s="1870"/>
      <c r="J99" s="1870"/>
      <c r="K99" s="1871"/>
      <c r="L99" s="1633"/>
      <c r="M99" s="1633"/>
      <c r="N99" s="1633"/>
      <c r="O99" s="1633"/>
      <c r="P99" s="1633"/>
      <c r="Q99" s="1633"/>
      <c r="R99" s="1633"/>
    </row>
    <row r="100" spans="1:18" ht="21" customHeight="1">
      <c r="A100" s="1863"/>
      <c r="B100" s="1859"/>
      <c r="C100" s="1870"/>
      <c r="D100" s="1870"/>
      <c r="E100" s="1870"/>
      <c r="F100" s="1870"/>
      <c r="G100" s="1870"/>
      <c r="H100" s="1870"/>
      <c r="I100" s="1870"/>
      <c r="J100" s="1870"/>
      <c r="K100" s="1871"/>
      <c r="L100" s="1633"/>
      <c r="M100" s="1633"/>
      <c r="N100" s="1633"/>
      <c r="O100" s="1633"/>
      <c r="P100" s="1633"/>
      <c r="Q100" s="1633"/>
      <c r="R100" s="1633"/>
    </row>
    <row r="101" spans="1:18" ht="11.65" customHeight="1">
      <c r="A101" s="1864"/>
      <c r="B101" s="1859"/>
      <c r="C101" s="1870"/>
      <c r="D101" s="1870"/>
      <c r="E101" s="1870"/>
      <c r="F101" s="1870"/>
      <c r="G101" s="1870"/>
      <c r="H101" s="1870"/>
      <c r="I101" s="1870"/>
      <c r="J101" s="1870"/>
      <c r="K101" s="1871"/>
      <c r="L101" s="1633"/>
      <c r="M101" s="1633"/>
      <c r="N101" s="1633"/>
      <c r="O101" s="1633"/>
      <c r="P101" s="1633"/>
      <c r="Q101" s="1633"/>
      <c r="R101" s="1633"/>
    </row>
    <row r="102" spans="1:18" ht="11.65" customHeight="1">
      <c r="A102" s="1864"/>
      <c r="B102" s="1859"/>
      <c r="C102" s="1870"/>
      <c r="D102" s="1870"/>
      <c r="E102" s="1870"/>
      <c r="F102" s="1870"/>
      <c r="G102" s="1870"/>
      <c r="H102" s="1870"/>
      <c r="I102" s="1870"/>
      <c r="J102" s="1870"/>
      <c r="K102" s="1871"/>
      <c r="L102" s="1633"/>
      <c r="M102" s="1633"/>
      <c r="N102" s="1633"/>
      <c r="O102" s="1633"/>
      <c r="P102" s="1633"/>
      <c r="Q102" s="1633"/>
      <c r="R102" s="1633"/>
    </row>
    <row r="103" spans="1:18" ht="11.65" customHeight="1">
      <c r="A103" s="1864"/>
      <c r="B103" s="1859"/>
      <c r="C103" s="1870"/>
      <c r="D103" s="1870"/>
      <c r="E103" s="1870"/>
      <c r="F103" s="1870"/>
      <c r="G103" s="1870"/>
      <c r="H103" s="1870"/>
      <c r="I103" s="1870"/>
      <c r="J103" s="1870"/>
      <c r="K103" s="1871"/>
      <c r="L103" s="1633"/>
      <c r="M103" s="1633"/>
      <c r="N103" s="1633"/>
      <c r="O103" s="1633"/>
      <c r="P103" s="1633"/>
      <c r="Q103" s="1633"/>
      <c r="R103" s="1633"/>
    </row>
    <row r="104" spans="1:18" ht="11.65" customHeight="1">
      <c r="A104" s="1864"/>
      <c r="B104" s="1859"/>
      <c r="C104" s="1870"/>
      <c r="D104" s="1870"/>
      <c r="E104" s="1870"/>
      <c r="F104" s="1870"/>
      <c r="G104" s="1870"/>
      <c r="H104" s="1870"/>
      <c r="I104" s="1870"/>
      <c r="J104" s="1870"/>
      <c r="K104" s="1871"/>
      <c r="L104" s="1633"/>
      <c r="M104" s="1633"/>
      <c r="N104" s="1633"/>
      <c r="O104" s="1633"/>
      <c r="P104" s="1633"/>
      <c r="Q104" s="1633"/>
      <c r="R104" s="1633"/>
    </row>
    <row r="105" spans="1:18" ht="21" customHeight="1">
      <c r="A105" s="1863"/>
      <c r="B105" s="1859"/>
      <c r="C105" s="1870"/>
      <c r="D105" s="1870"/>
      <c r="E105" s="1870"/>
      <c r="F105" s="1870"/>
      <c r="G105" s="1870"/>
      <c r="H105" s="1870"/>
      <c r="I105" s="1870"/>
      <c r="J105" s="1870"/>
      <c r="K105" s="1871"/>
      <c r="L105" s="1633"/>
      <c r="M105" s="1633"/>
      <c r="N105" s="1633"/>
      <c r="O105" s="1633"/>
      <c r="P105" s="1633"/>
      <c r="Q105" s="1633"/>
      <c r="R105" s="1633"/>
    </row>
    <row r="106" spans="1:18" ht="11.65" customHeight="1">
      <c r="A106" s="1864"/>
      <c r="B106" s="1859"/>
      <c r="C106" s="1870"/>
      <c r="D106" s="1870"/>
      <c r="E106" s="1870"/>
      <c r="F106" s="1870"/>
      <c r="G106" s="1870"/>
      <c r="H106" s="1870"/>
      <c r="I106" s="1870"/>
      <c r="J106" s="1870"/>
      <c r="K106" s="1871"/>
      <c r="L106" s="1633"/>
      <c r="M106" s="1633"/>
      <c r="N106" s="1633"/>
      <c r="O106" s="1633"/>
      <c r="P106" s="1633"/>
      <c r="Q106" s="1633"/>
      <c r="R106" s="1633"/>
    </row>
    <row r="107" spans="1:18" ht="11.65" customHeight="1">
      <c r="A107" s="1864"/>
      <c r="B107" s="1859"/>
      <c r="C107" s="1870"/>
      <c r="D107" s="1870"/>
      <c r="E107" s="1870"/>
      <c r="F107" s="1870"/>
      <c r="G107" s="1870"/>
      <c r="H107" s="1870"/>
      <c r="I107" s="1870"/>
      <c r="J107" s="1870"/>
      <c r="K107" s="1871"/>
      <c r="L107" s="1633"/>
      <c r="M107" s="1633"/>
      <c r="N107" s="1633"/>
      <c r="O107" s="1633"/>
      <c r="P107" s="1633"/>
      <c r="Q107" s="1633"/>
      <c r="R107" s="1633"/>
    </row>
    <row r="108" spans="1:18" ht="11.65" customHeight="1">
      <c r="A108" s="1864"/>
      <c r="B108" s="1859"/>
      <c r="C108" s="1870"/>
      <c r="D108" s="1870"/>
      <c r="E108" s="1870"/>
      <c r="F108" s="1870"/>
      <c r="G108" s="1870"/>
      <c r="H108" s="1870"/>
      <c r="I108" s="1870"/>
      <c r="J108" s="1870"/>
      <c r="K108" s="1871"/>
      <c r="L108" s="1633"/>
      <c r="M108" s="1633"/>
      <c r="N108" s="1633"/>
      <c r="O108" s="1633"/>
      <c r="P108" s="1633"/>
      <c r="Q108" s="1633"/>
      <c r="R108" s="1633"/>
    </row>
    <row r="109" spans="1:18" ht="21" customHeight="1">
      <c r="A109" s="1863"/>
      <c r="B109" s="1859"/>
      <c r="C109" s="1870"/>
      <c r="D109" s="1870"/>
      <c r="E109" s="1870"/>
      <c r="F109" s="1870"/>
      <c r="G109" s="1870"/>
      <c r="H109" s="1870"/>
      <c r="I109" s="1870"/>
      <c r="J109" s="1870"/>
      <c r="K109" s="1872"/>
      <c r="L109" s="1635"/>
      <c r="M109" s="1635"/>
      <c r="N109" s="1635"/>
      <c r="O109" s="1635"/>
      <c r="P109" s="1635"/>
      <c r="Q109" s="1635"/>
      <c r="R109" s="1635"/>
    </row>
    <row r="110" spans="1:18" ht="11.65" customHeight="1">
      <c r="A110" s="1864"/>
      <c r="B110" s="1859"/>
      <c r="C110" s="1870"/>
      <c r="D110" s="1870"/>
      <c r="E110" s="1870"/>
      <c r="F110" s="1870"/>
      <c r="G110" s="1870"/>
      <c r="H110" s="1870"/>
      <c r="I110" s="1870"/>
      <c r="J110" s="1870"/>
      <c r="K110" s="1872"/>
      <c r="L110" s="1635"/>
      <c r="M110" s="1635"/>
      <c r="N110" s="1635"/>
      <c r="O110" s="1635"/>
      <c r="P110" s="1635"/>
      <c r="Q110" s="1635"/>
      <c r="R110" s="1635"/>
    </row>
    <row r="111" spans="1:18" ht="11.65" customHeight="1">
      <c r="A111" s="1864"/>
      <c r="B111" s="1859"/>
      <c r="C111" s="1870"/>
      <c r="D111" s="1870"/>
      <c r="E111" s="1870"/>
      <c r="F111" s="1870"/>
      <c r="G111" s="1870"/>
      <c r="H111" s="1870"/>
      <c r="I111" s="1870"/>
      <c r="J111" s="1870"/>
      <c r="K111" s="1872"/>
      <c r="L111" s="1635"/>
      <c r="M111" s="1635"/>
      <c r="N111" s="1635"/>
      <c r="O111" s="1635"/>
      <c r="P111" s="1635"/>
      <c r="Q111" s="1635"/>
      <c r="R111" s="1635"/>
    </row>
    <row r="112" spans="1:18" ht="11.65" customHeight="1">
      <c r="A112" s="1864"/>
      <c r="B112" s="1859"/>
      <c r="C112" s="1870"/>
      <c r="D112" s="1870"/>
      <c r="E112" s="1870"/>
      <c r="F112" s="1870"/>
      <c r="G112" s="1870"/>
      <c r="H112" s="1870"/>
      <c r="I112" s="1870"/>
      <c r="J112" s="1870"/>
      <c r="K112" s="1872"/>
      <c r="L112" s="1635"/>
      <c r="M112" s="1635"/>
      <c r="N112" s="1635"/>
      <c r="O112" s="1635"/>
      <c r="P112" s="1635"/>
      <c r="Q112" s="1635"/>
      <c r="R112" s="1635"/>
    </row>
    <row r="113" spans="1:18" ht="5.25" customHeight="1">
      <c r="A113" s="1861"/>
      <c r="B113" s="1859"/>
      <c r="C113" s="1870"/>
      <c r="D113" s="1870"/>
      <c r="E113" s="1870"/>
      <c r="F113" s="1870"/>
      <c r="G113" s="1870"/>
      <c r="H113" s="1870"/>
      <c r="I113" s="1870"/>
      <c r="J113" s="1870"/>
      <c r="K113" s="1625"/>
      <c r="L113" s="1623"/>
      <c r="M113" s="1623"/>
      <c r="N113" s="1623"/>
      <c r="O113" s="1623"/>
      <c r="P113" s="1623"/>
      <c r="Q113" s="1623"/>
      <c r="R113" s="1623"/>
    </row>
    <row r="114" spans="1:18" ht="11.25" customHeight="1">
      <c r="A114" s="1620"/>
      <c r="B114" s="1634"/>
      <c r="C114" s="1872"/>
      <c r="D114" s="1872"/>
      <c r="E114" s="1872"/>
      <c r="F114" s="1872"/>
      <c r="G114" s="1872"/>
      <c r="H114" s="1872"/>
      <c r="I114" s="1872"/>
      <c r="J114" s="1872"/>
      <c r="K114" s="1866"/>
      <c r="L114" s="1636"/>
      <c r="M114" s="1636"/>
      <c r="N114" s="1636"/>
      <c r="O114" s="1636"/>
      <c r="P114" s="1636"/>
      <c r="Q114" s="1636"/>
      <c r="R114" s="1636"/>
    </row>
    <row r="115" spans="1:18" ht="11.25" customHeight="1">
      <c r="A115" s="1627"/>
      <c r="B115" s="1634"/>
      <c r="C115" s="1625"/>
      <c r="D115" s="1625"/>
      <c r="E115" s="1625"/>
      <c r="F115" s="1625"/>
      <c r="G115" s="1625"/>
      <c r="H115" s="1625"/>
      <c r="I115" s="1625"/>
      <c r="J115" s="1625"/>
      <c r="K115" s="1871"/>
      <c r="L115" s="1158"/>
      <c r="M115" s="1158"/>
      <c r="N115" s="1158"/>
      <c r="O115" s="1158"/>
      <c r="P115" s="1158"/>
      <c r="Q115" s="1158"/>
      <c r="R115" s="1158"/>
    </row>
    <row r="116" spans="1:18" ht="11.25" customHeight="1">
      <c r="A116" s="1620"/>
      <c r="B116" s="1624"/>
      <c r="C116" s="1866"/>
      <c r="D116" s="1866"/>
      <c r="E116" s="1866"/>
      <c r="F116" s="1866"/>
      <c r="G116" s="1866"/>
      <c r="H116" s="1866"/>
      <c r="I116" s="1866"/>
      <c r="J116" s="1866"/>
      <c r="K116" s="1871"/>
      <c r="L116" s="1158"/>
      <c r="M116" s="1158"/>
      <c r="N116" s="1158"/>
      <c r="O116" s="1158"/>
      <c r="P116" s="1158"/>
      <c r="Q116" s="1158"/>
      <c r="R116" s="1158"/>
    </row>
    <row r="117" spans="1:18" ht="11.25" customHeight="1">
      <c r="A117" s="1620"/>
      <c r="B117" s="1624"/>
      <c r="C117" s="1871"/>
      <c r="D117" s="1871"/>
      <c r="E117" s="1871"/>
      <c r="F117" s="1871"/>
      <c r="G117" s="1871"/>
      <c r="H117" s="1871"/>
      <c r="I117" s="1871"/>
      <c r="J117" s="1871"/>
      <c r="K117" s="1873"/>
      <c r="L117" s="1637"/>
      <c r="M117" s="1637"/>
      <c r="N117" s="1637"/>
      <c r="O117" s="1637"/>
      <c r="P117" s="1637"/>
      <c r="Q117" s="1637"/>
      <c r="R117" s="1637"/>
    </row>
    <row r="118" spans="1:18" ht="11.25" customHeight="1">
      <c r="A118" s="1620"/>
      <c r="B118" s="1624"/>
      <c r="C118" s="1158"/>
      <c r="D118" s="1158"/>
      <c r="E118" s="1158"/>
      <c r="F118" s="1158"/>
      <c r="G118" s="1158"/>
      <c r="H118" s="1158"/>
      <c r="I118" s="1158"/>
      <c r="J118" s="1158"/>
      <c r="K118" s="1638"/>
      <c r="L118" s="1638"/>
      <c r="M118" s="1638"/>
      <c r="N118" s="1638"/>
      <c r="O118" s="1638"/>
      <c r="P118" s="1638"/>
      <c r="Q118" s="1638"/>
      <c r="R118" s="1638"/>
    </row>
    <row r="119" spans="1:18" ht="11.25" customHeight="1">
      <c r="A119" s="1620"/>
      <c r="B119" s="1624"/>
      <c r="C119" s="1637"/>
      <c r="D119" s="1637"/>
      <c r="E119" s="1637"/>
      <c r="F119" s="1637"/>
      <c r="G119" s="1637"/>
      <c r="H119" s="1637"/>
      <c r="I119" s="1637"/>
      <c r="J119" s="1637"/>
      <c r="K119" s="1638"/>
      <c r="L119" s="1638"/>
      <c r="M119" s="1638"/>
      <c r="N119" s="1638"/>
      <c r="O119" s="1638"/>
      <c r="P119" s="1638"/>
      <c r="Q119" s="1638"/>
      <c r="R119" s="1638"/>
    </row>
    <row r="120" spans="1:18" ht="11.25" customHeight="1">
      <c r="A120" s="1620"/>
      <c r="B120" s="1624"/>
      <c r="C120" s="1638"/>
      <c r="D120" s="1638"/>
      <c r="E120" s="1638"/>
      <c r="F120" s="1638"/>
      <c r="G120" s="1638"/>
      <c r="H120" s="1638"/>
      <c r="I120" s="1638"/>
      <c r="J120" s="1638"/>
      <c r="K120" s="1638"/>
      <c r="L120" s="1638"/>
      <c r="M120" s="1638"/>
      <c r="N120" s="1638"/>
      <c r="O120" s="1638"/>
      <c r="P120" s="1638"/>
      <c r="Q120" s="1638"/>
      <c r="R120" s="1638"/>
    </row>
    <row r="121" spans="1:18" ht="11.25" customHeight="1">
      <c r="A121" s="1620"/>
      <c r="B121" s="1624"/>
      <c r="C121" s="1638"/>
      <c r="D121" s="1638"/>
      <c r="E121" s="1638"/>
      <c r="F121" s="1638"/>
      <c r="G121" s="1638"/>
      <c r="H121" s="1638"/>
      <c r="I121" s="1638"/>
      <c r="J121" s="1638"/>
      <c r="K121" s="1638"/>
      <c r="L121" s="1638"/>
      <c r="M121" s="1638"/>
      <c r="N121" s="1638"/>
      <c r="O121" s="1638"/>
      <c r="P121" s="1638"/>
      <c r="Q121" s="1638"/>
      <c r="R121" s="1638"/>
    </row>
    <row r="122" spans="1:18" ht="11.25" customHeight="1">
      <c r="A122" s="1620"/>
      <c r="B122" s="1624"/>
      <c r="C122" s="1638"/>
      <c r="D122" s="1638"/>
      <c r="E122" s="1638"/>
      <c r="F122" s="1638"/>
      <c r="G122" s="1638"/>
      <c r="H122" s="1638"/>
      <c r="I122" s="1638"/>
      <c r="J122" s="1638"/>
      <c r="K122" s="1638"/>
      <c r="L122" s="1638"/>
      <c r="M122" s="1638"/>
      <c r="N122" s="1638"/>
      <c r="O122" s="1638"/>
      <c r="P122" s="1638"/>
      <c r="Q122" s="1638"/>
      <c r="R122" s="1638"/>
    </row>
    <row r="123" spans="1:18" ht="11.25" customHeight="1">
      <c r="A123" s="1620"/>
      <c r="B123" s="1624"/>
      <c r="C123" s="1638"/>
      <c r="D123" s="1638"/>
      <c r="E123" s="1638"/>
      <c r="F123" s="1638"/>
      <c r="G123" s="1638"/>
      <c r="H123" s="1638"/>
      <c r="I123" s="1638"/>
      <c r="J123" s="1638"/>
      <c r="K123" s="1638"/>
      <c r="L123" s="1638"/>
      <c r="M123" s="1638"/>
      <c r="N123" s="1638"/>
      <c r="O123" s="1638"/>
      <c r="P123" s="1638"/>
      <c r="Q123" s="1638"/>
      <c r="R123" s="1638"/>
    </row>
    <row r="124" spans="1:18" ht="11.25" customHeight="1">
      <c r="A124" s="1620"/>
      <c r="B124" s="1624"/>
      <c r="C124" s="1638"/>
      <c r="D124" s="1638"/>
      <c r="E124" s="1638"/>
      <c r="F124" s="1638"/>
      <c r="G124" s="1638"/>
      <c r="H124" s="1638"/>
      <c r="I124" s="1638"/>
      <c r="J124" s="1638"/>
      <c r="K124" s="136"/>
      <c r="L124" s="136"/>
      <c r="M124" s="136"/>
      <c r="N124" s="136"/>
      <c r="O124" s="136"/>
      <c r="P124" s="136"/>
      <c r="Q124" s="136"/>
      <c r="R124" s="136"/>
    </row>
    <row r="125" spans="1:18" ht="4.9000000000000004" customHeight="1">
      <c r="A125" s="1620"/>
      <c r="B125" s="1624"/>
      <c r="C125" s="1638"/>
      <c r="D125" s="1638"/>
      <c r="E125" s="1638"/>
      <c r="F125" s="1638"/>
      <c r="G125" s="1638"/>
      <c r="H125" s="1638"/>
      <c r="I125" s="1638"/>
      <c r="J125" s="1638"/>
      <c r="K125" s="236"/>
      <c r="L125" s="236"/>
      <c r="M125" s="236"/>
      <c r="N125" s="236"/>
      <c r="O125" s="236"/>
      <c r="P125" s="236"/>
      <c r="Q125" s="236"/>
      <c r="R125" s="236"/>
    </row>
    <row r="126" spans="1:18" s="899" customFormat="1">
      <c r="A126" s="1625"/>
      <c r="B126" s="1624"/>
      <c r="C126" s="136"/>
      <c r="D126" s="136"/>
      <c r="E126" s="136"/>
      <c r="F126" s="136"/>
      <c r="G126" s="136"/>
      <c r="H126" s="136"/>
      <c r="I126" s="136"/>
      <c r="J126" s="136"/>
      <c r="K126" s="876"/>
      <c r="L126" s="876"/>
      <c r="M126" s="876"/>
      <c r="N126" s="876"/>
      <c r="O126" s="876"/>
      <c r="P126" s="876"/>
      <c r="Q126" s="876"/>
      <c r="R126" s="876"/>
    </row>
    <row r="127" spans="1:18" s="899" customFormat="1">
      <c r="A127" s="1626"/>
      <c r="B127" s="1621"/>
      <c r="C127" s="236"/>
      <c r="D127" s="236"/>
      <c r="E127" s="236"/>
      <c r="F127" s="236"/>
      <c r="G127" s="236"/>
      <c r="H127" s="236"/>
      <c r="I127" s="236"/>
      <c r="J127" s="236"/>
      <c r="K127" s="876"/>
      <c r="L127" s="876"/>
      <c r="M127" s="876"/>
      <c r="N127" s="876"/>
      <c r="O127" s="876"/>
      <c r="P127" s="876"/>
      <c r="Q127" s="876"/>
      <c r="R127" s="876"/>
    </row>
    <row r="128" spans="1:18" s="899" customFormat="1">
      <c r="A128" s="1639"/>
      <c r="B128" s="1630"/>
      <c r="C128" s="876"/>
      <c r="D128" s="876"/>
      <c r="E128" s="876"/>
      <c r="F128" s="876"/>
      <c r="G128" s="876"/>
      <c r="H128" s="876"/>
      <c r="I128" s="876"/>
      <c r="J128" s="876"/>
      <c r="K128" s="876"/>
      <c r="L128" s="876"/>
      <c r="M128" s="876"/>
      <c r="N128" s="876"/>
      <c r="O128" s="876"/>
      <c r="P128" s="876"/>
      <c r="Q128" s="876"/>
      <c r="R128" s="876"/>
    </row>
    <row r="129" spans="1:18" s="899" customFormat="1">
      <c r="A129" s="1640"/>
      <c r="B129" s="1630"/>
      <c r="C129" s="876"/>
      <c r="D129" s="876"/>
      <c r="E129" s="876"/>
      <c r="F129" s="876"/>
      <c r="G129" s="876"/>
      <c r="H129" s="876"/>
      <c r="I129" s="876"/>
      <c r="J129" s="876"/>
      <c r="K129" s="876"/>
      <c r="L129" s="876"/>
      <c r="M129" s="876"/>
      <c r="N129" s="876"/>
      <c r="O129" s="876"/>
      <c r="P129" s="876"/>
      <c r="Q129" s="876"/>
      <c r="R129" s="876"/>
    </row>
    <row r="130" spans="1:18" s="899" customFormat="1">
      <c r="A130" s="1640"/>
      <c r="B130" s="1630"/>
      <c r="C130" s="876"/>
      <c r="D130" s="876"/>
      <c r="E130" s="876"/>
      <c r="F130" s="876"/>
      <c r="G130" s="876"/>
      <c r="H130" s="876"/>
      <c r="I130" s="876"/>
      <c r="J130" s="876"/>
      <c r="K130" s="876"/>
      <c r="L130" s="876"/>
      <c r="M130" s="876"/>
      <c r="N130" s="876"/>
      <c r="O130" s="876"/>
      <c r="P130" s="876"/>
      <c r="Q130" s="876"/>
      <c r="R130" s="876"/>
    </row>
    <row r="131" spans="1:18">
      <c r="A131" s="1325"/>
      <c r="B131" s="1630"/>
      <c r="C131" s="876"/>
      <c r="D131" s="876"/>
      <c r="E131" s="876"/>
      <c r="F131" s="876"/>
      <c r="G131" s="876"/>
      <c r="H131" s="876"/>
      <c r="I131" s="876"/>
      <c r="J131" s="876"/>
      <c r="K131" s="115"/>
      <c r="L131" s="115"/>
      <c r="M131" s="115"/>
      <c r="N131" s="115"/>
      <c r="O131" s="115"/>
      <c r="P131" s="115"/>
      <c r="Q131" s="115"/>
      <c r="R131" s="115"/>
    </row>
    <row r="132" spans="1:18">
      <c r="A132" s="1640"/>
      <c r="B132" s="1630"/>
      <c r="C132" s="876"/>
      <c r="D132" s="876"/>
      <c r="E132" s="876"/>
      <c r="F132" s="876"/>
      <c r="G132" s="876"/>
      <c r="H132" s="876"/>
      <c r="I132" s="876"/>
      <c r="J132" s="876"/>
      <c r="K132" s="115"/>
      <c r="L132" s="115"/>
      <c r="M132" s="115"/>
      <c r="N132" s="115"/>
      <c r="O132" s="115"/>
      <c r="P132" s="115"/>
      <c r="Q132" s="115"/>
      <c r="R132" s="115"/>
    </row>
    <row r="133" spans="1:18" ht="11.25" customHeight="1">
      <c r="A133" s="990"/>
      <c r="C133" s="114"/>
      <c r="D133" s="114"/>
      <c r="E133" s="114"/>
      <c r="F133" s="114"/>
      <c r="G133" s="115"/>
      <c r="H133" s="115"/>
      <c r="I133" s="115"/>
      <c r="J133" s="115"/>
    </row>
    <row r="134" spans="1:18" ht="11.25" customHeight="1">
      <c r="A134" s="990"/>
      <c r="C134" s="114"/>
      <c r="D134" s="114"/>
      <c r="E134" s="114"/>
      <c r="F134" s="114"/>
      <c r="G134" s="115"/>
      <c r="H134" s="115"/>
      <c r="I134" s="115"/>
      <c r="J134" s="115"/>
    </row>
    <row r="135" spans="1:18" ht="11.25" customHeight="1"/>
    <row r="136" spans="1:18" ht="11.25" customHeight="1">
      <c r="B136" s="1626"/>
    </row>
    <row r="137" spans="1:18" ht="11.25" customHeight="1">
      <c r="B137" s="1626"/>
    </row>
    <row r="138" spans="1:18" ht="11.25" customHeight="1">
      <c r="B138" s="1626"/>
    </row>
    <row r="139" spans="1:18" ht="11.25" customHeight="1"/>
    <row r="140" spans="1:18" ht="11.25" customHeight="1"/>
    <row r="141" spans="1:18" ht="11.25" customHeight="1"/>
    <row r="142" spans="1:18" ht="11.25" customHeight="1"/>
    <row r="143" spans="1:18" ht="11.25" customHeight="1"/>
    <row r="144" spans="1:18"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35433070866141736" right="0" top="0.59055118110236227" bottom="0.39370078740157483" header="0.51181102362204722" footer="0.39370078740157483"/>
  <pageSetup paperSize="8" fitToHeight="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89"/>
  <sheetViews>
    <sheetView showGridLines="0" topLeftCell="A58" zoomScaleNormal="100" workbookViewId="0">
      <selection activeCell="A7" sqref="A7"/>
    </sheetView>
  </sheetViews>
  <sheetFormatPr defaultColWidth="9.140625" defaultRowHeight="12.75"/>
  <cols>
    <col min="1" max="1" width="31.42578125" style="233" customWidth="1"/>
    <col min="2" max="2" width="3.7109375" style="1621"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c r="A1" s="1824" t="str">
        <f>muni&amp;" - "&amp;TableA13b</f>
        <v>LIM333 Greater Tzaneen - Supporting Table SA13b Service Tariffs by category - explanatory</v>
      </c>
      <c r="B1" s="954"/>
      <c r="C1" s="954"/>
      <c r="D1" s="954"/>
      <c r="E1" s="954"/>
      <c r="F1" s="954"/>
      <c r="G1" s="954"/>
      <c r="H1" s="954"/>
      <c r="I1" s="954"/>
      <c r="J1" s="954"/>
      <c r="K1" s="796"/>
      <c r="L1" s="796"/>
      <c r="M1" s="796"/>
      <c r="N1" s="796"/>
      <c r="O1" s="796"/>
      <c r="P1" s="796"/>
      <c r="Q1" s="796"/>
      <c r="R1" s="796"/>
    </row>
    <row r="2" spans="1:18" ht="25.15" customHeight="1">
      <c r="A2" s="2909" t="str">
        <f>desc</f>
        <v>Description</v>
      </c>
      <c r="B2" s="2871" t="str">
        <f>head27</f>
        <v>Ref</v>
      </c>
      <c r="C2" s="2912" t="s">
        <v>1835</v>
      </c>
      <c r="D2" s="2912" t="str">
        <f>head1b</f>
        <v>2016/17</v>
      </c>
      <c r="E2" s="2912" t="str">
        <f>head1A</f>
        <v>2017/18</v>
      </c>
      <c r="F2" s="2914" t="str">
        <f>Head1</f>
        <v>2018/19</v>
      </c>
      <c r="G2" s="2907" t="str">
        <f>Head2</f>
        <v>Current Year 2019/20</v>
      </c>
      <c r="H2" s="1825" t="str">
        <f>Head3</f>
        <v>2020/21 Medium Term Revenue &amp; Expenditure Framework</v>
      </c>
      <c r="I2" s="1826"/>
      <c r="J2" s="1827"/>
      <c r="K2" s="1619"/>
      <c r="L2" s="1619"/>
      <c r="M2" s="1619"/>
      <c r="N2" s="1619"/>
      <c r="O2" s="1619"/>
      <c r="P2" s="1619"/>
      <c r="Q2" s="1619"/>
      <c r="R2" s="1619"/>
    </row>
    <row r="3" spans="1:18" ht="25.15" customHeight="1">
      <c r="A3" s="2910"/>
      <c r="B3" s="2872"/>
      <c r="C3" s="2913"/>
      <c r="D3" s="2913"/>
      <c r="E3" s="2913"/>
      <c r="F3" s="2915"/>
      <c r="G3" s="2908"/>
      <c r="H3" s="1886" t="str">
        <f>Head9</f>
        <v>Budget Year 2020/21</v>
      </c>
      <c r="I3" s="1887" t="str">
        <f>Head10</f>
        <v>Budget Year +1 2021/22</v>
      </c>
      <c r="J3" s="1888" t="str">
        <f>Head11</f>
        <v>Budget Year +2 2022/23</v>
      </c>
      <c r="K3" s="115"/>
      <c r="L3" s="115"/>
      <c r="M3" s="115"/>
      <c r="N3" s="115"/>
      <c r="O3" s="115"/>
      <c r="P3" s="115"/>
      <c r="Q3" s="115"/>
      <c r="R3" s="115"/>
    </row>
    <row r="4" spans="1:18" ht="12.75" customHeight="1">
      <c r="A4" s="1829" t="s">
        <v>1857</v>
      </c>
      <c r="B4" s="1836"/>
      <c r="C4" s="1837"/>
      <c r="D4" s="1837"/>
      <c r="E4" s="1837"/>
      <c r="F4" s="1838"/>
      <c r="G4" s="1839"/>
      <c r="H4" s="1839"/>
      <c r="I4" s="1837"/>
      <c r="J4" s="1838"/>
      <c r="K4" s="115"/>
      <c r="L4" s="115"/>
      <c r="M4" s="115"/>
      <c r="N4" s="115"/>
      <c r="O4" s="115"/>
      <c r="P4" s="115"/>
      <c r="Q4" s="115"/>
      <c r="R4" s="115"/>
    </row>
    <row r="5" spans="1:18" ht="12.75" customHeight="1">
      <c r="A5" s="2254" t="s">
        <v>2005</v>
      </c>
      <c r="B5" s="1836"/>
      <c r="C5" s="2248"/>
      <c r="D5" s="2248"/>
      <c r="E5" s="2248"/>
      <c r="F5" s="2252"/>
      <c r="G5" s="2253"/>
      <c r="H5" s="2253"/>
      <c r="I5" s="2248"/>
      <c r="J5" s="2252"/>
      <c r="K5" s="1498"/>
      <c r="L5" s="1498"/>
      <c r="M5" s="1498"/>
      <c r="N5" s="1498"/>
      <c r="O5" s="1498"/>
      <c r="P5" s="1498"/>
      <c r="Q5" s="1498"/>
      <c r="R5" s="1498"/>
    </row>
    <row r="6" spans="1:18" ht="12.75" customHeight="1">
      <c r="A6" s="2254" t="s">
        <v>4058</v>
      </c>
      <c r="B6" s="1835"/>
      <c r="C6" s="2248" t="s">
        <v>4059</v>
      </c>
      <c r="D6" s="2248">
        <v>15000</v>
      </c>
      <c r="E6" s="2248">
        <v>15000</v>
      </c>
      <c r="F6" s="2248">
        <v>15000</v>
      </c>
      <c r="G6" s="2248">
        <v>15000</v>
      </c>
      <c r="H6" s="2248">
        <v>15000</v>
      </c>
      <c r="I6" s="2248">
        <v>15000</v>
      </c>
      <c r="J6" s="2248">
        <v>15000</v>
      </c>
      <c r="K6" s="1498"/>
      <c r="L6" s="1498"/>
      <c r="M6" s="1498"/>
      <c r="N6" s="1498"/>
      <c r="O6" s="1498"/>
      <c r="P6" s="1498"/>
      <c r="Q6" s="1498"/>
      <c r="R6" s="1498"/>
    </row>
    <row r="7" spans="1:18" ht="12.75" customHeight="1">
      <c r="A7" s="2254" t="s">
        <v>4058</v>
      </c>
      <c r="B7" s="1835"/>
      <c r="C7" s="2248" t="s">
        <v>4060</v>
      </c>
      <c r="D7" s="2248">
        <v>0.3</v>
      </c>
      <c r="E7" s="2248">
        <v>0.3</v>
      </c>
      <c r="F7" s="2248">
        <v>0.3</v>
      </c>
      <c r="G7" s="2248">
        <v>0.3</v>
      </c>
      <c r="H7" s="2248">
        <v>0.3</v>
      </c>
      <c r="I7" s="2248">
        <v>0.3</v>
      </c>
      <c r="J7" s="2248">
        <v>0.3</v>
      </c>
      <c r="K7" s="1498"/>
      <c r="L7" s="1498"/>
      <c r="M7" s="1498"/>
      <c r="N7" s="1498"/>
      <c r="O7" s="1498"/>
      <c r="P7" s="1498"/>
      <c r="Q7" s="1498"/>
      <c r="R7" s="1498"/>
    </row>
    <row r="8" spans="1:18" ht="12.75" customHeight="1">
      <c r="A8" s="2254"/>
      <c r="B8" s="1835"/>
      <c r="C8" s="2248"/>
      <c r="D8" s="2248"/>
      <c r="E8" s="2248"/>
      <c r="F8" s="2252"/>
      <c r="G8" s="2253"/>
      <c r="H8" s="2253"/>
      <c r="I8" s="2248"/>
      <c r="J8" s="2252"/>
      <c r="K8" s="1498"/>
      <c r="L8" s="1498"/>
      <c r="M8" s="1498"/>
      <c r="N8" s="1498"/>
      <c r="O8" s="1498"/>
      <c r="P8" s="1498"/>
      <c r="Q8" s="1498"/>
      <c r="R8" s="1498"/>
    </row>
    <row r="9" spans="1:18" ht="12.75" customHeight="1">
      <c r="A9" s="2254"/>
      <c r="B9" s="1835"/>
      <c r="C9" s="2248"/>
      <c r="D9" s="2248"/>
      <c r="E9" s="2248"/>
      <c r="F9" s="2252"/>
      <c r="G9" s="2253"/>
      <c r="H9" s="2253"/>
      <c r="I9" s="2248"/>
      <c r="J9" s="2252"/>
      <c r="K9" s="1498"/>
      <c r="L9" s="1498"/>
      <c r="M9" s="1498"/>
      <c r="N9" s="1498"/>
      <c r="O9" s="1498"/>
      <c r="P9" s="1498"/>
      <c r="Q9" s="1498"/>
      <c r="R9" s="1498"/>
    </row>
    <row r="10" spans="1:18" ht="12.75" customHeight="1">
      <c r="A10" s="2254"/>
      <c r="B10" s="1835"/>
      <c r="C10" s="2248"/>
      <c r="D10" s="2248"/>
      <c r="E10" s="2248"/>
      <c r="F10" s="2252"/>
      <c r="G10" s="2253"/>
      <c r="H10" s="2253"/>
      <c r="I10" s="2248"/>
      <c r="J10" s="2252"/>
      <c r="K10" s="1498"/>
      <c r="L10" s="1498"/>
      <c r="M10" s="1498"/>
      <c r="N10" s="1498"/>
      <c r="O10" s="1498"/>
      <c r="P10" s="1498"/>
      <c r="Q10" s="1498"/>
      <c r="R10" s="1498"/>
    </row>
    <row r="11" spans="1:18" ht="12.75" customHeight="1">
      <c r="A11" s="2254"/>
      <c r="B11" s="1835"/>
      <c r="C11" s="2248"/>
      <c r="D11" s="2248"/>
      <c r="E11" s="2248"/>
      <c r="F11" s="2252"/>
      <c r="G11" s="2253"/>
      <c r="H11" s="2253"/>
      <c r="I11" s="2248"/>
      <c r="J11" s="2252"/>
      <c r="K11" s="1498"/>
      <c r="L11" s="1498"/>
      <c r="M11" s="1498"/>
      <c r="N11" s="1498"/>
      <c r="O11" s="1498"/>
      <c r="P11" s="1498"/>
      <c r="Q11" s="1498"/>
      <c r="R11" s="1498"/>
    </row>
    <row r="12" spans="1:18" ht="12.75" customHeight="1">
      <c r="A12" s="2254"/>
      <c r="B12" s="1835"/>
      <c r="C12" s="2248"/>
      <c r="D12" s="2248"/>
      <c r="E12" s="2248"/>
      <c r="F12" s="2252"/>
      <c r="G12" s="2253"/>
      <c r="H12" s="2253"/>
      <c r="I12" s="2248"/>
      <c r="J12" s="2252"/>
      <c r="K12" s="1498"/>
      <c r="L12" s="1498"/>
      <c r="M12" s="1498"/>
      <c r="N12" s="1498"/>
      <c r="O12" s="1498"/>
      <c r="P12" s="1498"/>
      <c r="Q12" s="1498"/>
      <c r="R12" s="1498"/>
    </row>
    <row r="13" spans="1:18" ht="6" customHeight="1">
      <c r="A13" s="1842"/>
      <c r="B13" s="1836"/>
      <c r="C13" s="1836"/>
      <c r="D13" s="1843"/>
      <c r="E13" s="1843"/>
      <c r="F13" s="1844"/>
      <c r="G13" s="1845"/>
      <c r="H13" s="1845"/>
      <c r="I13" s="1843"/>
      <c r="J13" s="1844"/>
      <c r="K13" s="1498"/>
      <c r="L13" s="1498"/>
      <c r="M13" s="1498"/>
      <c r="N13" s="1498"/>
      <c r="O13" s="1498"/>
      <c r="P13" s="1498"/>
      <c r="Q13" s="1498"/>
      <c r="R13" s="1498"/>
    </row>
    <row r="14" spans="1:18" ht="12.75" customHeight="1">
      <c r="A14" s="1829" t="s">
        <v>1863</v>
      </c>
      <c r="B14" s="1836"/>
      <c r="C14" s="1836"/>
      <c r="D14" s="1837"/>
      <c r="E14" s="1837"/>
      <c r="F14" s="1838"/>
      <c r="G14" s="1839"/>
      <c r="H14" s="1839"/>
      <c r="I14" s="1837"/>
      <c r="J14" s="1838"/>
      <c r="K14" s="1498"/>
      <c r="L14" s="1498"/>
      <c r="M14" s="1498"/>
      <c r="N14" s="1498"/>
      <c r="O14" s="1498"/>
      <c r="P14" s="1498"/>
      <c r="Q14" s="1498"/>
      <c r="R14" s="1498"/>
    </row>
    <row r="15" spans="1:18" ht="12.75" customHeight="1">
      <c r="A15" s="2254" t="s">
        <v>1998</v>
      </c>
      <c r="B15" s="1835"/>
      <c r="C15" s="2248" t="s">
        <v>1871</v>
      </c>
      <c r="D15" s="2248"/>
      <c r="E15" s="2248"/>
      <c r="F15" s="2252"/>
      <c r="G15" s="2253"/>
      <c r="H15" s="2253"/>
      <c r="I15" s="2248"/>
      <c r="J15" s="2252"/>
      <c r="K15" s="1498"/>
      <c r="L15" s="1498"/>
      <c r="M15" s="1498"/>
      <c r="N15" s="1498"/>
      <c r="O15" s="1498"/>
      <c r="P15" s="1498"/>
      <c r="Q15" s="1498"/>
      <c r="R15" s="1498"/>
    </row>
    <row r="16" spans="1:18" ht="12.75" customHeight="1">
      <c r="A16" s="2254"/>
      <c r="B16" s="1835"/>
      <c r="C16" s="2248" t="s">
        <v>1871</v>
      </c>
      <c r="D16" s="2248"/>
      <c r="E16" s="2248"/>
      <c r="F16" s="2252"/>
      <c r="G16" s="2253"/>
      <c r="H16" s="2253"/>
      <c r="I16" s="2248"/>
      <c r="J16" s="2252"/>
      <c r="K16" s="1628"/>
      <c r="L16" s="1628"/>
      <c r="M16" s="1628"/>
      <c r="N16" s="1628"/>
      <c r="O16" s="1628"/>
      <c r="P16" s="1628"/>
      <c r="Q16" s="1628"/>
      <c r="R16" s="1628"/>
    </row>
    <row r="17" spans="1:18" ht="12.75" customHeight="1">
      <c r="A17" s="2254"/>
      <c r="B17" s="1835"/>
      <c r="C17" s="2248" t="s">
        <v>1871</v>
      </c>
      <c r="D17" s="2248"/>
      <c r="E17" s="2248"/>
      <c r="F17" s="2252"/>
      <c r="G17" s="2253"/>
      <c r="H17" s="2253"/>
      <c r="I17" s="2248"/>
      <c r="J17" s="2252"/>
      <c r="K17" s="1630"/>
      <c r="L17" s="1630"/>
      <c r="M17" s="1630"/>
      <c r="N17" s="1630"/>
      <c r="O17" s="1630"/>
      <c r="P17" s="1630"/>
      <c r="Q17" s="1630"/>
      <c r="R17" s="1630"/>
    </row>
    <row r="18" spans="1:18" ht="12.75" customHeight="1">
      <c r="A18" s="2254"/>
      <c r="B18" s="1835"/>
      <c r="C18" s="2248" t="s">
        <v>1871</v>
      </c>
      <c r="D18" s="2248"/>
      <c r="E18" s="2248"/>
      <c r="F18" s="2252"/>
      <c r="G18" s="2253"/>
      <c r="H18" s="2253"/>
      <c r="I18" s="2248"/>
      <c r="J18" s="2252"/>
      <c r="K18" s="1631"/>
      <c r="L18" s="1631"/>
      <c r="M18" s="1631"/>
      <c r="N18" s="1631"/>
      <c r="O18" s="1631"/>
      <c r="P18" s="1631"/>
      <c r="Q18" s="1631"/>
      <c r="R18" s="1631"/>
    </row>
    <row r="19" spans="1:18" ht="12.75" customHeight="1">
      <c r="A19" s="2254"/>
      <c r="B19" s="1835"/>
      <c r="C19" s="2248" t="s">
        <v>1871</v>
      </c>
      <c r="D19" s="2248"/>
      <c r="E19" s="2248"/>
      <c r="F19" s="2252"/>
      <c r="G19" s="2253"/>
      <c r="H19" s="2253"/>
      <c r="I19" s="2248"/>
      <c r="J19" s="2252"/>
      <c r="K19" s="1630"/>
      <c r="L19" s="1630"/>
      <c r="M19" s="1630"/>
      <c r="N19" s="1630"/>
      <c r="O19" s="1630"/>
      <c r="P19" s="1630"/>
      <c r="Q19" s="1630"/>
      <c r="R19" s="1630"/>
    </row>
    <row r="20" spans="1:18" ht="12.75" customHeight="1">
      <c r="A20" s="2254"/>
      <c r="B20" s="1835"/>
      <c r="C20" s="2248" t="s">
        <v>1871</v>
      </c>
      <c r="D20" s="2248"/>
      <c r="E20" s="2248"/>
      <c r="F20" s="2252"/>
      <c r="G20" s="2253"/>
      <c r="H20" s="2253"/>
      <c r="I20" s="2248"/>
      <c r="J20" s="2252"/>
      <c r="K20" s="1630"/>
      <c r="L20" s="1630"/>
      <c r="M20" s="1630"/>
      <c r="N20" s="1630"/>
      <c r="O20" s="1630"/>
      <c r="P20" s="1630"/>
      <c r="Q20" s="1630"/>
      <c r="R20" s="1630"/>
    </row>
    <row r="21" spans="1:18" ht="12.75" customHeight="1">
      <c r="A21" s="2254"/>
      <c r="B21" s="1835"/>
      <c r="C21" s="2248" t="s">
        <v>1871</v>
      </c>
      <c r="D21" s="2248"/>
      <c r="E21" s="2248"/>
      <c r="F21" s="2252"/>
      <c r="G21" s="2253"/>
      <c r="H21" s="2253"/>
      <c r="I21" s="2248"/>
      <c r="J21" s="2252"/>
      <c r="K21" s="1630"/>
      <c r="L21" s="1630"/>
      <c r="M21" s="1630"/>
      <c r="N21" s="1630"/>
      <c r="O21" s="1630"/>
      <c r="P21" s="1630"/>
      <c r="Q21" s="1630"/>
      <c r="R21" s="1630"/>
    </row>
    <row r="22" spans="1:18" ht="12.75" customHeight="1">
      <c r="A22" s="2254"/>
      <c r="B22" s="1835"/>
      <c r="C22" s="2248" t="s">
        <v>1871</v>
      </c>
      <c r="D22" s="2248"/>
      <c r="E22" s="2248"/>
      <c r="F22" s="2252"/>
      <c r="G22" s="2253"/>
      <c r="H22" s="2253"/>
      <c r="I22" s="2248"/>
      <c r="J22" s="2252"/>
      <c r="K22" s="1630"/>
      <c r="L22" s="1630"/>
      <c r="M22" s="1630"/>
      <c r="N22" s="1630"/>
      <c r="O22" s="1630"/>
      <c r="P22" s="1630"/>
      <c r="Q22" s="1630"/>
      <c r="R22" s="1630"/>
    </row>
    <row r="23" spans="1:18" ht="12.75" customHeight="1">
      <c r="A23" s="2254"/>
      <c r="B23" s="1835"/>
      <c r="C23" s="2248" t="s">
        <v>1871</v>
      </c>
      <c r="D23" s="2248"/>
      <c r="E23" s="2248"/>
      <c r="F23" s="2252"/>
      <c r="G23" s="2253"/>
      <c r="H23" s="2253"/>
      <c r="I23" s="2248"/>
      <c r="J23" s="2252"/>
      <c r="K23" s="1630"/>
      <c r="L23" s="1630"/>
      <c r="M23" s="1630"/>
      <c r="N23" s="1630"/>
      <c r="O23" s="1630"/>
      <c r="P23" s="1630"/>
      <c r="Q23" s="1630"/>
      <c r="R23" s="1630"/>
    </row>
    <row r="24" spans="1:18" ht="12.75" customHeight="1">
      <c r="A24" s="2254"/>
      <c r="B24" s="1835"/>
      <c r="C24" s="2248" t="s">
        <v>1871</v>
      </c>
      <c r="D24" s="2248"/>
      <c r="E24" s="2248"/>
      <c r="F24" s="2252"/>
      <c r="G24" s="2253"/>
      <c r="H24" s="2253"/>
      <c r="I24" s="2248"/>
      <c r="J24" s="2252"/>
      <c r="K24" s="1630"/>
      <c r="L24" s="1630"/>
      <c r="M24" s="1630"/>
      <c r="N24" s="1630"/>
      <c r="O24" s="1630"/>
      <c r="P24" s="1630"/>
      <c r="Q24" s="1630"/>
      <c r="R24" s="1630"/>
    </row>
    <row r="25" spans="1:18" ht="6" customHeight="1">
      <c r="A25" s="1889"/>
      <c r="B25" s="1835"/>
      <c r="C25" s="1836"/>
      <c r="D25" s="1837"/>
      <c r="E25" s="1837"/>
      <c r="F25" s="1838"/>
      <c r="G25" s="1839"/>
      <c r="H25" s="1839"/>
      <c r="I25" s="1837"/>
      <c r="J25" s="1838"/>
      <c r="K25" s="470"/>
      <c r="L25" s="470"/>
      <c r="M25" s="470"/>
      <c r="N25" s="470"/>
      <c r="O25" s="470"/>
      <c r="P25" s="470"/>
      <c r="Q25" s="470"/>
      <c r="R25" s="470"/>
    </row>
    <row r="26" spans="1:18" ht="12.75" customHeight="1">
      <c r="A26" s="1829" t="s">
        <v>1875</v>
      </c>
      <c r="B26" s="1835"/>
      <c r="C26" s="1836"/>
      <c r="D26" s="1837"/>
      <c r="E26" s="1837"/>
      <c r="F26" s="1838"/>
      <c r="G26" s="1839"/>
      <c r="H26" s="1839"/>
      <c r="I26" s="1837"/>
      <c r="J26" s="1838"/>
      <c r="K26" s="470"/>
      <c r="L26" s="470"/>
      <c r="M26" s="470"/>
      <c r="N26" s="470"/>
      <c r="O26" s="470"/>
      <c r="P26" s="470"/>
      <c r="Q26" s="470"/>
      <c r="R26" s="470"/>
    </row>
    <row r="27" spans="1:18" ht="12.75" customHeight="1">
      <c r="A27" s="2254" t="s">
        <v>1998</v>
      </c>
      <c r="B27" s="1835"/>
      <c r="C27" s="2248" t="s">
        <v>1878</v>
      </c>
      <c r="D27" s="2248"/>
      <c r="E27" s="2248"/>
      <c r="F27" s="2252"/>
      <c r="G27" s="2253"/>
      <c r="H27" s="2253"/>
      <c r="I27" s="2248"/>
      <c r="J27" s="2252"/>
      <c r="K27" s="1632"/>
      <c r="L27" s="1632"/>
      <c r="M27" s="1632"/>
      <c r="N27" s="1632"/>
      <c r="O27" s="1632"/>
      <c r="P27" s="1632"/>
      <c r="Q27" s="1632"/>
      <c r="R27" s="1632"/>
    </row>
    <row r="28" spans="1:18" ht="12.75" customHeight="1">
      <c r="A28" s="2254"/>
      <c r="B28" s="1835"/>
      <c r="C28" s="2248" t="s">
        <v>1878</v>
      </c>
      <c r="D28" s="2248"/>
      <c r="E28" s="2248"/>
      <c r="F28" s="2252"/>
      <c r="G28" s="2253"/>
      <c r="H28" s="2253"/>
      <c r="I28" s="2248"/>
      <c r="J28" s="2252"/>
      <c r="K28" s="1632"/>
      <c r="L28" s="1632"/>
      <c r="M28" s="1632"/>
      <c r="N28" s="1632"/>
      <c r="O28" s="1632"/>
      <c r="P28" s="1632"/>
      <c r="Q28" s="1632"/>
      <c r="R28" s="1632"/>
    </row>
    <row r="29" spans="1:18" ht="12.75" customHeight="1">
      <c r="A29" s="2254"/>
      <c r="B29" s="1835"/>
      <c r="C29" s="2248" t="s">
        <v>1878</v>
      </c>
      <c r="D29" s="2248"/>
      <c r="E29" s="2248"/>
      <c r="F29" s="2252"/>
      <c r="G29" s="2253"/>
      <c r="H29" s="2253"/>
      <c r="I29" s="2248"/>
      <c r="J29" s="2252"/>
      <c r="K29" s="1632"/>
      <c r="L29" s="1632"/>
      <c r="M29" s="1632"/>
      <c r="N29" s="1632"/>
      <c r="O29" s="1632"/>
      <c r="P29" s="1632"/>
      <c r="Q29" s="1632"/>
      <c r="R29" s="1632"/>
    </row>
    <row r="30" spans="1:18" ht="12.75" customHeight="1">
      <c r="A30" s="2254"/>
      <c r="B30" s="1835"/>
      <c r="C30" s="2248" t="s">
        <v>1878</v>
      </c>
      <c r="D30" s="2248"/>
      <c r="E30" s="2248"/>
      <c r="F30" s="2252"/>
      <c r="G30" s="2253"/>
      <c r="H30" s="2253"/>
      <c r="I30" s="2248"/>
      <c r="J30" s="2252"/>
      <c r="K30" s="1632"/>
      <c r="L30" s="1632"/>
      <c r="M30" s="1632"/>
      <c r="N30" s="1632"/>
      <c r="O30" s="1632"/>
      <c r="P30" s="1632"/>
      <c r="Q30" s="1632"/>
      <c r="R30" s="1632"/>
    </row>
    <row r="31" spans="1:18" ht="12.75" customHeight="1">
      <c r="A31" s="2254"/>
      <c r="B31" s="1835"/>
      <c r="C31" s="2248" t="s">
        <v>1878</v>
      </c>
      <c r="D31" s="2248"/>
      <c r="E31" s="2248"/>
      <c r="F31" s="2252"/>
      <c r="G31" s="2253"/>
      <c r="H31" s="2253"/>
      <c r="I31" s="2248"/>
      <c r="J31" s="2252"/>
      <c r="K31" s="1632"/>
      <c r="L31" s="1632"/>
      <c r="M31" s="1632"/>
      <c r="N31" s="1632"/>
      <c r="O31" s="1632"/>
      <c r="P31" s="1632"/>
      <c r="Q31" s="1632"/>
      <c r="R31" s="1632"/>
    </row>
    <row r="32" spans="1:18" ht="12.75" customHeight="1">
      <c r="A32" s="2254"/>
      <c r="B32" s="1835"/>
      <c r="C32" s="2248" t="s">
        <v>1878</v>
      </c>
      <c r="D32" s="2248"/>
      <c r="E32" s="2248"/>
      <c r="F32" s="2252"/>
      <c r="G32" s="2253"/>
      <c r="H32" s="2253"/>
      <c r="I32" s="2248"/>
      <c r="J32" s="2252"/>
      <c r="K32" s="1632"/>
      <c r="L32" s="1632"/>
      <c r="M32" s="1632"/>
      <c r="N32" s="1632"/>
      <c r="O32" s="1632"/>
      <c r="P32" s="1632"/>
      <c r="Q32" s="1632"/>
      <c r="R32" s="1632"/>
    </row>
    <row r="33" spans="1:18" ht="12.75" customHeight="1">
      <c r="A33" s="2254"/>
      <c r="B33" s="1835"/>
      <c r="C33" s="2248" t="s">
        <v>1878</v>
      </c>
      <c r="D33" s="2248"/>
      <c r="E33" s="2248"/>
      <c r="F33" s="2252"/>
      <c r="G33" s="2253"/>
      <c r="H33" s="2253"/>
      <c r="I33" s="2248"/>
      <c r="J33" s="2252"/>
      <c r="K33" s="1622"/>
      <c r="L33" s="1622"/>
      <c r="M33" s="1622"/>
      <c r="N33" s="1622"/>
      <c r="O33" s="1622"/>
      <c r="P33" s="1622"/>
      <c r="Q33" s="1622"/>
      <c r="R33" s="1622"/>
    </row>
    <row r="34" spans="1:18" ht="12.75" customHeight="1">
      <c r="A34" s="2254"/>
      <c r="B34" s="1835"/>
      <c r="C34" s="2248" t="s">
        <v>1878</v>
      </c>
      <c r="D34" s="2248"/>
      <c r="E34" s="2248"/>
      <c r="F34" s="2252"/>
      <c r="G34" s="2253"/>
      <c r="H34" s="2253"/>
      <c r="I34" s="2248"/>
      <c r="J34" s="2252"/>
      <c r="K34" s="1633"/>
      <c r="L34" s="1633"/>
      <c r="M34" s="1633"/>
      <c r="N34" s="1633"/>
      <c r="O34" s="1633"/>
      <c r="P34" s="1633"/>
      <c r="Q34" s="1633"/>
      <c r="R34" s="1633"/>
    </row>
    <row r="35" spans="1:18" ht="12.75" customHeight="1">
      <c r="A35" s="2254"/>
      <c r="B35" s="1835"/>
      <c r="C35" s="2248" t="s">
        <v>1878</v>
      </c>
      <c r="D35" s="2248"/>
      <c r="E35" s="2248"/>
      <c r="F35" s="2252"/>
      <c r="G35" s="2253"/>
      <c r="H35" s="2253"/>
      <c r="I35" s="2248"/>
      <c r="J35" s="2252"/>
      <c r="K35" s="1633"/>
      <c r="L35" s="1633"/>
      <c r="M35" s="1633"/>
      <c r="N35" s="1633"/>
      <c r="O35" s="1633"/>
      <c r="P35" s="1633"/>
      <c r="Q35" s="1633"/>
      <c r="R35" s="1633"/>
    </row>
    <row r="36" spans="1:18" ht="4.9000000000000004" customHeight="1">
      <c r="A36" s="1890"/>
      <c r="B36" s="1836"/>
      <c r="C36" s="1836"/>
      <c r="D36" s="1837"/>
      <c r="E36" s="1837"/>
      <c r="F36" s="1838"/>
      <c r="G36" s="1839"/>
      <c r="H36" s="1839"/>
      <c r="I36" s="1837"/>
      <c r="J36" s="1838"/>
      <c r="K36" s="1635"/>
      <c r="L36" s="1635"/>
      <c r="M36" s="1635"/>
      <c r="N36" s="1635"/>
      <c r="O36" s="1635"/>
      <c r="P36" s="1635"/>
      <c r="Q36" s="1635"/>
      <c r="R36" s="1635"/>
    </row>
    <row r="37" spans="1:18" ht="12.75" customHeight="1">
      <c r="A37" s="1829" t="s">
        <v>1882</v>
      </c>
      <c r="B37" s="1835"/>
      <c r="C37" s="1836"/>
      <c r="D37" s="1837"/>
      <c r="E37" s="1837"/>
      <c r="F37" s="1838"/>
      <c r="G37" s="1839"/>
      <c r="H37" s="1839"/>
      <c r="I37" s="1837"/>
      <c r="J37" s="1838"/>
      <c r="K37" s="1623"/>
      <c r="L37" s="1623"/>
      <c r="M37" s="1623"/>
      <c r="N37" s="1623"/>
      <c r="O37" s="1623"/>
      <c r="P37" s="1623"/>
      <c r="Q37" s="1623"/>
      <c r="R37" s="1623"/>
    </row>
    <row r="38" spans="1:18" ht="12.75" customHeight="1">
      <c r="A38" s="2254" t="s">
        <v>3214</v>
      </c>
      <c r="B38" s="1835"/>
      <c r="C38" s="2725">
        <v>1789.2865767956264</v>
      </c>
      <c r="D38" s="2248"/>
      <c r="E38" s="2712">
        <v>1370.17</v>
      </c>
      <c r="F38" s="2252"/>
      <c r="G38" s="2253"/>
      <c r="H38" s="2253"/>
      <c r="I38" s="2248"/>
      <c r="J38" s="2252"/>
      <c r="K38" s="1636"/>
      <c r="L38" s="1636"/>
      <c r="M38" s="1636"/>
      <c r="N38" s="1636"/>
      <c r="O38" s="1636"/>
      <c r="P38" s="1636"/>
      <c r="Q38" s="1636"/>
      <c r="R38" s="1636"/>
    </row>
    <row r="39" spans="1:18" ht="12.75" customHeight="1">
      <c r="A39" s="2254" t="s">
        <v>3215</v>
      </c>
      <c r="B39" s="1835"/>
      <c r="C39" s="2725">
        <v>2372.181616351284</v>
      </c>
      <c r="D39" s="2248"/>
      <c r="E39" s="2712" t="s">
        <v>3213</v>
      </c>
      <c r="F39" s="2252"/>
      <c r="G39" s="2253"/>
      <c r="H39" s="2253"/>
      <c r="I39" s="2248"/>
      <c r="J39" s="2252"/>
      <c r="K39" s="1636"/>
      <c r="L39" s="1636"/>
      <c r="M39" s="1636"/>
      <c r="N39" s="1636"/>
      <c r="O39" s="1636"/>
      <c r="P39" s="1636"/>
      <c r="Q39" s="1636"/>
      <c r="R39" s="1636"/>
    </row>
    <row r="40" spans="1:18" ht="12.75" customHeight="1">
      <c r="A40" s="2254" t="s">
        <v>3216</v>
      </c>
      <c r="B40" s="1835"/>
      <c r="C40" s="2725">
        <v>3299.2742130744364</v>
      </c>
      <c r="D40" s="2248"/>
      <c r="E40" s="2712">
        <v>2526.4499999999998</v>
      </c>
      <c r="F40" s="2252"/>
      <c r="G40" s="2253"/>
      <c r="H40" s="2253"/>
      <c r="I40" s="2248"/>
      <c r="J40" s="2252"/>
      <c r="K40" s="1636"/>
      <c r="L40" s="1636"/>
      <c r="M40" s="1636"/>
      <c r="N40" s="1636"/>
      <c r="O40" s="1636"/>
      <c r="P40" s="1636"/>
      <c r="Q40" s="1636"/>
      <c r="R40" s="1636"/>
    </row>
    <row r="41" spans="1:18" ht="12.75" customHeight="1">
      <c r="A41" s="2254" t="s">
        <v>3217</v>
      </c>
      <c r="B41" s="1835"/>
      <c r="C41" s="2726">
        <v>1758.5244827650681</v>
      </c>
      <c r="D41" s="2248"/>
      <c r="E41" s="2712">
        <v>1346.61</v>
      </c>
      <c r="F41" s="2252"/>
      <c r="G41" s="2253"/>
      <c r="H41" s="2253"/>
      <c r="I41" s="2248"/>
      <c r="J41" s="2252"/>
      <c r="K41" s="1636"/>
      <c r="L41" s="1636"/>
      <c r="M41" s="1636"/>
      <c r="N41" s="1636"/>
      <c r="O41" s="1636"/>
      <c r="P41" s="1636"/>
      <c r="Q41" s="1636"/>
      <c r="R41" s="1636"/>
    </row>
    <row r="42" spans="1:18" ht="12.75" customHeight="1">
      <c r="A42" s="2254" t="s">
        <v>3218</v>
      </c>
      <c r="B42" s="1835"/>
      <c r="C42" s="2726">
        <v>2076.7708923338323</v>
      </c>
      <c r="D42" s="2248"/>
      <c r="E42" s="2712">
        <v>1590.31</v>
      </c>
      <c r="F42" s="2252"/>
      <c r="G42" s="2253"/>
      <c r="H42" s="2253"/>
      <c r="I42" s="2248"/>
      <c r="J42" s="2252"/>
      <c r="K42" s="1636"/>
      <c r="L42" s="1636"/>
      <c r="M42" s="1636"/>
      <c r="N42" s="1636"/>
      <c r="O42" s="1636"/>
      <c r="P42" s="1636"/>
      <c r="Q42" s="1636"/>
      <c r="R42" s="1636"/>
    </row>
    <row r="43" spans="1:18" ht="12.75" customHeight="1">
      <c r="A43" s="2254" t="s">
        <v>3219</v>
      </c>
      <c r="B43" s="1835"/>
      <c r="C43" s="2726">
        <v>3076.7107133008258</v>
      </c>
      <c r="D43" s="2248"/>
      <c r="E43" s="2712">
        <v>2356.02</v>
      </c>
      <c r="F43" s="2252"/>
      <c r="G43" s="2253"/>
      <c r="H43" s="2253"/>
      <c r="I43" s="2248"/>
      <c r="J43" s="2252"/>
      <c r="K43" s="1636"/>
      <c r="L43" s="1636"/>
      <c r="M43" s="1636"/>
      <c r="N43" s="1636"/>
      <c r="O43" s="1636"/>
      <c r="P43" s="1636"/>
      <c r="Q43" s="1636"/>
      <c r="R43" s="1636"/>
    </row>
    <row r="44" spans="1:18" ht="12.75" customHeight="1">
      <c r="A44" s="2254" t="s">
        <v>3220</v>
      </c>
      <c r="B44" s="1835"/>
      <c r="C44" s="2726">
        <v>1517.7461940613941</v>
      </c>
      <c r="D44" s="2248"/>
      <c r="E44" s="2712">
        <v>1162.23</v>
      </c>
      <c r="F44" s="2252"/>
      <c r="G44" s="2253"/>
      <c r="H44" s="2253"/>
      <c r="I44" s="2248"/>
      <c r="J44" s="2252"/>
      <c r="K44" s="1636"/>
      <c r="L44" s="1636"/>
      <c r="M44" s="1636"/>
      <c r="N44" s="1636"/>
      <c r="O44" s="1636"/>
      <c r="P44" s="1636"/>
      <c r="Q44" s="1636"/>
      <c r="R44" s="1636"/>
    </row>
    <row r="45" spans="1:18" ht="12.75" customHeight="1">
      <c r="A45" s="2254" t="s">
        <v>3221</v>
      </c>
      <c r="B45" s="1835"/>
      <c r="C45" s="2724">
        <v>1.5657041307775337</v>
      </c>
      <c r="D45" s="2248"/>
      <c r="E45" s="2712">
        <v>119.9</v>
      </c>
      <c r="F45" s="2252"/>
      <c r="G45" s="2253"/>
      <c r="H45" s="2253"/>
      <c r="I45" s="2248"/>
      <c r="J45" s="2252"/>
      <c r="K45" s="1636"/>
      <c r="L45" s="1636"/>
      <c r="M45" s="1636"/>
      <c r="N45" s="1636"/>
      <c r="O45" s="1636"/>
      <c r="P45" s="1636"/>
      <c r="Q45" s="1636"/>
      <c r="R45" s="1636"/>
    </row>
    <row r="46" spans="1:18" ht="12.75" customHeight="1">
      <c r="A46" s="2254" t="s">
        <v>3222</v>
      </c>
      <c r="B46" s="1835"/>
      <c r="C46" s="2724">
        <v>1.4994910351450708</v>
      </c>
      <c r="D46" s="2248"/>
      <c r="E46" s="2712">
        <v>114.83</v>
      </c>
      <c r="F46" s="2252"/>
      <c r="G46" s="2253"/>
      <c r="H46" s="2253"/>
      <c r="I46" s="2248"/>
      <c r="J46" s="2252"/>
      <c r="K46" s="1636"/>
      <c r="L46" s="1636"/>
      <c r="M46" s="1636"/>
      <c r="N46" s="1636"/>
      <c r="O46" s="1636"/>
      <c r="P46" s="1636"/>
      <c r="Q46" s="1636"/>
      <c r="R46" s="1636"/>
    </row>
    <row r="47" spans="1:18" ht="12.75" customHeight="1">
      <c r="A47" s="2254" t="s">
        <v>3223</v>
      </c>
      <c r="B47" s="1835"/>
      <c r="C47" s="2726">
        <v>11074.07066897328</v>
      </c>
      <c r="D47" s="2248"/>
      <c r="E47" s="2712">
        <v>8480.09</v>
      </c>
      <c r="F47" s="2252"/>
      <c r="G47" s="2253"/>
      <c r="H47" s="2253"/>
      <c r="I47" s="2248"/>
      <c r="J47" s="2252"/>
      <c r="K47" s="1636"/>
      <c r="L47" s="1636"/>
      <c r="M47" s="1636"/>
      <c r="N47" s="1636"/>
      <c r="O47" s="1636"/>
      <c r="P47" s="1636"/>
      <c r="Q47" s="1636"/>
      <c r="R47" s="1636"/>
    </row>
    <row r="48" spans="1:18" ht="12.75" customHeight="1">
      <c r="A48" s="2254" t="s">
        <v>3224</v>
      </c>
      <c r="B48" s="1835"/>
      <c r="C48" s="2726">
        <v>75.588639671869927</v>
      </c>
      <c r="D48" s="2248"/>
      <c r="E48" s="2712">
        <v>57.88</v>
      </c>
      <c r="F48" s="2252"/>
      <c r="G48" s="2253"/>
      <c r="H48" s="2253"/>
      <c r="I48" s="2248"/>
      <c r="J48" s="2252"/>
      <c r="K48" s="1636"/>
      <c r="L48" s="1636"/>
      <c r="M48" s="1636"/>
      <c r="N48" s="1636"/>
      <c r="O48" s="1636"/>
      <c r="P48" s="1636"/>
      <c r="Q48" s="1636"/>
      <c r="R48" s="1636"/>
    </row>
    <row r="49" spans="1:19" ht="12.75" customHeight="1">
      <c r="A49" s="2254" t="s">
        <v>3225</v>
      </c>
      <c r="B49" s="1835"/>
      <c r="C49" s="2724">
        <v>4.3695146433657746</v>
      </c>
      <c r="D49" s="2248"/>
      <c r="E49" s="2712">
        <v>334.6</v>
      </c>
      <c r="F49" s="2252"/>
      <c r="G49" s="2253"/>
      <c r="H49" s="2253"/>
      <c r="I49" s="2248"/>
      <c r="J49" s="2252"/>
      <c r="K49" s="1636"/>
      <c r="L49" s="1636"/>
      <c r="M49" s="1636"/>
      <c r="N49" s="1636"/>
      <c r="O49" s="1636"/>
      <c r="P49" s="1636"/>
      <c r="Q49" s="1636"/>
      <c r="R49" s="1636"/>
    </row>
    <row r="50" spans="1:19" ht="12.75" customHeight="1">
      <c r="A50" s="2254" t="s">
        <v>3226</v>
      </c>
      <c r="B50" s="1835"/>
      <c r="C50" s="2724">
        <v>1.2473549895906886</v>
      </c>
      <c r="D50" s="2248"/>
      <c r="E50" s="2712">
        <v>95.52</v>
      </c>
      <c r="F50" s="2252"/>
      <c r="G50" s="2253"/>
      <c r="H50" s="2253"/>
      <c r="I50" s="2248"/>
      <c r="J50" s="2252"/>
      <c r="K50" s="1636"/>
      <c r="L50" s="1636"/>
      <c r="M50" s="1636"/>
      <c r="N50" s="1636"/>
      <c r="O50" s="1636"/>
      <c r="P50" s="1636"/>
      <c r="Q50" s="1636"/>
      <c r="R50" s="1636"/>
    </row>
    <row r="51" spans="1:19" ht="12.75" customHeight="1">
      <c r="A51" s="2254" t="s">
        <v>3227</v>
      </c>
      <c r="B51" s="1835"/>
      <c r="C51" s="2724">
        <v>0.72970548630625265</v>
      </c>
      <c r="D51" s="2248"/>
      <c r="E51" s="2712">
        <v>55.88</v>
      </c>
      <c r="F51" s="2252"/>
      <c r="G51" s="2253"/>
      <c r="H51" s="2253"/>
      <c r="I51" s="2248"/>
      <c r="J51" s="2252"/>
      <c r="K51" s="1636"/>
      <c r="L51" s="1636"/>
      <c r="M51" s="1636"/>
      <c r="N51" s="1636"/>
      <c r="O51" s="1636"/>
      <c r="P51" s="1636"/>
      <c r="Q51" s="1636"/>
      <c r="R51" s="1636"/>
    </row>
    <row r="52" spans="1:19" ht="12.75" customHeight="1">
      <c r="A52" s="2254" t="s">
        <v>3228</v>
      </c>
      <c r="B52" s="1835"/>
      <c r="C52" s="2724">
        <v>1.3174977077224002</v>
      </c>
      <c r="D52" s="2248"/>
      <c r="E52" s="2712">
        <v>100.89</v>
      </c>
      <c r="F52" s="2252"/>
      <c r="G52" s="2253"/>
      <c r="H52" s="2253"/>
      <c r="I52" s="2248"/>
      <c r="J52" s="2252"/>
      <c r="K52" s="1636"/>
      <c r="L52" s="1636"/>
      <c r="M52" s="1636"/>
      <c r="N52" s="1636"/>
      <c r="O52" s="1636"/>
      <c r="P52" s="1636"/>
      <c r="Q52" s="1636"/>
      <c r="R52" s="1636"/>
    </row>
    <row r="53" spans="1:19" ht="12.75" customHeight="1">
      <c r="A53" s="2254" t="s">
        <v>3229</v>
      </c>
      <c r="B53" s="1835"/>
      <c r="C53" s="2724">
        <v>0.94149538195640103</v>
      </c>
      <c r="D53" s="2248"/>
      <c r="E53" s="2712">
        <v>72.099999999999994</v>
      </c>
      <c r="F53" s="2252"/>
      <c r="G53" s="2253"/>
      <c r="H53" s="2253"/>
      <c r="I53" s="2248"/>
      <c r="J53" s="2252"/>
      <c r="K53" s="1636"/>
      <c r="L53" s="1636"/>
      <c r="M53" s="1636"/>
      <c r="N53" s="1636"/>
      <c r="O53" s="1636"/>
      <c r="P53" s="1636"/>
      <c r="Q53" s="1636"/>
      <c r="R53" s="1636"/>
    </row>
    <row r="54" spans="1:19" ht="12.75" customHeight="1">
      <c r="A54" s="2254" t="s">
        <v>3230</v>
      </c>
      <c r="B54" s="1835"/>
      <c r="C54" s="2724">
        <v>0.64762535824554934</v>
      </c>
      <c r="D54" s="2248"/>
      <c r="E54" s="2712">
        <v>49.59</v>
      </c>
      <c r="F54" s="2252"/>
      <c r="G54" s="2253"/>
      <c r="H54" s="2253"/>
      <c r="I54" s="2248"/>
      <c r="J54" s="2252"/>
      <c r="K54" s="1636"/>
      <c r="L54" s="1636"/>
      <c r="M54" s="1636"/>
      <c r="N54" s="1636"/>
      <c r="O54" s="1636"/>
      <c r="P54" s="1636"/>
      <c r="Q54" s="1636"/>
      <c r="R54" s="1636"/>
    </row>
    <row r="55" spans="1:19" ht="12.75" customHeight="1">
      <c r="A55" s="2254" t="s">
        <v>3231</v>
      </c>
      <c r="B55" s="1835"/>
      <c r="C55" s="2726">
        <v>2226.3594850240443</v>
      </c>
      <c r="D55" s="2248"/>
      <c r="E55" s="2712">
        <v>0</v>
      </c>
      <c r="F55" s="2252"/>
      <c r="G55" s="2253"/>
      <c r="H55" s="2253"/>
      <c r="I55" s="2248"/>
      <c r="J55" s="2252"/>
      <c r="K55" s="1636"/>
      <c r="L55" s="1636"/>
      <c r="M55" s="1636"/>
      <c r="N55" s="1636"/>
      <c r="O55" s="1636"/>
      <c r="P55" s="1636"/>
      <c r="Q55" s="1636"/>
      <c r="R55" s="1636"/>
    </row>
    <row r="56" spans="1:19" ht="12.75" customHeight="1">
      <c r="A56" s="2254" t="s">
        <v>3232</v>
      </c>
      <c r="B56" s="1835"/>
      <c r="C56" s="2726">
        <v>376.36476254630412</v>
      </c>
      <c r="D56" s="2248"/>
      <c r="E56" s="2712">
        <v>288.20999999999998</v>
      </c>
      <c r="F56" s="2252"/>
      <c r="G56" s="2253"/>
      <c r="H56" s="2253"/>
      <c r="I56" s="2248"/>
      <c r="J56" s="2252"/>
      <c r="K56" s="1636"/>
      <c r="L56" s="1636"/>
      <c r="M56" s="1636"/>
      <c r="N56" s="1636"/>
      <c r="O56" s="1636"/>
      <c r="P56" s="1636"/>
      <c r="Q56" s="1636"/>
      <c r="R56" s="1636"/>
    </row>
    <row r="57" spans="1:19" ht="12.75" customHeight="1">
      <c r="A57" s="2254" t="s">
        <v>3233</v>
      </c>
      <c r="B57" s="1835"/>
      <c r="C57" s="2726">
        <v>233.91528157663279</v>
      </c>
      <c r="D57" s="2248"/>
      <c r="E57" s="2712">
        <v>179.12</v>
      </c>
      <c r="F57" s="2252"/>
      <c r="G57" s="2253"/>
      <c r="H57" s="2253"/>
      <c r="I57" s="2248"/>
      <c r="J57" s="2252"/>
      <c r="K57" s="1636"/>
      <c r="L57" s="1636"/>
      <c r="M57" s="1636"/>
      <c r="N57" s="1636"/>
      <c r="O57" s="1636"/>
      <c r="P57" s="1636"/>
      <c r="Q57" s="1636"/>
      <c r="R57" s="1636"/>
    </row>
    <row r="58" spans="1:19" ht="12.75" customHeight="1">
      <c r="A58" s="2254" t="s">
        <v>3234</v>
      </c>
      <c r="B58" s="1835"/>
      <c r="C58" s="2724">
        <v>1.1505370646231585</v>
      </c>
      <c r="D58" s="2248"/>
      <c r="E58" s="2712">
        <v>88.1</v>
      </c>
      <c r="F58" s="2252"/>
      <c r="G58" s="2253"/>
      <c r="H58" s="2253"/>
      <c r="I58" s="2248"/>
      <c r="J58" s="2252"/>
      <c r="K58" s="1636"/>
      <c r="L58" s="1636"/>
      <c r="M58" s="1636"/>
      <c r="N58" s="1636"/>
      <c r="O58" s="1636"/>
      <c r="P58" s="1636"/>
      <c r="Q58" s="1636"/>
      <c r="R58" s="1636"/>
    </row>
    <row r="59" spans="1:19" ht="12.75" customHeight="1">
      <c r="A59" s="2254" t="s">
        <v>3235</v>
      </c>
      <c r="B59" s="1835"/>
      <c r="C59" s="2724">
        <v>0.88002570037418759</v>
      </c>
      <c r="D59" s="2248"/>
      <c r="E59" s="2712">
        <v>67.39</v>
      </c>
      <c r="F59" s="2252"/>
      <c r="G59" s="2253"/>
      <c r="H59" s="2253"/>
      <c r="I59" s="2248"/>
      <c r="J59" s="2252"/>
      <c r="K59" s="1636"/>
      <c r="L59" s="1636"/>
      <c r="M59" s="1636"/>
      <c r="N59" s="1636"/>
      <c r="O59" s="1636"/>
      <c r="P59" s="1636"/>
      <c r="Q59" s="1636"/>
      <c r="R59" s="1636"/>
    </row>
    <row r="60" spans="1:19" ht="12.75" customHeight="1">
      <c r="A60" s="2254" t="s">
        <v>3236</v>
      </c>
      <c r="B60" s="1835"/>
      <c r="C60" s="2726">
        <v>3172.5491920343502</v>
      </c>
      <c r="D60" s="2248"/>
      <c r="E60" s="2712">
        <v>0</v>
      </c>
      <c r="F60" s="2252"/>
      <c r="G60" s="2253"/>
      <c r="H60" s="2253"/>
      <c r="I60" s="2248"/>
      <c r="J60" s="2252"/>
      <c r="K60" s="1636"/>
      <c r="L60" s="1636"/>
      <c r="M60" s="1636"/>
      <c r="N60" s="1636"/>
      <c r="O60" s="1636"/>
      <c r="P60" s="1636"/>
      <c r="Q60" s="1636"/>
      <c r="R60" s="1636"/>
    </row>
    <row r="61" spans="1:19" ht="12.75" customHeight="1">
      <c r="A61" s="2254" t="s">
        <v>3232</v>
      </c>
      <c r="B61" s="1835"/>
      <c r="C61" s="2726">
        <v>287.33383694025952</v>
      </c>
      <c r="D61" s="2248"/>
      <c r="E61" s="2712">
        <v>220.03</v>
      </c>
      <c r="F61" s="2252"/>
      <c r="G61" s="2253"/>
      <c r="H61" s="2253"/>
      <c r="I61" s="2248"/>
      <c r="J61" s="2252"/>
      <c r="K61" s="1158"/>
      <c r="L61" s="1158"/>
      <c r="M61" s="1158"/>
      <c r="N61" s="1158"/>
      <c r="O61" s="1158"/>
      <c r="P61" s="1158"/>
      <c r="Q61" s="1158"/>
      <c r="R61" s="1158"/>
      <c r="S61" s="87">
        <f>SUM(C61:R61)</f>
        <v>507.36383694025949</v>
      </c>
    </row>
    <row r="62" spans="1:19" ht="12.75" customHeight="1">
      <c r="A62" s="2254" t="s">
        <v>3233</v>
      </c>
      <c r="B62" s="1835"/>
      <c r="C62" s="2726">
        <v>140.72090558734101</v>
      </c>
      <c r="D62" s="2248"/>
      <c r="E62" s="2712">
        <v>107.76</v>
      </c>
      <c r="F62" s="2252"/>
      <c r="G62" s="2253"/>
      <c r="H62" s="2253"/>
      <c r="I62" s="2248"/>
      <c r="J62" s="2252"/>
      <c r="K62" s="1158"/>
      <c r="L62" s="1158"/>
      <c r="M62" s="1158"/>
      <c r="N62" s="1158"/>
      <c r="O62" s="1158"/>
      <c r="P62" s="1158"/>
      <c r="Q62" s="1158"/>
      <c r="R62" s="1158"/>
      <c r="S62" s="87">
        <f>SUM(C62:R62)</f>
        <v>248.480905587341</v>
      </c>
    </row>
    <row r="63" spans="1:19" ht="12.75" customHeight="1">
      <c r="A63" s="2254" t="s">
        <v>3234</v>
      </c>
      <c r="B63" s="1835"/>
      <c r="C63" s="2724">
        <v>1.1782192847948154</v>
      </c>
      <c r="D63" s="2248"/>
      <c r="E63" s="2712">
        <v>90.22</v>
      </c>
      <c r="F63" s="2252"/>
      <c r="G63" s="2253"/>
      <c r="H63" s="2253"/>
      <c r="I63" s="2248"/>
      <c r="J63" s="2252"/>
      <c r="K63" s="1637"/>
      <c r="L63" s="1637"/>
      <c r="M63" s="1637"/>
      <c r="N63" s="1637"/>
      <c r="O63" s="1637"/>
      <c r="P63" s="1637"/>
      <c r="Q63" s="1637"/>
      <c r="R63" s="1637"/>
    </row>
    <row r="64" spans="1:19" ht="12.75" customHeight="1">
      <c r="A64" s="2254" t="s">
        <v>3235</v>
      </c>
      <c r="B64" s="1835"/>
      <c r="C64" s="2724">
        <v>0.86912026750284854</v>
      </c>
      <c r="D64" s="2248"/>
      <c r="E64" s="2712">
        <v>66.55</v>
      </c>
      <c r="F64" s="2252"/>
      <c r="G64" s="2253"/>
      <c r="H64" s="2253"/>
      <c r="I64" s="2248"/>
      <c r="J64" s="2252"/>
      <c r="K64" s="1638"/>
      <c r="L64" s="1638"/>
      <c r="M64" s="1638"/>
      <c r="N64" s="1638"/>
      <c r="O64" s="1638"/>
      <c r="P64" s="1638"/>
      <c r="Q64" s="1638"/>
      <c r="R64" s="1638"/>
    </row>
    <row r="65" spans="1:18" ht="12.75" customHeight="1">
      <c r="A65" s="2254"/>
      <c r="B65" s="1835"/>
      <c r="C65" s="2248" t="s">
        <v>1886</v>
      </c>
      <c r="D65" s="2248"/>
      <c r="E65" s="2248"/>
      <c r="F65" s="2252"/>
      <c r="G65" s="2253"/>
      <c r="H65" s="2253"/>
      <c r="I65" s="2248"/>
      <c r="J65" s="2252"/>
      <c r="K65" s="1638"/>
      <c r="L65" s="1638"/>
      <c r="M65" s="1638"/>
      <c r="N65" s="1638"/>
      <c r="O65" s="1638"/>
      <c r="P65" s="1638"/>
      <c r="Q65" s="1638"/>
      <c r="R65" s="1638"/>
    </row>
    <row r="66" spans="1:18" ht="12.75" customHeight="1">
      <c r="A66" s="2254"/>
      <c r="B66" s="1835"/>
      <c r="C66" s="2248" t="s">
        <v>1886</v>
      </c>
      <c r="D66" s="2248"/>
      <c r="E66" s="2248"/>
      <c r="F66" s="2252"/>
      <c r="G66" s="2253"/>
      <c r="H66" s="2253"/>
      <c r="I66" s="2248"/>
      <c r="J66" s="2252"/>
      <c r="K66" s="1638"/>
      <c r="L66" s="1638"/>
      <c r="M66" s="1638"/>
      <c r="N66" s="1638"/>
      <c r="O66" s="1638"/>
      <c r="P66" s="1638"/>
      <c r="Q66" s="1638"/>
      <c r="R66" s="1638"/>
    </row>
    <row r="67" spans="1:18" ht="12.75" customHeight="1">
      <c r="A67" s="2254"/>
      <c r="B67" s="1835"/>
      <c r="C67" s="2248" t="s">
        <v>1886</v>
      </c>
      <c r="D67" s="2248"/>
      <c r="E67" s="2248"/>
      <c r="F67" s="2252"/>
      <c r="G67" s="2253"/>
      <c r="H67" s="2253"/>
      <c r="I67" s="2248"/>
      <c r="J67" s="2252"/>
      <c r="K67" s="1638"/>
      <c r="L67" s="1638"/>
      <c r="M67" s="1638"/>
      <c r="N67" s="1638"/>
      <c r="O67" s="1638"/>
      <c r="P67" s="1638"/>
      <c r="Q67" s="1638"/>
      <c r="R67" s="1638"/>
    </row>
    <row r="68" spans="1:18" ht="12.75" customHeight="1">
      <c r="A68" s="2254"/>
      <c r="B68" s="1835"/>
      <c r="C68" s="2248" t="s">
        <v>1886</v>
      </c>
      <c r="D68" s="2248"/>
      <c r="E68" s="2248"/>
      <c r="F68" s="2252"/>
      <c r="G68" s="2253"/>
      <c r="H68" s="2253"/>
      <c r="I68" s="2248"/>
      <c r="J68" s="2252"/>
      <c r="K68" s="1638"/>
      <c r="L68" s="1638"/>
      <c r="M68" s="1638"/>
      <c r="N68" s="1638"/>
      <c r="O68" s="1638"/>
      <c r="P68" s="1638"/>
      <c r="Q68" s="1638"/>
      <c r="R68" s="1638"/>
    </row>
    <row r="69" spans="1:18" ht="12.75" customHeight="1">
      <c r="A69" s="2254"/>
      <c r="B69" s="1835"/>
      <c r="C69" s="2248" t="s">
        <v>1886</v>
      </c>
      <c r="D69" s="2248"/>
      <c r="E69" s="2248"/>
      <c r="F69" s="2252"/>
      <c r="G69" s="2253"/>
      <c r="H69" s="2253"/>
      <c r="I69" s="2248"/>
      <c r="J69" s="2252"/>
      <c r="K69" s="1638"/>
      <c r="L69" s="1638"/>
      <c r="M69" s="1638"/>
      <c r="N69" s="1638"/>
      <c r="O69" s="1638"/>
      <c r="P69" s="1638"/>
      <c r="Q69" s="1638"/>
      <c r="R69" s="1638"/>
    </row>
    <row r="70" spans="1:18" ht="12.75" customHeight="1">
      <c r="A70" s="2254"/>
      <c r="B70" s="1835"/>
      <c r="C70" s="2248" t="s">
        <v>1886</v>
      </c>
      <c r="D70" s="2248"/>
      <c r="E70" s="2248"/>
      <c r="F70" s="2252"/>
      <c r="G70" s="2253"/>
      <c r="H70" s="2253"/>
      <c r="I70" s="2248"/>
      <c r="J70" s="2252"/>
      <c r="K70" s="136"/>
      <c r="L70" s="136"/>
      <c r="M70" s="136"/>
      <c r="N70" s="136"/>
      <c r="O70" s="136"/>
      <c r="P70" s="136"/>
      <c r="Q70" s="136"/>
      <c r="R70" s="136"/>
    </row>
    <row r="71" spans="1:18" ht="12.75" customHeight="1">
      <c r="A71" s="2254"/>
      <c r="B71" s="1835"/>
      <c r="C71" s="2248" t="s">
        <v>1886</v>
      </c>
      <c r="D71" s="2248"/>
      <c r="E71" s="2248"/>
      <c r="F71" s="2252"/>
      <c r="G71" s="2253"/>
      <c r="H71" s="2253"/>
      <c r="I71" s="2248"/>
      <c r="J71" s="2252"/>
      <c r="K71" s="236"/>
      <c r="L71" s="236"/>
      <c r="M71" s="236"/>
      <c r="N71" s="236"/>
      <c r="O71" s="236"/>
      <c r="P71" s="236"/>
      <c r="Q71" s="236"/>
      <c r="R71" s="236"/>
    </row>
    <row r="72" spans="1:18" s="899" customFormat="1" ht="12.75" customHeight="1">
      <c r="A72" s="2254"/>
      <c r="B72" s="1835"/>
      <c r="C72" s="2248" t="s">
        <v>1886</v>
      </c>
      <c r="D72" s="2248"/>
      <c r="E72" s="2248"/>
      <c r="F72" s="2252"/>
      <c r="G72" s="2253"/>
      <c r="H72" s="2253"/>
      <c r="I72" s="2248"/>
      <c r="J72" s="2252"/>
      <c r="K72" s="876"/>
      <c r="L72" s="876"/>
      <c r="M72" s="876"/>
      <c r="N72" s="876"/>
      <c r="O72" s="876"/>
      <c r="P72" s="876"/>
      <c r="Q72" s="876"/>
      <c r="R72" s="876"/>
    </row>
    <row r="73" spans="1:18" s="899" customFormat="1" ht="6" customHeight="1">
      <c r="A73" s="1881"/>
      <c r="B73" s="1882"/>
      <c r="C73" s="1883"/>
      <c r="D73" s="1883"/>
      <c r="E73" s="1883"/>
      <c r="F73" s="1884"/>
      <c r="G73" s="1885"/>
      <c r="H73" s="1885"/>
      <c r="I73" s="1883"/>
      <c r="J73" s="1884"/>
      <c r="K73" s="876"/>
      <c r="L73" s="876"/>
      <c r="M73" s="876"/>
      <c r="N73" s="876"/>
      <c r="O73" s="876"/>
      <c r="P73" s="876"/>
      <c r="Q73" s="876"/>
      <c r="R73" s="876"/>
    </row>
    <row r="74" spans="1:18" s="899" customFormat="1" ht="12.75" customHeight="1">
      <c r="A74" s="1874"/>
      <c r="B74" s="1875"/>
      <c r="C74" s="1876"/>
      <c r="D74" s="1876"/>
      <c r="E74" s="1876"/>
      <c r="F74" s="1876"/>
      <c r="G74" s="1876"/>
      <c r="H74" s="1876"/>
      <c r="I74" s="1876"/>
      <c r="J74" s="1876"/>
      <c r="K74" s="876"/>
      <c r="L74" s="876"/>
      <c r="M74" s="876"/>
      <c r="N74" s="876"/>
      <c r="O74" s="876"/>
      <c r="P74" s="876"/>
      <c r="Q74" s="876"/>
      <c r="R74" s="876"/>
    </row>
    <row r="75" spans="1:18" s="899" customFormat="1" ht="12.75" customHeight="1">
      <c r="A75" s="1874"/>
      <c r="B75" s="1875"/>
      <c r="C75" s="1876"/>
      <c r="D75" s="1876"/>
      <c r="E75" s="1876"/>
      <c r="F75" s="1876"/>
      <c r="G75" s="1876"/>
      <c r="H75" s="1876"/>
      <c r="I75" s="1876"/>
      <c r="J75" s="1876"/>
      <c r="K75" s="876"/>
      <c r="L75" s="876"/>
      <c r="M75" s="876"/>
      <c r="N75" s="876"/>
      <c r="O75" s="876"/>
      <c r="P75" s="876"/>
      <c r="Q75" s="876"/>
      <c r="R75" s="876"/>
    </row>
    <row r="76" spans="1:18" s="899" customFormat="1" ht="12.75" customHeight="1">
      <c r="A76" s="1874"/>
      <c r="B76" s="1875"/>
      <c r="C76" s="1876"/>
      <c r="D76" s="1876"/>
      <c r="E76" s="1876"/>
      <c r="F76" s="1876"/>
      <c r="G76" s="1876"/>
      <c r="H76" s="1876"/>
      <c r="I76" s="1876"/>
      <c r="J76" s="1876"/>
      <c r="K76" s="876"/>
      <c r="L76" s="876"/>
      <c r="M76" s="876"/>
      <c r="N76" s="876"/>
      <c r="O76" s="876"/>
      <c r="P76" s="876"/>
      <c r="Q76" s="876"/>
      <c r="R76" s="876"/>
    </row>
    <row r="77" spans="1:18" s="899" customFormat="1" ht="12.75" customHeight="1">
      <c r="A77" s="1874"/>
      <c r="B77" s="1875"/>
      <c r="C77" s="1876"/>
      <c r="D77" s="1876"/>
      <c r="E77" s="1876"/>
      <c r="F77" s="1876"/>
      <c r="G77" s="1876"/>
      <c r="H77" s="1876"/>
      <c r="I77" s="1876"/>
      <c r="J77" s="1876"/>
      <c r="K77" s="876"/>
      <c r="L77" s="876"/>
      <c r="M77" s="876"/>
      <c r="N77" s="876"/>
      <c r="O77" s="876"/>
      <c r="P77" s="876"/>
      <c r="Q77" s="876"/>
      <c r="R77" s="876"/>
    </row>
    <row r="78" spans="1:18" s="899" customFormat="1" ht="12.75" customHeight="1">
      <c r="A78" s="1874"/>
      <c r="B78" s="1875"/>
      <c r="C78" s="1876"/>
      <c r="D78" s="1876"/>
      <c r="E78" s="1876"/>
      <c r="F78" s="1876"/>
      <c r="G78" s="1876"/>
      <c r="H78" s="1876"/>
      <c r="I78" s="1876"/>
      <c r="J78" s="1876"/>
      <c r="K78" s="876"/>
      <c r="L78" s="876"/>
      <c r="M78" s="876"/>
      <c r="N78" s="876"/>
      <c r="O78" s="876"/>
      <c r="P78" s="876"/>
      <c r="Q78" s="876"/>
      <c r="R78" s="876"/>
    </row>
    <row r="79" spans="1:18" ht="12.75" customHeight="1">
      <c r="A79" s="1877"/>
      <c r="B79" s="1875"/>
      <c r="C79" s="1876"/>
      <c r="D79" s="1876"/>
      <c r="E79" s="1876"/>
      <c r="F79" s="1876"/>
      <c r="G79" s="1876"/>
      <c r="H79" s="1876"/>
      <c r="I79" s="1876"/>
      <c r="J79" s="1876"/>
      <c r="K79" s="796"/>
      <c r="L79" s="796"/>
      <c r="M79" s="796"/>
      <c r="N79" s="796"/>
      <c r="O79" s="796"/>
      <c r="P79" s="796"/>
      <c r="Q79" s="796"/>
      <c r="R79" s="796"/>
    </row>
    <row r="80" spans="1:18" ht="12.75" customHeight="1">
      <c r="A80" s="1878"/>
      <c r="B80" s="1875"/>
      <c r="C80" s="1875"/>
      <c r="D80" s="1876"/>
      <c r="E80" s="1876"/>
      <c r="F80" s="1876"/>
      <c r="G80" s="1876"/>
      <c r="H80" s="1876"/>
      <c r="I80" s="1876"/>
      <c r="J80" s="1876"/>
      <c r="K80" s="1619"/>
      <c r="L80" s="1619"/>
      <c r="M80" s="1619"/>
      <c r="N80" s="1619"/>
      <c r="O80" s="1619"/>
      <c r="P80" s="1619"/>
      <c r="Q80" s="1619"/>
      <c r="R80" s="1619"/>
    </row>
    <row r="81" spans="1:18" ht="15" customHeight="1">
      <c r="A81" s="1879"/>
      <c r="B81" s="1875"/>
      <c r="C81" s="1875"/>
      <c r="D81" s="1876"/>
      <c r="E81" s="1876"/>
      <c r="F81" s="1876"/>
      <c r="G81" s="1876"/>
      <c r="H81" s="1876"/>
      <c r="I81" s="1876"/>
      <c r="J81" s="1876"/>
      <c r="K81" s="115"/>
      <c r="L81" s="115"/>
      <c r="M81" s="115"/>
      <c r="N81" s="115"/>
      <c r="O81" s="115"/>
      <c r="P81" s="115"/>
      <c r="Q81" s="115"/>
      <c r="R81" s="115"/>
    </row>
    <row r="82" spans="1:18" ht="12.75" customHeight="1">
      <c r="A82" s="1878"/>
      <c r="B82" s="1875"/>
      <c r="C82" s="1875"/>
      <c r="D82" s="1876"/>
      <c r="E82" s="1876"/>
      <c r="F82" s="1876"/>
      <c r="G82" s="1876"/>
      <c r="H82" s="1876"/>
      <c r="I82" s="1876"/>
      <c r="J82" s="1876"/>
      <c r="K82" s="115"/>
      <c r="L82" s="115"/>
      <c r="M82" s="115"/>
      <c r="N82" s="115"/>
      <c r="O82" s="115"/>
      <c r="P82" s="115"/>
      <c r="Q82" s="115"/>
      <c r="R82" s="115"/>
    </row>
    <row r="83" spans="1:18" ht="12.75" customHeight="1">
      <c r="A83" s="1874"/>
      <c r="B83" s="1875"/>
      <c r="C83" s="1876"/>
      <c r="D83" s="1876"/>
      <c r="E83" s="1876"/>
      <c r="F83" s="1876"/>
      <c r="G83" s="1876"/>
      <c r="H83" s="1876"/>
      <c r="I83" s="1876"/>
      <c r="J83" s="1876"/>
      <c r="K83" s="1498"/>
      <c r="L83" s="1498"/>
      <c r="M83" s="1498"/>
      <c r="N83" s="1498"/>
      <c r="O83" s="1498"/>
      <c r="P83" s="1498"/>
      <c r="Q83" s="1498"/>
      <c r="R83" s="1498"/>
    </row>
    <row r="84" spans="1:18" ht="12.75" customHeight="1">
      <c r="A84" s="1874"/>
      <c r="B84" s="1875"/>
      <c r="C84" s="1876"/>
      <c r="D84" s="1876"/>
      <c r="E84" s="1876"/>
      <c r="F84" s="1876"/>
      <c r="G84" s="1876"/>
      <c r="H84" s="1876"/>
      <c r="I84" s="1876"/>
      <c r="J84" s="1876"/>
      <c r="K84" s="1498"/>
      <c r="L84" s="1498"/>
      <c r="M84" s="1498"/>
      <c r="N84" s="1498"/>
      <c r="O84" s="1498"/>
      <c r="P84" s="1498"/>
      <c r="Q84" s="1498"/>
      <c r="R84" s="1498"/>
    </row>
    <row r="85" spans="1:18" ht="12.75" customHeight="1">
      <c r="A85" s="1874"/>
      <c r="B85" s="1875"/>
      <c r="C85" s="1876"/>
      <c r="D85" s="1876"/>
      <c r="E85" s="1876"/>
      <c r="F85" s="1876"/>
      <c r="G85" s="1876"/>
      <c r="H85" s="1876"/>
      <c r="I85" s="1876"/>
      <c r="J85" s="1876"/>
      <c r="K85" s="1498"/>
      <c r="L85" s="1498"/>
      <c r="M85" s="1498"/>
      <c r="N85" s="1498"/>
      <c r="O85" s="1498"/>
      <c r="P85" s="1498"/>
      <c r="Q85" s="1498"/>
      <c r="R85" s="1498"/>
    </row>
    <row r="86" spans="1:18" ht="12.75" customHeight="1">
      <c r="A86" s="1874"/>
      <c r="B86" s="1875"/>
      <c r="C86" s="1876"/>
      <c r="D86" s="1876"/>
      <c r="E86" s="1876"/>
      <c r="F86" s="1876"/>
      <c r="G86" s="1876"/>
      <c r="H86" s="1876"/>
      <c r="I86" s="1876"/>
      <c r="J86" s="1876"/>
      <c r="K86" s="1498"/>
      <c r="L86" s="1498"/>
      <c r="M86" s="1498"/>
      <c r="N86" s="1498"/>
      <c r="O86" s="1498"/>
      <c r="P86" s="1498"/>
      <c r="Q86" s="1498"/>
      <c r="R86" s="1498"/>
    </row>
    <row r="87" spans="1:18" ht="12.75" customHeight="1">
      <c r="A87" s="1874"/>
      <c r="B87" s="1875"/>
      <c r="C87" s="1876"/>
      <c r="D87" s="1876"/>
      <c r="E87" s="1876"/>
      <c r="F87" s="1876"/>
      <c r="G87" s="1876"/>
      <c r="H87" s="1876"/>
      <c r="I87" s="1876"/>
      <c r="J87" s="1876"/>
      <c r="K87" s="1498"/>
      <c r="L87" s="1498"/>
      <c r="M87" s="1498"/>
      <c r="N87" s="1498"/>
      <c r="O87" s="1498"/>
      <c r="P87" s="1498"/>
      <c r="Q87" s="1498"/>
      <c r="R87" s="1498"/>
    </row>
    <row r="88" spans="1:18" ht="12.75" customHeight="1">
      <c r="A88" s="1874"/>
      <c r="B88" s="1875"/>
      <c r="C88" s="1876"/>
      <c r="D88" s="1876"/>
      <c r="E88" s="1876"/>
      <c r="F88" s="1876"/>
      <c r="G88" s="1876"/>
      <c r="H88" s="1876"/>
      <c r="I88" s="1876"/>
      <c r="J88" s="1876"/>
      <c r="K88" s="1498"/>
      <c r="L88" s="1498"/>
      <c r="M88" s="1498"/>
      <c r="N88" s="1498"/>
      <c r="O88" s="1498"/>
      <c r="P88" s="1498"/>
      <c r="Q88" s="1498"/>
      <c r="R88" s="1498"/>
    </row>
    <row r="89" spans="1:18" ht="12.75" customHeight="1">
      <c r="A89" s="1874"/>
      <c r="B89" s="1875"/>
      <c r="C89" s="1876"/>
      <c r="D89" s="1876"/>
      <c r="E89" s="1876"/>
      <c r="F89" s="1876"/>
      <c r="G89" s="1876"/>
      <c r="H89" s="1876"/>
      <c r="I89" s="1876"/>
      <c r="J89" s="1876"/>
      <c r="K89" s="1498"/>
      <c r="L89" s="1498"/>
      <c r="M89" s="1498"/>
      <c r="N89" s="1498"/>
      <c r="O89" s="1498"/>
      <c r="P89" s="1498"/>
      <c r="Q89" s="1498"/>
      <c r="R89" s="1498"/>
    </row>
    <row r="90" spans="1:18" ht="12.75" customHeight="1">
      <c r="A90" s="1874"/>
      <c r="B90" s="1875"/>
      <c r="C90" s="1876"/>
      <c r="D90" s="1876"/>
      <c r="E90" s="1876"/>
      <c r="F90" s="1876"/>
      <c r="G90" s="1876"/>
      <c r="H90" s="1876"/>
      <c r="I90" s="1876"/>
      <c r="J90" s="1876"/>
      <c r="K90" s="1498"/>
      <c r="L90" s="1498"/>
      <c r="M90" s="1498"/>
      <c r="N90" s="1498"/>
      <c r="O90" s="1498"/>
      <c r="P90" s="1498"/>
      <c r="Q90" s="1498"/>
      <c r="R90" s="1498"/>
    </row>
    <row r="91" spans="1:18" ht="12.75" customHeight="1">
      <c r="A91" s="1874"/>
      <c r="B91" s="1875"/>
      <c r="C91" s="1876"/>
      <c r="D91" s="1876"/>
      <c r="E91" s="1876"/>
      <c r="F91" s="1876"/>
      <c r="G91" s="1876"/>
      <c r="H91" s="1876"/>
      <c r="I91" s="1876"/>
      <c r="J91" s="1876"/>
      <c r="K91" s="1498"/>
      <c r="L91" s="1498"/>
      <c r="M91" s="1498"/>
      <c r="N91" s="1498"/>
      <c r="O91" s="1498"/>
      <c r="P91" s="1498"/>
      <c r="Q91" s="1498"/>
      <c r="R91" s="1498"/>
    </row>
    <row r="92" spans="1:18" ht="12.75" customHeight="1">
      <c r="A92" s="1874"/>
      <c r="B92" s="1875"/>
      <c r="C92" s="1876"/>
      <c r="D92" s="1876"/>
      <c r="E92" s="1876"/>
      <c r="F92" s="1876"/>
      <c r="G92" s="1876"/>
      <c r="H92" s="1876"/>
      <c r="I92" s="1876"/>
      <c r="J92" s="1876"/>
      <c r="K92" s="1498"/>
      <c r="L92" s="1498"/>
      <c r="M92" s="1498"/>
      <c r="N92" s="1498"/>
      <c r="O92" s="1498"/>
      <c r="P92" s="1498"/>
      <c r="Q92" s="1498"/>
      <c r="R92" s="1498"/>
    </row>
    <row r="93" spans="1:18" ht="12.75" customHeight="1">
      <c r="A93" s="1874"/>
      <c r="B93" s="1875"/>
      <c r="C93" s="1876"/>
      <c r="D93" s="1876"/>
      <c r="E93" s="1876"/>
      <c r="F93" s="1876"/>
      <c r="G93" s="1876"/>
      <c r="H93" s="1876"/>
      <c r="I93" s="1876"/>
      <c r="J93" s="1876"/>
      <c r="K93" s="1498"/>
      <c r="L93" s="1498"/>
      <c r="M93" s="1498"/>
      <c r="N93" s="1498"/>
      <c r="O93" s="1498"/>
      <c r="P93" s="1498"/>
      <c r="Q93" s="1498"/>
      <c r="R93" s="1498"/>
    </row>
    <row r="94" spans="1:18" ht="12.75" customHeight="1">
      <c r="A94" s="1874"/>
      <c r="B94" s="1875"/>
      <c r="C94" s="1876"/>
      <c r="D94" s="1876"/>
      <c r="E94" s="1876"/>
      <c r="F94" s="1876"/>
      <c r="G94" s="1876"/>
      <c r="H94" s="1876"/>
      <c r="I94" s="1876"/>
      <c r="J94" s="1876"/>
      <c r="K94" s="1498"/>
      <c r="L94" s="1498"/>
      <c r="M94" s="1498"/>
      <c r="N94" s="1498"/>
      <c r="O94" s="1498"/>
      <c r="P94" s="1498"/>
      <c r="Q94" s="1498"/>
      <c r="R94" s="1498"/>
    </row>
    <row r="95" spans="1:18" ht="12.75" customHeight="1">
      <c r="A95" s="1874"/>
      <c r="B95" s="1875"/>
      <c r="C95" s="1876"/>
      <c r="D95" s="1876"/>
      <c r="E95" s="1876"/>
      <c r="F95" s="1876"/>
      <c r="G95" s="1876"/>
      <c r="H95" s="1876"/>
      <c r="I95" s="1876"/>
      <c r="J95" s="1876"/>
      <c r="K95" s="1498"/>
      <c r="L95" s="1498"/>
      <c r="M95" s="1498"/>
      <c r="N95" s="1498"/>
      <c r="O95" s="1498"/>
      <c r="P95" s="1498"/>
      <c r="Q95" s="1498"/>
      <c r="R95" s="1498"/>
    </row>
    <row r="96" spans="1:18" ht="12.75" customHeight="1">
      <c r="A96" s="1874"/>
      <c r="B96" s="1875"/>
      <c r="C96" s="1876"/>
      <c r="D96" s="1876"/>
      <c r="E96" s="1876"/>
      <c r="F96" s="1876"/>
      <c r="G96" s="1876"/>
      <c r="H96" s="1876"/>
      <c r="I96" s="1876"/>
      <c r="J96" s="1876"/>
      <c r="K96" s="1498"/>
      <c r="L96" s="1498"/>
      <c r="M96" s="1498"/>
      <c r="N96" s="1498"/>
      <c r="O96" s="1498"/>
      <c r="P96" s="1498"/>
      <c r="Q96" s="1498"/>
      <c r="R96" s="1498"/>
    </row>
    <row r="97" spans="1:18" ht="12.75" customHeight="1">
      <c r="A97" s="1874"/>
      <c r="B97" s="1875"/>
      <c r="C97" s="1876"/>
      <c r="D97" s="1876"/>
      <c r="E97" s="1876"/>
      <c r="F97" s="1876"/>
      <c r="G97" s="1876"/>
      <c r="H97" s="1876"/>
      <c r="I97" s="1876"/>
      <c r="J97" s="1876"/>
      <c r="K97" s="1498"/>
      <c r="L97" s="1498"/>
      <c r="M97" s="1498"/>
      <c r="N97" s="1498"/>
      <c r="O97" s="1498"/>
      <c r="P97" s="1498"/>
      <c r="Q97" s="1498"/>
      <c r="R97" s="1498"/>
    </row>
    <row r="98" spans="1:18" ht="12.75" customHeight="1">
      <c r="A98" s="1874"/>
      <c r="B98" s="1875"/>
      <c r="C98" s="1876"/>
      <c r="D98" s="1876"/>
      <c r="E98" s="1876"/>
      <c r="F98" s="1876"/>
      <c r="G98" s="1876"/>
      <c r="H98" s="1876"/>
      <c r="I98" s="1876"/>
      <c r="J98" s="1876"/>
      <c r="K98" s="1498"/>
      <c r="L98" s="1498"/>
      <c r="M98" s="1498"/>
      <c r="N98" s="1498"/>
      <c r="O98" s="1498"/>
      <c r="P98" s="1498"/>
      <c r="Q98" s="1498"/>
      <c r="R98" s="1498"/>
    </row>
    <row r="99" spans="1:18" ht="12.75" customHeight="1">
      <c r="A99" s="1874"/>
      <c r="B99" s="1875"/>
      <c r="C99" s="1876"/>
      <c r="D99" s="1876"/>
      <c r="E99" s="1876"/>
      <c r="F99" s="1876"/>
      <c r="G99" s="1876"/>
      <c r="H99" s="1876"/>
      <c r="I99" s="1876"/>
      <c r="J99" s="1876"/>
      <c r="K99" s="1498"/>
      <c r="L99" s="1498"/>
      <c r="M99" s="1498"/>
      <c r="N99" s="1498"/>
      <c r="O99" s="1498"/>
      <c r="P99" s="1498"/>
      <c r="Q99" s="1498"/>
      <c r="R99" s="1498"/>
    </row>
    <row r="100" spans="1:18" ht="12.75" customHeight="1">
      <c r="A100" s="1874"/>
      <c r="B100" s="1875"/>
      <c r="C100" s="1876"/>
      <c r="D100" s="1876"/>
      <c r="E100" s="1876"/>
      <c r="F100" s="1876"/>
      <c r="G100" s="1876"/>
      <c r="H100" s="1876"/>
      <c r="I100" s="1876"/>
      <c r="J100" s="1876"/>
      <c r="K100" s="1498"/>
      <c r="L100" s="1498"/>
      <c r="M100" s="1498"/>
      <c r="N100" s="1498"/>
      <c r="O100" s="1498"/>
      <c r="P100" s="1498"/>
      <c r="Q100" s="1498"/>
      <c r="R100" s="1498"/>
    </row>
    <row r="101" spans="1:18" ht="12.75" customHeight="1">
      <c r="A101" s="1874"/>
      <c r="B101" s="1875"/>
      <c r="C101" s="1876"/>
      <c r="D101" s="1876"/>
      <c r="E101" s="1876"/>
      <c r="F101" s="1876"/>
      <c r="G101" s="1876"/>
      <c r="H101" s="1876"/>
      <c r="I101" s="1876"/>
      <c r="J101" s="1876"/>
      <c r="K101" s="1498"/>
      <c r="L101" s="1498"/>
      <c r="M101" s="1498"/>
      <c r="N101" s="1498"/>
      <c r="O101" s="1498"/>
      <c r="P101" s="1498"/>
      <c r="Q101" s="1498"/>
      <c r="R101" s="1498"/>
    </row>
    <row r="102" spans="1:18" ht="12.75" customHeight="1">
      <c r="A102" s="1877"/>
      <c r="B102" s="1875"/>
      <c r="C102" s="1876"/>
      <c r="D102" s="1876"/>
      <c r="E102" s="1876"/>
      <c r="F102" s="1876"/>
      <c r="G102" s="1876"/>
      <c r="H102" s="1876"/>
      <c r="I102" s="1876"/>
      <c r="J102" s="1876"/>
      <c r="K102" s="1628"/>
      <c r="L102" s="1628"/>
      <c r="M102" s="1628"/>
      <c r="N102" s="1628"/>
      <c r="O102" s="1628"/>
      <c r="P102" s="1628"/>
      <c r="Q102" s="1628"/>
      <c r="R102" s="1628"/>
    </row>
    <row r="103" spans="1:18" ht="4.9000000000000004" customHeight="1">
      <c r="A103" s="1878"/>
      <c r="B103" s="1875"/>
      <c r="C103" s="1875"/>
      <c r="D103" s="1876"/>
      <c r="E103" s="1876"/>
      <c r="F103" s="1876"/>
      <c r="G103" s="1876"/>
      <c r="H103" s="1876"/>
      <c r="I103" s="1876"/>
      <c r="J103" s="1876"/>
      <c r="K103" s="1630"/>
      <c r="L103" s="1630"/>
      <c r="M103" s="1630"/>
      <c r="N103" s="1630"/>
      <c r="O103" s="1630"/>
      <c r="P103" s="1630"/>
      <c r="Q103" s="1630"/>
      <c r="R103" s="1630"/>
    </row>
    <row r="104" spans="1:18" ht="12.75" customHeight="1">
      <c r="A104" s="1879"/>
      <c r="B104" s="1875"/>
      <c r="C104" s="1875"/>
      <c r="D104" s="1876"/>
      <c r="E104" s="1876"/>
      <c r="F104" s="1876"/>
      <c r="G104" s="1876"/>
      <c r="H104" s="1876"/>
      <c r="I104" s="1876"/>
      <c r="J104" s="1876"/>
      <c r="K104" s="1631"/>
      <c r="L104" s="1631"/>
      <c r="M104" s="1631"/>
      <c r="N104" s="1631"/>
      <c r="O104" s="1631"/>
      <c r="P104" s="1631"/>
      <c r="Q104" s="1631"/>
      <c r="R104" s="1631"/>
    </row>
    <row r="105" spans="1:18" ht="12.75" customHeight="1">
      <c r="A105" s="1878"/>
      <c r="B105" s="1875"/>
      <c r="C105" s="1875"/>
      <c r="D105" s="1876"/>
      <c r="E105" s="1876"/>
      <c r="F105" s="1876"/>
      <c r="G105" s="1876"/>
      <c r="H105" s="1876"/>
      <c r="I105" s="1876"/>
      <c r="J105" s="1876"/>
      <c r="K105" s="1630"/>
      <c r="L105" s="1630"/>
      <c r="M105" s="1630"/>
      <c r="N105" s="1630"/>
      <c r="O105" s="1630"/>
      <c r="P105" s="1630"/>
      <c r="Q105" s="1630"/>
      <c r="R105" s="1630"/>
    </row>
    <row r="106" spans="1:18" ht="12.75" customHeight="1">
      <c r="A106" s="1874"/>
      <c r="B106" s="1875"/>
      <c r="C106" s="1876"/>
      <c r="D106" s="1876"/>
      <c r="E106" s="1876"/>
      <c r="F106" s="1876"/>
      <c r="G106" s="1876"/>
      <c r="H106" s="1876"/>
      <c r="I106" s="1876"/>
      <c r="J106" s="1876"/>
      <c r="K106" s="1630"/>
      <c r="L106" s="1630"/>
      <c r="M106" s="1630"/>
      <c r="N106" s="1630"/>
      <c r="O106" s="1630"/>
      <c r="P106" s="1630"/>
      <c r="Q106" s="1630"/>
      <c r="R106" s="1630"/>
    </row>
    <row r="107" spans="1:18" ht="12.75" customHeight="1">
      <c r="A107" s="1874"/>
      <c r="B107" s="1875"/>
      <c r="C107" s="1876"/>
      <c r="D107" s="1876"/>
      <c r="E107" s="1876"/>
      <c r="F107" s="1876"/>
      <c r="G107" s="1876"/>
      <c r="H107" s="1876"/>
      <c r="I107" s="1876"/>
      <c r="J107" s="1876"/>
      <c r="K107" s="1630"/>
      <c r="L107" s="1630"/>
      <c r="M107" s="1630"/>
      <c r="N107" s="1630"/>
      <c r="O107" s="1630"/>
      <c r="P107" s="1630"/>
      <c r="Q107" s="1630"/>
      <c r="R107" s="1630"/>
    </row>
    <row r="108" spans="1:18" ht="12.75" customHeight="1">
      <c r="A108" s="1874"/>
      <c r="B108" s="1875"/>
      <c r="C108" s="1876"/>
      <c r="D108" s="1876"/>
      <c r="E108" s="1876"/>
      <c r="F108" s="1876"/>
      <c r="G108" s="1876"/>
      <c r="H108" s="1876"/>
      <c r="I108" s="1876"/>
      <c r="J108" s="1876"/>
      <c r="K108" s="1630"/>
      <c r="L108" s="1630"/>
      <c r="M108" s="1630"/>
      <c r="N108" s="1630"/>
      <c r="O108" s="1630"/>
      <c r="P108" s="1630"/>
      <c r="Q108" s="1630"/>
      <c r="R108" s="1630"/>
    </row>
    <row r="109" spans="1:18" ht="12.75" customHeight="1">
      <c r="A109" s="1874"/>
      <c r="B109" s="1875"/>
      <c r="C109" s="1876"/>
      <c r="D109" s="1876"/>
      <c r="E109" s="1876"/>
      <c r="F109" s="1876"/>
      <c r="G109" s="1876"/>
      <c r="H109" s="1876"/>
      <c r="I109" s="1876"/>
      <c r="J109" s="1876"/>
      <c r="K109" s="1630"/>
      <c r="L109" s="1630"/>
      <c r="M109" s="1630"/>
      <c r="N109" s="1630"/>
      <c r="O109" s="1630"/>
      <c r="P109" s="1630"/>
      <c r="Q109" s="1630"/>
      <c r="R109" s="1630"/>
    </row>
    <row r="110" spans="1:18" ht="4.9000000000000004" customHeight="1">
      <c r="A110" s="1879"/>
      <c r="B110" s="1880"/>
      <c r="C110" s="1880"/>
      <c r="D110" s="1671"/>
      <c r="E110" s="1671"/>
      <c r="F110" s="1671"/>
      <c r="G110" s="1671"/>
      <c r="H110" s="1671"/>
      <c r="I110" s="1671"/>
      <c r="J110" s="1671"/>
      <c r="K110" s="1630"/>
      <c r="L110" s="1630"/>
      <c r="M110" s="1630"/>
      <c r="N110" s="1630"/>
      <c r="O110" s="1630"/>
      <c r="P110" s="1630"/>
      <c r="Q110" s="1630"/>
      <c r="R110" s="1630"/>
    </row>
    <row r="111" spans="1:18" ht="11.25" customHeight="1">
      <c r="A111" s="989"/>
      <c r="B111" s="571"/>
      <c r="C111" s="571"/>
      <c r="D111" s="572"/>
      <c r="E111" s="572"/>
      <c r="F111" s="572"/>
      <c r="G111" s="573"/>
      <c r="H111" s="572"/>
      <c r="I111" s="572"/>
      <c r="J111" s="574"/>
      <c r="K111" s="470"/>
      <c r="L111" s="470"/>
      <c r="M111" s="470"/>
      <c r="N111" s="470"/>
      <c r="O111" s="470"/>
      <c r="P111" s="470"/>
      <c r="Q111" s="470"/>
      <c r="R111" s="470"/>
    </row>
    <row r="112" spans="1:18" ht="11.25" customHeight="1">
      <c r="A112" s="1237"/>
      <c r="B112" s="1853"/>
      <c r="C112" s="1853"/>
      <c r="D112" s="1235"/>
      <c r="E112" s="1235"/>
      <c r="F112" s="1235"/>
      <c r="G112" s="1235"/>
      <c r="H112" s="1235"/>
      <c r="I112" s="1235"/>
      <c r="J112" s="1235"/>
      <c r="K112" s="1632"/>
      <c r="L112" s="1632"/>
      <c r="M112" s="1632"/>
      <c r="N112" s="1632"/>
      <c r="O112" s="1632"/>
      <c r="P112" s="1632"/>
      <c r="Q112" s="1632"/>
      <c r="R112" s="1632"/>
    </row>
    <row r="113" spans="1:18" ht="11.25" customHeight="1">
      <c r="A113" s="1237"/>
      <c r="B113" s="1853"/>
      <c r="C113" s="1853"/>
      <c r="D113" s="1235"/>
      <c r="E113" s="1235"/>
      <c r="F113" s="1235"/>
      <c r="G113" s="1235"/>
      <c r="H113" s="1235"/>
      <c r="I113" s="1235"/>
      <c r="J113" s="1235"/>
      <c r="K113" s="1632"/>
      <c r="L113" s="1632"/>
      <c r="M113" s="1632"/>
      <c r="N113" s="1632"/>
      <c r="O113" s="1632"/>
      <c r="P113" s="1632"/>
      <c r="Q113" s="1632"/>
      <c r="R113" s="1632"/>
    </row>
    <row r="114" spans="1:18" ht="11.25" customHeight="1">
      <c r="A114" s="1854"/>
      <c r="B114" s="1855"/>
      <c r="C114" s="1856"/>
      <c r="D114" s="1856"/>
      <c r="E114" s="1856"/>
      <c r="F114" s="1856"/>
      <c r="G114" s="1856"/>
      <c r="H114" s="1856"/>
      <c r="I114" s="1856"/>
      <c r="J114" s="1856"/>
      <c r="K114" s="1632"/>
      <c r="L114" s="1632"/>
      <c r="M114" s="1632"/>
      <c r="N114" s="1632"/>
      <c r="O114" s="1632"/>
      <c r="P114" s="1632"/>
      <c r="Q114" s="1632"/>
      <c r="R114" s="1632"/>
    </row>
    <row r="115" spans="1:18" ht="11.25" customHeight="1">
      <c r="A115" s="1620"/>
      <c r="C115" s="1632"/>
      <c r="D115" s="1632"/>
      <c r="E115" s="1632"/>
      <c r="F115" s="1632"/>
      <c r="G115" s="1632"/>
      <c r="H115" s="1632"/>
      <c r="I115" s="1632"/>
      <c r="J115" s="1632"/>
      <c r="K115" s="1632"/>
      <c r="L115" s="1632"/>
      <c r="M115" s="1632"/>
      <c r="N115" s="1632"/>
      <c r="O115" s="1632"/>
      <c r="P115" s="1632"/>
      <c r="Q115" s="1632"/>
      <c r="R115" s="1632"/>
    </row>
    <row r="116" spans="1:18" ht="21" customHeight="1">
      <c r="A116" s="1862"/>
      <c r="B116" s="1630"/>
      <c r="C116" s="1632"/>
      <c r="D116" s="1632"/>
      <c r="E116" s="1632"/>
      <c r="F116" s="1632"/>
      <c r="G116" s="1632"/>
      <c r="H116" s="1632"/>
      <c r="I116" s="1632"/>
      <c r="J116" s="1632"/>
      <c r="K116" s="1632"/>
      <c r="L116" s="1632"/>
      <c r="M116" s="1632"/>
      <c r="N116" s="1632"/>
      <c r="O116" s="1632"/>
      <c r="P116" s="1632"/>
      <c r="Q116" s="1632"/>
      <c r="R116" s="1632"/>
    </row>
    <row r="117" spans="1:18" ht="22.5" customHeight="1">
      <c r="A117" s="2916"/>
      <c r="B117" s="2916"/>
      <c r="C117" s="2917"/>
      <c r="D117" s="2917"/>
      <c r="E117" s="2917"/>
      <c r="F117" s="2917"/>
      <c r="G117" s="2917"/>
      <c r="H117" s="1858"/>
      <c r="I117" s="1858"/>
      <c r="J117" s="1858"/>
      <c r="K117" s="1632"/>
      <c r="L117" s="1632"/>
      <c r="M117" s="1632"/>
      <c r="N117" s="1632"/>
      <c r="O117" s="1632"/>
      <c r="P117" s="1632"/>
      <c r="Q117" s="1632"/>
      <c r="R117" s="1632"/>
    </row>
    <row r="118" spans="1:18" ht="36.75" customHeight="1">
      <c r="A118" s="2916"/>
      <c r="B118" s="2916"/>
      <c r="C118" s="2917"/>
      <c r="D118" s="2917"/>
      <c r="E118" s="2917"/>
      <c r="F118" s="2917"/>
      <c r="G118" s="2917"/>
      <c r="H118" s="1857"/>
      <c r="I118" s="1857"/>
      <c r="J118" s="1857"/>
      <c r="K118" s="1622"/>
      <c r="L118" s="1622"/>
      <c r="M118" s="1622"/>
      <c r="N118" s="1622"/>
      <c r="O118" s="1622"/>
      <c r="P118" s="1622"/>
      <c r="Q118" s="1622"/>
      <c r="R118" s="1622"/>
    </row>
    <row r="119" spans="1:18" ht="21.75" customHeight="1">
      <c r="A119" s="1863"/>
      <c r="B119" s="1859"/>
      <c r="C119" s="1860"/>
      <c r="D119" s="1860"/>
      <c r="E119" s="1860"/>
      <c r="F119" s="1860"/>
      <c r="G119" s="1860"/>
      <c r="H119" s="1860"/>
      <c r="I119" s="1860"/>
      <c r="J119" s="1860"/>
      <c r="K119" s="1633"/>
      <c r="L119" s="1633"/>
      <c r="M119" s="1633"/>
      <c r="N119" s="1633"/>
      <c r="O119" s="1633"/>
      <c r="P119" s="1633"/>
      <c r="Q119" s="1633"/>
      <c r="R119" s="1633"/>
    </row>
    <row r="120" spans="1:18" ht="11.65" customHeight="1">
      <c r="A120" s="1864"/>
      <c r="B120" s="1859"/>
      <c r="C120" s="1860"/>
      <c r="D120" s="1860"/>
      <c r="E120" s="1860"/>
      <c r="F120" s="1860"/>
      <c r="G120" s="1860"/>
      <c r="H120" s="1860"/>
      <c r="I120" s="1860"/>
      <c r="J120" s="1860"/>
      <c r="K120" s="1633"/>
      <c r="L120" s="1633"/>
      <c r="M120" s="1633"/>
      <c r="N120" s="1633"/>
      <c r="O120" s="1633"/>
      <c r="P120" s="1633"/>
      <c r="Q120" s="1633"/>
      <c r="R120" s="1633"/>
    </row>
    <row r="121" spans="1:18" ht="11.65" customHeight="1">
      <c r="A121" s="1864"/>
      <c r="B121" s="1859"/>
      <c r="C121" s="1860"/>
      <c r="D121" s="1860"/>
      <c r="E121" s="1860"/>
      <c r="F121" s="1860"/>
      <c r="G121" s="1860"/>
      <c r="H121" s="1860"/>
      <c r="I121" s="1860"/>
      <c r="J121" s="1860"/>
      <c r="K121" s="1633"/>
      <c r="L121" s="1633"/>
      <c r="M121" s="1633"/>
      <c r="N121" s="1633"/>
      <c r="O121" s="1633"/>
      <c r="P121" s="1633"/>
      <c r="Q121" s="1633"/>
      <c r="R121" s="1633"/>
    </row>
    <row r="122" spans="1:18" ht="11.65" customHeight="1">
      <c r="A122" s="1864"/>
      <c r="B122" s="1859"/>
      <c r="C122" s="1860"/>
      <c r="D122" s="1860"/>
      <c r="E122" s="1860"/>
      <c r="F122" s="1860"/>
      <c r="G122" s="1860"/>
      <c r="H122" s="1860"/>
      <c r="I122" s="1860"/>
      <c r="J122" s="1860"/>
      <c r="K122" s="1633"/>
      <c r="L122" s="1633"/>
      <c r="M122" s="1633"/>
      <c r="N122" s="1633"/>
      <c r="O122" s="1633"/>
      <c r="P122" s="1633"/>
      <c r="Q122" s="1633"/>
      <c r="R122" s="1633"/>
    </row>
    <row r="123" spans="1:18" ht="21" customHeight="1">
      <c r="A123" s="1863"/>
      <c r="B123" s="1859"/>
      <c r="C123" s="1860"/>
      <c r="D123" s="1860"/>
      <c r="E123" s="1860"/>
      <c r="F123" s="1860"/>
      <c r="G123" s="1860"/>
      <c r="H123" s="1860"/>
      <c r="I123" s="1860"/>
      <c r="J123" s="1860"/>
      <c r="K123" s="1633"/>
      <c r="L123" s="1633"/>
      <c r="M123" s="1633"/>
      <c r="N123" s="1633"/>
      <c r="O123" s="1633"/>
      <c r="P123" s="1633"/>
      <c r="Q123" s="1633"/>
      <c r="R123" s="1633"/>
    </row>
    <row r="124" spans="1:18" ht="11.65" customHeight="1">
      <c r="A124" s="1864"/>
      <c r="B124" s="1859"/>
      <c r="C124" s="1860"/>
      <c r="D124" s="1860"/>
      <c r="E124" s="1860"/>
      <c r="F124" s="1860"/>
      <c r="G124" s="1860"/>
      <c r="H124" s="1860"/>
      <c r="I124" s="1860"/>
      <c r="J124" s="1860"/>
      <c r="K124" s="1633"/>
      <c r="L124" s="1633"/>
      <c r="M124" s="1633"/>
      <c r="N124" s="1633"/>
      <c r="O124" s="1633"/>
      <c r="P124" s="1633"/>
      <c r="Q124" s="1633"/>
      <c r="R124" s="1633"/>
    </row>
    <row r="125" spans="1:18" ht="11.65" customHeight="1">
      <c r="A125" s="1864"/>
      <c r="B125" s="1859"/>
      <c r="C125" s="1860"/>
      <c r="D125" s="1860"/>
      <c r="E125" s="1860"/>
      <c r="F125" s="1860"/>
      <c r="G125" s="1860"/>
      <c r="H125" s="1860"/>
      <c r="I125" s="1860"/>
      <c r="J125" s="1860"/>
      <c r="K125" s="1633"/>
      <c r="L125" s="1633"/>
      <c r="M125" s="1633"/>
      <c r="N125" s="1633"/>
      <c r="O125" s="1633"/>
      <c r="P125" s="1633"/>
      <c r="Q125" s="1633"/>
      <c r="R125" s="1633"/>
    </row>
    <row r="126" spans="1:18" ht="11.65" customHeight="1">
      <c r="A126" s="1864"/>
      <c r="B126" s="1859"/>
      <c r="C126" s="1860"/>
      <c r="D126" s="1860"/>
      <c r="E126" s="1860"/>
      <c r="F126" s="1860"/>
      <c r="G126" s="1860"/>
      <c r="H126" s="1860"/>
      <c r="I126" s="1860"/>
      <c r="J126" s="1860"/>
      <c r="K126" s="1633"/>
      <c r="L126" s="1633"/>
      <c r="M126" s="1633"/>
      <c r="N126" s="1633"/>
      <c r="O126" s="1633"/>
      <c r="P126" s="1633"/>
      <c r="Q126" s="1633"/>
      <c r="R126" s="1633"/>
    </row>
    <row r="127" spans="1:18" ht="11.65" customHeight="1">
      <c r="A127" s="1864"/>
      <c r="B127" s="1859"/>
      <c r="C127" s="1860"/>
      <c r="D127" s="1860"/>
      <c r="E127" s="1860"/>
      <c r="F127" s="1860"/>
      <c r="G127" s="1860"/>
      <c r="H127" s="1860"/>
      <c r="I127" s="1860"/>
      <c r="J127" s="1860"/>
      <c r="K127" s="1633"/>
      <c r="L127" s="1633"/>
      <c r="M127" s="1633"/>
      <c r="N127" s="1633"/>
      <c r="O127" s="1633"/>
      <c r="P127" s="1633"/>
      <c r="Q127" s="1633"/>
      <c r="R127" s="1633"/>
    </row>
    <row r="128" spans="1:18" ht="21" customHeight="1">
      <c r="A128" s="1863"/>
      <c r="B128" s="1859"/>
      <c r="C128" s="1860"/>
      <c r="D128" s="1860"/>
      <c r="E128" s="1860"/>
      <c r="F128" s="1860"/>
      <c r="G128" s="1860"/>
      <c r="H128" s="1860"/>
      <c r="I128" s="1860"/>
      <c r="J128" s="1860"/>
      <c r="K128" s="1633"/>
      <c r="L128" s="1633"/>
      <c r="M128" s="1633"/>
      <c r="N128" s="1633"/>
      <c r="O128" s="1633"/>
      <c r="P128" s="1633"/>
      <c r="Q128" s="1633"/>
      <c r="R128" s="1633"/>
    </row>
    <row r="129" spans="1:18" ht="11.65" customHeight="1">
      <c r="A129" s="1864"/>
      <c r="B129" s="1859"/>
      <c r="C129" s="1860"/>
      <c r="D129" s="1860"/>
      <c r="E129" s="1860"/>
      <c r="F129" s="1860"/>
      <c r="G129" s="1860"/>
      <c r="H129" s="1860"/>
      <c r="I129" s="1860"/>
      <c r="J129" s="1860"/>
      <c r="K129" s="1633"/>
      <c r="L129" s="1633"/>
      <c r="M129" s="1633"/>
      <c r="N129" s="1633"/>
      <c r="O129" s="1633"/>
      <c r="P129" s="1633"/>
      <c r="Q129" s="1633"/>
      <c r="R129" s="1633"/>
    </row>
    <row r="130" spans="1:18" ht="11.65" customHeight="1">
      <c r="A130" s="1864"/>
      <c r="B130" s="1859"/>
      <c r="C130" s="1860"/>
      <c r="D130" s="1860"/>
      <c r="E130" s="1860"/>
      <c r="F130" s="1860"/>
      <c r="G130" s="1860"/>
      <c r="H130" s="1860"/>
      <c r="I130" s="1860"/>
      <c r="J130" s="1860"/>
      <c r="K130" s="1633"/>
      <c r="L130" s="1633"/>
      <c r="M130" s="1633"/>
      <c r="N130" s="1633"/>
      <c r="O130" s="1633"/>
      <c r="P130" s="1633"/>
      <c r="Q130" s="1633"/>
      <c r="R130" s="1633"/>
    </row>
    <row r="131" spans="1:18" ht="11.65" customHeight="1">
      <c r="A131" s="1864"/>
      <c r="B131" s="1859"/>
      <c r="C131" s="1860"/>
      <c r="D131" s="1860"/>
      <c r="E131" s="1860"/>
      <c r="F131" s="1860"/>
      <c r="G131" s="1860"/>
      <c r="H131" s="1860"/>
      <c r="I131" s="1860"/>
      <c r="J131" s="1860"/>
      <c r="K131" s="1633"/>
      <c r="L131" s="1633"/>
      <c r="M131" s="1633"/>
      <c r="N131" s="1633"/>
      <c r="O131" s="1633"/>
      <c r="P131" s="1633"/>
      <c r="Q131" s="1633"/>
      <c r="R131" s="1633"/>
    </row>
    <row r="132" spans="1:18" ht="21" customHeight="1">
      <c r="A132" s="1863"/>
      <c r="B132" s="1859"/>
      <c r="C132" s="1860"/>
      <c r="D132" s="1860"/>
      <c r="E132" s="1860"/>
      <c r="F132" s="1860"/>
      <c r="G132" s="1860"/>
      <c r="H132" s="1860"/>
      <c r="I132" s="1860"/>
      <c r="J132" s="1860"/>
      <c r="K132" s="1635"/>
      <c r="L132" s="1635"/>
      <c r="M132" s="1635"/>
      <c r="N132" s="1635"/>
      <c r="O132" s="1635"/>
      <c r="P132" s="1635"/>
      <c r="Q132" s="1635"/>
      <c r="R132" s="1635"/>
    </row>
    <row r="133" spans="1:18" ht="11.65" customHeight="1">
      <c r="A133" s="1864"/>
      <c r="B133" s="1859"/>
      <c r="C133" s="1860"/>
      <c r="D133" s="1860"/>
      <c r="E133" s="1860"/>
      <c r="F133" s="1860"/>
      <c r="G133" s="1860"/>
      <c r="H133" s="1860"/>
      <c r="I133" s="1860"/>
      <c r="J133" s="1860"/>
      <c r="K133" s="1635"/>
      <c r="L133" s="1635"/>
      <c r="M133" s="1635"/>
      <c r="N133" s="1635"/>
      <c r="O133" s="1635"/>
      <c r="P133" s="1635"/>
      <c r="Q133" s="1635"/>
      <c r="R133" s="1635"/>
    </row>
    <row r="134" spans="1:18" ht="11.65" customHeight="1">
      <c r="A134" s="1864"/>
      <c r="B134" s="1859"/>
      <c r="C134" s="1860"/>
      <c r="D134" s="1860"/>
      <c r="E134" s="1860"/>
      <c r="F134" s="1860"/>
      <c r="G134" s="1860"/>
      <c r="H134" s="1860"/>
      <c r="I134" s="1860"/>
      <c r="J134" s="1860"/>
      <c r="K134" s="1635"/>
      <c r="L134" s="1635"/>
      <c r="M134" s="1635"/>
      <c r="N134" s="1635"/>
      <c r="O134" s="1635"/>
      <c r="P134" s="1635"/>
      <c r="Q134" s="1635"/>
      <c r="R134" s="1635"/>
    </row>
    <row r="135" spans="1:18" ht="11.65" customHeight="1">
      <c r="A135" s="1864"/>
      <c r="B135" s="1859"/>
      <c r="C135" s="1860"/>
      <c r="D135" s="1860"/>
      <c r="E135" s="1860"/>
      <c r="F135" s="1860"/>
      <c r="G135" s="1860"/>
      <c r="H135" s="1860"/>
      <c r="I135" s="1860"/>
      <c r="J135" s="1860"/>
      <c r="K135" s="1635"/>
      <c r="L135" s="1635"/>
      <c r="M135" s="1635"/>
      <c r="N135" s="1635"/>
      <c r="O135" s="1635"/>
      <c r="P135" s="1635"/>
      <c r="Q135" s="1635"/>
      <c r="R135" s="1635"/>
    </row>
    <row r="136" spans="1:18" ht="5.25" customHeight="1">
      <c r="A136" s="1861"/>
      <c r="B136" s="1859"/>
      <c r="C136" s="1860"/>
      <c r="D136" s="1860"/>
      <c r="E136" s="1860"/>
      <c r="F136" s="1860"/>
      <c r="G136" s="1860"/>
      <c r="H136" s="1860"/>
      <c r="I136" s="1860"/>
      <c r="J136" s="1860"/>
      <c r="K136" s="1623"/>
      <c r="L136" s="1623"/>
      <c r="M136" s="1623"/>
      <c r="N136" s="1623"/>
      <c r="O136" s="1623"/>
      <c r="P136" s="1623"/>
      <c r="Q136" s="1623"/>
      <c r="R136" s="1623"/>
    </row>
    <row r="137" spans="1:18" ht="11.25" customHeight="1">
      <c r="A137" s="1620"/>
      <c r="B137" s="1634"/>
      <c r="C137" s="1635"/>
      <c r="D137" s="1635"/>
      <c r="E137" s="1635"/>
      <c r="F137" s="1635"/>
      <c r="G137" s="1635"/>
      <c r="H137" s="1635"/>
      <c r="I137" s="1635"/>
      <c r="J137" s="1635"/>
      <c r="K137" s="1636"/>
      <c r="L137" s="1636"/>
      <c r="M137" s="1636"/>
      <c r="N137" s="1636"/>
      <c r="O137" s="1636"/>
      <c r="P137" s="1636"/>
      <c r="Q137" s="1636"/>
      <c r="R137" s="1636"/>
    </row>
    <row r="138" spans="1:18" ht="11.25" customHeight="1">
      <c r="A138" s="1627"/>
      <c r="B138" s="1634"/>
      <c r="C138" s="1623"/>
      <c r="D138" s="1623"/>
      <c r="E138" s="1623"/>
      <c r="F138" s="1623"/>
      <c r="G138" s="1623"/>
      <c r="H138" s="1623"/>
      <c r="I138" s="1623"/>
      <c r="J138" s="1623"/>
      <c r="K138" s="1158"/>
      <c r="L138" s="1158"/>
      <c r="M138" s="1158"/>
      <c r="N138" s="1158"/>
      <c r="O138" s="1158"/>
      <c r="P138" s="1158"/>
      <c r="Q138" s="1158"/>
      <c r="R138" s="1158"/>
    </row>
    <row r="139" spans="1:18" ht="11.25" customHeight="1">
      <c r="A139" s="1620"/>
      <c r="B139" s="1624"/>
      <c r="C139" s="1636"/>
      <c r="D139" s="1636"/>
      <c r="E139" s="1636"/>
      <c r="F139" s="1636"/>
      <c r="G139" s="1636"/>
      <c r="H139" s="1636"/>
      <c r="I139" s="1636"/>
      <c r="J139" s="1636"/>
      <c r="K139" s="1158"/>
      <c r="L139" s="1158"/>
      <c r="M139" s="1158"/>
      <c r="N139" s="1158"/>
      <c r="O139" s="1158"/>
      <c r="P139" s="1158"/>
      <c r="Q139" s="1158"/>
      <c r="R139" s="1158"/>
    </row>
    <row r="140" spans="1:18" ht="11.25" customHeight="1">
      <c r="A140" s="1620"/>
      <c r="B140" s="1624"/>
      <c r="C140" s="1158"/>
      <c r="D140" s="1158"/>
      <c r="E140" s="1158"/>
      <c r="F140" s="1158"/>
      <c r="G140" s="1158"/>
      <c r="H140" s="1158"/>
      <c r="I140" s="1158"/>
      <c r="J140" s="1158"/>
      <c r="K140" s="1637"/>
      <c r="L140" s="1637"/>
      <c r="M140" s="1637"/>
      <c r="N140" s="1637"/>
      <c r="O140" s="1637"/>
      <c r="P140" s="1637"/>
      <c r="Q140" s="1637"/>
      <c r="R140" s="1637"/>
    </row>
    <row r="141" spans="1:18" ht="11.25" customHeight="1">
      <c r="A141" s="1620"/>
      <c r="B141" s="1624"/>
      <c r="C141" s="1158"/>
      <c r="D141" s="1158"/>
      <c r="E141" s="1158"/>
      <c r="F141" s="1158"/>
      <c r="G141" s="1158"/>
      <c r="H141" s="1158"/>
      <c r="I141" s="1158"/>
      <c r="J141" s="1158"/>
      <c r="K141" s="1638"/>
      <c r="L141" s="1638"/>
      <c r="M141" s="1638"/>
      <c r="N141" s="1638"/>
      <c r="O141" s="1638"/>
      <c r="P141" s="1638"/>
      <c r="Q141" s="1638"/>
      <c r="R141" s="1638"/>
    </row>
    <row r="142" spans="1:18" ht="11.25" customHeight="1">
      <c r="A142" s="1620"/>
      <c r="B142" s="1624"/>
      <c r="C142" s="1637"/>
      <c r="D142" s="1637"/>
      <c r="E142" s="1637"/>
      <c r="F142" s="1637"/>
      <c r="G142" s="1637"/>
      <c r="H142" s="1637"/>
      <c r="I142" s="1637"/>
      <c r="J142" s="1637"/>
      <c r="K142" s="1638"/>
      <c r="L142" s="1638"/>
      <c r="M142" s="1638"/>
      <c r="N142" s="1638"/>
      <c r="O142" s="1638"/>
      <c r="P142" s="1638"/>
      <c r="Q142" s="1638"/>
      <c r="R142" s="1638"/>
    </row>
    <row r="143" spans="1:18" ht="11.25" customHeight="1">
      <c r="A143" s="1620"/>
      <c r="B143" s="1624"/>
      <c r="C143" s="1638"/>
      <c r="D143" s="1638"/>
      <c r="E143" s="1638"/>
      <c r="F143" s="1638"/>
      <c r="G143" s="1638"/>
      <c r="H143" s="1638"/>
      <c r="I143" s="1638"/>
      <c r="J143" s="1638"/>
      <c r="K143" s="1638"/>
      <c r="L143" s="1638"/>
      <c r="M143" s="1638"/>
      <c r="N143" s="1638"/>
      <c r="O143" s="1638"/>
      <c r="P143" s="1638"/>
      <c r="Q143" s="1638"/>
      <c r="R143" s="1638"/>
    </row>
    <row r="144" spans="1:18" ht="11.25" customHeight="1">
      <c r="A144" s="1620"/>
      <c r="B144" s="1624"/>
      <c r="C144" s="1638"/>
      <c r="D144" s="1638"/>
      <c r="E144" s="1638"/>
      <c r="F144" s="1638"/>
      <c r="G144" s="1638"/>
      <c r="H144" s="1638"/>
      <c r="I144" s="1638"/>
      <c r="J144" s="1638"/>
      <c r="K144" s="1638"/>
      <c r="L144" s="1638"/>
      <c r="M144" s="1638"/>
      <c r="N144" s="1638"/>
      <c r="O144" s="1638"/>
      <c r="P144" s="1638"/>
      <c r="Q144" s="1638"/>
      <c r="R144" s="1638"/>
    </row>
    <row r="145" spans="1:18" ht="11.25" customHeight="1">
      <c r="A145" s="1620"/>
      <c r="B145" s="1624"/>
      <c r="C145" s="1638"/>
      <c r="D145" s="1638"/>
      <c r="E145" s="1638"/>
      <c r="F145" s="1638"/>
      <c r="G145" s="1638"/>
      <c r="H145" s="1638"/>
      <c r="I145" s="1638"/>
      <c r="J145" s="1638"/>
      <c r="K145" s="1638"/>
      <c r="L145" s="1638"/>
      <c r="M145" s="1638"/>
      <c r="N145" s="1638"/>
      <c r="O145" s="1638"/>
      <c r="P145" s="1638"/>
      <c r="Q145" s="1638"/>
      <c r="R145" s="1638"/>
    </row>
    <row r="146" spans="1:18" ht="11.25" customHeight="1">
      <c r="A146" s="1620"/>
      <c r="B146" s="1624"/>
      <c r="C146" s="1638"/>
      <c r="D146" s="1638"/>
      <c r="E146" s="1638"/>
      <c r="F146" s="1638"/>
      <c r="G146" s="1638"/>
      <c r="H146" s="1638"/>
      <c r="I146" s="1638"/>
      <c r="J146" s="1638"/>
      <c r="K146" s="1638"/>
      <c r="L146" s="1638"/>
      <c r="M146" s="1638"/>
      <c r="N146" s="1638"/>
      <c r="O146" s="1638"/>
      <c r="P146" s="1638"/>
      <c r="Q146" s="1638"/>
      <c r="R146" s="1638"/>
    </row>
    <row r="147" spans="1:18" ht="11.25" customHeight="1">
      <c r="A147" s="1620"/>
      <c r="B147" s="1624"/>
      <c r="C147" s="1638"/>
      <c r="D147" s="1638"/>
      <c r="E147" s="1638"/>
      <c r="F147" s="1638"/>
      <c r="G147" s="1638"/>
      <c r="H147" s="1638"/>
      <c r="I147" s="1638"/>
      <c r="J147" s="1638"/>
      <c r="K147" s="136"/>
      <c r="L147" s="136"/>
      <c r="M147" s="136"/>
      <c r="N147" s="136"/>
      <c r="O147" s="136"/>
      <c r="P147" s="136"/>
      <c r="Q147" s="136"/>
      <c r="R147" s="136"/>
    </row>
    <row r="148" spans="1:18" ht="4.9000000000000004" customHeight="1">
      <c r="A148" s="1620"/>
      <c r="B148" s="1624"/>
      <c r="C148" s="1638"/>
      <c r="D148" s="1638"/>
      <c r="E148" s="1638"/>
      <c r="F148" s="1638"/>
      <c r="G148" s="1638"/>
      <c r="H148" s="1638"/>
      <c r="I148" s="1638"/>
      <c r="J148" s="1638"/>
      <c r="K148" s="236"/>
      <c r="L148" s="236"/>
      <c r="M148" s="236"/>
      <c r="N148" s="236"/>
      <c r="O148" s="236"/>
      <c r="P148" s="236"/>
      <c r="Q148" s="236"/>
      <c r="R148" s="236"/>
    </row>
    <row r="149" spans="1:18" s="899" customFormat="1">
      <c r="A149" s="1625"/>
      <c r="B149" s="1624"/>
      <c r="C149" s="136"/>
      <c r="D149" s="136"/>
      <c r="E149" s="136"/>
      <c r="F149" s="136"/>
      <c r="G149" s="136"/>
      <c r="H149" s="136"/>
      <c r="I149" s="136"/>
      <c r="J149" s="136"/>
      <c r="K149" s="876"/>
      <c r="L149" s="876"/>
      <c r="M149" s="876"/>
      <c r="N149" s="876"/>
      <c r="O149" s="876"/>
      <c r="P149" s="876"/>
      <c r="Q149" s="876"/>
      <c r="R149" s="876"/>
    </row>
    <row r="150" spans="1:18" s="899" customFormat="1">
      <c r="A150" s="1626"/>
      <c r="B150" s="1621"/>
      <c r="C150" s="236"/>
      <c r="D150" s="236"/>
      <c r="E150" s="236"/>
      <c r="F150" s="236"/>
      <c r="G150" s="236"/>
      <c r="H150" s="236"/>
      <c r="I150" s="236"/>
      <c r="J150" s="236"/>
      <c r="K150" s="876"/>
      <c r="L150" s="876"/>
      <c r="M150" s="876"/>
      <c r="N150" s="876"/>
      <c r="O150" s="876"/>
      <c r="P150" s="876"/>
      <c r="Q150" s="876"/>
      <c r="R150" s="876"/>
    </row>
    <row r="151" spans="1:18" s="899" customFormat="1">
      <c r="A151" s="1639"/>
      <c r="B151" s="1630"/>
      <c r="C151" s="876"/>
      <c r="D151" s="876"/>
      <c r="E151" s="876"/>
      <c r="F151" s="876"/>
      <c r="G151" s="876"/>
      <c r="H151" s="876"/>
      <c r="I151" s="876"/>
      <c r="J151" s="876"/>
      <c r="K151" s="876"/>
      <c r="L151" s="876"/>
      <c r="M151" s="876"/>
      <c r="N151" s="876"/>
      <c r="O151" s="876"/>
      <c r="P151" s="876"/>
      <c r="Q151" s="876"/>
      <c r="R151" s="876"/>
    </row>
    <row r="152" spans="1:18" s="899" customFormat="1">
      <c r="A152" s="1640"/>
      <c r="B152" s="1630"/>
      <c r="C152" s="876"/>
      <c r="D152" s="876"/>
      <c r="E152" s="876"/>
      <c r="F152" s="876"/>
      <c r="G152" s="876"/>
      <c r="H152" s="876"/>
      <c r="I152" s="876"/>
      <c r="J152" s="876"/>
      <c r="K152" s="876"/>
      <c r="L152" s="876"/>
      <c r="M152" s="876"/>
      <c r="N152" s="876"/>
      <c r="O152" s="876"/>
      <c r="P152" s="876"/>
      <c r="Q152" s="876"/>
      <c r="R152" s="876"/>
    </row>
    <row r="153" spans="1:18" s="899" customFormat="1">
      <c r="A153" s="1640"/>
      <c r="B153" s="1630"/>
      <c r="C153" s="876"/>
      <c r="D153" s="876"/>
      <c r="E153" s="876"/>
      <c r="F153" s="876"/>
      <c r="G153" s="876"/>
      <c r="H153" s="876"/>
      <c r="I153" s="876"/>
      <c r="J153" s="876"/>
      <c r="K153" s="876"/>
      <c r="L153" s="876"/>
      <c r="M153" s="876"/>
      <c r="N153" s="876"/>
      <c r="O153" s="876"/>
      <c r="P153" s="876"/>
      <c r="Q153" s="876"/>
      <c r="R153" s="876"/>
    </row>
    <row r="154" spans="1:18">
      <c r="A154" s="1325"/>
      <c r="B154" s="1630"/>
      <c r="C154" s="876"/>
      <c r="D154" s="876"/>
      <c r="E154" s="876"/>
      <c r="F154" s="876"/>
      <c r="G154" s="876"/>
      <c r="H154" s="876"/>
      <c r="I154" s="876"/>
      <c r="J154" s="876"/>
      <c r="K154" s="115"/>
      <c r="L154" s="115"/>
      <c r="M154" s="115"/>
      <c r="N154" s="115"/>
      <c r="O154" s="115"/>
      <c r="P154" s="115"/>
      <c r="Q154" s="115"/>
      <c r="R154" s="115"/>
    </row>
    <row r="155" spans="1:18">
      <c r="A155" s="1640"/>
      <c r="B155" s="1630"/>
      <c r="C155" s="876"/>
      <c r="D155" s="876"/>
      <c r="E155" s="876"/>
      <c r="F155" s="876"/>
      <c r="G155" s="876"/>
      <c r="H155" s="876"/>
      <c r="I155" s="876"/>
      <c r="J155" s="876"/>
      <c r="K155" s="115"/>
      <c r="L155" s="115"/>
      <c r="M155" s="115"/>
      <c r="N155" s="115"/>
      <c r="O155" s="115"/>
      <c r="P155" s="115"/>
      <c r="Q155" s="115"/>
      <c r="R155" s="115"/>
    </row>
    <row r="156" spans="1:18" ht="11.25" customHeight="1">
      <c r="A156" s="990"/>
      <c r="C156" s="114"/>
      <c r="D156" s="114"/>
      <c r="E156" s="114"/>
      <c r="F156" s="114"/>
      <c r="G156" s="115"/>
      <c r="H156" s="115"/>
      <c r="I156" s="115"/>
      <c r="J156" s="115"/>
    </row>
    <row r="157" spans="1:18" ht="11.25" customHeight="1">
      <c r="A157" s="990"/>
      <c r="C157" s="114"/>
      <c r="D157" s="114"/>
      <c r="E157" s="114"/>
      <c r="F157" s="114"/>
      <c r="G157" s="115"/>
      <c r="H157" s="115"/>
      <c r="I157" s="115"/>
      <c r="J157" s="115"/>
    </row>
    <row r="158" spans="1:18" ht="11.25" customHeight="1"/>
    <row r="159" spans="1:18" ht="11.25" customHeight="1">
      <c r="B159" s="1626"/>
    </row>
    <row r="160" spans="1:18" ht="11.25" customHeight="1">
      <c r="B160" s="1626"/>
    </row>
    <row r="161" spans="2:2" ht="11.25" customHeight="1">
      <c r="B161" s="1626"/>
    </row>
    <row r="162" spans="2:2" ht="11.25" customHeight="1"/>
    <row r="163" spans="2:2" ht="11.25" customHeight="1"/>
    <row r="164" spans="2:2" ht="11.25" customHeight="1"/>
    <row r="165" spans="2:2" ht="11.25" customHeight="1"/>
    <row r="166" spans="2:2" ht="11.25" customHeight="1"/>
    <row r="167" spans="2:2" ht="11.25" customHeight="1"/>
    <row r="168" spans="2:2" ht="11.25" customHeight="1"/>
    <row r="169" spans="2:2" ht="11.25" customHeight="1"/>
    <row r="170" spans="2:2" ht="11.25" customHeight="1"/>
    <row r="171" spans="2:2" ht="11.25" customHeight="1"/>
    <row r="172" spans="2:2" ht="11.25" customHeight="1"/>
    <row r="173" spans="2:2" ht="11.25" customHeight="1"/>
    <row r="174" spans="2:2" ht="11.25" customHeight="1"/>
    <row r="175" spans="2:2" ht="11.25" customHeight="1"/>
    <row r="176" spans="2:2"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sheetData>
  <mergeCells count="14">
    <mergeCell ref="F117:F118"/>
    <mergeCell ref="G117:G118"/>
    <mergeCell ref="G2:G3"/>
    <mergeCell ref="F2:F3"/>
    <mergeCell ref="E2:E3"/>
    <mergeCell ref="E117:E118"/>
    <mergeCell ref="A117:A118"/>
    <mergeCell ref="A2:A3"/>
    <mergeCell ref="B2:B3"/>
    <mergeCell ref="C2:C3"/>
    <mergeCell ref="D2:D3"/>
    <mergeCell ref="B117:B118"/>
    <mergeCell ref="C117:C118"/>
    <mergeCell ref="D117:D118"/>
  </mergeCells>
  <dataValidations count="6">
    <dataValidation type="list" showInputMessage="1" showErrorMessage="1" promptTitle="Guidance" prompt="Select Uniform or Variable" sqref="K110:R110 K24:R24">
      <formula1>List7</formula1>
    </dataValidation>
    <dataValidation type="list" showInputMessage="1" showErrorMessage="1" promptTitle="Guidance" prompt="Select Yes or No" sqref="K108:R109 K22:R23">
      <formula1>List6</formula1>
    </dataValidation>
    <dataValidation type="list" allowBlank="1" showInputMessage="1" showErrorMessage="1" promptTitle="Select" prompt="Select one" sqref="K106:R106 K20:R20">
      <formula1>List5</formula1>
    </dataValidation>
    <dataValidation type="list" allowBlank="1" showInputMessage="1" showErrorMessage="1" promptTitle="Select" prompt="Select one" sqref="K105:R105 C105 K19:R19 C82">
      <formula1>List4</formula1>
    </dataValidation>
    <dataValidation type="list" allowBlank="1" showInputMessage="1" showErrorMessage="1" promptTitle="Select" prompt="Select one" sqref="K103:R104 C103:C104 K17:R17 C80:C81">
      <formula1>List2</formula1>
    </dataValidation>
    <dataValidation type="list" allowBlank="1" showInputMessage="1" showErrorMessage="1" promptTitle="Select" prompt="Select one" sqref="K18:R18">
      <formula1>List3</formula1>
    </dataValidation>
  </dataValidations>
  <printOptions horizontalCentered="1"/>
  <pageMargins left="0.35433070866141736" right="0" top="0.59055118110236227" bottom="0.39370078740157483" header="0.51181102362204722" footer="0.39370078740157483"/>
  <pageSetup paperSize="8" fitToHeight="0" orientation="landscape" r:id="rId1"/>
  <headerFooter alignWithMargins="0"/>
  <rowBreaks count="1" manualBreakCount="1">
    <brk id="7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41" activePane="bottomRight" state="frozen"/>
      <selection activeCell="C32" sqref="C32"/>
      <selection pane="topRight" activeCell="C32" sqref="C32"/>
      <selection pane="bottomLeft" activeCell="C32" sqref="C32"/>
      <selection pane="bottomRight" activeCell="I38" sqref="I38"/>
    </sheetView>
  </sheetViews>
  <sheetFormatPr defaultColWidth="9.140625" defaultRowHeight="12.75"/>
  <cols>
    <col min="1" max="1" width="30.7109375" style="26" customWidth="1"/>
    <col min="2" max="2" width="3" style="124" customWidth="1"/>
    <col min="3" max="12" width="9.28515625" style="26" customWidth="1"/>
    <col min="13" max="16384" width="9.140625" style="26"/>
  </cols>
  <sheetData>
    <row r="1" spans="1:12" ht="13.5">
      <c r="A1" s="24" t="str">
        <f>muni&amp;" - "&amp;TableA14</f>
        <v>LIM333 Greater Tzaneen - Supporting Table SA14 Household bills</v>
      </c>
      <c r="B1" s="24"/>
      <c r="C1" s="24"/>
      <c r="D1" s="24"/>
      <c r="E1" s="24"/>
      <c r="F1" s="24"/>
      <c r="G1" s="24"/>
      <c r="H1" s="24"/>
      <c r="I1" s="24"/>
      <c r="J1" s="24"/>
      <c r="K1" s="24"/>
      <c r="L1" s="24"/>
    </row>
    <row r="2" spans="1:12" ht="27" customHeight="1">
      <c r="A2" s="2873" t="str">
        <f>desc</f>
        <v>Description</v>
      </c>
      <c r="B2" s="2875" t="str">
        <f>head27</f>
        <v>Ref</v>
      </c>
      <c r="C2" s="27" t="str">
        <f>head1b</f>
        <v>2016/17</v>
      </c>
      <c r="D2" s="27" t="str">
        <f>head1A</f>
        <v>2017/18</v>
      </c>
      <c r="E2" s="23" t="str">
        <f>Head1</f>
        <v>2018/19</v>
      </c>
      <c r="F2" s="2842" t="str">
        <f>Head2</f>
        <v>Current Year 2019/20</v>
      </c>
      <c r="G2" s="2843"/>
      <c r="H2" s="2843"/>
      <c r="I2" s="522" t="str">
        <f>Head3</f>
        <v>2020/21 Medium Term Revenue &amp; Expenditure Framework</v>
      </c>
      <c r="J2" s="523"/>
      <c r="K2" s="524"/>
      <c r="L2" s="525"/>
    </row>
    <row r="3" spans="1:12" ht="25.5">
      <c r="A3" s="2874"/>
      <c r="B3" s="2876"/>
      <c r="C3" s="29" t="str">
        <f>Head5</f>
        <v>Audited Outcome</v>
      </c>
      <c r="D3" s="29" t="str">
        <f>Head5</f>
        <v>Audited Outcome</v>
      </c>
      <c r="E3" s="30" t="str">
        <f>Head5</f>
        <v>Audited Outcome</v>
      </c>
      <c r="F3" s="28" t="str">
        <f>Head6</f>
        <v>Original Budget</v>
      </c>
      <c r="G3" s="29" t="str">
        <f>Head7</f>
        <v>Adjusted Budget</v>
      </c>
      <c r="H3" s="31" t="str">
        <f>Head8</f>
        <v>Full Year Forecast</v>
      </c>
      <c r="I3" s="526" t="str">
        <f>Head9</f>
        <v>Budget Year 2020/21</v>
      </c>
      <c r="J3" s="31" t="str">
        <f>Head9</f>
        <v>Budget Year 2020/21</v>
      </c>
      <c r="K3" s="527" t="str">
        <f>Head10</f>
        <v>Budget Year +1 2021/22</v>
      </c>
      <c r="L3" s="30" t="str">
        <f>Head11</f>
        <v>Budget Year +2 2022/23</v>
      </c>
    </row>
    <row r="4" spans="1:12">
      <c r="A4" s="57" t="s">
        <v>1130</v>
      </c>
      <c r="B4" s="2881"/>
      <c r="C4" s="16"/>
      <c r="D4" s="16"/>
      <c r="E4" s="33"/>
      <c r="F4" s="32"/>
      <c r="G4" s="16"/>
      <c r="H4" s="34"/>
      <c r="I4" s="17" t="s">
        <v>708</v>
      </c>
      <c r="J4" s="34"/>
      <c r="K4" s="16"/>
      <c r="L4" s="33"/>
    </row>
    <row r="5" spans="1:12" ht="25.5">
      <c r="A5" s="394" t="s">
        <v>1933</v>
      </c>
      <c r="B5" s="528">
        <v>1</v>
      </c>
      <c r="C5" s="529"/>
      <c r="D5" s="529"/>
      <c r="E5" s="530"/>
      <c r="F5" s="531"/>
      <c r="G5" s="529"/>
      <c r="H5" s="532"/>
      <c r="I5" s="533"/>
      <c r="J5" s="532"/>
      <c r="K5" s="529"/>
      <c r="L5" s="530"/>
    </row>
    <row r="6" spans="1:12">
      <c r="A6" s="170" t="s">
        <v>685</v>
      </c>
      <c r="B6" s="534"/>
      <c r="C6" s="535"/>
      <c r="D6" s="535"/>
      <c r="E6" s="536"/>
      <c r="F6" s="537"/>
      <c r="G6" s="535"/>
      <c r="H6" s="538"/>
      <c r="I6" s="539"/>
      <c r="J6" s="538"/>
      <c r="K6" s="535"/>
      <c r="L6" s="536"/>
    </row>
    <row r="7" spans="1:12">
      <c r="A7" s="177" t="s">
        <v>468</v>
      </c>
      <c r="B7" s="534"/>
      <c r="C7" s="2255">
        <v>474.94</v>
      </c>
      <c r="D7" s="2255">
        <v>379.96</v>
      </c>
      <c r="E7" s="2256">
        <v>425.10072499999984</v>
      </c>
      <c r="F7" s="2257">
        <v>477.22</v>
      </c>
      <c r="G7" s="2257">
        <v>477.22</v>
      </c>
      <c r="H7" s="2257">
        <v>477.22</v>
      </c>
      <c r="I7" s="2259">
        <f>IF(J7&gt;0,ROUND((J7-F7)/F7,3),"")</f>
        <v>4.1000000000000002E-2</v>
      </c>
      <c r="J7" s="2258">
        <v>496.71404999999999</v>
      </c>
      <c r="K7" s="2255">
        <v>519.56289630000003</v>
      </c>
      <c r="L7" s="2256">
        <v>542.94000000000005</v>
      </c>
    </row>
    <row r="8" spans="1:12">
      <c r="A8" s="177" t="s">
        <v>1369</v>
      </c>
      <c r="B8" s="534"/>
      <c r="C8" s="2255">
        <v>338.22</v>
      </c>
      <c r="D8" s="2255">
        <v>344.58</v>
      </c>
      <c r="E8" s="2256">
        <v>368.15</v>
      </c>
      <c r="F8" s="2257">
        <v>402.46</v>
      </c>
      <c r="G8" s="2257">
        <v>402.46</v>
      </c>
      <c r="H8" s="2257">
        <v>402.46</v>
      </c>
      <c r="I8" s="2259">
        <f t="shared" ref="I8:I13" si="0">IF(J8&gt;0,ROUND((J8-F8)/F8,3),"")</f>
        <v>0.11700000000000001</v>
      </c>
      <c r="J8" s="2258">
        <v>449.61</v>
      </c>
      <c r="K8" s="2255">
        <v>472.98972000000003</v>
      </c>
      <c r="L8" s="2256">
        <v>515.08000000000004</v>
      </c>
    </row>
    <row r="9" spans="1:12">
      <c r="A9" s="177" t="s">
        <v>1370</v>
      </c>
      <c r="B9" s="534"/>
      <c r="C9" s="2255">
        <v>1399.1</v>
      </c>
      <c r="D9" s="2255">
        <v>1426.35</v>
      </c>
      <c r="E9" s="2256">
        <v>1522.1999999999998</v>
      </c>
      <c r="F9" s="2257">
        <v>1667.1</v>
      </c>
      <c r="G9" s="2257">
        <v>1667.1</v>
      </c>
      <c r="H9" s="2257">
        <v>1667.1</v>
      </c>
      <c r="I9" s="2259">
        <f t="shared" si="0"/>
        <v>0.11899999999999999</v>
      </c>
      <c r="J9" s="2258">
        <v>1865.3999999999999</v>
      </c>
      <c r="K9" s="2255">
        <v>1962.4007999999999</v>
      </c>
      <c r="L9" s="2256">
        <v>2137.0500000000002</v>
      </c>
    </row>
    <row r="10" spans="1:12">
      <c r="A10" s="177" t="s">
        <v>1371</v>
      </c>
      <c r="B10" s="534"/>
      <c r="C10" s="2255">
        <v>30.13</v>
      </c>
      <c r="D10" s="2255">
        <v>31.93</v>
      </c>
      <c r="E10" s="2256">
        <v>33.625</v>
      </c>
      <c r="F10" s="2257">
        <v>35.51</v>
      </c>
      <c r="G10" s="2257">
        <v>35.51</v>
      </c>
      <c r="H10" s="2257">
        <v>35.51</v>
      </c>
      <c r="I10" s="2259">
        <f t="shared" si="0"/>
        <v>4.4999999999999998E-2</v>
      </c>
      <c r="J10" s="2258">
        <v>37.104999999999997</v>
      </c>
      <c r="K10" s="2255">
        <v>38.811829999999993</v>
      </c>
      <c r="L10" s="2256">
        <v>40.549999999999997</v>
      </c>
    </row>
    <row r="11" spans="1:12">
      <c r="A11" s="177" t="s">
        <v>705</v>
      </c>
      <c r="B11" s="534"/>
      <c r="C11" s="2255">
        <v>100.31</v>
      </c>
      <c r="D11" s="2255">
        <v>99.61</v>
      </c>
      <c r="E11" s="2256">
        <v>397.15</v>
      </c>
      <c r="F11" s="2257">
        <v>110.7</v>
      </c>
      <c r="G11" s="2257">
        <v>110.7</v>
      </c>
      <c r="H11" s="2257">
        <v>110.7</v>
      </c>
      <c r="I11" s="2259">
        <f t="shared" si="0"/>
        <v>0.53200000000000003</v>
      </c>
      <c r="J11" s="2258">
        <v>169.6</v>
      </c>
      <c r="K11" s="2255">
        <v>177.4016</v>
      </c>
      <c r="L11" s="2256">
        <v>185.2</v>
      </c>
    </row>
    <row r="12" spans="1:12">
      <c r="A12" s="177" t="s">
        <v>828</v>
      </c>
      <c r="B12" s="534"/>
      <c r="C12" s="2255">
        <v>21.87</v>
      </c>
      <c r="D12" s="2255">
        <v>23.13</v>
      </c>
      <c r="E12" s="2256">
        <v>24.419999999999998</v>
      </c>
      <c r="F12" s="2257">
        <v>25.8</v>
      </c>
      <c r="G12" s="2257">
        <v>25.8</v>
      </c>
      <c r="H12" s="2257">
        <v>25.8</v>
      </c>
      <c r="I12" s="2259">
        <f t="shared" si="0"/>
        <v>4.4999999999999998E-2</v>
      </c>
      <c r="J12" s="2258">
        <v>26.94927557351231</v>
      </c>
      <c r="K12" s="2255">
        <v>28.188942249893877</v>
      </c>
      <c r="L12" s="2256">
        <v>29.43</v>
      </c>
    </row>
    <row r="13" spans="1:12">
      <c r="A13" s="177" t="s">
        <v>570</v>
      </c>
      <c r="B13" s="534"/>
      <c r="C13" s="2255">
        <v>111.72</v>
      </c>
      <c r="D13" s="2255">
        <v>118.43</v>
      </c>
      <c r="E13" s="2256">
        <v>124.71</v>
      </c>
      <c r="F13" s="2257">
        <v>131.69</v>
      </c>
      <c r="G13" s="2257">
        <v>131.69</v>
      </c>
      <c r="H13" s="2257">
        <v>131.69</v>
      </c>
      <c r="I13" s="2259">
        <f t="shared" si="0"/>
        <v>4.4999999999999998E-2</v>
      </c>
      <c r="J13" s="2258">
        <v>137.62</v>
      </c>
      <c r="K13" s="2255">
        <v>143.95052000000001</v>
      </c>
      <c r="L13" s="2256">
        <v>150.41999999999999</v>
      </c>
    </row>
    <row r="14" spans="1:12">
      <c r="A14" s="177" t="s">
        <v>245</v>
      </c>
      <c r="B14" s="534"/>
      <c r="C14" s="2255"/>
      <c r="D14" s="2255"/>
      <c r="E14" s="2256"/>
      <c r="F14" s="2257"/>
      <c r="G14" s="2255"/>
      <c r="H14" s="2258"/>
      <c r="I14" s="2259"/>
      <c r="J14" s="2258"/>
      <c r="K14" s="2255"/>
      <c r="L14" s="2256"/>
    </row>
    <row r="15" spans="1:12">
      <c r="A15" s="540" t="s">
        <v>117</v>
      </c>
      <c r="B15" s="534"/>
      <c r="C15" s="541">
        <f>SUM(C7:C14)</f>
        <v>2476.29</v>
      </c>
      <c r="D15" s="541">
        <f>SUM(D7:D14)</f>
        <v>2423.9899999999998</v>
      </c>
      <c r="E15" s="542">
        <f>SUM(E7:E14)</f>
        <v>2895.3557249999999</v>
      </c>
      <c r="F15" s="543">
        <f>SUM(F7:F14)</f>
        <v>2850.48</v>
      </c>
      <c r="G15" s="541">
        <f t="shared" ref="G15:L15" si="1">SUM(G7:G14)</f>
        <v>2850.48</v>
      </c>
      <c r="H15" s="544">
        <f t="shared" si="1"/>
        <v>2850.48</v>
      </c>
      <c r="I15" s="545">
        <f>IF(ISERROR(ROUND((J15-F15)/F15,3)),0,(ROUND((J15-F15)/F15,3)))</f>
        <v>0.11700000000000001</v>
      </c>
      <c r="J15" s="544">
        <f t="shared" si="1"/>
        <v>3182.9983255735119</v>
      </c>
      <c r="K15" s="541">
        <f t="shared" si="1"/>
        <v>3343.3063085498939</v>
      </c>
      <c r="L15" s="542">
        <f t="shared" si="1"/>
        <v>3600.67</v>
      </c>
    </row>
    <row r="16" spans="1:12">
      <c r="A16" s="177" t="s">
        <v>684</v>
      </c>
      <c r="B16" s="534"/>
      <c r="C16" s="2255"/>
      <c r="D16" s="2255"/>
      <c r="E16" s="2256"/>
      <c r="F16" s="2257"/>
      <c r="G16" s="2255"/>
      <c r="H16" s="2258"/>
      <c r="I16" s="2259"/>
      <c r="J16" s="2258"/>
      <c r="K16" s="2255"/>
      <c r="L16" s="2256"/>
    </row>
    <row r="17" spans="1:12">
      <c r="A17" s="170" t="s">
        <v>706</v>
      </c>
      <c r="B17" s="534"/>
      <c r="C17" s="541">
        <f>SUM(C15:C16)</f>
        <v>2476.29</v>
      </c>
      <c r="D17" s="541">
        <f>SUM(D15:D16)</f>
        <v>2423.9899999999998</v>
      </c>
      <c r="E17" s="542">
        <f>SUM(E15:E16)</f>
        <v>2895.3557249999999</v>
      </c>
      <c r="F17" s="543">
        <f>SUM(F15:F16)</f>
        <v>2850.48</v>
      </c>
      <c r="G17" s="541">
        <f t="shared" ref="G17:L17" si="2">SUM(G15:G16)</f>
        <v>2850.48</v>
      </c>
      <c r="H17" s="544">
        <f t="shared" si="2"/>
        <v>2850.48</v>
      </c>
      <c r="I17" s="545">
        <f>IF(ISERROR(ROUND((J17-F17)/F17,3)),0,(ROUND((J17-F17)/F17,3)))</f>
        <v>0.11700000000000001</v>
      </c>
      <c r="J17" s="544">
        <f t="shared" si="2"/>
        <v>3182.9983255735119</v>
      </c>
      <c r="K17" s="541">
        <f t="shared" si="2"/>
        <v>3343.3063085498939</v>
      </c>
      <c r="L17" s="542">
        <f t="shared" si="2"/>
        <v>3600.67</v>
      </c>
    </row>
    <row r="18" spans="1:12">
      <c r="A18" s="546" t="s">
        <v>113</v>
      </c>
      <c r="B18" s="534"/>
      <c r="C18" s="547"/>
      <c r="D18" s="548">
        <f>IF(ISERROR((D17/C17)-1),0,((D17/C17)-1))</f>
        <v>-2.1120304972357951E-2</v>
      </c>
      <c r="E18" s="549">
        <f>IF(ISERROR((E17/D17)-1),0,((E17/D17)-1))</f>
        <v>0.19445860956522099</v>
      </c>
      <c r="F18" s="550">
        <f>IF(ISERROR((F17/E17)-1),0,((F17/E17)-1))</f>
        <v>-1.5499209514229895E-2</v>
      </c>
      <c r="G18" s="548">
        <f>IF(ISERROR((G17/F17)-1),0,((G17/F17)-1))</f>
        <v>0</v>
      </c>
      <c r="H18" s="551">
        <f>IF(ISERROR((H17/G17)-1),0,((H17/G17)-1))</f>
        <v>0</v>
      </c>
      <c r="I18" s="552"/>
      <c r="J18" s="551">
        <f>IF(ISERROR((J17/H17)-1),0,((J17/H17)-1))</f>
        <v>0.11665344979565262</v>
      </c>
      <c r="K18" s="548">
        <f>IF(ISERROR((K17/J17)-1),0,((K17/J17)-1))</f>
        <v>5.0363828874304462E-2</v>
      </c>
      <c r="L18" s="549">
        <f>IF(ISERROR((L17/K17)-1),0,((L17/K17)-1))</f>
        <v>7.6978795150161927E-2</v>
      </c>
    </row>
    <row r="19" spans="1:12" ht="4.9000000000000004" customHeight="1">
      <c r="A19" s="394"/>
      <c r="B19" s="534"/>
      <c r="C19" s="553"/>
      <c r="D19" s="553"/>
      <c r="E19" s="554"/>
      <c r="F19" s="555"/>
      <c r="G19" s="553"/>
      <c r="H19" s="556"/>
      <c r="I19" s="539"/>
      <c r="J19" s="556"/>
      <c r="K19" s="553"/>
      <c r="L19" s="554"/>
    </row>
    <row r="20" spans="1:12" ht="25.5" customHeight="1">
      <c r="A20" s="557" t="s">
        <v>1934</v>
      </c>
      <c r="B20" s="558">
        <v>2</v>
      </c>
      <c r="C20" s="559"/>
      <c r="D20" s="559"/>
      <c r="E20" s="560"/>
      <c r="F20" s="561"/>
      <c r="G20" s="559"/>
      <c r="H20" s="562"/>
      <c r="I20" s="563"/>
      <c r="J20" s="562"/>
      <c r="K20" s="559"/>
      <c r="L20" s="560"/>
    </row>
    <row r="21" spans="1:12" ht="11.25" customHeight="1">
      <c r="A21" s="170" t="str">
        <f>A6</f>
        <v>Rates and services charges:</v>
      </c>
      <c r="B21" s="534"/>
      <c r="C21" s="535"/>
      <c r="D21" s="535"/>
      <c r="E21" s="536"/>
      <c r="F21" s="537"/>
      <c r="G21" s="535"/>
      <c r="H21" s="538"/>
      <c r="I21" s="539"/>
      <c r="J21" s="538"/>
      <c r="K21" s="535"/>
      <c r="L21" s="536"/>
    </row>
    <row r="22" spans="1:12" ht="11.25" customHeight="1">
      <c r="A22" s="177" t="str">
        <f t="shared" ref="A22:A31" si="3">A7</f>
        <v>Property rates</v>
      </c>
      <c r="B22" s="534"/>
      <c r="C22" s="2255">
        <v>474.94</v>
      </c>
      <c r="D22" s="2255">
        <v>379.96</v>
      </c>
      <c r="E22" s="2256">
        <v>300.98372499999999</v>
      </c>
      <c r="F22" s="2257">
        <v>337.89</v>
      </c>
      <c r="G22" s="2257">
        <v>337.89</v>
      </c>
      <c r="H22" s="2257">
        <v>337.89</v>
      </c>
      <c r="I22" s="2259">
        <f>IF(J22&gt;0,ROUND((J22-F22)/F22,3),"")</f>
        <v>4.1000000000000002E-2</v>
      </c>
      <c r="J22" s="2258">
        <v>351.68804999999998</v>
      </c>
      <c r="K22" s="2255">
        <v>367.86570029999996</v>
      </c>
      <c r="L22" s="2256">
        <v>384.78</v>
      </c>
    </row>
    <row r="23" spans="1:12" ht="11.25" customHeight="1">
      <c r="A23" s="177" t="str">
        <f t="shared" si="3"/>
        <v>Electricity: Basic levy</v>
      </c>
      <c r="B23" s="534"/>
      <c r="C23" s="2255">
        <v>338.22</v>
      </c>
      <c r="D23" s="2255">
        <v>344.58</v>
      </c>
      <c r="E23" s="2256">
        <v>368.15</v>
      </c>
      <c r="F23" s="2257">
        <v>402.46</v>
      </c>
      <c r="G23" s="2257">
        <v>402.46</v>
      </c>
      <c r="H23" s="2257">
        <v>402.46</v>
      </c>
      <c r="I23" s="2259">
        <f t="shared" ref="I23:I28" si="4">IF(J23&gt;0,ROUND((J23-F23)/F23,3),"")</f>
        <v>0.11700000000000001</v>
      </c>
      <c r="J23" s="2258">
        <v>449.61</v>
      </c>
      <c r="K23" s="2255">
        <v>472.98972000000003</v>
      </c>
      <c r="L23" s="2256">
        <v>515.08000000000004</v>
      </c>
    </row>
    <row r="24" spans="1:12" ht="11.25" customHeight="1">
      <c r="A24" s="177" t="str">
        <f t="shared" si="3"/>
        <v>Electricity: Consumption</v>
      </c>
      <c r="B24" s="534"/>
      <c r="C24" s="2255">
        <v>667.6</v>
      </c>
      <c r="D24" s="2255">
        <v>680.55</v>
      </c>
      <c r="E24" s="2256">
        <v>723.59999999999968</v>
      </c>
      <c r="F24" s="2257">
        <v>1144.47</v>
      </c>
      <c r="G24" s="2257">
        <v>1144.47</v>
      </c>
      <c r="H24" s="2257">
        <v>1144.47</v>
      </c>
      <c r="I24" s="2259">
        <f t="shared" si="4"/>
        <v>-0.218</v>
      </c>
      <c r="J24" s="2258">
        <v>895.19999999999982</v>
      </c>
      <c r="K24" s="2255">
        <v>941.75</v>
      </c>
      <c r="L24" s="2256">
        <v>1025.56</v>
      </c>
    </row>
    <row r="25" spans="1:12" ht="11.25" customHeight="1">
      <c r="A25" s="177" t="str">
        <f t="shared" si="3"/>
        <v>Water: Basic levy</v>
      </c>
      <c r="B25" s="534"/>
      <c r="C25" s="2255">
        <v>30.13</v>
      </c>
      <c r="D25" s="2255">
        <v>31.93</v>
      </c>
      <c r="E25" s="2256">
        <v>33.625</v>
      </c>
      <c r="F25" s="2257">
        <v>35.51</v>
      </c>
      <c r="G25" s="2257">
        <v>35.51</v>
      </c>
      <c r="H25" s="2257">
        <v>35.51</v>
      </c>
      <c r="I25" s="2259">
        <f t="shared" si="4"/>
        <v>4.4999999999999998E-2</v>
      </c>
      <c r="J25" s="2258">
        <v>37.104999999999997</v>
      </c>
      <c r="K25" s="2255">
        <v>38.78</v>
      </c>
      <c r="L25" s="2256">
        <v>40.520000000000003</v>
      </c>
    </row>
    <row r="26" spans="1:12" ht="11.25" customHeight="1">
      <c r="A26" s="177" t="str">
        <f t="shared" si="3"/>
        <v>Water: Consumption</v>
      </c>
      <c r="B26" s="534"/>
      <c r="C26" s="2255">
        <v>75.260000000000005</v>
      </c>
      <c r="D26" s="2255">
        <v>73.06</v>
      </c>
      <c r="E26" s="2256">
        <v>397.15</v>
      </c>
      <c r="F26" s="2257">
        <v>81.2</v>
      </c>
      <c r="G26" s="2257">
        <v>81.2</v>
      </c>
      <c r="H26" s="2257">
        <v>81.2</v>
      </c>
      <c r="I26" s="2259">
        <f t="shared" si="4"/>
        <v>0.53</v>
      </c>
      <c r="J26" s="2258">
        <v>124.2</v>
      </c>
      <c r="K26" s="2255">
        <v>129.79</v>
      </c>
      <c r="L26" s="2256">
        <v>135.63</v>
      </c>
    </row>
    <row r="27" spans="1:12" ht="11.25" customHeight="1">
      <c r="A27" s="177" t="str">
        <f t="shared" si="3"/>
        <v>Sanitation</v>
      </c>
      <c r="B27" s="534"/>
      <c r="C27" s="2255">
        <v>18.23</v>
      </c>
      <c r="D27" s="2255">
        <v>19.28</v>
      </c>
      <c r="E27" s="2256">
        <v>20.349999999999998</v>
      </c>
      <c r="F27" s="2257">
        <v>21.5</v>
      </c>
      <c r="G27" s="2257">
        <v>21.5</v>
      </c>
      <c r="H27" s="2257">
        <v>21.5</v>
      </c>
      <c r="I27" s="2259">
        <f t="shared" si="4"/>
        <v>4.4999999999999998E-2</v>
      </c>
      <c r="J27" s="2258">
        <v>22.457729644593591</v>
      </c>
      <c r="K27" s="2255">
        <v>23.47</v>
      </c>
      <c r="L27" s="2256">
        <v>24.53</v>
      </c>
    </row>
    <row r="28" spans="1:12" ht="11.25" customHeight="1">
      <c r="A28" s="177" t="str">
        <f t="shared" si="3"/>
        <v>Refuse removal</v>
      </c>
      <c r="B28" s="534"/>
      <c r="C28" s="2255">
        <v>111.72</v>
      </c>
      <c r="D28" s="2255">
        <v>118.43</v>
      </c>
      <c r="E28" s="2256">
        <v>124.71</v>
      </c>
      <c r="F28" s="2257">
        <v>131.69</v>
      </c>
      <c r="G28" s="2257">
        <v>131.69</v>
      </c>
      <c r="H28" s="2257">
        <v>131.69</v>
      </c>
      <c r="I28" s="2259">
        <f t="shared" si="4"/>
        <v>4.4999999999999998E-2</v>
      </c>
      <c r="J28" s="2258">
        <v>137.62</v>
      </c>
      <c r="K28" s="2255">
        <v>143.94999999999999</v>
      </c>
      <c r="L28" s="2256">
        <v>150.57</v>
      </c>
    </row>
    <row r="29" spans="1:12" ht="11.25" customHeight="1">
      <c r="A29" s="177" t="str">
        <f t="shared" si="3"/>
        <v>Other</v>
      </c>
      <c r="B29" s="534"/>
      <c r="C29" s="2255"/>
      <c r="D29" s="2255"/>
      <c r="E29" s="2256"/>
      <c r="F29" s="2257"/>
      <c r="G29" s="2255"/>
      <c r="H29" s="2258"/>
      <c r="I29" s="2259"/>
      <c r="J29" s="2258"/>
      <c r="K29" s="2255"/>
      <c r="L29" s="2256"/>
    </row>
    <row r="30" spans="1:12" ht="11.25" customHeight="1">
      <c r="A30" s="540" t="str">
        <f t="shared" si="3"/>
        <v>sub-total</v>
      </c>
      <c r="B30" s="564"/>
      <c r="C30" s="541">
        <f t="shared" ref="C30:H30" si="5">SUM(C22:C29)</f>
        <v>1716.1000000000004</v>
      </c>
      <c r="D30" s="541">
        <f t="shared" si="5"/>
        <v>1647.79</v>
      </c>
      <c r="E30" s="542">
        <f t="shared" si="5"/>
        <v>1968.5687249999996</v>
      </c>
      <c r="F30" s="543">
        <f t="shared" si="5"/>
        <v>2154.7199999999998</v>
      </c>
      <c r="G30" s="541">
        <f t="shared" si="5"/>
        <v>2154.7199999999998</v>
      </c>
      <c r="H30" s="544">
        <f t="shared" si="5"/>
        <v>2154.7199999999998</v>
      </c>
      <c r="I30" s="545">
        <f>IF(ISERROR(ROUND((J30-F30)/F30,3)),0,(ROUND((J30-F30)/F30,3)))</f>
        <v>-6.4000000000000001E-2</v>
      </c>
      <c r="J30" s="544">
        <f>SUM(J22:J29)</f>
        <v>2017.8807796445935</v>
      </c>
      <c r="K30" s="541">
        <f>SUM(K22:K29)</f>
        <v>2118.5954202999997</v>
      </c>
      <c r="L30" s="542">
        <f>SUM(L22:L29)</f>
        <v>2276.6700000000005</v>
      </c>
    </row>
    <row r="31" spans="1:12" ht="11.25" customHeight="1">
      <c r="A31" s="177" t="str">
        <f t="shared" si="3"/>
        <v>VAT on Services</v>
      </c>
      <c r="B31" s="534"/>
      <c r="C31" s="2255"/>
      <c r="D31" s="2255"/>
      <c r="E31" s="2256"/>
      <c r="F31" s="2257"/>
      <c r="G31" s="2255"/>
      <c r="H31" s="2258"/>
      <c r="I31" s="2259"/>
      <c r="J31" s="2258"/>
      <c r="K31" s="2255"/>
      <c r="L31" s="2256"/>
    </row>
    <row r="32" spans="1:12" ht="11.25" customHeight="1">
      <c r="A32" s="170" t="s">
        <v>707</v>
      </c>
      <c r="B32" s="534"/>
      <c r="C32" s="541">
        <f t="shared" ref="C32:H32" si="6">SUM(C30:C31)</f>
        <v>1716.1000000000004</v>
      </c>
      <c r="D32" s="541">
        <f t="shared" si="6"/>
        <v>1647.79</v>
      </c>
      <c r="E32" s="542">
        <f t="shared" si="6"/>
        <v>1968.5687249999996</v>
      </c>
      <c r="F32" s="543">
        <f t="shared" si="6"/>
        <v>2154.7199999999998</v>
      </c>
      <c r="G32" s="541">
        <f t="shared" si="6"/>
        <v>2154.7199999999998</v>
      </c>
      <c r="H32" s="544">
        <f t="shared" si="6"/>
        <v>2154.7199999999998</v>
      </c>
      <c r="I32" s="545">
        <f>IF(ISERROR(ROUND((J32-F32)/F32,3)),0,(ROUND((J32-F32)/F32,3)))</f>
        <v>-6.4000000000000001E-2</v>
      </c>
      <c r="J32" s="544">
        <f>SUM(J30:J31)</f>
        <v>2017.8807796445935</v>
      </c>
      <c r="K32" s="541">
        <f>SUM(K30:K31)</f>
        <v>2118.5954202999997</v>
      </c>
      <c r="L32" s="542">
        <f>SUM(L30:L31)</f>
        <v>2276.6700000000005</v>
      </c>
    </row>
    <row r="33" spans="1:15" ht="11.25" customHeight="1">
      <c r="A33" s="546" t="s">
        <v>113</v>
      </c>
      <c r="B33" s="534"/>
      <c r="C33" s="547"/>
      <c r="D33" s="548">
        <f>IF(ISERROR((D32/C32)-1),0,((D32/C32)-1))</f>
        <v>-3.98053726472819E-2</v>
      </c>
      <c r="E33" s="549">
        <f>IF(ISERROR((E32/D32)-1),0,((E32/D32)-1))</f>
        <v>0.19467209110384198</v>
      </c>
      <c r="F33" s="550">
        <f>IF(ISERROR((F32/E32)-1),0,((F32/E32)-1))</f>
        <v>9.456173545579416E-2</v>
      </c>
      <c r="G33" s="548">
        <f>IF(ISERROR((G32/F32)-1),0,((G32/F32)-1))</f>
        <v>0</v>
      </c>
      <c r="H33" s="551">
        <f>IF(ISERROR((H32/G32)-1),0,((H32/G32)-1))</f>
        <v>0</v>
      </c>
      <c r="I33" s="552"/>
      <c r="J33" s="551">
        <f>IF(ISERROR((J32/H32)-1),0,((J32/H32)-1))</f>
        <v>-6.3506729577581411E-2</v>
      </c>
      <c r="K33" s="548">
        <f>IF(ISERROR((K32/J32)-1),0,((K32/J32)-1))</f>
        <v>4.9911095675902573E-2</v>
      </c>
      <c r="L33" s="549">
        <f>IF(ISERROR((L32/K32)-1),0,((L32/K32)-1))</f>
        <v>7.461291485167898E-2</v>
      </c>
    </row>
    <row r="34" spans="1:15" ht="4.5" customHeight="1">
      <c r="A34" s="394"/>
      <c r="B34" s="534"/>
      <c r="C34" s="553"/>
      <c r="D34" s="553"/>
      <c r="E34" s="554">
        <f>IF(ISERROR((E33/D33)-1),0,((E33/D33)-1))</f>
        <v>-5.8905983830083581</v>
      </c>
      <c r="F34" s="555">
        <f>IF(ISERROR((F33/E33)-1),0,((F33/E33)-1))</f>
        <v>-0.51425119584628576</v>
      </c>
      <c r="G34" s="553">
        <f>IF(ISERROR((G33/F33)-1),0,((G33/F33)-1))</f>
        <v>-1</v>
      </c>
      <c r="H34" s="556">
        <f>IF(ISERROR((H33/G33)-1),0,((H33/G33)-1))</f>
        <v>0</v>
      </c>
      <c r="I34" s="539"/>
      <c r="J34" s="556"/>
      <c r="K34" s="553"/>
      <c r="L34" s="554"/>
    </row>
    <row r="35" spans="1:15" ht="25.5" customHeight="1">
      <c r="A35" s="557" t="s">
        <v>1932</v>
      </c>
      <c r="B35" s="558">
        <v>3</v>
      </c>
      <c r="C35" s="559"/>
      <c r="D35" s="559"/>
      <c r="E35" s="560"/>
      <c r="F35" s="561"/>
      <c r="G35" s="559"/>
      <c r="H35" s="562"/>
      <c r="I35" s="563"/>
      <c r="J35" s="562"/>
      <c r="K35" s="559"/>
      <c r="L35" s="560"/>
    </row>
    <row r="36" spans="1:15">
      <c r="A36" s="170" t="str">
        <f>A6</f>
        <v>Rates and services charges:</v>
      </c>
      <c r="B36" s="534"/>
      <c r="C36" s="535"/>
      <c r="D36" s="535"/>
      <c r="E36" s="536"/>
      <c r="F36" s="537"/>
      <c r="G36" s="535"/>
      <c r="H36" s="538"/>
      <c r="I36" s="539"/>
      <c r="J36" s="538"/>
      <c r="K36" s="535"/>
      <c r="L36" s="536"/>
    </row>
    <row r="37" spans="1:15">
      <c r="A37" s="177" t="str">
        <f t="shared" ref="A37:A46" si="7">A7</f>
        <v>Property rates</v>
      </c>
      <c r="B37" s="534"/>
      <c r="C37" s="2255">
        <v>197.6</v>
      </c>
      <c r="D37" s="2255">
        <v>158.08000000000001</v>
      </c>
      <c r="E37" s="2256">
        <v>176.866725</v>
      </c>
      <c r="F37" s="2257">
        <v>198.55</v>
      </c>
      <c r="G37" s="2257">
        <v>198.55</v>
      </c>
      <c r="H37" s="2257">
        <v>198.55</v>
      </c>
      <c r="I37" s="2460">
        <f>IF(J37&gt;0,ROUND((J37-F37)/F37,3),"")</f>
        <v>4.1000000000000002E-2</v>
      </c>
      <c r="J37" s="2258">
        <v>206.66205000000002</v>
      </c>
      <c r="K37" s="2255">
        <v>216.16850430000002</v>
      </c>
      <c r="L37" s="2256">
        <v>225.89</v>
      </c>
      <c r="O37" s="240"/>
    </row>
    <row r="38" spans="1:15">
      <c r="A38" s="177" t="str">
        <f t="shared" si="7"/>
        <v>Electricity: Basic levy</v>
      </c>
      <c r="B38" s="534"/>
      <c r="C38" s="2255">
        <v>338.22</v>
      </c>
      <c r="D38" s="2255">
        <v>344.58</v>
      </c>
      <c r="E38" s="2256">
        <v>368.15</v>
      </c>
      <c r="F38" s="2257">
        <v>402.46</v>
      </c>
      <c r="G38" s="2257">
        <v>402.46</v>
      </c>
      <c r="H38" s="2257">
        <v>402.46</v>
      </c>
      <c r="I38" s="2460">
        <f t="shared" ref="I38:I44" si="8">IF(J38&gt;0,ROUND((J38-F38)/F38,3),"")</f>
        <v>0.11700000000000001</v>
      </c>
      <c r="J38" s="2258">
        <v>449.61</v>
      </c>
      <c r="K38" s="2255">
        <v>472.98972000000003</v>
      </c>
      <c r="L38" s="2256">
        <v>515.08000000000004</v>
      </c>
    </row>
    <row r="39" spans="1:15">
      <c r="A39" s="177" t="str">
        <f t="shared" si="7"/>
        <v>Electricity: Consumption</v>
      </c>
      <c r="B39" s="534"/>
      <c r="C39" s="2255">
        <v>448.15</v>
      </c>
      <c r="D39" s="2255">
        <v>456.81</v>
      </c>
      <c r="E39" s="2256">
        <v>484.01999999999975</v>
      </c>
      <c r="F39" s="2257">
        <v>534.74</v>
      </c>
      <c r="G39" s="2257">
        <v>534.74</v>
      </c>
      <c r="H39" s="2257">
        <v>534.74</v>
      </c>
      <c r="I39" s="2460">
        <f t="shared" si="8"/>
        <v>0.13</v>
      </c>
      <c r="J39" s="2258">
        <v>604.13999999999987</v>
      </c>
      <c r="K39" s="2255">
        <v>635.55527999999981</v>
      </c>
      <c r="L39" s="2256">
        <v>692.12</v>
      </c>
    </row>
    <row r="40" spans="1:15">
      <c r="A40" s="177" t="str">
        <f t="shared" si="7"/>
        <v>Water: Basic levy</v>
      </c>
      <c r="B40" s="534"/>
      <c r="C40" s="2255">
        <v>30.13</v>
      </c>
      <c r="D40" s="2255">
        <v>31.93</v>
      </c>
      <c r="E40" s="2256">
        <v>33.625</v>
      </c>
      <c r="F40" s="2257">
        <v>35.51</v>
      </c>
      <c r="G40" s="2257">
        <v>35.51</v>
      </c>
      <c r="H40" s="2257">
        <v>35.51</v>
      </c>
      <c r="I40" s="2460">
        <f t="shared" si="8"/>
        <v>4.4999999999999998E-2</v>
      </c>
      <c r="J40" s="2258">
        <v>37.104999999999997</v>
      </c>
      <c r="K40" s="2255">
        <v>38.811829999999993</v>
      </c>
      <c r="L40" s="2256">
        <v>40.549999999999997</v>
      </c>
    </row>
    <row r="41" spans="1:15">
      <c r="A41" s="177" t="str">
        <f t="shared" si="7"/>
        <v>Water: Consumption</v>
      </c>
      <c r="B41" s="534"/>
      <c r="C41" s="2255">
        <v>75.260000000000005</v>
      </c>
      <c r="D41" s="2255">
        <v>377.21</v>
      </c>
      <c r="E41" s="2256">
        <v>397.15</v>
      </c>
      <c r="F41" s="2257">
        <v>59.2</v>
      </c>
      <c r="G41" s="2257">
        <v>59.2</v>
      </c>
      <c r="H41" s="2257">
        <v>59.2</v>
      </c>
      <c r="I41" s="2460">
        <f t="shared" si="8"/>
        <v>0.53900000000000003</v>
      </c>
      <c r="J41" s="2258">
        <v>91.12</v>
      </c>
      <c r="K41" s="2255">
        <v>95.311520000000002</v>
      </c>
      <c r="L41" s="2256">
        <v>99.59</v>
      </c>
    </row>
    <row r="42" spans="1:15">
      <c r="A42" s="177" t="str">
        <f t="shared" si="7"/>
        <v>Sanitation</v>
      </c>
      <c r="B42" s="534"/>
      <c r="C42" s="2255">
        <v>18.23</v>
      </c>
      <c r="D42" s="2255">
        <v>15.42</v>
      </c>
      <c r="E42" s="2256">
        <v>16.279999999999998</v>
      </c>
      <c r="F42" s="2257">
        <v>17.2</v>
      </c>
      <c r="G42" s="2257">
        <v>17.2</v>
      </c>
      <c r="H42" s="2257">
        <v>17.2</v>
      </c>
      <c r="I42" s="2460">
        <f t="shared" si="8"/>
        <v>4.4999999999999998E-2</v>
      </c>
      <c r="J42" s="2258">
        <v>17.966183715674873</v>
      </c>
      <c r="K42" s="2255">
        <v>18.792628166595918</v>
      </c>
      <c r="L42" s="2256">
        <v>19.63</v>
      </c>
    </row>
    <row r="43" spans="1:15">
      <c r="A43" s="177" t="str">
        <f t="shared" si="7"/>
        <v>Refuse removal</v>
      </c>
      <c r="B43" s="534"/>
      <c r="C43" s="2255">
        <v>111.72</v>
      </c>
      <c r="D43" s="2255">
        <v>118.43</v>
      </c>
      <c r="E43" s="2256">
        <v>124.71</v>
      </c>
      <c r="F43" s="2257">
        <v>131.69</v>
      </c>
      <c r="G43" s="2257">
        <v>131.69</v>
      </c>
      <c r="H43" s="2257">
        <v>131.69</v>
      </c>
      <c r="I43" s="2460">
        <f t="shared" si="8"/>
        <v>4.4999999999999998E-2</v>
      </c>
      <c r="J43" s="2258">
        <v>137.62</v>
      </c>
      <c r="K43" s="2255">
        <v>143.95052000000001</v>
      </c>
      <c r="L43" s="2256">
        <v>150.41999999999999</v>
      </c>
    </row>
    <row r="44" spans="1:15">
      <c r="A44" s="177" t="str">
        <f t="shared" si="7"/>
        <v>Other</v>
      </c>
      <c r="B44" s="534"/>
      <c r="C44" s="2255">
        <v>0</v>
      </c>
      <c r="D44" s="2255">
        <v>0</v>
      </c>
      <c r="E44" s="2256"/>
      <c r="F44" s="2257"/>
      <c r="G44" s="2255"/>
      <c r="H44" s="2258"/>
      <c r="I44" s="2460" t="str">
        <f t="shared" si="8"/>
        <v/>
      </c>
      <c r="J44" s="2258"/>
      <c r="K44" s="2255"/>
      <c r="L44" s="2256"/>
    </row>
    <row r="45" spans="1:15">
      <c r="A45" s="540" t="str">
        <f t="shared" si="7"/>
        <v>sub-total</v>
      </c>
      <c r="B45" s="564"/>
      <c r="C45" s="541">
        <f>SUM(C37:C44)</f>
        <v>1219.3100000000002</v>
      </c>
      <c r="D45" s="541">
        <f>SUM(D37:D44)</f>
        <v>1502.46</v>
      </c>
      <c r="E45" s="542">
        <f>SUM(E37:E44)</f>
        <v>1600.8017249999996</v>
      </c>
      <c r="F45" s="543">
        <f>SUM(F37:F44)</f>
        <v>1379.3500000000001</v>
      </c>
      <c r="G45" s="541">
        <f t="shared" ref="G45:L45" si="9">SUM(G37:G44)</f>
        <v>1379.3500000000001</v>
      </c>
      <c r="H45" s="544">
        <f t="shared" si="9"/>
        <v>1379.3500000000001</v>
      </c>
      <c r="I45" s="545">
        <f>IF(ISERROR(ROUND((J45-F45)/F45,3)),0,(ROUND((J45-F45)/F45,3)))</f>
        <v>0.12</v>
      </c>
      <c r="J45" s="544">
        <f t="shared" si="9"/>
        <v>1544.2232337156747</v>
      </c>
      <c r="K45" s="541">
        <f t="shared" si="9"/>
        <v>1621.5800024665959</v>
      </c>
      <c r="L45" s="542">
        <f t="shared" si="9"/>
        <v>1743.2800000000002</v>
      </c>
    </row>
    <row r="46" spans="1:15">
      <c r="A46" s="177" t="str">
        <f t="shared" si="7"/>
        <v>VAT on Services</v>
      </c>
      <c r="B46" s="534"/>
      <c r="C46" s="2255"/>
      <c r="D46" s="2255"/>
      <c r="E46" s="2256"/>
      <c r="F46" s="2257"/>
      <c r="G46" s="2255"/>
      <c r="H46" s="2258"/>
      <c r="I46" s="2460" t="str">
        <f>IF(J46&gt;0,I13ROUND((J46-F46)/F46,3),"")</f>
        <v/>
      </c>
      <c r="J46" s="2258"/>
      <c r="K46" s="2255"/>
      <c r="L46" s="2256"/>
    </row>
    <row r="47" spans="1:15">
      <c r="A47" s="170" t="s">
        <v>707</v>
      </c>
      <c r="B47" s="534"/>
      <c r="C47" s="541">
        <f>SUM(C45:C46)</f>
        <v>1219.3100000000002</v>
      </c>
      <c r="D47" s="541">
        <f>SUM(D45:D46)</f>
        <v>1502.46</v>
      </c>
      <c r="E47" s="542">
        <f>SUM(E45:E46)</f>
        <v>1600.8017249999996</v>
      </c>
      <c r="F47" s="543">
        <f>SUM(F45:F46)</f>
        <v>1379.3500000000001</v>
      </c>
      <c r="G47" s="541">
        <f t="shared" ref="G47:L47" si="10">SUM(G45:G46)</f>
        <v>1379.3500000000001</v>
      </c>
      <c r="H47" s="544">
        <f t="shared" si="10"/>
        <v>1379.3500000000001</v>
      </c>
      <c r="I47" s="545">
        <f>IF(ISERROR(ROUND((J47-F47)/F47,3)),0,(ROUND((J47-F47)/F47,3)))</f>
        <v>0.12</v>
      </c>
      <c r="J47" s="544">
        <f t="shared" si="10"/>
        <v>1544.2232337156747</v>
      </c>
      <c r="K47" s="541">
        <f t="shared" si="10"/>
        <v>1621.5800024665959</v>
      </c>
      <c r="L47" s="542">
        <f t="shared" si="10"/>
        <v>1743.2800000000002</v>
      </c>
    </row>
    <row r="48" spans="1:15">
      <c r="A48" s="546" t="str">
        <f>A18</f>
        <v>% increase/-decrease</v>
      </c>
      <c r="B48" s="534"/>
      <c r="C48" s="547"/>
      <c r="D48" s="548">
        <f>IF(ISERROR((D47/C47)-1),0,((D47/C47)-1))</f>
        <v>0.23222150232508532</v>
      </c>
      <c r="E48" s="549">
        <f>IF(ISERROR((E47/D47)-1),0,((E47/D47)-1))</f>
        <v>6.5453805758555639E-2</v>
      </c>
      <c r="F48" s="550">
        <f>IF(ISERROR((F47/E47)-1),0,((F47/E47)-1))</f>
        <v>-0.13833800997434553</v>
      </c>
      <c r="G48" s="548">
        <f>IF(ISERROR((G47/F47)-1),0,((G47/F47)-1))</f>
        <v>0</v>
      </c>
      <c r="H48" s="551">
        <f>IF(ISERROR((H47/G47)-1),0,((H47/G47)-1))</f>
        <v>0</v>
      </c>
      <c r="I48" s="552"/>
      <c r="J48" s="551">
        <f>IF(ISERROR((J47/H47)-1),0,((J47/H47)-1))</f>
        <v>0.11952965796619752</v>
      </c>
      <c r="K48" s="548">
        <f>IF(ISERROR((K47/J47)-1),0,((K47/J47)-1))</f>
        <v>5.0094291461207474E-2</v>
      </c>
      <c r="L48" s="549">
        <f>IF(ISERROR((L47/K47)-1),0,((L47/K47)-1))</f>
        <v>7.5050257988064528E-2</v>
      </c>
    </row>
    <row r="49" spans="1:40" ht="4.9000000000000004" customHeight="1">
      <c r="A49" s="565"/>
      <c r="B49" s="566"/>
      <c r="C49" s="566"/>
      <c r="D49" s="566"/>
      <c r="E49" s="567"/>
      <c r="F49" s="568"/>
      <c r="G49" s="566"/>
      <c r="H49" s="569"/>
      <c r="I49" s="570"/>
      <c r="J49" s="569"/>
      <c r="K49" s="566"/>
      <c r="L49" s="567"/>
    </row>
    <row r="50" spans="1:40" s="576" customFormat="1">
      <c r="A50" s="989" t="str">
        <f>head27a</f>
        <v>References</v>
      </c>
      <c r="B50" s="884"/>
      <c r="C50" s="575"/>
      <c r="D50" s="575"/>
      <c r="E50" s="575"/>
      <c r="F50" s="913"/>
      <c r="G50" s="575"/>
      <c r="H50" s="575"/>
      <c r="I50" s="575"/>
      <c r="J50" s="575"/>
      <c r="K50" s="575"/>
    </row>
    <row r="51" spans="1:40" s="576" customFormat="1">
      <c r="A51" s="1235" t="s">
        <v>1935</v>
      </c>
      <c r="B51" s="914"/>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row>
    <row r="52" spans="1:40" s="576" customFormat="1">
      <c r="A52" s="1235" t="s">
        <v>1936</v>
      </c>
      <c r="B52" s="914"/>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5"/>
      <c r="AL52" s="915"/>
      <c r="AM52" s="915"/>
      <c r="AN52" s="915"/>
    </row>
    <row r="53" spans="1:40" s="576" customFormat="1">
      <c r="A53" s="1235" t="s">
        <v>1966</v>
      </c>
      <c r="B53" s="914"/>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row>
    <row r="54" spans="1:40">
      <c r="A54" s="26" t="s">
        <v>2019</v>
      </c>
    </row>
    <row r="55" spans="1:40">
      <c r="A55" s="574"/>
      <c r="B55" s="571"/>
      <c r="C55" s="572"/>
      <c r="D55" s="572"/>
      <c r="E55" s="572"/>
      <c r="F55" s="573"/>
      <c r="G55" s="572"/>
      <c r="H55" s="572"/>
      <c r="I55" s="572"/>
      <c r="J55" s="572"/>
      <c r="K55" s="575"/>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row>
    <row r="56" spans="1:40">
      <c r="A56" s="574"/>
      <c r="B56" s="571"/>
      <c r="C56" s="572"/>
      <c r="D56" s="572"/>
      <c r="E56" s="572"/>
      <c r="F56" s="573"/>
      <c r="G56" s="572"/>
      <c r="H56" s="572"/>
      <c r="I56" s="572"/>
      <c r="J56" s="572"/>
      <c r="K56" s="575"/>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row>
    <row r="57" spans="1:40">
      <c r="A57" s="574"/>
      <c r="B57" s="571"/>
      <c r="C57" s="572"/>
      <c r="D57" s="572"/>
      <c r="E57" s="572"/>
      <c r="F57" s="573"/>
      <c r="G57" s="572"/>
      <c r="H57" s="572"/>
      <c r="I57" s="572"/>
      <c r="J57" s="572"/>
      <c r="K57" s="575"/>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row>
    <row r="58" spans="1:40">
      <c r="K58" s="575"/>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row>
    <row r="59" spans="1:40">
      <c r="K59" s="575"/>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row>
    <row r="60" spans="1:40">
      <c r="K60" s="575"/>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row>
    <row r="61" spans="1:40">
      <c r="K61" s="575"/>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row>
    <row r="62" spans="1:40">
      <c r="K62" s="575"/>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row>
    <row r="63" spans="1:40">
      <c r="K63" s="575"/>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row>
    <row r="64" spans="1:40">
      <c r="K64" s="575"/>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row>
    <row r="65" spans="11:40">
      <c r="K65" s="575"/>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row>
    <row r="66" spans="11:40">
      <c r="K66" s="575"/>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row>
    <row r="67" spans="11:40">
      <c r="K67" s="575"/>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row>
    <row r="68" spans="11:40">
      <c r="K68" s="575"/>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row>
    <row r="69" spans="11:40">
      <c r="K69" s="575"/>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row>
    <row r="70" spans="11:40">
      <c r="K70" s="575"/>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row>
    <row r="71" spans="11:40">
      <c r="K71" s="575"/>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row>
    <row r="72" spans="11:40">
      <c r="K72" s="575"/>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row>
    <row r="73" spans="11:40">
      <c r="K73" s="575"/>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row>
    <row r="74" spans="11:40">
      <c r="K74" s="575"/>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row>
    <row r="75" spans="11:40">
      <c r="K75" s="575"/>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row>
    <row r="76" spans="11:40">
      <c r="K76" s="575"/>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row>
    <row r="77" spans="11:40">
      <c r="K77" s="575"/>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row>
    <row r="78" spans="11:40">
      <c r="K78" s="575"/>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row>
    <row r="79" spans="11:40">
      <c r="K79" s="575"/>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row>
    <row r="80" spans="11:40">
      <c r="K80" s="575"/>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row>
    <row r="81" spans="11:40">
      <c r="K81" s="575"/>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row>
    <row r="82" spans="11:40">
      <c r="K82" s="575"/>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row>
    <row r="83" spans="11:40">
      <c r="K83" s="575"/>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row>
    <row r="84" spans="11:40">
      <c r="K84" s="575"/>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row>
    <row r="85" spans="11:40">
      <c r="K85" s="575"/>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row>
    <row r="86" spans="11:40">
      <c r="K86" s="575"/>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row>
    <row r="87" spans="11:40">
      <c r="K87" s="575"/>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row>
    <row r="88" spans="11:40">
      <c r="K88" s="575"/>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row>
    <row r="89" spans="11:40">
      <c r="K89" s="575"/>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row>
    <row r="90" spans="11:40">
      <c r="K90" s="575"/>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row>
    <row r="91" spans="11:40">
      <c r="K91" s="575"/>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row>
    <row r="92" spans="11:40">
      <c r="K92" s="575"/>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row>
    <row r="93" spans="11:40">
      <c r="K93" s="575"/>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row>
    <row r="94" spans="11:40">
      <c r="K94" s="575"/>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row>
    <row r="95" spans="11:40">
      <c r="K95" s="575"/>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row>
    <row r="96" spans="11:40">
      <c r="K96" s="575"/>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row>
    <row r="97" spans="11:40">
      <c r="K97" s="575"/>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row>
    <row r="98" spans="11:40">
      <c r="K98" s="575"/>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row>
    <row r="99" spans="11:40">
      <c r="K99" s="575"/>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row>
    <row r="100" spans="11:40">
      <c r="K100" s="575"/>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row>
    <row r="101" spans="11:40">
      <c r="K101" s="575"/>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row>
    <row r="102" spans="11:40">
      <c r="K102" s="575"/>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row>
    <row r="103" spans="11:40">
      <c r="K103" s="575"/>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row>
    <row r="104" spans="11:40">
      <c r="K104" s="575"/>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row>
    <row r="105" spans="11:40">
      <c r="K105" s="575"/>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row>
    <row r="106" spans="11:40">
      <c r="K106" s="575"/>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row>
    <row r="107" spans="11:40">
      <c r="K107" s="575"/>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row>
    <row r="108" spans="11:40">
      <c r="K108" s="575"/>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row>
    <row r="109" spans="11:40">
      <c r="K109" s="575"/>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row>
    <row r="110" spans="11:40">
      <c r="K110" s="575"/>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row>
    <row r="111" spans="11:40">
      <c r="K111" s="575"/>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row>
    <row r="112" spans="11:40">
      <c r="K112" s="575"/>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row>
    <row r="113" spans="11:40">
      <c r="K113" s="575"/>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row>
    <row r="114" spans="11:40">
      <c r="K114" s="575"/>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row>
    <row r="115" spans="11:40">
      <c r="K115" s="575"/>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row>
    <row r="116" spans="11:40">
      <c r="K116" s="575"/>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row>
    <row r="117" spans="11:40">
      <c r="K117" s="575"/>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6"/>
      <c r="AL117" s="576"/>
      <c r="AM117" s="576"/>
      <c r="AN117" s="576"/>
    </row>
    <row r="118" spans="11:40">
      <c r="K118" s="575"/>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row>
  </sheetData>
  <mergeCells count="3">
    <mergeCell ref="B2:B4"/>
    <mergeCell ref="F2:H2"/>
    <mergeCell ref="A2:A3"/>
  </mergeCells>
  <phoneticPr fontId="5" type="noConversion"/>
  <printOptions horizontalCentered="1"/>
  <pageMargins left="0.35433070866141736" right="0" top="0.59055118110236227" bottom="0.39370078740157483" header="0.51181102362204722" footer="0.39370078740157483"/>
  <pageSetup paperSize="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26" activePane="bottomRight" state="frozen"/>
      <selection pane="topRight"/>
      <selection pane="bottomLeft"/>
      <selection pane="bottomRight" activeCell="I27" sqref="I27"/>
    </sheetView>
  </sheetViews>
  <sheetFormatPr defaultColWidth="9.140625"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 r="A1" s="24" t="str">
        <f>muni&amp;" - "&amp;TableA15</f>
        <v>LIM333 Greater Tzaneen - Supporting Table SA15 Investment particulars by type</v>
      </c>
      <c r="B1" s="24"/>
      <c r="C1" s="24"/>
      <c r="D1" s="24"/>
      <c r="E1" s="24"/>
      <c r="F1" s="24"/>
      <c r="G1" s="24"/>
      <c r="H1" s="24"/>
      <c r="I1" s="24"/>
      <c r="J1" s="24"/>
      <c r="K1" s="24"/>
    </row>
    <row r="2" spans="1:11" ht="28.5" customHeight="1">
      <c r="A2" s="2903" t="s">
        <v>509</v>
      </c>
      <c r="B2" s="2875" t="str">
        <f>head27</f>
        <v>Ref</v>
      </c>
      <c r="C2" s="22" t="str">
        <f>head1b</f>
        <v>2016/17</v>
      </c>
      <c r="D2" s="27" t="str">
        <f>head1A</f>
        <v>2017/18</v>
      </c>
      <c r="E2" s="23" t="str">
        <f>Head1</f>
        <v>2018/19</v>
      </c>
      <c r="F2" s="2842" t="str">
        <f>Head2</f>
        <v>Current Year 2019/20</v>
      </c>
      <c r="G2" s="2843"/>
      <c r="H2" s="2847"/>
      <c r="I2" s="2839" t="str">
        <f>Head3</f>
        <v>2020/21 Medium Term Revenue &amp; Expenditure Framework</v>
      </c>
      <c r="J2" s="2840"/>
      <c r="K2" s="2841"/>
    </row>
    <row r="3" spans="1:11" ht="25.5">
      <c r="A3" s="2904"/>
      <c r="B3" s="2876"/>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2020/21</v>
      </c>
      <c r="J3" s="29" t="str">
        <f>Head10</f>
        <v>Budget Year +1 2021/22</v>
      </c>
      <c r="K3" s="30" t="str">
        <f>Head11</f>
        <v>Budget Year +2 2022/23</v>
      </c>
    </row>
    <row r="4" spans="1:11">
      <c r="A4" s="57" t="s">
        <v>569</v>
      </c>
      <c r="B4" s="2881"/>
      <c r="C4" s="16"/>
      <c r="D4" s="16"/>
      <c r="E4" s="33"/>
      <c r="F4" s="32"/>
      <c r="G4" s="16"/>
      <c r="H4" s="33"/>
      <c r="I4" s="32"/>
      <c r="J4" s="16"/>
      <c r="K4" s="33"/>
    </row>
    <row r="5" spans="1:11">
      <c r="A5" s="126" t="s">
        <v>154</v>
      </c>
      <c r="B5" s="165"/>
      <c r="C5" s="577"/>
      <c r="D5" s="577"/>
      <c r="E5" s="578"/>
      <c r="F5" s="579"/>
      <c r="G5" s="577"/>
      <c r="H5" s="580"/>
      <c r="I5" s="581"/>
      <c r="J5" s="577"/>
      <c r="K5" s="578"/>
    </row>
    <row r="6" spans="1:11" ht="11.25" customHeight="1">
      <c r="A6" s="127" t="s">
        <v>1376</v>
      </c>
      <c r="B6" s="167"/>
      <c r="C6" s="2260"/>
      <c r="D6" s="2260"/>
      <c r="E6" s="2261"/>
      <c r="F6" s="2262"/>
      <c r="G6" s="2260"/>
      <c r="H6" s="2263"/>
      <c r="I6" s="2264"/>
      <c r="J6" s="2260"/>
      <c r="K6" s="2261"/>
    </row>
    <row r="7" spans="1:11" ht="11.25" customHeight="1">
      <c r="A7" s="127" t="s">
        <v>1377</v>
      </c>
      <c r="B7" s="167"/>
      <c r="C7" s="2260"/>
      <c r="D7" s="2260"/>
      <c r="E7" s="2261"/>
      <c r="F7" s="2262"/>
      <c r="G7" s="2260"/>
      <c r="H7" s="2263"/>
      <c r="I7" s="2264"/>
      <c r="J7" s="2260"/>
      <c r="K7" s="2261"/>
    </row>
    <row r="8" spans="1:11" ht="11.25" customHeight="1">
      <c r="A8" s="127" t="s">
        <v>1379</v>
      </c>
      <c r="B8" s="167"/>
      <c r="C8" s="2260">
        <v>25174276</v>
      </c>
      <c r="D8" s="2260">
        <v>26887398</v>
      </c>
      <c r="E8" s="2261">
        <v>31525083</v>
      </c>
      <c r="F8" s="2262">
        <v>33878623.323100001</v>
      </c>
      <c r="G8" s="2260">
        <v>33878623.323100001</v>
      </c>
      <c r="H8" s="2263">
        <v>19996318</v>
      </c>
      <c r="I8" s="2264">
        <v>21995950</v>
      </c>
      <c r="J8" s="2260">
        <v>24195545</v>
      </c>
      <c r="K8" s="2261">
        <v>26615100</v>
      </c>
    </row>
    <row r="9" spans="1:11" ht="11.25" customHeight="1">
      <c r="A9" s="127" t="s">
        <v>1378</v>
      </c>
      <c r="B9" s="167"/>
      <c r="C9" s="2260"/>
      <c r="D9" s="2260"/>
      <c r="E9" s="2261"/>
      <c r="F9" s="2262"/>
      <c r="G9" s="2260"/>
      <c r="H9" s="2263"/>
      <c r="I9" s="2264"/>
      <c r="J9" s="2260"/>
      <c r="K9" s="2261"/>
    </row>
    <row r="10" spans="1:11" ht="11.25" customHeight="1">
      <c r="A10" s="127" t="s">
        <v>1380</v>
      </c>
      <c r="B10" s="167"/>
      <c r="C10" s="2260"/>
      <c r="D10" s="2260"/>
      <c r="E10" s="2261"/>
      <c r="F10" s="2262"/>
      <c r="G10" s="2260"/>
      <c r="H10" s="2263"/>
      <c r="I10" s="2264"/>
      <c r="J10" s="2260"/>
      <c r="K10" s="2261"/>
    </row>
    <row r="11" spans="1:11" ht="11.25" customHeight="1">
      <c r="A11" s="127" t="s">
        <v>1381</v>
      </c>
      <c r="B11" s="167"/>
      <c r="C11" s="2260"/>
      <c r="D11" s="2260"/>
      <c r="E11" s="2261"/>
      <c r="F11" s="2262"/>
      <c r="G11" s="2260"/>
      <c r="H11" s="2263"/>
      <c r="I11" s="2264"/>
      <c r="J11" s="2260"/>
      <c r="K11" s="2261"/>
    </row>
    <row r="12" spans="1:11" ht="11.25" customHeight="1">
      <c r="A12" s="127" t="s">
        <v>1382</v>
      </c>
      <c r="B12" s="167"/>
      <c r="C12" s="2260"/>
      <c r="D12" s="2260"/>
      <c r="E12" s="2261"/>
      <c r="F12" s="2262"/>
      <c r="G12" s="2260"/>
      <c r="H12" s="2263"/>
      <c r="I12" s="2264"/>
      <c r="J12" s="2260"/>
      <c r="K12" s="2261"/>
    </row>
    <row r="13" spans="1:11" ht="11.25" customHeight="1">
      <c r="A13" s="127" t="s">
        <v>1383</v>
      </c>
      <c r="B13" s="167"/>
      <c r="C13" s="2260"/>
      <c r="D13" s="2260"/>
      <c r="E13" s="2261"/>
      <c r="F13" s="2262"/>
      <c r="G13" s="2260"/>
      <c r="H13" s="2263"/>
      <c r="I13" s="2264"/>
      <c r="J13" s="2260"/>
      <c r="K13" s="2261"/>
    </row>
    <row r="14" spans="1:11" ht="11.25" customHeight="1">
      <c r="A14" s="127" t="s">
        <v>1384</v>
      </c>
      <c r="B14" s="167"/>
      <c r="C14" s="2260"/>
      <c r="D14" s="2260"/>
      <c r="E14" s="2261"/>
      <c r="F14" s="2262"/>
      <c r="G14" s="2260"/>
      <c r="H14" s="2263"/>
      <c r="I14" s="2264"/>
      <c r="J14" s="2260"/>
      <c r="K14" s="2261"/>
    </row>
    <row r="15" spans="1:11" ht="11.25" customHeight="1">
      <c r="A15" s="127" t="s">
        <v>1385</v>
      </c>
      <c r="B15" s="167"/>
      <c r="C15" s="2260"/>
      <c r="D15" s="2260"/>
      <c r="E15" s="2261"/>
      <c r="F15" s="2262"/>
      <c r="G15" s="2260"/>
      <c r="H15" s="2263"/>
      <c r="I15" s="2264"/>
      <c r="J15" s="2260"/>
      <c r="K15" s="2261"/>
    </row>
    <row r="16" spans="1:11" ht="4.9000000000000004" customHeight="1">
      <c r="A16" s="148"/>
      <c r="B16" s="167"/>
      <c r="C16" s="907"/>
      <c r="D16" s="907"/>
      <c r="E16" s="908"/>
      <c r="F16" s="909"/>
      <c r="G16" s="907"/>
      <c r="H16" s="910"/>
      <c r="I16" s="911"/>
      <c r="J16" s="907"/>
      <c r="K16" s="908"/>
    </row>
    <row r="17" spans="1:11" ht="11.25" customHeight="1">
      <c r="A17" s="140" t="s">
        <v>153</v>
      </c>
      <c r="B17" s="167">
        <v>1</v>
      </c>
      <c r="C17" s="584">
        <f t="shared" ref="C17:K17" si="0">SUM(C6:C15)</f>
        <v>25174276</v>
      </c>
      <c r="D17" s="584">
        <f t="shared" si="0"/>
        <v>26887398</v>
      </c>
      <c r="E17" s="585">
        <f t="shared" si="0"/>
        <v>31525083</v>
      </c>
      <c r="F17" s="586">
        <f t="shared" si="0"/>
        <v>33878623.323100001</v>
      </c>
      <c r="G17" s="584">
        <f t="shared" si="0"/>
        <v>33878623.323100001</v>
      </c>
      <c r="H17" s="587">
        <f t="shared" si="0"/>
        <v>19996318</v>
      </c>
      <c r="I17" s="588">
        <f t="shared" si="0"/>
        <v>21995950</v>
      </c>
      <c r="J17" s="584">
        <f t="shared" si="0"/>
        <v>24195545</v>
      </c>
      <c r="K17" s="585">
        <f t="shared" si="0"/>
        <v>26615100</v>
      </c>
    </row>
    <row r="18" spans="1:11" ht="4.9000000000000004" customHeight="1">
      <c r="A18" s="148"/>
      <c r="B18" s="167"/>
      <c r="C18" s="582"/>
      <c r="D18" s="582"/>
      <c r="E18" s="578"/>
      <c r="F18" s="579"/>
      <c r="G18" s="582"/>
      <c r="H18" s="580"/>
      <c r="I18" s="583"/>
      <c r="J18" s="582"/>
      <c r="K18" s="578"/>
    </row>
    <row r="19" spans="1:11" ht="11.25" customHeight="1">
      <c r="A19" s="126" t="s">
        <v>581</v>
      </c>
      <c r="B19" s="167"/>
      <c r="C19" s="582"/>
      <c r="D19" s="582"/>
      <c r="E19" s="578"/>
      <c r="F19" s="579"/>
      <c r="G19" s="582"/>
      <c r="H19" s="580"/>
      <c r="I19" s="583"/>
      <c r="J19" s="582"/>
      <c r="K19" s="578"/>
    </row>
    <row r="20" spans="1:11" ht="11.25" customHeight="1">
      <c r="A20" s="127" t="str">
        <f>A6</f>
        <v>Securities - National Government</v>
      </c>
      <c r="B20" s="167"/>
      <c r="C20" s="2260"/>
      <c r="D20" s="2260"/>
      <c r="E20" s="2261"/>
      <c r="F20" s="2262"/>
      <c r="G20" s="2260"/>
      <c r="H20" s="2263"/>
      <c r="I20" s="2264"/>
      <c r="J20" s="2260"/>
      <c r="K20" s="2261"/>
    </row>
    <row r="21" spans="1:11" ht="11.25" customHeight="1">
      <c r="A21" s="127" t="str">
        <f t="shared" ref="A21:A28" si="1">A7</f>
        <v>Listed Corporate Bonds</v>
      </c>
      <c r="B21" s="167"/>
      <c r="C21" s="2260"/>
      <c r="D21" s="2260"/>
      <c r="E21" s="2261"/>
      <c r="F21" s="2262"/>
      <c r="G21" s="2260"/>
      <c r="H21" s="2263"/>
      <c r="I21" s="2264"/>
      <c r="J21" s="2260"/>
      <c r="K21" s="2261"/>
    </row>
    <row r="22" spans="1:11" ht="11.25" customHeight="1">
      <c r="A22" s="127" t="str">
        <f t="shared" si="1"/>
        <v>Deposits - Bank</v>
      </c>
      <c r="B22" s="167"/>
      <c r="C22" s="2260"/>
      <c r="D22" s="2260"/>
      <c r="E22" s="2261"/>
      <c r="F22" s="2262"/>
      <c r="G22" s="2260"/>
      <c r="H22" s="2263"/>
      <c r="I22" s="2264"/>
      <c r="J22" s="2260"/>
      <c r="K22" s="2261"/>
    </row>
    <row r="23" spans="1:11" ht="11.25" customHeight="1">
      <c r="A23" s="127" t="str">
        <f t="shared" si="1"/>
        <v>Deposits - Public Investment Commissioners</v>
      </c>
      <c r="B23" s="167"/>
      <c r="C23" s="2260"/>
      <c r="D23" s="2260"/>
      <c r="E23" s="2261"/>
      <c r="F23" s="2262"/>
      <c r="G23" s="2260"/>
      <c r="H23" s="2263"/>
      <c r="I23" s="2264"/>
      <c r="J23" s="2260"/>
      <c r="K23" s="2261"/>
    </row>
    <row r="24" spans="1:11" ht="11.25" customHeight="1">
      <c r="A24" s="127" t="str">
        <f t="shared" si="1"/>
        <v>Deposits - Corporation for Public Deposits</v>
      </c>
      <c r="B24" s="167"/>
      <c r="C24" s="2260"/>
      <c r="D24" s="2260"/>
      <c r="E24" s="2261"/>
      <c r="F24" s="2262"/>
      <c r="G24" s="2260"/>
      <c r="H24" s="2263"/>
      <c r="I24" s="2264"/>
      <c r="J24" s="2260"/>
      <c r="K24" s="2261"/>
    </row>
    <row r="25" spans="1:11" ht="11.25" customHeight="1">
      <c r="A25" s="127" t="str">
        <f t="shared" si="1"/>
        <v>Bankers Acceptance Certificates</v>
      </c>
      <c r="B25" s="167"/>
      <c r="C25" s="2260"/>
      <c r="D25" s="2260"/>
      <c r="E25" s="2261"/>
      <c r="F25" s="2262"/>
      <c r="G25" s="2260"/>
      <c r="H25" s="2263"/>
      <c r="I25" s="2264"/>
      <c r="J25" s="2260"/>
      <c r="K25" s="2261"/>
    </row>
    <row r="26" spans="1:11" ht="11.25" customHeight="1">
      <c r="A26" s="127" t="str">
        <f t="shared" si="1"/>
        <v>Negotiable Certificates of Deposit - Banks</v>
      </c>
      <c r="B26" s="167"/>
      <c r="C26" s="2260"/>
      <c r="D26" s="2260"/>
      <c r="E26" s="2261"/>
      <c r="F26" s="2262"/>
      <c r="G26" s="2260"/>
      <c r="H26" s="2263"/>
      <c r="I26" s="2264"/>
      <c r="J26" s="2260"/>
      <c r="K26" s="2261"/>
    </row>
    <row r="27" spans="1:11" ht="11.25" customHeight="1">
      <c r="A27" s="127" t="str">
        <f t="shared" si="1"/>
        <v>Guaranteed Endowment Policies (sinking)</v>
      </c>
      <c r="B27" s="167"/>
      <c r="C27" s="2260"/>
      <c r="D27" s="2260"/>
      <c r="E27" s="2261"/>
      <c r="F27" s="2262"/>
      <c r="G27" s="2260"/>
      <c r="H27" s="2263"/>
      <c r="I27" s="2264"/>
      <c r="J27" s="2260"/>
      <c r="K27" s="2261"/>
    </row>
    <row r="28" spans="1:11" ht="11.25" customHeight="1">
      <c r="A28" s="127" t="str">
        <f t="shared" si="1"/>
        <v>Repurchase Agreements - Banks</v>
      </c>
      <c r="B28" s="167"/>
      <c r="C28" s="2260"/>
      <c r="D28" s="2260"/>
      <c r="E28" s="2261"/>
      <c r="F28" s="2262"/>
      <c r="G28" s="2260"/>
      <c r="H28" s="2263"/>
      <c r="I28" s="2264"/>
      <c r="J28" s="2260"/>
      <c r="K28" s="2261"/>
    </row>
    <row r="29" spans="1:11" ht="4.9000000000000004" customHeight="1">
      <c r="A29" s="148"/>
      <c r="B29" s="167"/>
      <c r="C29" s="582"/>
      <c r="D29" s="582"/>
      <c r="E29" s="578"/>
      <c r="F29" s="579"/>
      <c r="G29" s="582"/>
      <c r="H29" s="580"/>
      <c r="I29" s="583"/>
      <c r="J29" s="582"/>
      <c r="K29" s="578"/>
    </row>
    <row r="30" spans="1:11" ht="11.25" customHeight="1">
      <c r="A30" s="140" t="s">
        <v>152</v>
      </c>
      <c r="B30" s="167"/>
      <c r="C30" s="584">
        <f t="shared" ref="C30:K30" si="2">SUM(C20:C29)</f>
        <v>0</v>
      </c>
      <c r="D30" s="589">
        <f t="shared" si="2"/>
        <v>0</v>
      </c>
      <c r="E30" s="590">
        <f t="shared" si="2"/>
        <v>0</v>
      </c>
      <c r="F30" s="591">
        <f t="shared" si="2"/>
        <v>0</v>
      </c>
      <c r="G30" s="589">
        <f t="shared" si="2"/>
        <v>0</v>
      </c>
      <c r="H30" s="592">
        <f t="shared" si="2"/>
        <v>0</v>
      </c>
      <c r="I30" s="593">
        <f t="shared" si="2"/>
        <v>0</v>
      </c>
      <c r="J30" s="589">
        <f t="shared" si="2"/>
        <v>0</v>
      </c>
      <c r="K30" s="590">
        <f t="shared" si="2"/>
        <v>0</v>
      </c>
    </row>
    <row r="31" spans="1:11" ht="4.9000000000000004" customHeight="1">
      <c r="A31" s="148"/>
      <c r="B31" s="167"/>
      <c r="C31" s="582"/>
      <c r="D31" s="582"/>
      <c r="E31" s="578"/>
      <c r="F31" s="579"/>
      <c r="G31" s="582"/>
      <c r="H31" s="580"/>
      <c r="I31" s="583"/>
      <c r="J31" s="582"/>
      <c r="K31" s="578"/>
    </row>
    <row r="32" spans="1:11">
      <c r="A32" s="155" t="s">
        <v>151</v>
      </c>
      <c r="B32" s="594"/>
      <c r="C32" s="595">
        <f t="shared" ref="C32:K32" si="3">C17+C30</f>
        <v>25174276</v>
      </c>
      <c r="D32" s="595">
        <f t="shared" si="3"/>
        <v>26887398</v>
      </c>
      <c r="E32" s="596">
        <f t="shared" si="3"/>
        <v>31525083</v>
      </c>
      <c r="F32" s="597">
        <f t="shared" si="3"/>
        <v>33878623.323100001</v>
      </c>
      <c r="G32" s="595">
        <f t="shared" si="3"/>
        <v>33878623.323100001</v>
      </c>
      <c r="H32" s="598">
        <f t="shared" si="3"/>
        <v>19996318</v>
      </c>
      <c r="I32" s="599">
        <f t="shared" si="3"/>
        <v>21995950</v>
      </c>
      <c r="J32" s="595">
        <f t="shared" si="3"/>
        <v>24195545</v>
      </c>
      <c r="K32" s="596">
        <f t="shared" si="3"/>
        <v>26615100</v>
      </c>
    </row>
    <row r="33" spans="1:15" ht="6" customHeight="1">
      <c r="A33" s="520"/>
      <c r="B33" s="113"/>
      <c r="C33" s="182"/>
      <c r="D33" s="182"/>
      <c r="E33" s="182"/>
      <c r="F33" s="182"/>
      <c r="G33" s="182"/>
      <c r="H33" s="182"/>
      <c r="I33" s="182"/>
      <c r="J33" s="182"/>
      <c r="K33" s="182"/>
      <c r="L33" s="123"/>
      <c r="M33" s="123"/>
      <c r="N33" s="123"/>
    </row>
    <row r="34" spans="1:15" s="576" customFormat="1" ht="10.5" customHeight="1">
      <c r="A34" s="1092" t="str">
        <f>head27a</f>
        <v>References</v>
      </c>
      <c r="B34" s="874"/>
      <c r="C34" s="916"/>
      <c r="D34" s="916"/>
      <c r="E34" s="916"/>
      <c r="F34" s="916"/>
      <c r="G34" s="916"/>
      <c r="H34" s="916"/>
      <c r="I34" s="916"/>
      <c r="J34" s="916"/>
      <c r="K34" s="916"/>
      <c r="L34" s="898"/>
      <c r="M34" s="898"/>
      <c r="N34" s="898"/>
    </row>
    <row r="35" spans="1:15" s="576" customFormat="1" ht="10.5" customHeight="1">
      <c r="A35" s="1093" t="s">
        <v>1117</v>
      </c>
      <c r="B35" s="874"/>
      <c r="C35" s="878"/>
      <c r="D35" s="877"/>
      <c r="E35" s="878"/>
      <c r="F35" s="878"/>
      <c r="G35" s="878"/>
      <c r="H35" s="878"/>
      <c r="I35" s="878"/>
      <c r="J35" s="878"/>
      <c r="K35" s="878"/>
    </row>
    <row r="36" spans="1:15" ht="10.5" customHeight="1">
      <c r="A36" s="162" t="s">
        <v>476</v>
      </c>
      <c r="B36" s="113"/>
      <c r="C36" s="217">
        <f>C17-'A6-FinPos'!C7-'A6-FinPos'!C16</f>
        <v>0</v>
      </c>
      <c r="D36" s="217">
        <f>D17-'A6-FinPos'!D7-'A6-FinPos'!D16</f>
        <v>0</v>
      </c>
      <c r="E36" s="314">
        <f>E17-'A6-FinPos'!E7-'A6-FinPos'!E16</f>
        <v>0</v>
      </c>
      <c r="F36" s="470">
        <f>F17-'A6-FinPos'!F7-'A6-FinPos'!F16</f>
        <v>-2562447.6768999994</v>
      </c>
      <c r="G36" s="314">
        <f>G17-'A6-FinPos'!G7-'A6-FinPos'!G16</f>
        <v>0</v>
      </c>
      <c r="H36" s="314">
        <f>H17-'A6-FinPos'!H7-'A6-FinPos'!H16</f>
        <v>0</v>
      </c>
      <c r="I36" s="314">
        <f>I17-'A6-FinPos'!J7-'A6-FinPos'!J16</f>
        <v>0</v>
      </c>
      <c r="J36" s="314">
        <f>J17-'A6-FinPos'!K7-'A6-FinPos'!K16</f>
        <v>0</v>
      </c>
      <c r="K36" s="314">
        <f>K17-'A6-FinPos'!L7-'A6-FinPos'!L16</f>
        <v>0</v>
      </c>
    </row>
    <row r="37" spans="1:15" ht="11.25" customHeight="1">
      <c r="O37" s="240"/>
    </row>
    <row r="38" spans="1:15" ht="11.25" customHeight="1"/>
    <row r="39" spans="1:15" ht="11.25" customHeight="1"/>
    <row r="40" spans="1:15" ht="11.25" customHeight="1"/>
    <row r="41" spans="1:15" ht="11.25" customHeight="1"/>
    <row r="42" spans="1:15" ht="11.25" customHeight="1"/>
    <row r="43" spans="1:15" ht="11.25" customHeight="1"/>
    <row r="44" spans="1:15" ht="11.25" customHeight="1"/>
    <row r="45" spans="1:15" ht="11.25" customHeight="1"/>
    <row r="46" spans="1:15" ht="11.25" customHeight="1"/>
    <row r="47" spans="1:15" ht="11.25" customHeight="1"/>
    <row r="48" spans="1:15"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sheetData>
  <mergeCells count="4">
    <mergeCell ref="F2:H2"/>
    <mergeCell ref="I2:K2"/>
    <mergeCell ref="B2:B4"/>
    <mergeCell ref="A2:A3"/>
  </mergeCells>
  <phoneticPr fontId="5"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H19" activePane="bottomRight" state="frozen"/>
      <selection pane="topRight"/>
      <selection pane="bottomLeft"/>
      <selection pane="bottomRight" activeCell="L6" sqref="L6"/>
    </sheetView>
  </sheetViews>
  <sheetFormatPr defaultColWidth="9.140625" defaultRowHeight="12.75"/>
  <cols>
    <col min="1" max="1" width="30.7109375" style="26" customWidth="1"/>
    <col min="2" max="2" width="3" style="1763" customWidth="1"/>
    <col min="3" max="10" width="13.7109375" style="26" customWidth="1"/>
    <col min="11" max="15" width="13.42578125" style="26" customWidth="1"/>
    <col min="16" max="16" width="9.42578125" style="26" customWidth="1"/>
    <col min="17" max="17" width="9.7109375" style="26" customWidth="1"/>
    <col min="18" max="20" width="9.42578125" style="26" customWidth="1"/>
    <col min="21" max="21" width="9.7109375" style="26" customWidth="1"/>
    <col min="22" max="24" width="9.42578125" style="26" customWidth="1"/>
    <col min="25" max="26" width="9.7109375" style="26" customWidth="1"/>
    <col min="27" max="16384" width="9.140625" style="26"/>
  </cols>
  <sheetData>
    <row r="1" spans="1:15" ht="13.5">
      <c r="A1" s="24" t="str">
        <f>muni&amp;" - "&amp;TableA16</f>
        <v>LIM333 Greater Tzaneen - Supporting Table SA16 Investment particulars by maturity</v>
      </c>
      <c r="B1" s="24"/>
      <c r="C1" s="24"/>
      <c r="D1" s="24"/>
      <c r="E1" s="24"/>
      <c r="F1" s="24"/>
      <c r="G1" s="24"/>
      <c r="H1" s="24"/>
      <c r="I1" s="24"/>
      <c r="J1" s="24"/>
    </row>
    <row r="2" spans="1:15" ht="43.5" customHeight="1">
      <c r="A2" s="19" t="s">
        <v>477</v>
      </c>
      <c r="B2" s="600" t="str">
        <f>head27</f>
        <v>Ref</v>
      </c>
      <c r="C2" s="27" t="s">
        <v>479</v>
      </c>
      <c r="D2" s="2899" t="s">
        <v>480</v>
      </c>
      <c r="E2" s="1641" t="s">
        <v>1803</v>
      </c>
      <c r="F2" s="1641" t="s">
        <v>1802</v>
      </c>
      <c r="G2" s="1641" t="s">
        <v>2476</v>
      </c>
      <c r="H2" s="1641" t="s">
        <v>1954</v>
      </c>
      <c r="I2" s="1641" t="s">
        <v>1804</v>
      </c>
      <c r="J2" s="2882" t="s">
        <v>481</v>
      </c>
      <c r="K2" s="757" t="s">
        <v>2011</v>
      </c>
      <c r="L2" s="601" t="s">
        <v>482</v>
      </c>
      <c r="M2" s="27" t="s">
        <v>2015</v>
      </c>
      <c r="N2" s="27" t="s">
        <v>2012</v>
      </c>
      <c r="O2" s="601" t="s">
        <v>2013</v>
      </c>
    </row>
    <row r="3" spans="1:15" ht="12.75" customHeight="1">
      <c r="A3" s="18" t="s">
        <v>478</v>
      </c>
      <c r="B3" s="602">
        <v>1</v>
      </c>
      <c r="C3" s="16" t="s">
        <v>1386</v>
      </c>
      <c r="D3" s="2900"/>
      <c r="E3" s="843"/>
      <c r="F3" s="843"/>
      <c r="G3" s="843"/>
      <c r="H3" s="843"/>
      <c r="I3" s="843"/>
      <c r="J3" s="2883"/>
      <c r="K3" s="2918"/>
      <c r="L3" s="2918"/>
      <c r="M3" s="2918"/>
      <c r="N3" s="2918"/>
      <c r="O3" s="2919"/>
    </row>
    <row r="4" spans="1:15" ht="12.75" customHeight="1">
      <c r="A4" s="126" t="s">
        <v>154</v>
      </c>
      <c r="B4" s="1759"/>
      <c r="C4" s="59"/>
      <c r="D4" s="603"/>
      <c r="E4" s="603"/>
      <c r="F4" s="603"/>
      <c r="G4" s="603"/>
      <c r="H4" s="603"/>
      <c r="I4" s="603"/>
      <c r="J4" s="604"/>
      <c r="K4" s="1893"/>
      <c r="L4" s="1914"/>
      <c r="M4" s="1894"/>
      <c r="N4" s="1894"/>
      <c r="O4" s="605"/>
    </row>
    <row r="5" spans="1:15" ht="11.25" customHeight="1">
      <c r="A5" s="2265" t="s">
        <v>2557</v>
      </c>
      <c r="B5" s="1760"/>
      <c r="C5" s="2172">
        <v>10</v>
      </c>
      <c r="D5" s="2266" t="s">
        <v>2558</v>
      </c>
      <c r="E5" s="2266" t="s">
        <v>364</v>
      </c>
      <c r="F5" s="2266" t="s">
        <v>2559</v>
      </c>
      <c r="G5" s="2266"/>
      <c r="H5" s="2266">
        <v>0</v>
      </c>
      <c r="I5" s="2266" t="s">
        <v>2560</v>
      </c>
      <c r="J5" s="2267">
        <v>45946</v>
      </c>
      <c r="K5" s="2264">
        <v>19996318</v>
      </c>
      <c r="L5" s="2268">
        <v>2000000</v>
      </c>
      <c r="M5" s="2260"/>
      <c r="N5" s="2260"/>
      <c r="O5" s="1918">
        <f>SUM(K5:N5)</f>
        <v>21996318</v>
      </c>
    </row>
    <row r="6" spans="1:15" ht="11.25" customHeight="1">
      <c r="A6" s="2265"/>
      <c r="B6" s="1760"/>
      <c r="C6" s="2172"/>
      <c r="D6" s="2266"/>
      <c r="E6" s="2266"/>
      <c r="F6" s="2266"/>
      <c r="G6" s="2266"/>
      <c r="H6" s="2266"/>
      <c r="I6" s="2266"/>
      <c r="J6" s="2267"/>
      <c r="K6" s="2264"/>
      <c r="L6" s="2268"/>
      <c r="M6" s="2260"/>
      <c r="N6" s="2260"/>
      <c r="O6" s="1918">
        <f t="shared" ref="O6:O11" si="0">SUM(K6:N6)</f>
        <v>0</v>
      </c>
    </row>
    <row r="7" spans="1:15" ht="11.25" customHeight="1">
      <c r="A7" s="2265"/>
      <c r="B7" s="1760"/>
      <c r="C7" s="2172"/>
      <c r="D7" s="2266"/>
      <c r="E7" s="2266"/>
      <c r="F7" s="2266"/>
      <c r="G7" s="2266"/>
      <c r="H7" s="2266"/>
      <c r="I7" s="2266"/>
      <c r="J7" s="2267"/>
      <c r="K7" s="2264"/>
      <c r="L7" s="2268"/>
      <c r="M7" s="2260"/>
      <c r="N7" s="2260"/>
      <c r="O7" s="1918">
        <f t="shared" si="0"/>
        <v>0</v>
      </c>
    </row>
    <row r="8" spans="1:15" ht="11.25" customHeight="1">
      <c r="A8" s="2265"/>
      <c r="B8" s="1760"/>
      <c r="C8" s="2172"/>
      <c r="D8" s="2266"/>
      <c r="E8" s="2266"/>
      <c r="F8" s="2266"/>
      <c r="G8" s="2266"/>
      <c r="H8" s="2266"/>
      <c r="I8" s="2266"/>
      <c r="J8" s="2267"/>
      <c r="K8" s="2264"/>
      <c r="L8" s="2268"/>
      <c r="M8" s="2260"/>
      <c r="N8" s="2260"/>
      <c r="O8" s="1918">
        <f t="shared" si="0"/>
        <v>0</v>
      </c>
    </row>
    <row r="9" spans="1:15" ht="11.25" customHeight="1">
      <c r="A9" s="2265"/>
      <c r="B9" s="1760"/>
      <c r="C9" s="2172"/>
      <c r="D9" s="2266"/>
      <c r="E9" s="2266"/>
      <c r="F9" s="2266"/>
      <c r="G9" s="2266"/>
      <c r="H9" s="2266"/>
      <c r="I9" s="2266"/>
      <c r="J9" s="2267"/>
      <c r="K9" s="2264"/>
      <c r="L9" s="2268"/>
      <c r="M9" s="2260"/>
      <c r="N9" s="2260"/>
      <c r="O9" s="1918">
        <f t="shared" si="0"/>
        <v>0</v>
      </c>
    </row>
    <row r="10" spans="1:15" ht="11.25" customHeight="1">
      <c r="A10" s="2265"/>
      <c r="B10" s="1760"/>
      <c r="C10" s="2172"/>
      <c r="D10" s="2266"/>
      <c r="E10" s="2266"/>
      <c r="F10" s="2266"/>
      <c r="G10" s="2266"/>
      <c r="H10" s="2266"/>
      <c r="I10" s="2266"/>
      <c r="J10" s="2267"/>
      <c r="K10" s="2264"/>
      <c r="L10" s="2268"/>
      <c r="M10" s="2260"/>
      <c r="N10" s="2260"/>
      <c r="O10" s="1918">
        <f t="shared" si="0"/>
        <v>0</v>
      </c>
    </row>
    <row r="11" spans="1:15" ht="11.25" customHeight="1">
      <c r="A11" s="2265"/>
      <c r="B11" s="1760"/>
      <c r="C11" s="2172"/>
      <c r="D11" s="2266"/>
      <c r="E11" s="2266"/>
      <c r="F11" s="2266"/>
      <c r="G11" s="2266"/>
      <c r="H11" s="2266"/>
      <c r="I11" s="2266"/>
      <c r="J11" s="2267"/>
      <c r="K11" s="2264"/>
      <c r="L11" s="2268"/>
      <c r="M11" s="2260"/>
      <c r="N11" s="2260"/>
      <c r="O11" s="1919">
        <f t="shared" si="0"/>
        <v>0</v>
      </c>
    </row>
    <row r="12" spans="1:15" ht="11.25" customHeight="1">
      <c r="A12" s="140" t="s">
        <v>153</v>
      </c>
      <c r="B12" s="1759"/>
      <c r="C12" s="1176"/>
      <c r="D12" s="1177"/>
      <c r="E12" s="1177"/>
      <c r="F12" s="1177"/>
      <c r="G12" s="1177"/>
      <c r="H12" s="1177"/>
      <c r="I12" s="1177"/>
      <c r="J12" s="1178"/>
      <c r="K12" s="588">
        <f>SUM(K5:K11)</f>
        <v>19996318</v>
      </c>
      <c r="L12" s="1915"/>
      <c r="M12" s="584">
        <f>SUM(M5:M11)</f>
        <v>0</v>
      </c>
      <c r="N12" s="584">
        <f>SUM(N5:N11)</f>
        <v>0</v>
      </c>
      <c r="O12" s="608">
        <f>SUM(O5:O11)</f>
        <v>21996318</v>
      </c>
    </row>
    <row r="13" spans="1:15" ht="11.25" customHeight="1">
      <c r="A13" s="148"/>
      <c r="B13" s="1759"/>
      <c r="C13" s="59"/>
      <c r="D13" s="603"/>
      <c r="E13" s="603"/>
      <c r="F13" s="603"/>
      <c r="G13" s="603"/>
      <c r="H13" s="603"/>
      <c r="I13" s="603"/>
      <c r="J13" s="606"/>
      <c r="K13" s="583"/>
      <c r="L13" s="1737"/>
      <c r="M13" s="582"/>
      <c r="N13" s="582"/>
      <c r="O13" s="607"/>
    </row>
    <row r="14" spans="1:15" ht="11.25" customHeight="1">
      <c r="A14" s="126" t="s">
        <v>581</v>
      </c>
      <c r="B14" s="1759"/>
      <c r="C14" s="59"/>
      <c r="D14" s="603"/>
      <c r="E14" s="603"/>
      <c r="F14" s="603"/>
      <c r="G14" s="603"/>
      <c r="H14" s="603"/>
      <c r="I14" s="603"/>
      <c r="J14" s="606"/>
      <c r="K14" s="583"/>
      <c r="L14" s="1737"/>
      <c r="M14" s="582"/>
      <c r="N14" s="582"/>
      <c r="O14" s="607"/>
    </row>
    <row r="15" spans="1:15" ht="11.25" customHeight="1">
      <c r="A15" s="2265"/>
      <c r="B15" s="1760"/>
      <c r="C15" s="2172"/>
      <c r="D15" s="2266"/>
      <c r="E15" s="2266"/>
      <c r="F15" s="2266"/>
      <c r="G15" s="2266"/>
      <c r="H15" s="2266"/>
      <c r="I15" s="2266"/>
      <c r="J15" s="2267"/>
      <c r="K15" s="2264"/>
      <c r="L15" s="2268"/>
      <c r="M15" s="2260"/>
      <c r="N15" s="2260"/>
      <c r="O15" s="1918">
        <f>SUM(K15:N15)</f>
        <v>0</v>
      </c>
    </row>
    <row r="16" spans="1:15" ht="11.25" customHeight="1">
      <c r="A16" s="2265"/>
      <c r="B16" s="1760"/>
      <c r="C16" s="2172"/>
      <c r="D16" s="2266"/>
      <c r="E16" s="2266"/>
      <c r="F16" s="2266"/>
      <c r="G16" s="2266"/>
      <c r="H16" s="2266"/>
      <c r="I16" s="2266"/>
      <c r="J16" s="2267"/>
      <c r="K16" s="2264"/>
      <c r="L16" s="2268"/>
      <c r="M16" s="2260"/>
      <c r="N16" s="2260"/>
      <c r="O16" s="1918">
        <f t="shared" ref="O16:O21" si="1">SUM(K16:N16)</f>
        <v>0</v>
      </c>
    </row>
    <row r="17" spans="1:17" ht="11.25" customHeight="1">
      <c r="A17" s="2265"/>
      <c r="B17" s="1760"/>
      <c r="C17" s="2172"/>
      <c r="D17" s="2266"/>
      <c r="E17" s="2266"/>
      <c r="F17" s="2266"/>
      <c r="G17" s="2266"/>
      <c r="H17" s="2266"/>
      <c r="I17" s="2266"/>
      <c r="J17" s="2267"/>
      <c r="K17" s="2264"/>
      <c r="L17" s="2268"/>
      <c r="M17" s="2260"/>
      <c r="N17" s="2260"/>
      <c r="O17" s="1918">
        <f t="shared" si="1"/>
        <v>0</v>
      </c>
    </row>
    <row r="18" spans="1:17" ht="11.25" customHeight="1">
      <c r="A18" s="2265"/>
      <c r="B18" s="1760"/>
      <c r="C18" s="2172"/>
      <c r="D18" s="2266"/>
      <c r="E18" s="2266"/>
      <c r="F18" s="2266"/>
      <c r="G18" s="2266"/>
      <c r="H18" s="2266"/>
      <c r="I18" s="2266"/>
      <c r="J18" s="2267"/>
      <c r="K18" s="2264"/>
      <c r="L18" s="2268"/>
      <c r="M18" s="2260"/>
      <c r="N18" s="2260"/>
      <c r="O18" s="1918">
        <f t="shared" si="1"/>
        <v>0</v>
      </c>
    </row>
    <row r="19" spans="1:17" ht="11.25" customHeight="1">
      <c r="A19" s="2265"/>
      <c r="B19" s="1760"/>
      <c r="C19" s="2172"/>
      <c r="D19" s="2266"/>
      <c r="E19" s="2266"/>
      <c r="F19" s="2266"/>
      <c r="G19" s="2266"/>
      <c r="H19" s="2266"/>
      <c r="I19" s="2266"/>
      <c r="J19" s="2267"/>
      <c r="K19" s="2264"/>
      <c r="L19" s="2268"/>
      <c r="M19" s="2260"/>
      <c r="N19" s="2260"/>
      <c r="O19" s="1918">
        <f t="shared" si="1"/>
        <v>0</v>
      </c>
    </row>
    <row r="20" spans="1:17" ht="11.25" customHeight="1">
      <c r="A20" s="2265"/>
      <c r="B20" s="1760"/>
      <c r="C20" s="2172"/>
      <c r="D20" s="2266"/>
      <c r="E20" s="2266"/>
      <c r="F20" s="2266"/>
      <c r="G20" s="2266"/>
      <c r="H20" s="2266"/>
      <c r="I20" s="2266"/>
      <c r="J20" s="2267"/>
      <c r="K20" s="2264"/>
      <c r="L20" s="2268"/>
      <c r="M20" s="2260"/>
      <c r="N20" s="2260"/>
      <c r="O20" s="1918">
        <f t="shared" si="1"/>
        <v>0</v>
      </c>
    </row>
    <row r="21" spans="1:17" ht="11.25" customHeight="1">
      <c r="A21" s="2265"/>
      <c r="B21" s="1760"/>
      <c r="C21" s="2172"/>
      <c r="D21" s="2266"/>
      <c r="E21" s="2266"/>
      <c r="F21" s="2266"/>
      <c r="G21" s="2266"/>
      <c r="H21" s="2266"/>
      <c r="I21" s="2266"/>
      <c r="J21" s="2267"/>
      <c r="K21" s="2264"/>
      <c r="L21" s="2268"/>
      <c r="M21" s="2260"/>
      <c r="N21" s="2260"/>
      <c r="O21" s="1918">
        <f t="shared" si="1"/>
        <v>0</v>
      </c>
    </row>
    <row r="22" spans="1:17" ht="11.25" customHeight="1">
      <c r="A22" s="140" t="s">
        <v>152</v>
      </c>
      <c r="B22" s="1759"/>
      <c r="C22" s="1176"/>
      <c r="D22" s="1177"/>
      <c r="E22" s="1177"/>
      <c r="F22" s="1177"/>
      <c r="G22" s="1177"/>
      <c r="H22" s="1177"/>
      <c r="I22" s="1177"/>
      <c r="J22" s="1178"/>
      <c r="K22" s="588">
        <f>SUM(K15:K21)</f>
        <v>0</v>
      </c>
      <c r="L22" s="1915"/>
      <c r="M22" s="584">
        <f>SUM(M15:M21)</f>
        <v>0</v>
      </c>
      <c r="N22" s="584">
        <f>SUM(N15:N21)</f>
        <v>0</v>
      </c>
      <c r="O22" s="608">
        <f>SUM(O15:O21)</f>
        <v>0</v>
      </c>
    </row>
    <row r="23" spans="1:17" ht="4.9000000000000004" customHeight="1">
      <c r="A23" s="148"/>
      <c r="B23" s="1759"/>
      <c r="C23" s="59"/>
      <c r="D23" s="603"/>
      <c r="E23" s="603"/>
      <c r="F23" s="603"/>
      <c r="G23" s="603"/>
      <c r="H23" s="603"/>
      <c r="I23" s="603"/>
      <c r="J23" s="606"/>
      <c r="K23" s="617"/>
      <c r="L23" s="1916"/>
      <c r="M23" s="613"/>
      <c r="N23" s="613"/>
      <c r="O23" s="1895"/>
    </row>
    <row r="24" spans="1:17">
      <c r="A24" s="267" t="s">
        <v>490</v>
      </c>
      <c r="B24" s="1761">
        <v>1</v>
      </c>
      <c r="C24" s="252"/>
      <c r="D24" s="609"/>
      <c r="E24" s="609"/>
      <c r="F24" s="609"/>
      <c r="G24" s="609"/>
      <c r="H24" s="609"/>
      <c r="I24" s="609"/>
      <c r="J24" s="610"/>
      <c r="K24" s="599">
        <f>K12+K22</f>
        <v>19996318</v>
      </c>
      <c r="L24" s="1917"/>
      <c r="M24" s="595">
        <f>M12+M22</f>
        <v>0</v>
      </c>
      <c r="N24" s="595">
        <f>N12+N22</f>
        <v>0</v>
      </c>
      <c r="O24" s="611">
        <f>O12+O22</f>
        <v>21996318</v>
      </c>
    </row>
    <row r="25" spans="1:17" ht="6" customHeight="1">
      <c r="A25" s="123"/>
      <c r="B25" s="298"/>
      <c r="C25" s="916"/>
      <c r="D25" s="1175"/>
      <c r="E25" s="182"/>
      <c r="F25" s="182"/>
      <c r="G25" s="182"/>
      <c r="H25" s="182"/>
      <c r="I25" s="182"/>
      <c r="J25" s="182"/>
      <c r="O25" s="123"/>
      <c r="P25" s="123"/>
      <c r="Q25" s="123"/>
    </row>
    <row r="26" spans="1:17" s="576" customFormat="1">
      <c r="A26" s="1063" t="str">
        <f>head27a</f>
        <v>References</v>
      </c>
      <c r="B26" s="1762"/>
      <c r="C26" s="916"/>
      <c r="D26" s="916"/>
      <c r="E26" s="916"/>
      <c r="F26" s="916"/>
      <c r="G26" s="916"/>
      <c r="H26" s="916"/>
      <c r="I26" s="916"/>
      <c r="J26" s="916"/>
      <c r="O26" s="898"/>
      <c r="P26" s="898"/>
      <c r="Q26" s="898"/>
    </row>
    <row r="27" spans="1:17" s="576" customFormat="1" ht="11.25" customHeight="1">
      <c r="A27" s="1025" t="s">
        <v>314</v>
      </c>
      <c r="B27" s="1762"/>
      <c r="C27" s="878"/>
      <c r="D27" s="877"/>
      <c r="E27" s="877"/>
      <c r="F27" s="877"/>
      <c r="G27" s="877"/>
      <c r="H27" s="877"/>
      <c r="I27" s="877"/>
      <c r="J27" s="878"/>
    </row>
    <row r="28" spans="1:17" s="576" customFormat="1" ht="11.25" customHeight="1">
      <c r="A28" s="1025" t="s">
        <v>798</v>
      </c>
      <c r="B28" s="1762"/>
      <c r="C28" s="878"/>
      <c r="D28" s="877"/>
      <c r="E28" s="877"/>
      <c r="F28" s="877"/>
      <c r="G28" s="877"/>
      <c r="H28" s="877"/>
      <c r="I28" s="877"/>
      <c r="J28" s="878"/>
    </row>
    <row r="29" spans="1:17" ht="11.25" customHeight="1">
      <c r="A29" s="1025" t="s">
        <v>1953</v>
      </c>
      <c r="B29" s="298"/>
      <c r="C29" s="182"/>
      <c r="D29" s="182"/>
      <c r="E29" s="182"/>
      <c r="F29" s="182"/>
      <c r="G29" s="182"/>
      <c r="H29" s="182"/>
      <c r="I29" s="182"/>
      <c r="J29" s="182"/>
    </row>
    <row r="30" spans="1:17" ht="11.25" customHeight="1">
      <c r="A30" s="1025" t="s">
        <v>2014</v>
      </c>
      <c r="B30" s="298"/>
      <c r="C30" s="182"/>
      <c r="D30" s="182"/>
      <c r="E30" s="182"/>
      <c r="F30" s="182"/>
      <c r="G30" s="182"/>
      <c r="H30" s="182"/>
      <c r="I30" s="182"/>
      <c r="J30" s="182"/>
    </row>
    <row r="31" spans="1:17" ht="11.25" customHeight="1">
      <c r="A31" s="305" t="s">
        <v>1338</v>
      </c>
    </row>
    <row r="32" spans="1:17" ht="11.25" customHeight="1">
      <c r="M32" s="26" t="s">
        <v>1959</v>
      </c>
    </row>
    <row r="33" spans="19:19" ht="11.25" customHeight="1"/>
    <row r="34" spans="19:19" ht="11.25" customHeight="1"/>
    <row r="35" spans="19:19" ht="11.25" customHeight="1"/>
    <row r="36" spans="19:19" ht="11.25" customHeight="1"/>
    <row r="37" spans="19:19" ht="11.25" customHeight="1"/>
    <row r="38" spans="19:19" ht="11.25" customHeight="1">
      <c r="S38" s="240"/>
    </row>
    <row r="39" spans="19:19" ht="11.25" customHeight="1"/>
    <row r="40" spans="19:19" ht="11.25" customHeight="1"/>
    <row r="41" spans="19:19" ht="11.25" customHeight="1"/>
    <row r="42" spans="19:19" ht="11.25" customHeight="1"/>
    <row r="43" spans="19:19" ht="11.25" customHeight="1"/>
    <row r="44" spans="19:19" ht="11.25" customHeight="1"/>
    <row r="45" spans="19:19" ht="11.25" customHeight="1"/>
    <row r="46" spans="19:19" ht="11.25" customHeight="1"/>
    <row r="47" spans="19:19" ht="11.25" customHeight="1"/>
    <row r="48" spans="19:19"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sheetData>
  <mergeCells count="3">
    <mergeCell ref="D2:D3"/>
    <mergeCell ref="J2:J3"/>
    <mergeCell ref="K3:O3"/>
  </mergeCells>
  <phoneticPr fontId="5"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64" activePane="bottomRight" state="frozen"/>
      <selection pane="topRight"/>
      <selection pane="bottomLeft"/>
      <selection pane="bottomRight" activeCell="F71" sqref="F71"/>
    </sheetView>
  </sheetViews>
  <sheetFormatPr defaultColWidth="9.140625"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 r="A1" s="24" t="str">
        <f>muni&amp;" - "&amp;TableA17</f>
        <v>LIM333 Greater Tzaneen - Supporting Table SA17 Borrowing</v>
      </c>
      <c r="B1" s="24"/>
      <c r="C1" s="24"/>
      <c r="D1" s="24"/>
      <c r="E1" s="24"/>
      <c r="F1" s="24"/>
      <c r="G1" s="24"/>
      <c r="H1" s="24"/>
      <c r="I1" s="24"/>
      <c r="J1" s="24"/>
      <c r="K1" s="24"/>
    </row>
    <row r="2" spans="1:11" ht="28.5" customHeight="1">
      <c r="A2" s="851" t="s">
        <v>710</v>
      </c>
      <c r="B2" s="288" t="str">
        <f>head27</f>
        <v>Ref</v>
      </c>
      <c r="C2" s="27" t="str">
        <f>head1b</f>
        <v>2016/17</v>
      </c>
      <c r="D2" s="27" t="str">
        <f>head1A</f>
        <v>2017/18</v>
      </c>
      <c r="E2" s="22" t="str">
        <f>Head1</f>
        <v>2018/19</v>
      </c>
      <c r="F2" s="2842" t="str">
        <f>Head2</f>
        <v>Current Year 2019/20</v>
      </c>
      <c r="G2" s="2843"/>
      <c r="H2" s="2847"/>
      <c r="I2" s="2840" t="str">
        <f>Head3</f>
        <v>2020/21 Medium Term Revenue &amp; Expenditure Framework</v>
      </c>
      <c r="J2" s="2840"/>
      <c r="K2" s="2841"/>
    </row>
    <row r="3" spans="1:11" ht="25.5">
      <c r="A3" s="57" t="s">
        <v>569</v>
      </c>
      <c r="B3" s="846"/>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2020/21</v>
      </c>
      <c r="J3" s="260" t="str">
        <f>Head10</f>
        <v>Budget Year +1 2021/22</v>
      </c>
      <c r="K3" s="261" t="str">
        <f>Head11</f>
        <v>Budget Year +2 2022/23</v>
      </c>
    </row>
    <row r="4" spans="1:11" ht="12.75" customHeight="1">
      <c r="A4" s="126" t="s">
        <v>154</v>
      </c>
      <c r="B4" s="59"/>
      <c r="C4" s="582"/>
      <c r="D4" s="582"/>
      <c r="E4" s="2562"/>
      <c r="F4" s="579"/>
      <c r="G4" s="582"/>
      <c r="H4" s="578"/>
      <c r="I4" s="1737"/>
      <c r="J4" s="582"/>
      <c r="K4" s="578"/>
    </row>
    <row r="5" spans="1:11" ht="12.75" customHeight="1">
      <c r="A5" s="127" t="s">
        <v>2378</v>
      </c>
      <c r="B5" s="59"/>
      <c r="C5" s="2260">
        <v>57661330</v>
      </c>
      <c r="D5" s="2260">
        <v>47456572</v>
      </c>
      <c r="E5" s="2563">
        <v>65645166</v>
      </c>
      <c r="F5" s="2264">
        <v>55386810.80647587</v>
      </c>
      <c r="G5" s="2260">
        <v>55386810.80647587</v>
      </c>
      <c r="H5" s="2564">
        <v>91425988.265000001</v>
      </c>
      <c r="I5" s="2268">
        <v>109715830.368275</v>
      </c>
      <c r="J5" s="2260">
        <v>97008872.265534118</v>
      </c>
      <c r="K5" s="2260">
        <v>83218479.166478068</v>
      </c>
    </row>
    <row r="6" spans="1:11" ht="12.75" customHeight="1">
      <c r="A6" s="127" t="s">
        <v>246</v>
      </c>
      <c r="B6" s="59"/>
      <c r="C6" s="2260"/>
      <c r="D6" s="2260"/>
      <c r="E6" s="2563"/>
      <c r="F6" s="2264"/>
      <c r="G6" s="2260"/>
      <c r="H6" s="2564"/>
      <c r="I6" s="2268"/>
      <c r="J6" s="2260"/>
      <c r="K6" s="2260"/>
    </row>
    <row r="7" spans="1:11" ht="12.75" customHeight="1">
      <c r="A7" s="127" t="s">
        <v>84</v>
      </c>
      <c r="B7" s="59"/>
      <c r="C7" s="2260">
        <v>45000000</v>
      </c>
      <c r="D7" s="2260">
        <v>45000000</v>
      </c>
      <c r="E7" s="2563">
        <v>45000000</v>
      </c>
      <c r="F7" s="2264">
        <v>45000000</v>
      </c>
      <c r="G7" s="2260">
        <v>45000000</v>
      </c>
      <c r="H7" s="2564">
        <v>30000000</v>
      </c>
      <c r="I7" s="2268">
        <v>30000000</v>
      </c>
      <c r="J7" s="2260">
        <v>30000000</v>
      </c>
      <c r="K7" s="2260">
        <v>30000000</v>
      </c>
    </row>
    <row r="8" spans="1:11" ht="12.75" customHeight="1">
      <c r="A8" s="127" t="s">
        <v>484</v>
      </c>
      <c r="B8" s="59"/>
      <c r="C8" s="2260"/>
      <c r="D8" s="2260"/>
      <c r="E8" s="2563"/>
      <c r="F8" s="2264"/>
      <c r="G8" s="2260"/>
      <c r="H8" s="2564"/>
      <c r="I8" s="2268"/>
      <c r="J8" s="2260"/>
      <c r="K8" s="2260"/>
    </row>
    <row r="9" spans="1:11" ht="12.75" customHeight="1">
      <c r="A9" s="127" t="s">
        <v>485</v>
      </c>
      <c r="B9" s="59"/>
      <c r="C9" s="2260">
        <v>3558300</v>
      </c>
      <c r="D9" s="2260">
        <v>602667</v>
      </c>
      <c r="E9" s="2563">
        <v>3551484</v>
      </c>
      <c r="F9" s="2264">
        <v>12951000</v>
      </c>
      <c r="G9" s="2260">
        <v>12951000</v>
      </c>
      <c r="H9" s="2564">
        <v>6401484</v>
      </c>
      <c r="I9" s="2268">
        <v>5761335.6000000006</v>
      </c>
      <c r="J9" s="2260">
        <v>5185202.040000001</v>
      </c>
      <c r="K9" s="2260">
        <v>4666681.8360000011</v>
      </c>
    </row>
    <row r="10" spans="1:11" ht="12.75" customHeight="1">
      <c r="A10" s="127" t="s">
        <v>671</v>
      </c>
      <c r="B10" s="59"/>
      <c r="C10" s="2260"/>
      <c r="D10" s="2260"/>
      <c r="E10" s="2563"/>
      <c r="F10" s="2264"/>
      <c r="G10" s="2260"/>
      <c r="H10" s="2564"/>
      <c r="I10" s="2268"/>
      <c r="J10" s="2260"/>
      <c r="K10" s="2260"/>
    </row>
    <row r="11" spans="1:11" ht="12.75" customHeight="1">
      <c r="A11" s="127" t="s">
        <v>86</v>
      </c>
      <c r="B11" s="59"/>
      <c r="C11" s="2260"/>
      <c r="D11" s="2260"/>
      <c r="E11" s="2563"/>
      <c r="F11" s="2264"/>
      <c r="G11" s="2260"/>
      <c r="H11" s="2564"/>
      <c r="I11" s="2268"/>
      <c r="J11" s="2260"/>
      <c r="K11" s="2260"/>
    </row>
    <row r="12" spans="1:11" ht="12.75" customHeight="1">
      <c r="A12" s="127" t="s">
        <v>87</v>
      </c>
      <c r="B12" s="59"/>
      <c r="C12" s="2260"/>
      <c r="D12" s="2260"/>
      <c r="E12" s="2563"/>
      <c r="F12" s="2264"/>
      <c r="G12" s="2260"/>
      <c r="H12" s="2564"/>
      <c r="I12" s="2268"/>
      <c r="J12" s="2260"/>
      <c r="K12" s="2260"/>
    </row>
    <row r="13" spans="1:11" ht="12.75" customHeight="1">
      <c r="A13" s="127" t="s">
        <v>88</v>
      </c>
      <c r="B13" s="59"/>
      <c r="C13" s="2260"/>
      <c r="D13" s="2260"/>
      <c r="E13" s="2563"/>
      <c r="F13" s="2264"/>
      <c r="G13" s="2260"/>
      <c r="H13" s="2564"/>
      <c r="I13" s="2268"/>
      <c r="J13" s="2260"/>
      <c r="K13" s="2260"/>
    </row>
    <row r="14" spans="1:11" ht="12.75" customHeight="1">
      <c r="A14" s="127" t="s">
        <v>89</v>
      </c>
      <c r="B14" s="59"/>
      <c r="C14" s="2260"/>
      <c r="D14" s="2260"/>
      <c r="E14" s="2563"/>
      <c r="F14" s="2264"/>
      <c r="G14" s="2260"/>
      <c r="H14" s="2564"/>
      <c r="I14" s="2268"/>
      <c r="J14" s="2260"/>
      <c r="K14" s="2260"/>
    </row>
    <row r="15" spans="1:11" ht="12.75" customHeight="1">
      <c r="A15" s="127" t="s">
        <v>672</v>
      </c>
      <c r="B15" s="59"/>
      <c r="C15" s="2260"/>
      <c r="D15" s="2260"/>
      <c r="E15" s="2563"/>
      <c r="F15" s="2264"/>
      <c r="G15" s="2260"/>
      <c r="H15" s="2564"/>
      <c r="I15" s="2268"/>
      <c r="J15" s="2260"/>
      <c r="K15" s="2260"/>
    </row>
    <row r="16" spans="1:11" ht="12.75" customHeight="1">
      <c r="A16" s="127" t="s">
        <v>90</v>
      </c>
      <c r="B16" s="59"/>
      <c r="C16" s="2260"/>
      <c r="D16" s="2260"/>
      <c r="E16" s="2563"/>
      <c r="F16" s="2264"/>
      <c r="G16" s="2260"/>
      <c r="H16" s="2564"/>
      <c r="I16" s="2268"/>
      <c r="J16" s="2260"/>
      <c r="K16" s="2260"/>
    </row>
    <row r="17" spans="1:11" ht="12.75" customHeight="1">
      <c r="A17" s="140" t="s">
        <v>153</v>
      </c>
      <c r="B17" s="59">
        <v>1</v>
      </c>
      <c r="C17" s="584">
        <f>SUM(C5:C16)</f>
        <v>106219630</v>
      </c>
      <c r="D17" s="584">
        <f t="shared" ref="D17:K17" si="0">SUM(D5:D16)</f>
        <v>93059239</v>
      </c>
      <c r="E17" s="587">
        <f t="shared" si="0"/>
        <v>114196650</v>
      </c>
      <c r="F17" s="586">
        <f t="shared" si="0"/>
        <v>113337810.80647588</v>
      </c>
      <c r="G17" s="584">
        <f t="shared" si="0"/>
        <v>113337810.80647588</v>
      </c>
      <c r="H17" s="585">
        <f t="shared" si="0"/>
        <v>127827472.265</v>
      </c>
      <c r="I17" s="1915">
        <f t="shared" si="0"/>
        <v>145477165.96827498</v>
      </c>
      <c r="J17" s="584">
        <f t="shared" si="0"/>
        <v>132194074.30553412</v>
      </c>
      <c r="K17" s="585">
        <f t="shared" si="0"/>
        <v>117885161.00247806</v>
      </c>
    </row>
    <row r="18" spans="1:11" ht="12.75" customHeight="1">
      <c r="A18" s="140"/>
      <c r="B18" s="59"/>
      <c r="C18" s="613"/>
      <c r="D18" s="613"/>
      <c r="E18" s="616"/>
      <c r="F18" s="615"/>
      <c r="G18" s="613"/>
      <c r="H18" s="614"/>
      <c r="I18" s="1916"/>
      <c r="J18" s="613"/>
      <c r="K18" s="614"/>
    </row>
    <row r="19" spans="1:11" ht="12.75" customHeight="1">
      <c r="A19" s="126" t="s">
        <v>581</v>
      </c>
      <c r="B19" s="59"/>
      <c r="C19" s="582"/>
      <c r="D19" s="582"/>
      <c r="E19" s="580"/>
      <c r="F19" s="579"/>
      <c r="G19" s="582"/>
      <c r="H19" s="578"/>
      <c r="I19" s="1737"/>
      <c r="J19" s="582"/>
      <c r="K19" s="578"/>
    </row>
    <row r="20" spans="1:11" ht="12.75" customHeight="1">
      <c r="A20" s="127" t="str">
        <f t="shared" ref="A20:A31" si="1">A5</f>
        <v>Annuity and Bullet Loans</v>
      </c>
      <c r="B20" s="59"/>
      <c r="C20" s="2260"/>
      <c r="D20" s="2260"/>
      <c r="E20" s="2563"/>
      <c r="F20" s="2264"/>
      <c r="G20" s="2260"/>
      <c r="H20" s="2564"/>
      <c r="I20" s="2268"/>
      <c r="J20" s="2260"/>
      <c r="K20" s="2260"/>
    </row>
    <row r="21" spans="1:11" ht="12.75" customHeight="1">
      <c r="A21" s="127" t="str">
        <f t="shared" si="1"/>
        <v>Long-Term Loans (non-annuity)</v>
      </c>
      <c r="B21" s="59"/>
      <c r="C21" s="2260"/>
      <c r="D21" s="2260"/>
      <c r="E21" s="2563"/>
      <c r="F21" s="2264"/>
      <c r="G21" s="2260"/>
      <c r="H21" s="2564"/>
      <c r="I21" s="2268"/>
      <c r="J21" s="2260"/>
      <c r="K21" s="2260"/>
    </row>
    <row r="22" spans="1:11" ht="12.75" customHeight="1">
      <c r="A22" s="127" t="str">
        <f t="shared" si="1"/>
        <v>Local registered stock</v>
      </c>
      <c r="B22" s="59"/>
      <c r="C22" s="2260"/>
      <c r="D22" s="2260"/>
      <c r="E22" s="2563"/>
      <c r="F22" s="2264"/>
      <c r="G22" s="2260"/>
      <c r="H22" s="2564"/>
      <c r="I22" s="2268"/>
      <c r="J22" s="2260"/>
      <c r="K22" s="2260"/>
    </row>
    <row r="23" spans="1:11" ht="12.75" customHeight="1">
      <c r="A23" s="127" t="str">
        <f t="shared" si="1"/>
        <v>Instalment Credit</v>
      </c>
      <c r="B23" s="59"/>
      <c r="C23" s="2260"/>
      <c r="D23" s="2260"/>
      <c r="E23" s="2563"/>
      <c r="F23" s="2264"/>
      <c r="G23" s="2260"/>
      <c r="H23" s="2564"/>
      <c r="I23" s="2268"/>
      <c r="J23" s="2260"/>
      <c r="K23" s="2260"/>
    </row>
    <row r="24" spans="1:11" ht="12.75" customHeight="1">
      <c r="A24" s="127" t="str">
        <f t="shared" si="1"/>
        <v>Financial Leases</v>
      </c>
      <c r="B24" s="59"/>
      <c r="C24" s="2260"/>
      <c r="D24" s="2260"/>
      <c r="E24" s="2563"/>
      <c r="F24" s="2264"/>
      <c r="G24" s="2260"/>
      <c r="H24" s="2564"/>
      <c r="I24" s="2268"/>
      <c r="J24" s="2260"/>
      <c r="K24" s="2260"/>
    </row>
    <row r="25" spans="1:11" ht="12.75" customHeight="1">
      <c r="A25" s="127" t="str">
        <f t="shared" si="1"/>
        <v>PPP liabilities</v>
      </c>
      <c r="B25" s="59"/>
      <c r="C25" s="2260"/>
      <c r="D25" s="2260"/>
      <c r="E25" s="2563"/>
      <c r="F25" s="2264"/>
      <c r="G25" s="2260"/>
      <c r="H25" s="2564"/>
      <c r="I25" s="2268"/>
      <c r="J25" s="2260"/>
      <c r="K25" s="2260"/>
    </row>
    <row r="26" spans="1:11" ht="12.75" customHeight="1">
      <c r="A26" s="127" t="str">
        <f t="shared" si="1"/>
        <v>Finance Granted By Cap Equipment Supplier</v>
      </c>
      <c r="B26" s="59"/>
      <c r="C26" s="2260"/>
      <c r="D26" s="2260"/>
      <c r="E26" s="2563"/>
      <c r="F26" s="2264"/>
      <c r="G26" s="2260"/>
      <c r="H26" s="2564"/>
      <c r="I26" s="2268"/>
      <c r="J26" s="2260"/>
      <c r="K26" s="2260"/>
    </row>
    <row r="27" spans="1:11" ht="12.75" customHeight="1">
      <c r="A27" s="127" t="str">
        <f t="shared" si="1"/>
        <v>Marketable Bonds</v>
      </c>
      <c r="B27" s="59"/>
      <c r="C27" s="2260"/>
      <c r="D27" s="2260"/>
      <c r="E27" s="2563"/>
      <c r="F27" s="2264"/>
      <c r="G27" s="2260"/>
      <c r="H27" s="2564"/>
      <c r="I27" s="2268"/>
      <c r="J27" s="2260"/>
      <c r="K27" s="2260"/>
    </row>
    <row r="28" spans="1:11" ht="12.75" customHeight="1">
      <c r="A28" s="127" t="str">
        <f t="shared" si="1"/>
        <v>Non-Marketable Bonds</v>
      </c>
      <c r="B28" s="59"/>
      <c r="C28" s="2260"/>
      <c r="D28" s="2260"/>
      <c r="E28" s="2563"/>
      <c r="F28" s="2264"/>
      <c r="G28" s="2260"/>
      <c r="H28" s="2564"/>
      <c r="I28" s="2268"/>
      <c r="J28" s="2260"/>
      <c r="K28" s="2260"/>
    </row>
    <row r="29" spans="1:11" ht="12.75" customHeight="1">
      <c r="A29" s="127" t="str">
        <f t="shared" si="1"/>
        <v>Bankers Acceptances</v>
      </c>
      <c r="B29" s="59"/>
      <c r="C29" s="2260"/>
      <c r="D29" s="2260"/>
      <c r="E29" s="2563"/>
      <c r="F29" s="2264"/>
      <c r="G29" s="2260"/>
      <c r="H29" s="2564"/>
      <c r="I29" s="2268"/>
      <c r="J29" s="2260"/>
      <c r="K29" s="2260"/>
    </row>
    <row r="30" spans="1:11" ht="12.75" customHeight="1">
      <c r="A30" s="127" t="str">
        <f t="shared" si="1"/>
        <v>Financial derivatives</v>
      </c>
      <c r="B30" s="59"/>
      <c r="C30" s="2260"/>
      <c r="D30" s="2260"/>
      <c r="E30" s="2563"/>
      <c r="F30" s="2264"/>
      <c r="G30" s="2260"/>
      <c r="H30" s="2564"/>
      <c r="I30" s="2268"/>
      <c r="J30" s="2260"/>
      <c r="K30" s="2260"/>
    </row>
    <row r="31" spans="1:11" ht="12.75" customHeight="1">
      <c r="A31" s="127" t="str">
        <f t="shared" si="1"/>
        <v>Other Securities</v>
      </c>
      <c r="B31" s="59"/>
      <c r="C31" s="2260"/>
      <c r="D31" s="2260"/>
      <c r="E31" s="2563"/>
      <c r="F31" s="2264"/>
      <c r="G31" s="2260"/>
      <c r="H31" s="2564"/>
      <c r="I31" s="2268"/>
      <c r="J31" s="2260"/>
      <c r="K31" s="2260"/>
    </row>
    <row r="32" spans="1:11" ht="12.75" customHeight="1">
      <c r="A32" s="140" t="s">
        <v>152</v>
      </c>
      <c r="B32" s="59">
        <v>1</v>
      </c>
      <c r="C32" s="584">
        <f>SUM(C20:C31)</f>
        <v>0</v>
      </c>
      <c r="D32" s="584">
        <f t="shared" ref="D32:K32" si="2">SUM(D20:D31)</f>
        <v>0</v>
      </c>
      <c r="E32" s="587">
        <f t="shared" si="2"/>
        <v>0</v>
      </c>
      <c r="F32" s="586">
        <f t="shared" si="2"/>
        <v>0</v>
      </c>
      <c r="G32" s="584">
        <f t="shared" si="2"/>
        <v>0</v>
      </c>
      <c r="H32" s="585">
        <f t="shared" si="2"/>
        <v>0</v>
      </c>
      <c r="I32" s="1915">
        <f t="shared" si="2"/>
        <v>0</v>
      </c>
      <c r="J32" s="584">
        <f t="shared" si="2"/>
        <v>0</v>
      </c>
      <c r="K32" s="585">
        <f t="shared" si="2"/>
        <v>0</v>
      </c>
    </row>
    <row r="33" spans="1:45" ht="12.75" customHeight="1">
      <c r="A33" s="148"/>
      <c r="B33" s="59"/>
      <c r="C33" s="582"/>
      <c r="D33" s="582"/>
      <c r="E33" s="580"/>
      <c r="F33" s="579"/>
      <c r="G33" s="582"/>
      <c r="H33" s="578"/>
      <c r="I33" s="1737"/>
      <c r="J33" s="582"/>
      <c r="K33" s="578"/>
    </row>
    <row r="34" spans="1:45" ht="12.75" customHeight="1">
      <c r="A34" s="155" t="s">
        <v>1195</v>
      </c>
      <c r="B34" s="102">
        <v>1</v>
      </c>
      <c r="C34" s="595">
        <f>C17+C32</f>
        <v>106219630</v>
      </c>
      <c r="D34" s="595">
        <f t="shared" ref="D34:K34" si="3">D17+D32</f>
        <v>93059239</v>
      </c>
      <c r="E34" s="598">
        <f t="shared" si="3"/>
        <v>114196650</v>
      </c>
      <c r="F34" s="597">
        <f t="shared" si="3"/>
        <v>113337810.80647588</v>
      </c>
      <c r="G34" s="595">
        <f t="shared" si="3"/>
        <v>113337810.80647588</v>
      </c>
      <c r="H34" s="596">
        <f t="shared" si="3"/>
        <v>127827472.265</v>
      </c>
      <c r="I34" s="1917">
        <f t="shared" si="3"/>
        <v>145477165.96827498</v>
      </c>
      <c r="J34" s="595">
        <f t="shared" si="3"/>
        <v>132194074.30553412</v>
      </c>
      <c r="K34" s="596">
        <f t="shared" si="3"/>
        <v>117885161.00247806</v>
      </c>
    </row>
    <row r="35" spans="1:45" ht="12.75" customHeight="1">
      <c r="A35" s="1363"/>
      <c r="B35" s="519"/>
      <c r="C35" s="616"/>
      <c r="D35" s="616"/>
      <c r="E35" s="616"/>
      <c r="F35" s="615"/>
      <c r="G35" s="616"/>
      <c r="H35" s="614"/>
      <c r="I35" s="616"/>
      <c r="J35" s="616"/>
      <c r="K35" s="616"/>
    </row>
    <row r="36" spans="1:45" ht="18.75" customHeight="1">
      <c r="A36" s="851" t="s">
        <v>1937</v>
      </c>
      <c r="B36" s="288"/>
      <c r="C36" s="499"/>
      <c r="D36" s="499"/>
      <c r="E36" s="2532"/>
      <c r="F36" s="1551"/>
      <c r="G36" s="288"/>
      <c r="H36" s="852"/>
      <c r="I36" s="1740"/>
      <c r="J36" s="1738"/>
      <c r="K36" s="1739"/>
      <c r="L36" s="123"/>
      <c r="M36" s="123"/>
      <c r="N36" s="123"/>
    </row>
    <row r="37" spans="1:45" ht="12.75" customHeight="1">
      <c r="A37" s="126" t="s">
        <v>154</v>
      </c>
      <c r="B37" s="59"/>
      <c r="C37" s="582"/>
      <c r="D37" s="582"/>
      <c r="E37" s="2562"/>
      <c r="F37" s="583"/>
      <c r="G37" s="582"/>
      <c r="H37" s="607"/>
      <c r="I37" s="1737"/>
      <c r="J37" s="582"/>
      <c r="K37" s="607"/>
    </row>
    <row r="38" spans="1:45" ht="11.25" customHeight="1">
      <c r="A38" s="127" t="s">
        <v>83</v>
      </c>
      <c r="B38" s="59"/>
      <c r="C38" s="2260"/>
      <c r="D38" s="2260"/>
      <c r="E38" s="2563"/>
      <c r="F38" s="2264"/>
      <c r="G38" s="2260"/>
      <c r="H38" s="2564"/>
      <c r="I38" s="2268"/>
      <c r="J38" s="2260"/>
      <c r="K38" s="2260"/>
      <c r="L38" s="240"/>
    </row>
    <row r="39" spans="1:45" ht="11.25" customHeight="1">
      <c r="A39" s="127" t="s">
        <v>246</v>
      </c>
      <c r="B39" s="59"/>
      <c r="C39" s="2260"/>
      <c r="D39" s="2260"/>
      <c r="E39" s="2563"/>
      <c r="F39" s="2264"/>
      <c r="G39" s="2260"/>
      <c r="H39" s="2564"/>
      <c r="I39" s="2268"/>
      <c r="J39" s="2260"/>
      <c r="K39" s="2260"/>
    </row>
    <row r="40" spans="1:45" ht="11.25" customHeight="1">
      <c r="A40" s="127" t="s">
        <v>84</v>
      </c>
      <c r="B40" s="59"/>
      <c r="C40" s="2260"/>
      <c r="D40" s="2260"/>
      <c r="E40" s="2563"/>
      <c r="F40" s="2264"/>
      <c r="G40" s="2260"/>
      <c r="H40" s="2564"/>
      <c r="I40" s="2268"/>
      <c r="J40" s="2260"/>
      <c r="K40" s="2260"/>
    </row>
    <row r="41" spans="1:45" ht="11.25" customHeight="1">
      <c r="A41" s="127" t="s">
        <v>484</v>
      </c>
      <c r="B41" s="59"/>
      <c r="C41" s="2260"/>
      <c r="D41" s="2260"/>
      <c r="E41" s="2563"/>
      <c r="F41" s="2264"/>
      <c r="G41" s="2260"/>
      <c r="H41" s="2564"/>
      <c r="I41" s="2268"/>
      <c r="J41" s="2260"/>
      <c r="K41" s="2260"/>
      <c r="AQ41" s="26">
        <v>439005000</v>
      </c>
      <c r="AS41" s="26">
        <v>539442200</v>
      </c>
    </row>
    <row r="42" spans="1:45" ht="11.25" customHeight="1">
      <c r="A42" s="127" t="s">
        <v>485</v>
      </c>
      <c r="B42" s="59"/>
      <c r="C42" s="2260"/>
      <c r="D42" s="2260"/>
      <c r="E42" s="2563"/>
      <c r="F42" s="2264"/>
      <c r="G42" s="2260"/>
      <c r="H42" s="2564"/>
      <c r="I42" s="2268"/>
      <c r="J42" s="2260"/>
      <c r="K42" s="2260"/>
    </row>
    <row r="43" spans="1:45" ht="11.25" customHeight="1">
      <c r="A43" s="127" t="s">
        <v>671</v>
      </c>
      <c r="B43" s="59"/>
      <c r="C43" s="2260"/>
      <c r="D43" s="2260"/>
      <c r="E43" s="2563"/>
      <c r="F43" s="2264"/>
      <c r="G43" s="2260"/>
      <c r="H43" s="2564"/>
      <c r="I43" s="2268"/>
      <c r="J43" s="2260"/>
      <c r="K43" s="2260"/>
      <c r="W43" s="26">
        <v>0</v>
      </c>
      <c r="Y43" s="26">
        <v>0</v>
      </c>
      <c r="AB43" s="26">
        <v>0</v>
      </c>
      <c r="AD43" s="26">
        <v>0</v>
      </c>
      <c r="AG43" s="26">
        <v>0</v>
      </c>
      <c r="AI43" s="26">
        <v>0</v>
      </c>
      <c r="AL43" s="26">
        <v>0</v>
      </c>
      <c r="AN43" s="26">
        <v>0</v>
      </c>
      <c r="AQ43" s="26">
        <v>1834701353</v>
      </c>
      <c r="AS43" s="26">
        <v>1241876995</v>
      </c>
    </row>
    <row r="44" spans="1:45" ht="11.25" customHeight="1">
      <c r="A44" s="127" t="s">
        <v>86</v>
      </c>
      <c r="B44" s="59"/>
      <c r="C44" s="2260"/>
      <c r="D44" s="2260"/>
      <c r="E44" s="2563"/>
      <c r="F44" s="2264"/>
      <c r="G44" s="2260"/>
      <c r="H44" s="2564"/>
      <c r="I44" s="2268"/>
      <c r="J44" s="2260"/>
      <c r="K44" s="2260"/>
      <c r="AQ44" s="26">
        <v>839041298</v>
      </c>
      <c r="AS44" s="26">
        <v>440387617</v>
      </c>
    </row>
    <row r="45" spans="1:45" ht="11.25" customHeight="1">
      <c r="A45" s="127" t="s">
        <v>87</v>
      </c>
      <c r="B45" s="59"/>
      <c r="C45" s="2260"/>
      <c r="D45" s="2260"/>
      <c r="E45" s="2563"/>
      <c r="F45" s="2264"/>
      <c r="G45" s="2260"/>
      <c r="H45" s="2564"/>
      <c r="I45" s="2268"/>
      <c r="J45" s="2260"/>
      <c r="K45" s="2260"/>
      <c r="AQ45" s="26">
        <v>976543638</v>
      </c>
      <c r="AS45" s="26">
        <v>782372961</v>
      </c>
    </row>
    <row r="46" spans="1:45" ht="11.25" customHeight="1">
      <c r="A46" s="127" t="s">
        <v>88</v>
      </c>
      <c r="B46" s="59"/>
      <c r="C46" s="2260"/>
      <c r="D46" s="2260"/>
      <c r="E46" s="2563"/>
      <c r="F46" s="2264"/>
      <c r="G46" s="2260"/>
      <c r="H46" s="2564"/>
      <c r="I46" s="2268"/>
      <c r="J46" s="2260"/>
      <c r="K46" s="2260"/>
      <c r="AQ46" s="26">
        <v>19116417</v>
      </c>
      <c r="AS46" s="26">
        <v>19116417</v>
      </c>
    </row>
    <row r="47" spans="1:45" ht="11.25" customHeight="1">
      <c r="A47" s="127" t="s">
        <v>89</v>
      </c>
      <c r="B47" s="59"/>
      <c r="C47" s="2260"/>
      <c r="D47" s="2260"/>
      <c r="E47" s="2563"/>
      <c r="F47" s="2264"/>
      <c r="G47" s="2260"/>
      <c r="H47" s="2564"/>
      <c r="I47" s="2268"/>
      <c r="J47" s="2260"/>
      <c r="K47" s="2260"/>
      <c r="AQ47" s="26">
        <v>2273706353</v>
      </c>
      <c r="AS47" s="26">
        <v>1781319195</v>
      </c>
    </row>
    <row r="48" spans="1:45" ht="11.25" customHeight="1">
      <c r="A48" s="127" t="s">
        <v>672</v>
      </c>
      <c r="B48" s="59"/>
      <c r="C48" s="2260"/>
      <c r="D48" s="2260"/>
      <c r="E48" s="2563"/>
      <c r="F48" s="2264"/>
      <c r="G48" s="2260"/>
      <c r="H48" s="2564"/>
      <c r="I48" s="2268"/>
      <c r="J48" s="2260"/>
      <c r="K48" s="2260"/>
      <c r="AQ48" s="26">
        <v>180259232</v>
      </c>
      <c r="AS48" s="26">
        <v>140396729</v>
      </c>
    </row>
    <row r="49" spans="1:45" ht="11.25" customHeight="1">
      <c r="A49" s="127" t="s">
        <v>90</v>
      </c>
      <c r="B49" s="59"/>
      <c r="C49" s="2260"/>
      <c r="D49" s="2260"/>
      <c r="E49" s="2563"/>
      <c r="F49" s="2264"/>
      <c r="G49" s="2260"/>
      <c r="H49" s="2564"/>
      <c r="I49" s="2268"/>
      <c r="J49" s="2260"/>
      <c r="K49" s="2260"/>
      <c r="AQ49" s="26">
        <v>125005000</v>
      </c>
      <c r="AS49" s="26">
        <v>100442200</v>
      </c>
    </row>
    <row r="50" spans="1:45" ht="11.25" customHeight="1">
      <c r="A50" s="140" t="s">
        <v>153</v>
      </c>
      <c r="B50" s="59">
        <v>1</v>
      </c>
      <c r="C50" s="584">
        <f>SUM(C38:C49)</f>
        <v>0</v>
      </c>
      <c r="D50" s="584">
        <f t="shared" ref="D50:K50" si="4">SUM(D38:D49)</f>
        <v>0</v>
      </c>
      <c r="E50" s="587">
        <f t="shared" si="4"/>
        <v>0</v>
      </c>
      <c r="F50" s="586">
        <f t="shared" si="4"/>
        <v>0</v>
      </c>
      <c r="G50" s="584">
        <f t="shared" si="4"/>
        <v>0</v>
      </c>
      <c r="H50" s="585">
        <f t="shared" si="4"/>
        <v>0</v>
      </c>
      <c r="I50" s="1915">
        <f t="shared" si="4"/>
        <v>0</v>
      </c>
      <c r="J50" s="584">
        <f t="shared" si="4"/>
        <v>0</v>
      </c>
      <c r="K50" s="585">
        <f t="shared" si="4"/>
        <v>0</v>
      </c>
      <c r="AQ50" s="26">
        <v>40341797</v>
      </c>
      <c r="AS50" s="26">
        <v>38954529</v>
      </c>
    </row>
    <row r="51" spans="1:45" ht="11.25" customHeight="1">
      <c r="A51" s="140"/>
      <c r="B51" s="59"/>
      <c r="C51" s="613"/>
      <c r="D51" s="613"/>
      <c r="E51" s="616"/>
      <c r="F51" s="615"/>
      <c r="G51" s="613"/>
      <c r="H51" s="614"/>
      <c r="I51" s="1916"/>
      <c r="J51" s="613"/>
      <c r="K51" s="614"/>
      <c r="AQ51" s="26">
        <v>14912435</v>
      </c>
      <c r="AS51" s="26">
        <v>1000000</v>
      </c>
    </row>
    <row r="52" spans="1:45" ht="11.25" customHeight="1">
      <c r="A52" s="126" t="s">
        <v>581</v>
      </c>
      <c r="B52" s="59"/>
      <c r="C52" s="582"/>
      <c r="D52" s="582"/>
      <c r="E52" s="580"/>
      <c r="F52" s="579"/>
      <c r="G52" s="582"/>
      <c r="H52" s="578"/>
      <c r="I52" s="1737"/>
      <c r="J52" s="582"/>
      <c r="K52" s="578"/>
    </row>
    <row r="53" spans="1:45" ht="11.25" customHeight="1">
      <c r="A53" s="127" t="str">
        <f t="shared" ref="A53:A64" si="5">A38</f>
        <v>Long-Term Loans (annuity/reducing balance)</v>
      </c>
      <c r="B53" s="59"/>
      <c r="C53" s="2260"/>
      <c r="D53" s="2260"/>
      <c r="E53" s="2563"/>
      <c r="F53" s="2264"/>
      <c r="G53" s="2260"/>
      <c r="H53" s="2564"/>
      <c r="I53" s="2268"/>
      <c r="J53" s="2260"/>
      <c r="K53" s="2260"/>
    </row>
    <row r="54" spans="1:45" ht="11.25" customHeight="1">
      <c r="A54" s="127" t="str">
        <f t="shared" si="5"/>
        <v>Long-Term Loans (non-annuity)</v>
      </c>
      <c r="B54" s="59"/>
      <c r="C54" s="2260"/>
      <c r="D54" s="2260"/>
      <c r="E54" s="2563"/>
      <c r="F54" s="2264"/>
      <c r="G54" s="2260"/>
      <c r="H54" s="2564"/>
      <c r="I54" s="2268"/>
      <c r="J54" s="2260"/>
      <c r="K54" s="2260"/>
    </row>
    <row r="55" spans="1:45" ht="11.25" customHeight="1">
      <c r="A55" s="127" t="str">
        <f t="shared" si="5"/>
        <v>Local registered stock</v>
      </c>
      <c r="B55" s="59"/>
      <c r="C55" s="2260"/>
      <c r="D55" s="2260"/>
      <c r="E55" s="2563"/>
      <c r="F55" s="2264"/>
      <c r="G55" s="2260"/>
      <c r="H55" s="2564"/>
      <c r="I55" s="2268"/>
      <c r="J55" s="2260"/>
      <c r="K55" s="2260"/>
    </row>
    <row r="56" spans="1:45" ht="11.25" customHeight="1">
      <c r="A56" s="127" t="str">
        <f t="shared" si="5"/>
        <v>Instalment Credit</v>
      </c>
      <c r="B56" s="59"/>
      <c r="C56" s="2260"/>
      <c r="D56" s="2260"/>
      <c r="E56" s="2563"/>
      <c r="F56" s="2264"/>
      <c r="G56" s="2260"/>
      <c r="H56" s="2564"/>
      <c r="I56" s="2268"/>
      <c r="J56" s="2260"/>
      <c r="K56" s="2260"/>
    </row>
    <row r="57" spans="1:45" ht="11.25" customHeight="1">
      <c r="A57" s="127" t="str">
        <f t="shared" si="5"/>
        <v>Financial Leases</v>
      </c>
      <c r="B57" s="59"/>
      <c r="C57" s="2260"/>
      <c r="D57" s="2260"/>
      <c r="E57" s="2563"/>
      <c r="F57" s="2264"/>
      <c r="G57" s="2260"/>
      <c r="H57" s="2564"/>
      <c r="I57" s="2268"/>
      <c r="J57" s="2260"/>
      <c r="K57" s="2260"/>
    </row>
    <row r="58" spans="1:45" ht="11.25" customHeight="1">
      <c r="A58" s="127" t="str">
        <f t="shared" si="5"/>
        <v>PPP liabilities</v>
      </c>
      <c r="B58" s="59"/>
      <c r="C58" s="2260"/>
      <c r="D58" s="2260"/>
      <c r="E58" s="2563"/>
      <c r="F58" s="2264"/>
      <c r="G58" s="2260"/>
      <c r="H58" s="2564"/>
      <c r="I58" s="2268"/>
      <c r="J58" s="2260"/>
      <c r="K58" s="2260"/>
    </row>
    <row r="59" spans="1:45" ht="11.25" customHeight="1">
      <c r="A59" s="127" t="str">
        <f t="shared" si="5"/>
        <v>Finance Granted By Cap Equipment Supplier</v>
      </c>
      <c r="B59" s="59"/>
      <c r="C59" s="2260"/>
      <c r="D59" s="2260"/>
      <c r="E59" s="2563"/>
      <c r="F59" s="2264"/>
      <c r="G59" s="2260"/>
      <c r="H59" s="2564"/>
      <c r="I59" s="2268"/>
      <c r="J59" s="2260"/>
      <c r="K59" s="2260"/>
    </row>
    <row r="60" spans="1:45" ht="11.25" customHeight="1">
      <c r="A60" s="127" t="str">
        <f t="shared" si="5"/>
        <v>Marketable Bonds</v>
      </c>
      <c r="B60" s="59"/>
      <c r="C60" s="2260"/>
      <c r="D60" s="2260"/>
      <c r="E60" s="2563"/>
      <c r="F60" s="2264"/>
      <c r="G60" s="2260"/>
      <c r="H60" s="2564"/>
      <c r="I60" s="2268"/>
      <c r="J60" s="2260"/>
      <c r="K60" s="2260"/>
    </row>
    <row r="61" spans="1:45" ht="11.25" customHeight="1">
      <c r="A61" s="127" t="str">
        <f t="shared" si="5"/>
        <v>Non-Marketable Bonds</v>
      </c>
      <c r="B61" s="59"/>
      <c r="C61" s="2260"/>
      <c r="D61" s="2260"/>
      <c r="E61" s="2563"/>
      <c r="F61" s="2264"/>
      <c r="G61" s="2260"/>
      <c r="H61" s="2564"/>
      <c r="I61" s="2268"/>
      <c r="J61" s="2260"/>
      <c r="K61" s="2260"/>
    </row>
    <row r="62" spans="1:45" ht="11.25" customHeight="1">
      <c r="A62" s="127" t="str">
        <f t="shared" si="5"/>
        <v>Bankers Acceptances</v>
      </c>
      <c r="B62" s="59"/>
      <c r="C62" s="2260"/>
      <c r="D62" s="2260"/>
      <c r="E62" s="2563"/>
      <c r="F62" s="2264"/>
      <c r="G62" s="2260"/>
      <c r="H62" s="2564"/>
      <c r="I62" s="2268"/>
      <c r="J62" s="2260"/>
      <c r="K62" s="2260"/>
    </row>
    <row r="63" spans="1:45" ht="11.25" customHeight="1">
      <c r="A63" s="127" t="str">
        <f t="shared" si="5"/>
        <v>Financial derivatives</v>
      </c>
      <c r="B63" s="59"/>
      <c r="C63" s="2260"/>
      <c r="D63" s="2260"/>
      <c r="E63" s="2563"/>
      <c r="F63" s="2264"/>
      <c r="G63" s="2260"/>
      <c r="H63" s="2564"/>
      <c r="I63" s="2268"/>
      <c r="J63" s="2260"/>
      <c r="K63" s="2260"/>
    </row>
    <row r="64" spans="1:45" ht="11.25" customHeight="1">
      <c r="A64" s="127" t="str">
        <f t="shared" si="5"/>
        <v>Other Securities</v>
      </c>
      <c r="B64" s="59"/>
      <c r="C64" s="2260"/>
      <c r="D64" s="2260"/>
      <c r="E64" s="2563"/>
      <c r="F64" s="2264"/>
      <c r="G64" s="2260"/>
      <c r="H64" s="2564"/>
      <c r="I64" s="2268"/>
      <c r="J64" s="2260"/>
      <c r="K64" s="2260"/>
    </row>
    <row r="65" spans="1:11" ht="11.25" customHeight="1">
      <c r="A65" s="140" t="s">
        <v>152</v>
      </c>
      <c r="B65" s="59">
        <v>1</v>
      </c>
      <c r="C65" s="584">
        <f>SUM(C53:C64)</f>
        <v>0</v>
      </c>
      <c r="D65" s="584">
        <f t="shared" ref="D65:K65" si="6">SUM(D53:D64)</f>
        <v>0</v>
      </c>
      <c r="E65" s="587">
        <f t="shared" si="6"/>
        <v>0</v>
      </c>
      <c r="F65" s="586">
        <f t="shared" si="6"/>
        <v>0</v>
      </c>
      <c r="G65" s="584">
        <f t="shared" si="6"/>
        <v>0</v>
      </c>
      <c r="H65" s="585">
        <f t="shared" si="6"/>
        <v>0</v>
      </c>
      <c r="I65" s="1915">
        <f t="shared" si="6"/>
        <v>0</v>
      </c>
      <c r="J65" s="584">
        <f t="shared" si="6"/>
        <v>0</v>
      </c>
      <c r="K65" s="585">
        <f t="shared" si="6"/>
        <v>0</v>
      </c>
    </row>
    <row r="66" spans="1:11" ht="11.25" customHeight="1">
      <c r="A66" s="148"/>
      <c r="B66" s="59"/>
      <c r="C66" s="582"/>
      <c r="D66" s="582"/>
      <c r="E66" s="580"/>
      <c r="F66" s="579"/>
      <c r="G66" s="582"/>
      <c r="H66" s="578"/>
      <c r="I66" s="1737"/>
      <c r="J66" s="582"/>
      <c r="K66" s="578"/>
    </row>
    <row r="67" spans="1:11" ht="11.25" customHeight="1">
      <c r="A67" s="155" t="s">
        <v>1938</v>
      </c>
      <c r="B67" s="102">
        <v>1</v>
      </c>
      <c r="C67" s="595">
        <f>C50+C65</f>
        <v>0</v>
      </c>
      <c r="D67" s="595">
        <f t="shared" ref="D67:K67" si="7">D50+D65</f>
        <v>0</v>
      </c>
      <c r="E67" s="598">
        <f t="shared" si="7"/>
        <v>0</v>
      </c>
      <c r="F67" s="597">
        <f t="shared" si="7"/>
        <v>0</v>
      </c>
      <c r="G67" s="595">
        <f t="shared" si="7"/>
        <v>0</v>
      </c>
      <c r="H67" s="596">
        <f t="shared" si="7"/>
        <v>0</v>
      </c>
      <c r="I67" s="1917">
        <f t="shared" si="7"/>
        <v>0</v>
      </c>
      <c r="J67" s="595">
        <f t="shared" si="7"/>
        <v>0</v>
      </c>
      <c r="K67" s="596">
        <f t="shared" si="7"/>
        <v>0</v>
      </c>
    </row>
    <row r="68" spans="1:11" ht="11.25" customHeight="1">
      <c r="A68" s="123"/>
      <c r="B68" s="113"/>
      <c r="C68" s="182"/>
      <c r="D68" s="182"/>
      <c r="E68" s="182"/>
      <c r="F68" s="182"/>
      <c r="G68" s="182"/>
      <c r="H68" s="182"/>
      <c r="I68" s="182"/>
      <c r="J68" s="182"/>
      <c r="K68" s="182"/>
    </row>
    <row r="69" spans="1:11" ht="11.25" customHeight="1">
      <c r="A69" s="112" t="str">
        <f>head27a</f>
        <v>References</v>
      </c>
      <c r="B69" s="113"/>
      <c r="C69" s="182"/>
      <c r="D69" s="182"/>
      <c r="E69" s="182"/>
      <c r="F69" s="182"/>
      <c r="G69" s="182"/>
      <c r="H69" s="182"/>
      <c r="I69" s="182"/>
      <c r="J69" s="182"/>
      <c r="K69" s="182"/>
    </row>
    <row r="70" spans="1:11" ht="11.25" customHeight="1">
      <c r="A70" s="161" t="s">
        <v>1118</v>
      </c>
      <c r="B70" s="113"/>
      <c r="C70" s="118"/>
      <c r="D70" s="117"/>
      <c r="E70" s="118"/>
      <c r="F70" s="118"/>
      <c r="G70" s="118"/>
      <c r="H70" s="118"/>
      <c r="I70" s="118"/>
      <c r="J70" s="118"/>
      <c r="K70" s="118"/>
    </row>
    <row r="71" spans="1:11" ht="11.25" customHeight="1">
      <c r="A71" s="162" t="s">
        <v>483</v>
      </c>
      <c r="B71" s="113"/>
      <c r="C71" s="2534">
        <f>C34-'A6-FinPos'!C37</f>
        <v>30</v>
      </c>
      <c r="D71" s="2534">
        <f>D34-'A6-FinPos'!D37</f>
        <v>0</v>
      </c>
      <c r="E71" s="2534">
        <f>E34-'A6-FinPos'!E37</f>
        <v>0</v>
      </c>
      <c r="F71" s="2534"/>
      <c r="G71" s="2534">
        <f>G34-'A6-FinPos'!G37</f>
        <v>0</v>
      </c>
      <c r="H71" s="2534">
        <f>H34-'A6-FinPos'!H37</f>
        <v>0.26500000059604645</v>
      </c>
      <c r="I71" s="2534">
        <f>I34-'A6-FinPos'!J37</f>
        <v>0.368274986743927</v>
      </c>
      <c r="J71" s="2534">
        <f>J34-'A6-FinPos'!K37</f>
        <v>0.26553411781787872</v>
      </c>
      <c r="K71" s="2534">
        <f>K34-'A6-FinPos'!L37</f>
        <v>0.16647806763648987</v>
      </c>
    </row>
    <row r="72" spans="1:11" ht="11.25" customHeight="1">
      <c r="F72" s="183"/>
    </row>
  </sheetData>
  <mergeCells count="2">
    <mergeCell ref="F2:H2"/>
    <mergeCell ref="I2:K2"/>
  </mergeCells>
  <phoneticPr fontId="5"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Normal="100" workbookViewId="0">
      <pane xSplit="2" ySplit="3" topLeftCell="C52" activePane="bottomRight" state="frozen"/>
      <selection pane="topRight"/>
      <selection pane="bottomLeft"/>
      <selection pane="bottomRight" activeCell="G15" sqref="G15"/>
    </sheetView>
  </sheetViews>
  <sheetFormatPr defaultColWidth="9.140625"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 TableA18</f>
        <v>LIM333 Greater Tzaneen - Supporting Table SA18 Transfers and grant receipts</v>
      </c>
      <c r="B1" s="24"/>
      <c r="C1" s="24"/>
      <c r="D1" s="24"/>
      <c r="E1" s="24"/>
      <c r="F1" s="24"/>
      <c r="G1" s="24"/>
      <c r="H1" s="24"/>
      <c r="I1" s="24"/>
      <c r="J1" s="24"/>
      <c r="K1" s="24"/>
    </row>
    <row r="2" spans="1:12" ht="28.5" customHeight="1">
      <c r="A2" s="841" t="str">
        <f>desc</f>
        <v>Description</v>
      </c>
      <c r="B2" s="288" t="str">
        <f>head27</f>
        <v>Ref</v>
      </c>
      <c r="C2" s="27" t="str">
        <f>head1b</f>
        <v>2016/17</v>
      </c>
      <c r="D2" s="618" t="str">
        <f>head1A</f>
        <v>2017/18</v>
      </c>
      <c r="E2" s="23" t="str">
        <f>Head1</f>
        <v>2018/19</v>
      </c>
      <c r="F2" s="2842" t="str">
        <f>Head2</f>
        <v>Current Year 2019/20</v>
      </c>
      <c r="G2" s="2843"/>
      <c r="H2" s="2847"/>
      <c r="I2" s="2839" t="str">
        <f>Head3</f>
        <v>2020/21 Medium Term Revenue &amp; Expenditure Framework</v>
      </c>
      <c r="J2" s="2840"/>
      <c r="K2" s="2841"/>
    </row>
    <row r="3" spans="1:12" ht="25.5">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c r="A4" s="140" t="s">
        <v>1119</v>
      </c>
      <c r="B4" s="612" t="s">
        <v>1345</v>
      </c>
      <c r="C4" s="619"/>
      <c r="D4" s="619"/>
      <c r="E4" s="620"/>
      <c r="F4" s="621"/>
      <c r="G4" s="619"/>
      <c r="H4" s="622"/>
      <c r="I4" s="623"/>
      <c r="J4" s="619"/>
      <c r="K4" s="620"/>
    </row>
    <row r="5" spans="1:12" ht="4.9000000000000004" customHeight="1">
      <c r="A5" s="126"/>
      <c r="B5" s="59"/>
      <c r="C5" s="613"/>
      <c r="D5" s="613"/>
      <c r="E5" s="614"/>
      <c r="F5" s="615"/>
      <c r="G5" s="613"/>
      <c r="H5" s="616"/>
      <c r="I5" s="617"/>
      <c r="J5" s="613"/>
      <c r="K5" s="614"/>
    </row>
    <row r="6" spans="1:12" ht="11.25" customHeight="1">
      <c r="A6" s="126" t="s">
        <v>309</v>
      </c>
      <c r="B6" s="59"/>
      <c r="C6" s="613"/>
      <c r="D6" s="613"/>
      <c r="E6" s="614"/>
      <c r="F6" s="615"/>
      <c r="G6" s="613"/>
      <c r="H6" s="616"/>
      <c r="I6" s="617"/>
      <c r="J6" s="613"/>
      <c r="K6" s="614"/>
    </row>
    <row r="7" spans="1:12" ht="18" customHeight="1">
      <c r="A7" s="243" t="s">
        <v>893</v>
      </c>
      <c r="B7" s="59"/>
      <c r="C7" s="613">
        <f>SUM(C8:C14)</f>
        <v>419964021</v>
      </c>
      <c r="D7" s="613">
        <f t="shared" ref="D7:K7" si="0">SUM(D8:D14)</f>
        <v>327640000</v>
      </c>
      <c r="E7" s="614">
        <f t="shared" si="0"/>
        <v>366610750</v>
      </c>
      <c r="F7" s="615">
        <f t="shared" si="0"/>
        <v>416300150</v>
      </c>
      <c r="G7" s="613">
        <f t="shared" si="0"/>
        <v>421450764</v>
      </c>
      <c r="H7" s="616">
        <f t="shared" si="0"/>
        <v>421152764</v>
      </c>
      <c r="I7" s="617">
        <f t="shared" si="0"/>
        <v>442763950</v>
      </c>
      <c r="J7" s="613">
        <f t="shared" si="0"/>
        <v>468934300</v>
      </c>
      <c r="K7" s="614">
        <f t="shared" si="0"/>
        <v>498085200</v>
      </c>
    </row>
    <row r="8" spans="1:12" ht="11.25" customHeight="1">
      <c r="A8" s="1102" t="s">
        <v>1687</v>
      </c>
      <c r="B8" s="59" t="str">
        <f t="shared" ref="B8:B13" si="1">IF(A8="  Levy replacement",3,"")</f>
        <v/>
      </c>
      <c r="C8" s="2270">
        <v>291112962</v>
      </c>
      <c r="D8" s="2270">
        <v>295577000</v>
      </c>
      <c r="E8" s="2271">
        <v>338344000</v>
      </c>
      <c r="F8" s="2272">
        <v>383693000</v>
      </c>
      <c r="G8" s="2270">
        <v>383693000</v>
      </c>
      <c r="H8" s="2270">
        <v>383693000</v>
      </c>
      <c r="I8" s="2274">
        <v>413949000</v>
      </c>
      <c r="J8" s="2270">
        <v>446738000</v>
      </c>
      <c r="K8" s="2271">
        <v>475585000</v>
      </c>
    </row>
    <row r="9" spans="1:12" ht="11.25" customHeight="1">
      <c r="A9" s="2269" t="s">
        <v>1685</v>
      </c>
      <c r="B9" s="59" t="str">
        <f t="shared" si="1"/>
        <v/>
      </c>
      <c r="C9" s="2260">
        <v>1809999</v>
      </c>
      <c r="D9" s="2260">
        <v>2145000</v>
      </c>
      <c r="E9" s="2261">
        <v>2145000</v>
      </c>
      <c r="F9" s="2262">
        <v>2145000</v>
      </c>
      <c r="G9" s="2260">
        <v>2145000</v>
      </c>
      <c r="H9" s="2260">
        <v>2145000</v>
      </c>
      <c r="I9" s="2264">
        <v>2000000</v>
      </c>
      <c r="J9" s="2260">
        <v>2100000</v>
      </c>
      <c r="K9" s="2261">
        <v>2100000</v>
      </c>
    </row>
    <row r="10" spans="1:12" ht="11.25" customHeight="1">
      <c r="A10" s="2269" t="s">
        <v>1684</v>
      </c>
      <c r="B10" s="59" t="str">
        <f t="shared" si="1"/>
        <v/>
      </c>
      <c r="C10" s="2260">
        <v>0</v>
      </c>
      <c r="D10" s="2260"/>
      <c r="E10" s="2261"/>
      <c r="F10" s="2262"/>
      <c r="G10" s="2260"/>
      <c r="H10" s="2260"/>
      <c r="I10" s="2264"/>
      <c r="J10" s="2260"/>
      <c r="K10" s="2261"/>
    </row>
    <row r="11" spans="1:12" ht="11.25" customHeight="1">
      <c r="A11" s="2269" t="s">
        <v>1666</v>
      </c>
      <c r="B11" s="59" t="str">
        <f t="shared" si="1"/>
        <v/>
      </c>
      <c r="C11" s="2260">
        <v>25000000</v>
      </c>
      <c r="D11" s="2260">
        <v>25000000</v>
      </c>
      <c r="E11" s="2261">
        <v>15996000</v>
      </c>
      <c r="F11" s="2262">
        <v>20000000</v>
      </c>
      <c r="G11" s="2260">
        <v>24852614</v>
      </c>
      <c r="H11" s="2260">
        <v>24852614</v>
      </c>
      <c r="I11" s="2264">
        <v>15000000</v>
      </c>
      <c r="J11" s="2260">
        <v>15000000</v>
      </c>
      <c r="K11" s="2261">
        <v>15000000</v>
      </c>
    </row>
    <row r="12" spans="1:12" ht="11.25" customHeight="1">
      <c r="A12" s="2269" t="s">
        <v>1675</v>
      </c>
      <c r="B12" s="59" t="str">
        <f t="shared" si="1"/>
        <v/>
      </c>
      <c r="C12" s="2260">
        <v>1949000</v>
      </c>
      <c r="D12" s="2260">
        <v>4918000</v>
      </c>
      <c r="E12" s="2261">
        <v>5510000</v>
      </c>
      <c r="F12" s="2262">
        <v>5749000</v>
      </c>
      <c r="G12" s="2260">
        <v>5749000</v>
      </c>
      <c r="H12" s="2260">
        <v>5749000</v>
      </c>
      <c r="I12" s="2264">
        <v>7134000</v>
      </c>
      <c r="J12" s="2260">
        <v>0</v>
      </c>
      <c r="K12" s="2261">
        <v>0</v>
      </c>
    </row>
    <row r="13" spans="1:12" ht="11.25" customHeight="1">
      <c r="A13" s="2269" t="s">
        <v>1674</v>
      </c>
      <c r="B13" s="59" t="str">
        <f t="shared" si="1"/>
        <v/>
      </c>
      <c r="C13" s="2260"/>
      <c r="D13" s="2260"/>
      <c r="E13" s="2261"/>
      <c r="F13" s="2262"/>
      <c r="G13" s="2260"/>
      <c r="H13" s="2260"/>
      <c r="I13" s="2264"/>
      <c r="J13" s="2260"/>
      <c r="K13" s="2261"/>
    </row>
    <row r="14" spans="1:12" ht="18" customHeight="1">
      <c r="A14" s="2269" t="s">
        <v>4057</v>
      </c>
      <c r="B14" s="59"/>
      <c r="C14" s="2275">
        <v>100092060</v>
      </c>
      <c r="D14" s="2275"/>
      <c r="E14" s="2276">
        <v>4615750</v>
      </c>
      <c r="F14" s="2277">
        <v>4713150</v>
      </c>
      <c r="G14" s="2275">
        <f>4713150+298000</f>
        <v>5011150</v>
      </c>
      <c r="H14" s="2275">
        <v>4713150</v>
      </c>
      <c r="I14" s="2279">
        <v>4680950</v>
      </c>
      <c r="J14" s="2275">
        <v>5096300</v>
      </c>
      <c r="K14" s="2276">
        <v>5400200</v>
      </c>
    </row>
    <row r="15" spans="1:12" ht="18" customHeight="1">
      <c r="A15" s="243" t="s">
        <v>894</v>
      </c>
      <c r="B15" s="59"/>
      <c r="C15" s="613">
        <f>SUM(C16:C20)</f>
        <v>0</v>
      </c>
      <c r="D15" s="613">
        <f t="shared" ref="D15:K15" si="2">SUM(D16:D20)</f>
        <v>0</v>
      </c>
      <c r="E15" s="614">
        <f t="shared" si="2"/>
        <v>3534906</v>
      </c>
      <c r="F15" s="615">
        <f t="shared" si="2"/>
        <v>0</v>
      </c>
      <c r="G15" s="613">
        <f t="shared" si="2"/>
        <v>1083116.02</v>
      </c>
      <c r="H15" s="616">
        <f t="shared" si="2"/>
        <v>1083116.02</v>
      </c>
      <c r="I15" s="617">
        <f t="shared" si="2"/>
        <v>1200000</v>
      </c>
      <c r="J15" s="613">
        <f t="shared" si="2"/>
        <v>1255200</v>
      </c>
      <c r="K15" s="614">
        <f t="shared" si="2"/>
        <v>1312939.2</v>
      </c>
      <c r="L15" s="240"/>
    </row>
    <row r="16" spans="1:12" ht="11.25" customHeight="1">
      <c r="A16" s="2269" t="s">
        <v>2554</v>
      </c>
      <c r="B16" s="59" t="str">
        <f>IF(A16="  Housing",4,"")</f>
        <v/>
      </c>
      <c r="C16" s="2270"/>
      <c r="D16" s="2270"/>
      <c r="E16" s="2271">
        <f>636404+2898502</f>
        <v>3534906</v>
      </c>
      <c r="F16" s="2272"/>
      <c r="G16" s="2270">
        <v>1083116.02</v>
      </c>
      <c r="H16" s="2273">
        <v>1083116.02</v>
      </c>
      <c r="I16" s="2274">
        <v>1200000</v>
      </c>
      <c r="J16" s="2270">
        <v>1255200</v>
      </c>
      <c r="K16" s="2271">
        <v>1312939.2</v>
      </c>
      <c r="L16" s="240"/>
    </row>
    <row r="17" spans="1:12" ht="11.25" customHeight="1">
      <c r="A17" s="2269"/>
      <c r="B17" s="59" t="str">
        <f>IF(A17="  Housing",4,"")</f>
        <v/>
      </c>
      <c r="C17" s="2260"/>
      <c r="D17" s="2260"/>
      <c r="E17" s="2261"/>
      <c r="F17" s="2262"/>
      <c r="G17" s="2260"/>
      <c r="H17" s="2263"/>
      <c r="I17" s="2264"/>
      <c r="J17" s="2260"/>
      <c r="K17" s="2261"/>
      <c r="L17" s="240"/>
    </row>
    <row r="18" spans="1:12" ht="11.25" customHeight="1">
      <c r="A18" s="2269"/>
      <c r="B18" s="59" t="str">
        <f>IF(A18="  Housing",4,"")</f>
        <v/>
      </c>
      <c r="C18" s="2260"/>
      <c r="D18" s="2260"/>
      <c r="E18" s="2261"/>
      <c r="F18" s="2262"/>
      <c r="G18" s="2260"/>
      <c r="H18" s="2263"/>
      <c r="I18" s="2264"/>
      <c r="J18" s="2260"/>
      <c r="K18" s="2261"/>
      <c r="L18" s="240"/>
    </row>
    <row r="19" spans="1:12" ht="11.25" customHeight="1">
      <c r="A19" s="2269"/>
      <c r="B19" s="59" t="str">
        <f>IF(A19="  Housing",4,"")</f>
        <v/>
      </c>
      <c r="C19" s="2260"/>
      <c r="D19" s="2260"/>
      <c r="E19" s="2261"/>
      <c r="F19" s="2262"/>
      <c r="G19" s="2260"/>
      <c r="H19" s="2263"/>
      <c r="I19" s="2264"/>
      <c r="J19" s="2260"/>
      <c r="K19" s="2261"/>
      <c r="L19" s="240"/>
    </row>
    <row r="20" spans="1:12" ht="11.25" customHeight="1">
      <c r="A20" s="2461" t="str">
        <f>A14</f>
        <v>MIG Operation/NDPG/Disaster relief</v>
      </c>
      <c r="B20" s="59"/>
      <c r="C20" s="2275"/>
      <c r="D20" s="2275"/>
      <c r="E20" s="2276"/>
      <c r="F20" s="2277"/>
      <c r="G20" s="2275"/>
      <c r="H20" s="2278"/>
      <c r="I20" s="2279"/>
      <c r="J20" s="2275"/>
      <c r="K20" s="2276"/>
      <c r="L20" s="240"/>
    </row>
    <row r="21" spans="1:12" ht="18" customHeight="1">
      <c r="A21" s="243" t="s">
        <v>928</v>
      </c>
      <c r="B21" s="59"/>
      <c r="C21" s="613">
        <f>SUM(C22:C23)</f>
        <v>0</v>
      </c>
      <c r="D21" s="613">
        <f t="shared" ref="D21:K21" si="3">SUM(D22:D23)</f>
        <v>0</v>
      </c>
      <c r="E21" s="614">
        <f t="shared" si="3"/>
        <v>0</v>
      </c>
      <c r="F21" s="615">
        <f t="shared" si="3"/>
        <v>0</v>
      </c>
      <c r="G21" s="613">
        <f t="shared" si="3"/>
        <v>0</v>
      </c>
      <c r="H21" s="616">
        <f t="shared" si="3"/>
        <v>0</v>
      </c>
      <c r="I21" s="617">
        <f t="shared" si="3"/>
        <v>0</v>
      </c>
      <c r="J21" s="613">
        <f t="shared" si="3"/>
        <v>0</v>
      </c>
      <c r="K21" s="614">
        <f t="shared" si="3"/>
        <v>0</v>
      </c>
      <c r="L21" s="240"/>
    </row>
    <row r="22" spans="1:12" ht="11.25" customHeight="1">
      <c r="A22" s="2280"/>
      <c r="B22" s="59"/>
      <c r="C22" s="2270"/>
      <c r="D22" s="2270"/>
      <c r="E22" s="2271">
        <v>0</v>
      </c>
      <c r="F22" s="2272"/>
      <c r="G22" s="2270">
        <v>0</v>
      </c>
      <c r="H22" s="2270">
        <v>0</v>
      </c>
      <c r="I22" s="2274">
        <v>0</v>
      </c>
      <c r="J22" s="2270">
        <v>0</v>
      </c>
      <c r="K22" s="2271">
        <v>0</v>
      </c>
      <c r="L22" s="240"/>
    </row>
    <row r="23" spans="1:12" ht="11.25" customHeight="1">
      <c r="A23" s="2280"/>
      <c r="B23" s="59"/>
      <c r="C23" s="2275"/>
      <c r="D23" s="2275"/>
      <c r="E23" s="2276"/>
      <c r="F23" s="2277"/>
      <c r="G23" s="2275"/>
      <c r="H23" s="2278"/>
      <c r="I23" s="2279"/>
      <c r="J23" s="2275"/>
      <c r="K23" s="2276"/>
      <c r="L23" s="240"/>
    </row>
    <row r="24" spans="1:12" ht="18" customHeight="1">
      <c r="A24" s="243" t="s">
        <v>511</v>
      </c>
      <c r="B24" s="59"/>
      <c r="C24" s="613">
        <f>SUM(C25:C26)</f>
        <v>0</v>
      </c>
      <c r="D24" s="613">
        <f t="shared" ref="D24:K24" si="4">SUM(D25:D26)</f>
        <v>200000</v>
      </c>
      <c r="E24" s="614">
        <f t="shared" si="4"/>
        <v>0</v>
      </c>
      <c r="F24" s="615">
        <f t="shared" si="4"/>
        <v>0</v>
      </c>
      <c r="G24" s="613">
        <f t="shared" si="4"/>
        <v>0</v>
      </c>
      <c r="H24" s="616">
        <f t="shared" si="4"/>
        <v>0</v>
      </c>
      <c r="I24" s="617">
        <f t="shared" si="4"/>
        <v>0</v>
      </c>
      <c r="J24" s="613">
        <f t="shared" si="4"/>
        <v>0</v>
      </c>
      <c r="K24" s="614">
        <f t="shared" si="4"/>
        <v>0</v>
      </c>
      <c r="L24" s="240"/>
    </row>
    <row r="25" spans="1:12" ht="11.25" customHeight="1">
      <c r="A25" s="2280" t="s">
        <v>2555</v>
      </c>
      <c r="B25" s="59"/>
      <c r="C25" s="2270"/>
      <c r="D25" s="2270">
        <v>200000</v>
      </c>
      <c r="E25" s="2271"/>
      <c r="F25" s="2272"/>
      <c r="G25" s="2270"/>
      <c r="H25" s="2273"/>
      <c r="I25" s="2274"/>
      <c r="J25" s="2270"/>
      <c r="K25" s="2271"/>
      <c r="L25" s="240"/>
    </row>
    <row r="26" spans="1:12" ht="11.25" customHeight="1">
      <c r="A26" s="2280"/>
      <c r="B26" s="59"/>
      <c r="C26" s="2275"/>
      <c r="D26" s="2275"/>
      <c r="E26" s="2276"/>
      <c r="F26" s="2277"/>
      <c r="G26" s="2275"/>
      <c r="H26" s="2278"/>
      <c r="I26" s="2279"/>
      <c r="J26" s="2275"/>
      <c r="K26" s="2276"/>
      <c r="L26" s="240"/>
    </row>
    <row r="27" spans="1:12" s="631" customFormat="1" ht="15.75" customHeight="1">
      <c r="A27" s="624" t="s">
        <v>310</v>
      </c>
      <c r="B27" s="625">
        <v>5</v>
      </c>
      <c r="C27" s="626">
        <f>C7+C15+C21+C24</f>
        <v>419964021</v>
      </c>
      <c r="D27" s="626">
        <f t="shared" ref="D27:K27" si="5">D7+D15+D21+D24</f>
        <v>327840000</v>
      </c>
      <c r="E27" s="627">
        <f t="shared" si="5"/>
        <v>370145656</v>
      </c>
      <c r="F27" s="628">
        <f t="shared" si="5"/>
        <v>416300150</v>
      </c>
      <c r="G27" s="626">
        <f t="shared" si="5"/>
        <v>422533880.01999998</v>
      </c>
      <c r="H27" s="629">
        <f t="shared" si="5"/>
        <v>422235880.01999998</v>
      </c>
      <c r="I27" s="630">
        <f t="shared" si="5"/>
        <v>443963950</v>
      </c>
      <c r="J27" s="626">
        <f t="shared" si="5"/>
        <v>470189500</v>
      </c>
      <c r="K27" s="627">
        <f t="shared" si="5"/>
        <v>499398139.19999999</v>
      </c>
      <c r="L27" s="752"/>
    </row>
    <row r="28" spans="1:12" ht="4.9000000000000004" customHeight="1">
      <c r="A28" s="148"/>
      <c r="B28" s="59"/>
      <c r="C28" s="582"/>
      <c r="D28" s="582"/>
      <c r="E28" s="578"/>
      <c r="F28" s="579"/>
      <c r="G28" s="582"/>
      <c r="H28" s="580"/>
      <c r="I28" s="583"/>
      <c r="J28" s="582"/>
      <c r="K28" s="578"/>
      <c r="L28" s="240"/>
    </row>
    <row r="29" spans="1:12" ht="11.25" customHeight="1">
      <c r="A29" s="126" t="s">
        <v>311</v>
      </c>
      <c r="B29" s="59"/>
      <c r="C29" s="582"/>
      <c r="D29" s="582"/>
      <c r="E29" s="578"/>
      <c r="F29" s="579"/>
      <c r="G29" s="582"/>
      <c r="H29" s="580"/>
      <c r="I29" s="583"/>
      <c r="J29" s="582"/>
      <c r="K29" s="578"/>
      <c r="L29" s="240"/>
    </row>
    <row r="30" spans="1:12" ht="18" customHeight="1">
      <c r="A30" s="243" t="str">
        <f>A7</f>
        <v>National Government:</v>
      </c>
      <c r="B30" s="59"/>
      <c r="C30" s="613">
        <f>SUM(C31:C36)</f>
        <v>60541941</v>
      </c>
      <c r="D30" s="613">
        <f t="shared" ref="D30:K30" si="6">SUM(D31:D36)</f>
        <v>101742000</v>
      </c>
      <c r="E30" s="614">
        <f t="shared" si="6"/>
        <v>87699250</v>
      </c>
      <c r="F30" s="615">
        <f t="shared" si="6"/>
        <v>89549850</v>
      </c>
      <c r="G30" s="613">
        <f t="shared" si="6"/>
        <v>89549850</v>
      </c>
      <c r="H30" s="616">
        <f t="shared" si="6"/>
        <v>89549850</v>
      </c>
      <c r="I30" s="617">
        <f t="shared" si="6"/>
        <v>88938050</v>
      </c>
      <c r="J30" s="613">
        <f t="shared" si="6"/>
        <v>96829700</v>
      </c>
      <c r="K30" s="614">
        <f t="shared" si="6"/>
        <v>102603800</v>
      </c>
      <c r="L30" s="240"/>
    </row>
    <row r="31" spans="1:12" ht="11.25" customHeight="1">
      <c r="A31" s="2269" t="s">
        <v>1683</v>
      </c>
      <c r="B31" s="59"/>
      <c r="C31" s="2270">
        <v>54704940</v>
      </c>
      <c r="D31" s="2270">
        <v>101742000</v>
      </c>
      <c r="E31" s="2271">
        <f>92315000-E14</f>
        <v>87699250</v>
      </c>
      <c r="F31" s="2272">
        <v>89549850</v>
      </c>
      <c r="G31" s="2270">
        <v>89549850</v>
      </c>
      <c r="H31" s="2270">
        <v>89549850</v>
      </c>
      <c r="I31" s="2274">
        <f>93619000-I14</f>
        <v>88938050</v>
      </c>
      <c r="J31" s="2270">
        <f>101926000-J14</f>
        <v>96829700</v>
      </c>
      <c r="K31" s="2271">
        <f>108004000-K14</f>
        <v>102603800</v>
      </c>
      <c r="L31" s="240"/>
    </row>
    <row r="32" spans="1:12" ht="11.25" customHeight="1">
      <c r="A32" s="2269" t="s">
        <v>1669</v>
      </c>
      <c r="B32" s="59"/>
      <c r="C32" s="2260"/>
      <c r="D32" s="2260"/>
      <c r="E32" s="2261"/>
      <c r="F32" s="2262"/>
      <c r="G32" s="2260"/>
      <c r="H32" s="2263"/>
      <c r="I32" s="2264"/>
      <c r="J32" s="2260"/>
      <c r="K32" s="2261"/>
      <c r="L32" s="240"/>
    </row>
    <row r="33" spans="1:15" ht="11.25" customHeight="1">
      <c r="A33" s="2269"/>
      <c r="B33" s="59"/>
      <c r="C33" s="2260"/>
      <c r="D33" s="2260"/>
      <c r="E33" s="2261"/>
      <c r="F33" s="2262"/>
      <c r="G33" s="2260"/>
      <c r="H33" s="2263"/>
      <c r="I33" s="2264"/>
      <c r="J33" s="2260"/>
      <c r="K33" s="2261"/>
      <c r="L33" s="240"/>
    </row>
    <row r="34" spans="1:15" ht="11.25" customHeight="1">
      <c r="A34" s="2269"/>
      <c r="B34" s="59"/>
      <c r="C34" s="2260"/>
      <c r="D34" s="2260"/>
      <c r="E34" s="2261"/>
      <c r="F34" s="2262"/>
      <c r="G34" s="2260"/>
      <c r="H34" s="2263"/>
      <c r="I34" s="2264"/>
      <c r="J34" s="2260"/>
      <c r="K34" s="2261"/>
      <c r="L34" s="240"/>
    </row>
    <row r="35" spans="1:15" ht="11.25" customHeight="1">
      <c r="A35" s="2269"/>
      <c r="B35" s="59"/>
      <c r="C35" s="2260"/>
      <c r="D35" s="2260"/>
      <c r="E35" s="2261"/>
      <c r="F35" s="2262"/>
      <c r="G35" s="2260"/>
      <c r="H35" s="2263"/>
      <c r="I35" s="2264"/>
      <c r="J35" s="2260"/>
      <c r="K35" s="2261"/>
      <c r="L35" s="240"/>
    </row>
    <row r="36" spans="1:15" ht="11.25" customHeight="1">
      <c r="A36" s="2269" t="s">
        <v>3437</v>
      </c>
      <c r="B36" s="59"/>
      <c r="C36" s="2275">
        <v>5837001</v>
      </c>
      <c r="D36" s="2275"/>
      <c r="E36" s="2276"/>
      <c r="F36" s="2277"/>
      <c r="G36" s="2275"/>
      <c r="H36" s="2278"/>
      <c r="I36" s="2279"/>
      <c r="J36" s="2275"/>
      <c r="K36" s="2276"/>
      <c r="L36" s="240"/>
    </row>
    <row r="37" spans="1:15" ht="18" customHeight="1">
      <c r="A37" s="632" t="str">
        <f>A15</f>
        <v>Provincial Government:</v>
      </c>
      <c r="B37" s="59"/>
      <c r="C37" s="613">
        <f>SUM(C38)</f>
        <v>0</v>
      </c>
      <c r="D37" s="613">
        <f t="shared" ref="D37:K37" si="7">SUM(D38)</f>
        <v>0</v>
      </c>
      <c r="E37" s="614">
        <f t="shared" si="7"/>
        <v>0</v>
      </c>
      <c r="F37" s="615">
        <f t="shared" si="7"/>
        <v>0</v>
      </c>
      <c r="G37" s="613">
        <f t="shared" si="7"/>
        <v>0</v>
      </c>
      <c r="H37" s="616">
        <f t="shared" si="7"/>
        <v>0</v>
      </c>
      <c r="I37" s="617">
        <f t="shared" si="7"/>
        <v>0</v>
      </c>
      <c r="J37" s="613">
        <f t="shared" si="7"/>
        <v>0</v>
      </c>
      <c r="K37" s="614">
        <f t="shared" si="7"/>
        <v>0</v>
      </c>
      <c r="L37" s="240"/>
      <c r="O37" s="240"/>
    </row>
    <row r="38" spans="1:15">
      <c r="A38" s="2281" t="s">
        <v>2556</v>
      </c>
      <c r="B38" s="59"/>
      <c r="C38" s="2282"/>
      <c r="D38" s="2282"/>
      <c r="E38" s="2283"/>
      <c r="F38" s="2284"/>
      <c r="G38" s="2282"/>
      <c r="H38" s="2285"/>
      <c r="I38" s="2286"/>
      <c r="J38" s="2282"/>
      <c r="K38" s="2283"/>
      <c r="L38" s="240"/>
    </row>
    <row r="39" spans="1:15" ht="18" customHeight="1">
      <c r="A39" s="243" t="str">
        <f>A21</f>
        <v>District Municipality:</v>
      </c>
      <c r="B39" s="59"/>
      <c r="C39" s="613">
        <f t="shared" ref="C39:K39" si="8">SUM(C40:C41)</f>
        <v>0</v>
      </c>
      <c r="D39" s="613">
        <f t="shared" si="8"/>
        <v>0</v>
      </c>
      <c r="E39" s="614">
        <f t="shared" si="8"/>
        <v>0</v>
      </c>
      <c r="F39" s="615">
        <f t="shared" si="8"/>
        <v>0</v>
      </c>
      <c r="G39" s="613">
        <f t="shared" si="8"/>
        <v>0</v>
      </c>
      <c r="H39" s="616">
        <f t="shared" si="8"/>
        <v>0</v>
      </c>
      <c r="I39" s="617">
        <f t="shared" si="8"/>
        <v>0</v>
      </c>
      <c r="J39" s="613">
        <f t="shared" si="8"/>
        <v>0</v>
      </c>
      <c r="K39" s="614">
        <f t="shared" si="8"/>
        <v>0</v>
      </c>
      <c r="L39" s="240"/>
    </row>
    <row r="40" spans="1:15" ht="11.25" customHeight="1">
      <c r="A40" s="2462">
        <f>A22</f>
        <v>0</v>
      </c>
      <c r="B40" s="59"/>
      <c r="C40" s="2270"/>
      <c r="D40" s="2270"/>
      <c r="E40" s="2271"/>
      <c r="F40" s="2272"/>
      <c r="G40" s="2270"/>
      <c r="H40" s="2273"/>
      <c r="I40" s="2274"/>
      <c r="J40" s="2270"/>
      <c r="K40" s="2271"/>
      <c r="L40" s="240"/>
    </row>
    <row r="41" spans="1:15" ht="11.25" customHeight="1">
      <c r="A41" s="2280"/>
      <c r="B41" s="59"/>
      <c r="C41" s="2275"/>
      <c r="D41" s="2275"/>
      <c r="E41" s="2276"/>
      <c r="F41" s="2277"/>
      <c r="G41" s="2275"/>
      <c r="H41" s="2278"/>
      <c r="I41" s="2279"/>
      <c r="J41" s="2275"/>
      <c r="K41" s="2276"/>
      <c r="L41" s="240"/>
    </row>
    <row r="42" spans="1:15" ht="18" customHeight="1">
      <c r="A42" s="243" t="str">
        <f>A24</f>
        <v>Other grant providers:</v>
      </c>
      <c r="B42" s="59"/>
      <c r="C42" s="613">
        <f>SUM(C43:C44)</f>
        <v>0</v>
      </c>
      <c r="D42" s="613">
        <f t="shared" ref="D42:K42" si="9">SUM(D43:D44)</f>
        <v>0</v>
      </c>
      <c r="E42" s="614">
        <f t="shared" si="9"/>
        <v>0</v>
      </c>
      <c r="F42" s="615">
        <f t="shared" si="9"/>
        <v>0</v>
      </c>
      <c r="G42" s="613">
        <f t="shared" si="9"/>
        <v>10000000</v>
      </c>
      <c r="H42" s="616">
        <f t="shared" si="9"/>
        <v>10000000</v>
      </c>
      <c r="I42" s="617">
        <f t="shared" si="9"/>
        <v>0</v>
      </c>
      <c r="J42" s="613">
        <f t="shared" si="9"/>
        <v>0</v>
      </c>
      <c r="K42" s="614">
        <f t="shared" si="9"/>
        <v>0</v>
      </c>
      <c r="L42" s="240"/>
    </row>
    <row r="43" spans="1:15" ht="11.25" customHeight="1">
      <c r="A43" s="2462" t="str">
        <f>LEFT(A25,22)</f>
        <v>Cleanest town competit</v>
      </c>
      <c r="B43" s="59"/>
      <c r="C43" s="2270"/>
      <c r="D43" s="2270"/>
      <c r="E43" s="2271"/>
      <c r="F43" s="2272"/>
      <c r="G43" s="2270"/>
      <c r="H43" s="2273"/>
      <c r="I43" s="2274"/>
      <c r="J43" s="2270"/>
      <c r="K43" s="2271"/>
      <c r="L43" s="240"/>
    </row>
    <row r="44" spans="1:15" ht="11.25" customHeight="1">
      <c r="A44" s="2280" t="s">
        <v>3099</v>
      </c>
      <c r="B44" s="59"/>
      <c r="C44" s="2275"/>
      <c r="D44" s="2275"/>
      <c r="E44" s="2276"/>
      <c r="F44" s="2277"/>
      <c r="G44" s="2275">
        <v>10000000</v>
      </c>
      <c r="H44" s="2275">
        <v>10000000</v>
      </c>
      <c r="I44" s="2279"/>
      <c r="J44" s="2275"/>
      <c r="K44" s="2276"/>
      <c r="L44" s="240"/>
    </row>
    <row r="45" spans="1:15" ht="15.75" customHeight="1">
      <c r="A45" s="633" t="s">
        <v>312</v>
      </c>
      <c r="B45" s="634">
        <v>5</v>
      </c>
      <c r="C45" s="613">
        <f t="shared" ref="C45:K45" si="10">C30+C37+C39+C42</f>
        <v>60541941</v>
      </c>
      <c r="D45" s="613">
        <f t="shared" si="10"/>
        <v>101742000</v>
      </c>
      <c r="E45" s="614">
        <f t="shared" si="10"/>
        <v>87699250</v>
      </c>
      <c r="F45" s="615">
        <f t="shared" si="10"/>
        <v>89549850</v>
      </c>
      <c r="G45" s="613">
        <f t="shared" si="10"/>
        <v>99549850</v>
      </c>
      <c r="H45" s="616">
        <f t="shared" si="10"/>
        <v>99549850</v>
      </c>
      <c r="I45" s="617">
        <f t="shared" si="10"/>
        <v>88938050</v>
      </c>
      <c r="J45" s="613">
        <f t="shared" si="10"/>
        <v>96829700</v>
      </c>
      <c r="K45" s="614">
        <f t="shared" si="10"/>
        <v>102603800</v>
      </c>
      <c r="L45" s="240"/>
    </row>
    <row r="46" spans="1:15" s="631" customFormat="1" ht="16.5" customHeight="1">
      <c r="A46" s="635" t="s">
        <v>313</v>
      </c>
      <c r="B46" s="636"/>
      <c r="C46" s="637">
        <f t="shared" ref="C46:K46" si="11">C27+C45</f>
        <v>480505962</v>
      </c>
      <c r="D46" s="637">
        <f t="shared" si="11"/>
        <v>429582000</v>
      </c>
      <c r="E46" s="638">
        <f t="shared" si="11"/>
        <v>457844906</v>
      </c>
      <c r="F46" s="639">
        <f t="shared" si="11"/>
        <v>505850000</v>
      </c>
      <c r="G46" s="637">
        <f t="shared" si="11"/>
        <v>522083730.01999998</v>
      </c>
      <c r="H46" s="640">
        <f t="shared" si="11"/>
        <v>521785730.01999998</v>
      </c>
      <c r="I46" s="641">
        <f t="shared" si="11"/>
        <v>532902000</v>
      </c>
      <c r="J46" s="637">
        <f t="shared" si="11"/>
        <v>567019200</v>
      </c>
      <c r="K46" s="638">
        <f t="shared" si="11"/>
        <v>602001939.20000005</v>
      </c>
      <c r="L46" s="752"/>
    </row>
    <row r="47" spans="1:15" s="576" customFormat="1">
      <c r="A47" s="1063" t="str">
        <f>head27a</f>
        <v>References</v>
      </c>
      <c r="B47" s="874"/>
      <c r="C47" s="878"/>
      <c r="D47" s="878"/>
      <c r="E47" s="878"/>
      <c r="F47" s="878"/>
      <c r="G47" s="878"/>
      <c r="H47" s="878"/>
      <c r="I47" s="878"/>
      <c r="J47" s="878"/>
      <c r="K47" s="878"/>
      <c r="L47" s="923"/>
    </row>
    <row r="48" spans="1:15" s="576" customFormat="1" ht="11.25" customHeight="1">
      <c r="A48" s="1028" t="s">
        <v>258</v>
      </c>
      <c r="B48" s="874"/>
      <c r="C48" s="877"/>
      <c r="D48" s="877"/>
      <c r="E48" s="878"/>
      <c r="F48" s="878"/>
      <c r="G48" s="878"/>
      <c r="H48" s="878"/>
      <c r="I48" s="878"/>
      <c r="J48" s="878"/>
      <c r="K48" s="878"/>
    </row>
    <row r="49" spans="1:11" s="576" customFormat="1" ht="11.25" customHeight="1">
      <c r="A49" s="1025" t="s">
        <v>1233</v>
      </c>
      <c r="B49" s="874"/>
      <c r="C49" s="877"/>
      <c r="D49" s="877"/>
      <c r="E49" s="878"/>
      <c r="F49" s="878"/>
      <c r="G49" s="878"/>
      <c r="H49" s="878"/>
      <c r="I49" s="878"/>
      <c r="J49" s="878"/>
      <c r="K49" s="878"/>
    </row>
    <row r="50" spans="1:11" s="576" customFormat="1" ht="11.25" customHeight="1">
      <c r="A50" s="1025" t="s">
        <v>510</v>
      </c>
      <c r="B50" s="874"/>
      <c r="C50" s="877"/>
      <c r="D50" s="877"/>
      <c r="E50" s="878"/>
      <c r="F50" s="878"/>
      <c r="G50" s="878"/>
      <c r="H50" s="878"/>
      <c r="I50" s="878"/>
      <c r="J50" s="878"/>
      <c r="K50" s="878"/>
    </row>
    <row r="51" spans="1:11" s="576" customFormat="1" ht="11.25" customHeight="1">
      <c r="A51" s="1028" t="s">
        <v>1196</v>
      </c>
      <c r="B51" s="874"/>
      <c r="C51" s="877"/>
      <c r="D51" s="877"/>
      <c r="E51" s="878"/>
      <c r="F51" s="878"/>
      <c r="G51" s="878"/>
      <c r="H51" s="878"/>
      <c r="I51" s="878"/>
      <c r="J51" s="878"/>
      <c r="K51" s="878"/>
    </row>
    <row r="52" spans="1:11" s="576" customFormat="1" ht="11.25" customHeight="1">
      <c r="A52" s="1229" t="s">
        <v>257</v>
      </c>
      <c r="B52" s="879"/>
      <c r="C52" s="916"/>
      <c r="D52" s="917"/>
      <c r="E52" s="916"/>
      <c r="F52" s="917"/>
      <c r="G52" s="916"/>
      <c r="H52" s="916"/>
      <c r="I52" s="916"/>
      <c r="J52" s="916"/>
      <c r="K52" s="916"/>
    </row>
    <row r="53" spans="1:11" s="576" customFormat="1" ht="11.25" customHeight="1">
      <c r="A53" s="1229" t="s">
        <v>780</v>
      </c>
      <c r="B53" s="884"/>
    </row>
    <row r="54" spans="1:11" ht="11.25" customHeight="1"/>
    <row r="55" spans="1:11" ht="11.25" customHeight="1"/>
    <row r="56" spans="1:11" ht="11.25" customHeight="1"/>
    <row r="57" spans="1:11" ht="11.25" customHeight="1"/>
    <row r="58" spans="1:11" ht="11.25" customHeight="1"/>
    <row r="59" spans="1:11" ht="11.25" customHeight="1"/>
    <row r="60" spans="1:11" ht="11.25" customHeight="1"/>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sheetData>
  <mergeCells count="2">
    <mergeCell ref="F2:H2"/>
    <mergeCell ref="I2:K2"/>
  </mergeCells>
  <phoneticPr fontId="5"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Normal="100" workbookViewId="0">
      <pane xSplit="2" ySplit="3" topLeftCell="C45" activePane="bottomRight" state="frozen"/>
      <selection pane="topRight"/>
      <selection pane="bottomLeft"/>
      <selection pane="bottomRight" activeCell="G15" sqref="G15"/>
    </sheetView>
  </sheetViews>
  <sheetFormatPr defaultColWidth="9.140625"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c r="A1" s="24" t="str">
        <f>muni&amp;" - "&amp; TableA19</f>
        <v>LIM333 Greater Tzaneen - Supporting Table SA19 Expenditure on transfers and grant programme</v>
      </c>
      <c r="B1" s="24"/>
      <c r="C1" s="24"/>
      <c r="D1" s="24"/>
      <c r="E1" s="24"/>
      <c r="F1" s="24"/>
      <c r="G1" s="24"/>
      <c r="H1" s="24"/>
      <c r="I1" s="24"/>
      <c r="J1" s="24"/>
      <c r="K1" s="24"/>
    </row>
    <row r="2" spans="1:11" ht="28.5" customHeight="1">
      <c r="A2" s="841" t="str">
        <f>desc</f>
        <v>Description</v>
      </c>
      <c r="B2" s="288" t="str">
        <f>head27</f>
        <v>Ref</v>
      </c>
      <c r="C2" s="27" t="str">
        <f>head1b</f>
        <v>2016/17</v>
      </c>
      <c r="D2" s="618" t="str">
        <f>head1A</f>
        <v>2017/18</v>
      </c>
      <c r="E2" s="23" t="str">
        <f>Head1</f>
        <v>2018/19</v>
      </c>
      <c r="F2" s="2842" t="str">
        <f>Head2</f>
        <v>Current Year 2019/20</v>
      </c>
      <c r="G2" s="2843"/>
      <c r="H2" s="2847"/>
      <c r="I2" s="2839" t="str">
        <f>Head3</f>
        <v>2020/21 Medium Term Revenue &amp; Expenditure Framework</v>
      </c>
      <c r="J2" s="2840"/>
      <c r="K2" s="2841"/>
    </row>
    <row r="3" spans="1:11" ht="25.5">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c r="A4" s="140" t="s">
        <v>259</v>
      </c>
      <c r="B4" s="612">
        <v>1</v>
      </c>
      <c r="C4" s="619"/>
      <c r="D4" s="619"/>
      <c r="E4" s="620"/>
      <c r="F4" s="621"/>
      <c r="G4" s="619"/>
      <c r="H4" s="622"/>
      <c r="I4" s="623"/>
      <c r="J4" s="619"/>
      <c r="K4" s="620"/>
    </row>
    <row r="5" spans="1:11" ht="4.9000000000000004" customHeight="1">
      <c r="A5" s="126"/>
      <c r="B5" s="59"/>
      <c r="C5" s="613"/>
      <c r="D5" s="613"/>
      <c r="E5" s="614"/>
      <c r="F5" s="615"/>
      <c r="G5" s="613"/>
      <c r="H5" s="616"/>
      <c r="I5" s="617"/>
      <c r="J5" s="613"/>
      <c r="K5" s="614"/>
    </row>
    <row r="6" spans="1:11" ht="11.25" customHeight="1">
      <c r="A6" s="126" t="s">
        <v>305</v>
      </c>
      <c r="B6" s="59"/>
      <c r="C6" s="613"/>
      <c r="D6" s="613"/>
      <c r="E6" s="614"/>
      <c r="F6" s="615"/>
      <c r="G6" s="613"/>
      <c r="H6" s="616"/>
      <c r="I6" s="617"/>
      <c r="J6" s="613"/>
      <c r="K6" s="614"/>
    </row>
    <row r="7" spans="1:11" ht="18" customHeight="1">
      <c r="A7" s="243" t="str">
        <f>'SA18'!A7</f>
        <v>National Government:</v>
      </c>
      <c r="B7" s="59"/>
      <c r="C7" s="613">
        <f>SUM(C8:C14)</f>
        <v>438485123</v>
      </c>
      <c r="D7" s="613">
        <f t="shared" ref="D7:K7" si="0">SUM(D8:D14)</f>
        <v>398713924</v>
      </c>
      <c r="E7" s="614">
        <f t="shared" si="0"/>
        <v>383661872</v>
      </c>
      <c r="F7" s="615">
        <f t="shared" si="0"/>
        <v>416300150</v>
      </c>
      <c r="G7" s="613">
        <f t="shared" si="0"/>
        <v>421548764</v>
      </c>
      <c r="H7" s="616">
        <f t="shared" si="0"/>
        <v>421250764</v>
      </c>
      <c r="I7" s="617">
        <f t="shared" si="0"/>
        <v>441512585</v>
      </c>
      <c r="J7" s="613">
        <f t="shared" si="0"/>
        <v>466850609.91000003</v>
      </c>
      <c r="K7" s="614">
        <f t="shared" si="0"/>
        <v>488352113.96586001</v>
      </c>
    </row>
    <row r="8" spans="1:11" ht="11.25" customHeight="1">
      <c r="A8" s="239" t="str">
        <f>IF('SA18'!A8="","",'SA18'!A8)</f>
        <v>Local Government Equitable Share</v>
      </c>
      <c r="B8" s="59"/>
      <c r="C8" s="2270">
        <v>291112962</v>
      </c>
      <c r="D8" s="2270">
        <v>311977000</v>
      </c>
      <c r="E8" s="2271">
        <v>338344000</v>
      </c>
      <c r="F8" s="2272">
        <v>383693000</v>
      </c>
      <c r="G8" s="2272">
        <v>383693000</v>
      </c>
      <c r="H8" s="2272">
        <v>383693000</v>
      </c>
      <c r="I8" s="2274">
        <v>413205000</v>
      </c>
      <c r="J8" s="2270">
        <v>445855000</v>
      </c>
      <c r="K8" s="2271">
        <v>466364330</v>
      </c>
    </row>
    <row r="9" spans="1:11" ht="11.25" customHeight="1">
      <c r="A9" s="239" t="str">
        <f>IF('SA18'!A9="","",'SA18'!A9)</f>
        <v xml:space="preserve">Finance Management </v>
      </c>
      <c r="B9" s="59"/>
      <c r="C9" s="2260">
        <v>1809999</v>
      </c>
      <c r="D9" s="2260">
        <v>2145000</v>
      </c>
      <c r="E9" s="2261">
        <v>2145000</v>
      </c>
      <c r="F9" s="2262">
        <v>2145000</v>
      </c>
      <c r="G9" s="2262">
        <v>2145000</v>
      </c>
      <c r="H9" s="2262">
        <v>2145000</v>
      </c>
      <c r="I9" s="2264">
        <v>2145000</v>
      </c>
      <c r="J9" s="2260">
        <v>2145000</v>
      </c>
      <c r="K9" s="2261">
        <v>2243670</v>
      </c>
    </row>
    <row r="10" spans="1:11" ht="11.25" customHeight="1">
      <c r="A10" s="239" t="str">
        <f>IF('SA18'!A10="","",'SA18'!A10)</f>
        <v>Municipal Systems Improvement</v>
      </c>
      <c r="B10" s="59"/>
      <c r="C10" s="2260">
        <v>0</v>
      </c>
      <c r="D10" s="2260"/>
      <c r="E10" s="2261"/>
      <c r="F10" s="2262"/>
      <c r="G10" s="2260"/>
      <c r="H10" s="2263"/>
      <c r="I10" s="2264"/>
      <c r="J10" s="2260"/>
      <c r="K10" s="2261"/>
    </row>
    <row r="11" spans="1:11" ht="11.25" customHeight="1">
      <c r="A11" s="239" t="str">
        <f>IF('SA18'!A11="","",'SA18'!A11)</f>
        <v>Integrated National Electrification Programme</v>
      </c>
      <c r="B11" s="59"/>
      <c r="C11" s="2260">
        <v>48734378</v>
      </c>
      <c r="D11" s="2260">
        <v>10726498</v>
      </c>
      <c r="E11" s="2261">
        <v>9604683</v>
      </c>
      <c r="F11" s="2262">
        <v>20000000</v>
      </c>
      <c r="G11" s="2260">
        <v>24950614</v>
      </c>
      <c r="H11" s="2260">
        <v>24950614</v>
      </c>
      <c r="I11" s="2264">
        <v>15000000</v>
      </c>
      <c r="J11" s="2260">
        <v>13188000</v>
      </c>
      <c r="K11" s="2261">
        <v>13821024</v>
      </c>
    </row>
    <row r="12" spans="1:11" ht="11.25" customHeight="1">
      <c r="A12" s="239" t="str">
        <f>IF('SA18'!A12="","",'SA18'!A12)</f>
        <v>EPWP Incentive</v>
      </c>
      <c r="B12" s="59"/>
      <c r="C12" s="2260">
        <v>1949000</v>
      </c>
      <c r="D12" s="2260">
        <v>4918000</v>
      </c>
      <c r="E12" s="2261">
        <v>5510000</v>
      </c>
      <c r="F12" s="2262">
        <v>5749000</v>
      </c>
      <c r="G12" s="2262">
        <v>5749000</v>
      </c>
      <c r="H12" s="2262">
        <v>5749000</v>
      </c>
      <c r="I12" s="2264">
        <v>5749000</v>
      </c>
      <c r="J12" s="2260">
        <v>0</v>
      </c>
      <c r="K12" s="2261">
        <v>0</v>
      </c>
    </row>
    <row r="13" spans="1:11" ht="11.25" customHeight="1">
      <c r="A13" s="239" t="str">
        <f>IF('SA18'!A13="","",'SA18'!A13)</f>
        <v>Electricity Demand Side Management</v>
      </c>
      <c r="B13" s="59"/>
      <c r="C13" s="2260">
        <v>4970971</v>
      </c>
      <c r="D13" s="2260"/>
      <c r="E13" s="2261"/>
      <c r="F13" s="2262"/>
      <c r="G13" s="2260"/>
      <c r="H13" s="2263"/>
      <c r="I13" s="2264"/>
      <c r="J13" s="2260"/>
      <c r="K13" s="2261"/>
    </row>
    <row r="14" spans="1:11" ht="11.25" customHeight="1">
      <c r="A14" s="2461" t="str">
        <f>'SA18'!A14</f>
        <v>MIG Operation/NDPG/Disaster relief</v>
      </c>
      <c r="B14" s="59"/>
      <c r="C14" s="2275">
        <v>89907813</v>
      </c>
      <c r="D14" s="2275">
        <v>68947426</v>
      </c>
      <c r="E14" s="2276">
        <v>28058189</v>
      </c>
      <c r="F14" s="2277">
        <v>4713150</v>
      </c>
      <c r="G14" s="2277">
        <f>4713150+298000</f>
        <v>5011150</v>
      </c>
      <c r="H14" s="2277">
        <v>4713150</v>
      </c>
      <c r="I14" s="2279">
        <v>5413585</v>
      </c>
      <c r="J14" s="2275">
        <v>5662609.9099999983</v>
      </c>
      <c r="K14" s="2276">
        <v>5923089.9658600008</v>
      </c>
    </row>
    <row r="15" spans="1:11" ht="18" customHeight="1">
      <c r="A15" s="243" t="str">
        <f>'SA18'!A15</f>
        <v>Provincial Government:</v>
      </c>
      <c r="B15" s="59"/>
      <c r="C15" s="613">
        <f>SUM(C16:C20)</f>
        <v>0</v>
      </c>
      <c r="D15" s="613">
        <f t="shared" ref="D15:K15" si="1">SUM(D16:D20)</f>
        <v>0</v>
      </c>
      <c r="E15" s="614">
        <f t="shared" si="1"/>
        <v>3533906</v>
      </c>
      <c r="F15" s="615">
        <f t="shared" si="1"/>
        <v>0</v>
      </c>
      <c r="G15" s="613">
        <f t="shared" si="1"/>
        <v>1083116.02</v>
      </c>
      <c r="H15" s="616">
        <f t="shared" si="1"/>
        <v>1083116.02</v>
      </c>
      <c r="I15" s="617">
        <f t="shared" si="1"/>
        <v>1200000</v>
      </c>
      <c r="J15" s="613">
        <f t="shared" si="1"/>
        <v>1255200</v>
      </c>
      <c r="K15" s="614">
        <f t="shared" si="1"/>
        <v>1312939.2</v>
      </c>
    </row>
    <row r="16" spans="1:11" ht="11.25" customHeight="1">
      <c r="A16" s="239" t="str">
        <f>IF('SA18'!A16="","",'SA18'!A16)</f>
        <v>SETA</v>
      </c>
      <c r="B16" s="59"/>
      <c r="C16" s="2270"/>
      <c r="D16" s="2270"/>
      <c r="E16" s="2271">
        <f>636404+2897502</f>
        <v>3533906</v>
      </c>
      <c r="F16" s="2272"/>
      <c r="G16" s="2270">
        <v>1083116.02</v>
      </c>
      <c r="H16" s="2273">
        <v>1083116.02</v>
      </c>
      <c r="I16" s="2274">
        <v>1200000</v>
      </c>
      <c r="J16" s="2270">
        <v>1255200</v>
      </c>
      <c r="K16" s="2271">
        <v>1312939.2</v>
      </c>
    </row>
    <row r="17" spans="1:12" ht="11.25" customHeight="1">
      <c r="A17" s="239" t="str">
        <f>IF('SA18'!A17="","",'SA18'!A17)</f>
        <v/>
      </c>
      <c r="B17" s="59"/>
      <c r="C17" s="2260"/>
      <c r="D17" s="2260"/>
      <c r="E17" s="2261"/>
      <c r="F17" s="2262"/>
      <c r="G17" s="2260"/>
      <c r="H17" s="2263"/>
      <c r="I17" s="2264"/>
      <c r="J17" s="2260"/>
      <c r="K17" s="2261"/>
    </row>
    <row r="18" spans="1:12" ht="11.25" customHeight="1">
      <c r="A18" s="239" t="str">
        <f>IF('SA18'!A18="","",'SA18'!A18)</f>
        <v/>
      </c>
      <c r="B18" s="59"/>
      <c r="C18" s="2260"/>
      <c r="D18" s="2260"/>
      <c r="E18" s="2261"/>
      <c r="F18" s="2262"/>
      <c r="G18" s="2260"/>
      <c r="H18" s="2263"/>
      <c r="I18" s="2264"/>
      <c r="J18" s="2260"/>
      <c r="K18" s="2261"/>
    </row>
    <row r="19" spans="1:12" ht="11.25" customHeight="1">
      <c r="A19" s="239" t="str">
        <f>IF('SA18'!A19="","",'SA18'!A19)</f>
        <v/>
      </c>
      <c r="B19" s="59"/>
      <c r="C19" s="2260"/>
      <c r="D19" s="2260"/>
      <c r="E19" s="2261"/>
      <c r="F19" s="2262"/>
      <c r="G19" s="2260"/>
      <c r="H19" s="2263"/>
      <c r="I19" s="2264"/>
      <c r="J19" s="2260"/>
      <c r="K19" s="2261"/>
    </row>
    <row r="20" spans="1:12" ht="11.25" customHeight="1">
      <c r="A20" s="2461" t="str">
        <f>'SA18'!A20</f>
        <v>MIG Operation/NDPG/Disaster relief</v>
      </c>
      <c r="B20" s="59"/>
      <c r="C20" s="2275"/>
      <c r="D20" s="2275"/>
      <c r="E20" s="2276"/>
      <c r="F20" s="2277"/>
      <c r="G20" s="2275"/>
      <c r="H20" s="2278"/>
      <c r="I20" s="2279"/>
      <c r="J20" s="2275"/>
      <c r="K20" s="2276"/>
      <c r="L20" s="240"/>
    </row>
    <row r="21" spans="1:12" ht="18" customHeight="1">
      <c r="A21" s="243" t="str">
        <f>'SA18'!A21</f>
        <v>District Municipality:</v>
      </c>
      <c r="B21" s="59"/>
      <c r="C21" s="613">
        <f>SUM(C22:C23)</f>
        <v>0</v>
      </c>
      <c r="D21" s="613">
        <f t="shared" ref="D21:K21" si="2">SUM(D22:D23)</f>
        <v>0</v>
      </c>
      <c r="E21" s="614">
        <f t="shared" si="2"/>
        <v>0</v>
      </c>
      <c r="F21" s="615">
        <f t="shared" si="2"/>
        <v>0</v>
      </c>
      <c r="G21" s="613">
        <f t="shared" si="2"/>
        <v>0</v>
      </c>
      <c r="H21" s="616">
        <f t="shared" si="2"/>
        <v>0</v>
      </c>
      <c r="I21" s="617">
        <f t="shared" si="2"/>
        <v>0</v>
      </c>
      <c r="J21" s="613">
        <f t="shared" si="2"/>
        <v>0</v>
      </c>
      <c r="K21" s="614">
        <f t="shared" si="2"/>
        <v>0</v>
      </c>
      <c r="L21" s="240"/>
    </row>
    <row r="22" spans="1:12" ht="11.25" customHeight="1">
      <c r="A22" s="2462">
        <f>'SA18'!A22</f>
        <v>0</v>
      </c>
      <c r="B22" s="59"/>
      <c r="C22" s="2270"/>
      <c r="D22" s="2270"/>
      <c r="E22" s="2271">
        <v>0</v>
      </c>
      <c r="F22" s="2272"/>
      <c r="G22" s="2270">
        <v>0</v>
      </c>
      <c r="H22" s="2270">
        <v>0</v>
      </c>
      <c r="I22" s="2274">
        <v>0</v>
      </c>
      <c r="J22" s="2270">
        <v>0</v>
      </c>
      <c r="K22" s="2271">
        <v>0</v>
      </c>
      <c r="L22" s="240"/>
    </row>
    <row r="23" spans="1:12" ht="11.25" customHeight="1">
      <c r="A23" s="2280"/>
      <c r="B23" s="59"/>
      <c r="C23" s="2275"/>
      <c r="D23" s="2275"/>
      <c r="E23" s="2276"/>
      <c r="F23" s="2277"/>
      <c r="G23" s="2275"/>
      <c r="H23" s="2278"/>
      <c r="I23" s="2279"/>
      <c r="J23" s="2275"/>
      <c r="K23" s="2276"/>
      <c r="L23" s="240"/>
    </row>
    <row r="24" spans="1:12" ht="18" customHeight="1">
      <c r="A24" s="243" t="str">
        <f>'SA18'!A24</f>
        <v>Other grant providers:</v>
      </c>
      <c r="B24" s="59"/>
      <c r="C24" s="613">
        <f>SUM(C25:C26)</f>
        <v>0</v>
      </c>
      <c r="D24" s="613">
        <f t="shared" ref="D24:K24" si="3">SUM(D25:D26)</f>
        <v>0</v>
      </c>
      <c r="E24" s="614">
        <f t="shared" si="3"/>
        <v>3056</v>
      </c>
      <c r="F24" s="615">
        <f t="shared" si="3"/>
        <v>0</v>
      </c>
      <c r="G24" s="613">
        <f t="shared" si="3"/>
        <v>0</v>
      </c>
      <c r="H24" s="616">
        <f t="shared" si="3"/>
        <v>0</v>
      </c>
      <c r="I24" s="617">
        <f t="shared" si="3"/>
        <v>0</v>
      </c>
      <c r="J24" s="613">
        <f t="shared" si="3"/>
        <v>0</v>
      </c>
      <c r="K24" s="614">
        <f t="shared" si="3"/>
        <v>0</v>
      </c>
      <c r="L24" s="240"/>
    </row>
    <row r="25" spans="1:12" ht="11.25" customHeight="1">
      <c r="A25" s="2462" t="str">
        <f>'SA18'!A25</f>
        <v>Cleanest town competition</v>
      </c>
      <c r="B25" s="59"/>
      <c r="C25" s="2270"/>
      <c r="D25" s="2270"/>
      <c r="E25" s="2271">
        <v>3056</v>
      </c>
      <c r="F25" s="2272"/>
      <c r="G25" s="2270"/>
      <c r="H25" s="2273"/>
      <c r="I25" s="2274"/>
      <c r="J25" s="2270"/>
      <c r="K25" s="2271"/>
      <c r="L25" s="240"/>
    </row>
    <row r="26" spans="1:12" ht="11.25" customHeight="1">
      <c r="A26" s="2280"/>
      <c r="B26" s="59"/>
      <c r="C26" s="2275"/>
      <c r="D26" s="2275"/>
      <c r="E26" s="2276"/>
      <c r="F26" s="2277"/>
      <c r="G26" s="2275"/>
      <c r="H26" s="2278"/>
      <c r="I26" s="2279"/>
      <c r="J26" s="2275"/>
      <c r="K26" s="2276"/>
      <c r="L26" s="240"/>
    </row>
    <row r="27" spans="1:12" s="631" customFormat="1" ht="15.75" customHeight="1">
      <c r="A27" s="624" t="s">
        <v>306</v>
      </c>
      <c r="B27" s="625"/>
      <c r="C27" s="626">
        <f t="shared" ref="C27:K27" si="4">C7+C15+C21+C24</f>
        <v>438485123</v>
      </c>
      <c r="D27" s="626">
        <f t="shared" si="4"/>
        <v>398713924</v>
      </c>
      <c r="E27" s="627">
        <f t="shared" si="4"/>
        <v>387198834</v>
      </c>
      <c r="F27" s="628">
        <f t="shared" si="4"/>
        <v>416300150</v>
      </c>
      <c r="G27" s="626">
        <f t="shared" si="4"/>
        <v>422631880.01999998</v>
      </c>
      <c r="H27" s="629">
        <f t="shared" si="4"/>
        <v>422333880.01999998</v>
      </c>
      <c r="I27" s="630">
        <f t="shared" si="4"/>
        <v>442712585</v>
      </c>
      <c r="J27" s="626">
        <f t="shared" si="4"/>
        <v>468105809.91000003</v>
      </c>
      <c r="K27" s="627">
        <f t="shared" si="4"/>
        <v>489665053.16586</v>
      </c>
      <c r="L27" s="752"/>
    </row>
    <row r="28" spans="1:12" ht="4.9000000000000004" customHeight="1">
      <c r="A28" s="148"/>
      <c r="B28" s="59"/>
      <c r="C28" s="582"/>
      <c r="D28" s="582"/>
      <c r="E28" s="578"/>
      <c r="F28" s="579"/>
      <c r="G28" s="582"/>
      <c r="H28" s="580"/>
      <c r="I28" s="583"/>
      <c r="J28" s="582"/>
      <c r="K28" s="578"/>
      <c r="L28" s="240"/>
    </row>
    <row r="29" spans="1:12" ht="11.25" customHeight="1">
      <c r="A29" s="126" t="s">
        <v>307</v>
      </c>
      <c r="B29" s="59"/>
      <c r="C29" s="582"/>
      <c r="D29" s="582"/>
      <c r="E29" s="578"/>
      <c r="F29" s="579"/>
      <c r="G29" s="582"/>
      <c r="H29" s="580"/>
      <c r="I29" s="583"/>
      <c r="J29" s="582"/>
      <c r="K29" s="578"/>
      <c r="L29" s="240"/>
    </row>
    <row r="30" spans="1:12" ht="18" customHeight="1">
      <c r="A30" s="243" t="str">
        <f>'SA18'!A30</f>
        <v>National Government:</v>
      </c>
      <c r="B30" s="59"/>
      <c r="C30" s="613">
        <f>SUM(C31:C36)</f>
        <v>35069166</v>
      </c>
      <c r="D30" s="613">
        <f t="shared" ref="D30:K30" si="5">SUM(D31:D36)</f>
        <v>29978195</v>
      </c>
      <c r="E30" s="614">
        <f t="shared" si="5"/>
        <v>48203419</v>
      </c>
      <c r="F30" s="615">
        <f t="shared" si="5"/>
        <v>89549850</v>
      </c>
      <c r="G30" s="613">
        <f t="shared" si="5"/>
        <v>89549850</v>
      </c>
      <c r="H30" s="616">
        <f t="shared" si="5"/>
        <v>89549850</v>
      </c>
      <c r="I30" s="617">
        <f t="shared" si="5"/>
        <v>99650000</v>
      </c>
      <c r="J30" s="613">
        <f t="shared" si="5"/>
        <v>107401000</v>
      </c>
      <c r="K30" s="614">
        <f t="shared" si="5"/>
        <v>107401000</v>
      </c>
      <c r="L30" s="240"/>
    </row>
    <row r="31" spans="1:12" ht="11.25" customHeight="1">
      <c r="A31" s="239" t="str">
        <f>IF('SA18'!A31="","",'SA18'!A31)</f>
        <v xml:space="preserve"> Municipal Infrastructure Grant (MIG)</v>
      </c>
      <c r="B31" s="59"/>
      <c r="C31" s="2270">
        <v>28842022</v>
      </c>
      <c r="D31" s="2270">
        <v>29978195</v>
      </c>
      <c r="E31" s="2271">
        <f>76150621-E14</f>
        <v>48092432</v>
      </c>
      <c r="F31" s="2272">
        <v>89549850</v>
      </c>
      <c r="G31" s="2272">
        <v>89549850</v>
      </c>
      <c r="H31" s="2272">
        <v>89549850</v>
      </c>
      <c r="I31" s="2274">
        <v>99650000</v>
      </c>
      <c r="J31" s="2270">
        <v>107401000</v>
      </c>
      <c r="K31" s="2271">
        <v>107401000</v>
      </c>
      <c r="L31" s="240"/>
    </row>
    <row r="32" spans="1:12" ht="11.25" customHeight="1">
      <c r="A32" s="239" t="str">
        <f>IF('SA18'!A32="","",'SA18'!A32)</f>
        <v>Neighbourhood Development Partnership</v>
      </c>
      <c r="B32" s="59"/>
      <c r="C32" s="2260">
        <v>5361114</v>
      </c>
      <c r="D32" s="2260"/>
      <c r="E32" s="2261"/>
      <c r="F32" s="2262"/>
      <c r="G32" s="2260"/>
      <c r="H32" s="2263"/>
      <c r="I32" s="2264"/>
      <c r="J32" s="2260"/>
      <c r="K32" s="2261"/>
      <c r="L32" s="240"/>
    </row>
    <row r="33" spans="1:15" ht="11.25" customHeight="1">
      <c r="A33" s="239" t="str">
        <f>IF('SA18'!A33="","",'SA18'!A33)</f>
        <v/>
      </c>
      <c r="B33" s="59"/>
      <c r="C33" s="2260"/>
      <c r="D33" s="2260"/>
      <c r="E33" s="2261"/>
      <c r="F33" s="2262"/>
      <c r="G33" s="2260"/>
      <c r="H33" s="2263"/>
      <c r="I33" s="2264"/>
      <c r="J33" s="2260"/>
      <c r="K33" s="2261"/>
      <c r="L33" s="240"/>
    </row>
    <row r="34" spans="1:15" ht="11.25" customHeight="1">
      <c r="A34" s="239" t="str">
        <f>IF('SA18'!A34="","",'SA18'!A34)</f>
        <v/>
      </c>
      <c r="B34" s="59"/>
      <c r="C34" s="2260"/>
      <c r="D34" s="2260"/>
      <c r="E34" s="2261"/>
      <c r="F34" s="2262"/>
      <c r="G34" s="2260"/>
      <c r="H34" s="2263"/>
      <c r="I34" s="2264"/>
      <c r="J34" s="2260"/>
      <c r="K34" s="2261"/>
      <c r="L34" s="240"/>
    </row>
    <row r="35" spans="1:15" ht="11.25" customHeight="1">
      <c r="A35" s="239" t="str">
        <f>IF('SA18'!A35="","",'SA18'!A35)</f>
        <v/>
      </c>
      <c r="B35" s="59"/>
      <c r="C35" s="2260"/>
      <c r="D35" s="2260"/>
      <c r="E35" s="2261"/>
      <c r="F35" s="2262"/>
      <c r="G35" s="2260"/>
      <c r="H35" s="2263"/>
      <c r="I35" s="2264"/>
      <c r="J35" s="2260"/>
      <c r="K35" s="2261"/>
      <c r="L35" s="240"/>
    </row>
    <row r="36" spans="1:15" ht="11.25" customHeight="1">
      <c r="A36" s="2461" t="str">
        <f>'SA18'!A36</f>
        <v>INEP,NDPG &amp; EEDSMG&amp;  donation</v>
      </c>
      <c r="B36" s="59"/>
      <c r="C36" s="2275">
        <v>866030</v>
      </c>
      <c r="D36" s="2275"/>
      <c r="E36" s="2276">
        <v>110987</v>
      </c>
      <c r="F36" s="2277"/>
      <c r="G36" s="2275"/>
      <c r="H36" s="2278"/>
      <c r="I36" s="2279"/>
      <c r="J36" s="2275"/>
      <c r="K36" s="2276"/>
      <c r="L36" s="240"/>
    </row>
    <row r="37" spans="1:15" ht="18" customHeight="1">
      <c r="A37" s="632" t="str">
        <f>'SA18'!A37</f>
        <v>Provincial Government:</v>
      </c>
      <c r="B37" s="59"/>
      <c r="C37" s="613">
        <f>SUM(C38)</f>
        <v>0</v>
      </c>
      <c r="D37" s="613">
        <f t="shared" ref="D37:K37" si="6">SUM(D38)</f>
        <v>0</v>
      </c>
      <c r="E37" s="614">
        <f t="shared" si="6"/>
        <v>0</v>
      </c>
      <c r="F37" s="615">
        <f t="shared" si="6"/>
        <v>0</v>
      </c>
      <c r="G37" s="613">
        <f t="shared" si="6"/>
        <v>0</v>
      </c>
      <c r="H37" s="616">
        <f t="shared" si="6"/>
        <v>0</v>
      </c>
      <c r="I37" s="617">
        <f t="shared" si="6"/>
        <v>0</v>
      </c>
      <c r="J37" s="613">
        <f t="shared" si="6"/>
        <v>0</v>
      </c>
      <c r="K37" s="614">
        <f t="shared" si="6"/>
        <v>0</v>
      </c>
      <c r="L37" s="240"/>
      <c r="O37" s="240"/>
    </row>
    <row r="38" spans="1:15">
      <c r="A38" s="2463" t="str">
        <f>'SA18'!A38</f>
        <v>greenest town competition grant</v>
      </c>
      <c r="B38" s="59"/>
      <c r="C38" s="2282"/>
      <c r="D38" s="2282"/>
      <c r="E38" s="2283"/>
      <c r="F38" s="2284"/>
      <c r="G38" s="2282"/>
      <c r="H38" s="2285"/>
      <c r="I38" s="2286"/>
      <c r="J38" s="2282"/>
      <c r="K38" s="2283"/>
      <c r="L38" s="240"/>
    </row>
    <row r="39" spans="1:15" ht="18" customHeight="1">
      <c r="A39" s="243" t="str">
        <f>'SA18'!A39</f>
        <v>District Municipality:</v>
      </c>
      <c r="B39" s="59"/>
      <c r="C39" s="613">
        <f>SUM(C40:C41)</f>
        <v>968</v>
      </c>
      <c r="D39" s="613">
        <f t="shared" ref="D39:K39" si="7">SUM(D40:D41)</f>
        <v>0</v>
      </c>
      <c r="E39" s="614">
        <f t="shared" si="7"/>
        <v>0</v>
      </c>
      <c r="F39" s="615">
        <f t="shared" si="7"/>
        <v>0</v>
      </c>
      <c r="G39" s="613">
        <f t="shared" si="7"/>
        <v>0</v>
      </c>
      <c r="H39" s="616">
        <f t="shared" si="7"/>
        <v>0</v>
      </c>
      <c r="I39" s="617">
        <f t="shared" si="7"/>
        <v>0</v>
      </c>
      <c r="J39" s="613">
        <f t="shared" si="7"/>
        <v>0</v>
      </c>
      <c r="K39" s="614">
        <f t="shared" si="7"/>
        <v>0</v>
      </c>
      <c r="L39" s="240"/>
    </row>
    <row r="40" spans="1:15" ht="11.25" customHeight="1">
      <c r="A40" s="2462">
        <f>'SA18'!A40</f>
        <v>0</v>
      </c>
      <c r="B40" s="59"/>
      <c r="C40" s="2270">
        <v>968</v>
      </c>
      <c r="D40" s="2270"/>
      <c r="E40" s="2271"/>
      <c r="F40" s="2272"/>
      <c r="G40" s="2270"/>
      <c r="H40" s="2273"/>
      <c r="I40" s="2274"/>
      <c r="J40" s="2270"/>
      <c r="K40" s="2271"/>
      <c r="L40" s="240"/>
    </row>
    <row r="41" spans="1:15" ht="11.25" customHeight="1">
      <c r="A41" s="2280"/>
      <c r="B41" s="59"/>
      <c r="C41" s="2275"/>
      <c r="D41" s="2275"/>
      <c r="E41" s="2276"/>
      <c r="F41" s="2277"/>
      <c r="G41" s="2275"/>
      <c r="H41" s="2278"/>
      <c r="I41" s="2279"/>
      <c r="J41" s="2275"/>
      <c r="K41" s="2276"/>
      <c r="L41" s="240"/>
    </row>
    <row r="42" spans="1:15" ht="18" customHeight="1">
      <c r="A42" s="243" t="str">
        <f>'SA18'!A42</f>
        <v>Other grant providers:</v>
      </c>
      <c r="B42" s="59"/>
      <c r="C42" s="613">
        <f>SUM(C43:C44)</f>
        <v>0</v>
      </c>
      <c r="D42" s="613">
        <f t="shared" ref="D42:K42" si="8">SUM(D43:D44)</f>
        <v>49272</v>
      </c>
      <c r="E42" s="614">
        <f t="shared" si="8"/>
        <v>190170</v>
      </c>
      <c r="F42" s="615">
        <f t="shared" si="8"/>
        <v>0</v>
      </c>
      <c r="G42" s="613">
        <f t="shared" si="8"/>
        <v>10000000</v>
      </c>
      <c r="H42" s="616">
        <f t="shared" si="8"/>
        <v>10000000</v>
      </c>
      <c r="I42" s="617">
        <f t="shared" si="8"/>
        <v>0</v>
      </c>
      <c r="J42" s="613">
        <f t="shared" si="8"/>
        <v>0</v>
      </c>
      <c r="K42" s="614">
        <f t="shared" si="8"/>
        <v>0</v>
      </c>
      <c r="L42" s="240"/>
    </row>
    <row r="43" spans="1:15" ht="11.25" customHeight="1">
      <c r="A43" s="2462" t="str">
        <f>'SA18'!A43</f>
        <v>Cleanest town competit</v>
      </c>
      <c r="B43" s="59"/>
      <c r="C43" s="2270"/>
      <c r="D43" s="2270">
        <v>49272</v>
      </c>
      <c r="E43" s="2271">
        <v>190170</v>
      </c>
      <c r="F43" s="2272"/>
      <c r="G43" s="2270"/>
      <c r="H43" s="2273"/>
      <c r="I43" s="2274"/>
      <c r="J43" s="2270"/>
      <c r="K43" s="2271"/>
      <c r="L43" s="240"/>
    </row>
    <row r="44" spans="1:15" ht="11.25" customHeight="1">
      <c r="A44" s="2280" t="s">
        <v>3099</v>
      </c>
      <c r="B44" s="59"/>
      <c r="C44" s="2275"/>
      <c r="D44" s="2275"/>
      <c r="E44" s="2276"/>
      <c r="F44" s="2277"/>
      <c r="G44" s="2275">
        <v>10000000</v>
      </c>
      <c r="H44" s="2275">
        <v>10000000</v>
      </c>
      <c r="I44" s="2279"/>
      <c r="J44" s="2275"/>
      <c r="K44" s="2276"/>
      <c r="L44" s="240"/>
    </row>
    <row r="45" spans="1:15" ht="15.75" customHeight="1">
      <c r="A45" s="633" t="s">
        <v>308</v>
      </c>
      <c r="B45" s="634"/>
      <c r="C45" s="613">
        <f t="shared" ref="C45:K45" si="9">C30+C37+C39+C42</f>
        <v>35070134</v>
      </c>
      <c r="D45" s="613">
        <f t="shared" si="9"/>
        <v>30027467</v>
      </c>
      <c r="E45" s="614">
        <f t="shared" si="9"/>
        <v>48393589</v>
      </c>
      <c r="F45" s="615">
        <f t="shared" si="9"/>
        <v>89549850</v>
      </c>
      <c r="G45" s="613">
        <f t="shared" si="9"/>
        <v>99549850</v>
      </c>
      <c r="H45" s="616">
        <f t="shared" si="9"/>
        <v>99549850</v>
      </c>
      <c r="I45" s="617">
        <f t="shared" si="9"/>
        <v>99650000</v>
      </c>
      <c r="J45" s="613">
        <f t="shared" si="9"/>
        <v>107401000</v>
      </c>
      <c r="K45" s="614">
        <f t="shared" si="9"/>
        <v>107401000</v>
      </c>
      <c r="L45" s="240"/>
    </row>
    <row r="46" spans="1:15" ht="3.75" customHeight="1">
      <c r="A46" s="148"/>
      <c r="B46" s="59"/>
      <c r="C46" s="582"/>
      <c r="D46" s="582"/>
      <c r="E46" s="578"/>
      <c r="F46" s="579"/>
      <c r="G46" s="582"/>
      <c r="H46" s="580"/>
      <c r="I46" s="583"/>
      <c r="J46" s="582"/>
      <c r="K46" s="578"/>
      <c r="L46" s="240"/>
    </row>
    <row r="47" spans="1:15" s="631" customFormat="1" ht="16.5" customHeight="1">
      <c r="A47" s="1342" t="s">
        <v>491</v>
      </c>
      <c r="B47" s="1168"/>
      <c r="C47" s="637">
        <f t="shared" ref="C47:K47" si="10">C27+C45</f>
        <v>473555257</v>
      </c>
      <c r="D47" s="637">
        <f t="shared" si="10"/>
        <v>428741391</v>
      </c>
      <c r="E47" s="638">
        <f t="shared" si="10"/>
        <v>435592423</v>
      </c>
      <c r="F47" s="639">
        <f t="shared" si="10"/>
        <v>505850000</v>
      </c>
      <c r="G47" s="637">
        <f t="shared" si="10"/>
        <v>522181730.01999998</v>
      </c>
      <c r="H47" s="640">
        <f t="shared" si="10"/>
        <v>521883730.01999998</v>
      </c>
      <c r="I47" s="641">
        <f t="shared" si="10"/>
        <v>542362585</v>
      </c>
      <c r="J47" s="637">
        <f t="shared" si="10"/>
        <v>575506809.91000009</v>
      </c>
      <c r="K47" s="638">
        <f t="shared" si="10"/>
        <v>597066053.16585994</v>
      </c>
      <c r="L47" s="752"/>
    </row>
    <row r="48" spans="1:15" s="576" customFormat="1" ht="11.25" customHeight="1">
      <c r="A48" s="1063" t="str">
        <f>head27a</f>
        <v>References</v>
      </c>
      <c r="B48" s="884"/>
      <c r="L48" s="923"/>
    </row>
    <row r="49" spans="1:12" s="576" customFormat="1" ht="11.25" customHeight="1">
      <c r="A49" s="1025" t="s">
        <v>1234</v>
      </c>
      <c r="B49" s="884"/>
      <c r="L49" s="923"/>
    </row>
    <row r="50" spans="1:12" ht="11.25" customHeight="1">
      <c r="L50" s="240"/>
    </row>
    <row r="51" spans="1:12" ht="11.25" customHeight="1">
      <c r="L51" s="240"/>
    </row>
    <row r="52" spans="1:12" ht="11.25" customHeight="1">
      <c r="L52" s="240"/>
    </row>
    <row r="53" spans="1:12" ht="11.25" customHeight="1"/>
    <row r="54" spans="1:12" ht="11.25" customHeight="1"/>
    <row r="55" spans="1:12" ht="11.25" customHeight="1"/>
    <row r="56" spans="1:12" ht="11.25" customHeight="1"/>
    <row r="57" spans="1:12" ht="11.25" customHeight="1"/>
    <row r="58" spans="1:12" ht="11.25" customHeight="1"/>
    <row r="59" spans="1:12" ht="11.25" customHeight="1"/>
    <row r="60" spans="1:12" ht="11.25" customHeight="1"/>
    <row r="61" spans="1:12" ht="11.25" customHeight="1"/>
    <row r="62" spans="1:12" ht="11.25" customHeight="1"/>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mergeCells count="2">
    <mergeCell ref="F2:H2"/>
    <mergeCell ref="I2:K2"/>
  </mergeCells>
  <phoneticPr fontId="5"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9" activePane="bottomRight" state="frozen"/>
      <selection pane="topRight"/>
      <selection pane="bottomLeft"/>
      <selection pane="bottomRight" activeCell="C60" sqref="C60:F60"/>
    </sheetView>
  </sheetViews>
  <sheetFormatPr defaultColWidth="9.140625" defaultRowHeight="12.75"/>
  <cols>
    <col min="1" max="1" width="32.285156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c r="A1" s="24" t="str">
        <f>muni&amp;" - "&amp; TableA20</f>
        <v>LIM333 Greater Tzaneen - Supporting Table SA20 Reconciliation of transfers, grant receipts and unspent funds</v>
      </c>
      <c r="B1" s="24"/>
      <c r="C1" s="24"/>
      <c r="D1" s="24"/>
      <c r="E1" s="24"/>
      <c r="F1" s="24"/>
      <c r="G1" s="24"/>
      <c r="H1" s="24"/>
      <c r="I1" s="24"/>
      <c r="J1" s="24"/>
      <c r="K1" s="24"/>
    </row>
    <row r="2" spans="1:11" ht="28.5" customHeight="1">
      <c r="A2" s="841" t="str">
        <f>desc</f>
        <v>Description</v>
      </c>
      <c r="B2" s="288" t="str">
        <f>head27</f>
        <v>Ref</v>
      </c>
      <c r="C2" s="27" t="str">
        <f>head1b</f>
        <v>2016/17</v>
      </c>
      <c r="D2" s="618" t="str">
        <f>head1A</f>
        <v>2017/18</v>
      </c>
      <c r="E2" s="23" t="str">
        <f>Head1</f>
        <v>2018/19</v>
      </c>
      <c r="F2" s="2842" t="str">
        <f>Head2</f>
        <v>Current Year 2019/20</v>
      </c>
      <c r="G2" s="2843"/>
      <c r="H2" s="2847"/>
      <c r="I2" s="2839" t="str">
        <f>Head3</f>
        <v>2020/21 Medium Term Revenue &amp; Expenditure Framework</v>
      </c>
      <c r="J2" s="2840"/>
      <c r="K2" s="2841"/>
    </row>
    <row r="3" spans="1:11" ht="25.5">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c r="A4" s="126" t="s">
        <v>261</v>
      </c>
      <c r="B4" s="59" t="s">
        <v>447</v>
      </c>
      <c r="C4" s="613"/>
      <c r="D4" s="613"/>
      <c r="E4" s="614"/>
      <c r="F4" s="615"/>
      <c r="G4" s="613"/>
      <c r="H4" s="616"/>
      <c r="I4" s="617"/>
      <c r="J4" s="613"/>
      <c r="K4" s="614"/>
    </row>
    <row r="5" spans="1:11" ht="11.25" customHeight="1">
      <c r="A5" s="243" t="str">
        <f>'SA18'!A7</f>
        <v>National Government:</v>
      </c>
      <c r="B5" s="59"/>
      <c r="C5" s="613"/>
      <c r="D5" s="613"/>
      <c r="E5" s="614"/>
      <c r="F5" s="615"/>
      <c r="G5" s="613"/>
      <c r="H5" s="616"/>
      <c r="I5" s="617"/>
      <c r="J5" s="613"/>
      <c r="K5" s="614"/>
    </row>
    <row r="6" spans="1:11" ht="11.25" customHeight="1">
      <c r="A6" s="239" t="s">
        <v>1071</v>
      </c>
      <c r="B6" s="59"/>
      <c r="C6" s="2287">
        <v>19698085</v>
      </c>
      <c r="D6" s="2287">
        <f>2590505+1030000</f>
        <v>3620505</v>
      </c>
      <c r="E6" s="2288">
        <f>3755458</f>
        <v>3755458</v>
      </c>
      <c r="F6" s="2289"/>
      <c r="G6" s="2287"/>
      <c r="H6" s="2288"/>
      <c r="I6" s="2290"/>
      <c r="J6" s="2287"/>
      <c r="K6" s="2291"/>
    </row>
    <row r="7" spans="1:11" ht="11.25" customHeight="1">
      <c r="A7" s="239" t="s">
        <v>1072</v>
      </c>
      <c r="B7" s="59"/>
      <c r="C7" s="2287">
        <v>419964021</v>
      </c>
      <c r="D7" s="2287">
        <v>398848426</v>
      </c>
      <c r="E7" s="2288">
        <f>366610750+39373000-21124000</f>
        <v>384859750</v>
      </c>
      <c r="F7" s="2289">
        <v>416300150</v>
      </c>
      <c r="G7" s="2287">
        <f>421250764+2+298000</f>
        <v>421548766</v>
      </c>
      <c r="H7" s="2287">
        <v>421250764</v>
      </c>
      <c r="I7" s="2290">
        <v>442763950</v>
      </c>
      <c r="J7" s="2287">
        <v>468934300</v>
      </c>
      <c r="K7" s="2291">
        <v>498085200</v>
      </c>
    </row>
    <row r="8" spans="1:11" ht="11.25" customHeight="1">
      <c r="A8" s="648" t="s">
        <v>1070</v>
      </c>
      <c r="B8" s="59"/>
      <c r="C8" s="649">
        <f>C6+C7-C9</f>
        <v>437071106</v>
      </c>
      <c r="D8" s="650">
        <f t="shared" ref="D8:K8" si="0">D6+D7-D9</f>
        <v>398713931</v>
      </c>
      <c r="E8" s="651">
        <f t="shared" si="0"/>
        <v>383664748</v>
      </c>
      <c r="F8" s="652">
        <f t="shared" si="0"/>
        <v>416300150</v>
      </c>
      <c r="G8" s="650">
        <f t="shared" si="0"/>
        <v>421548766</v>
      </c>
      <c r="H8" s="653">
        <f t="shared" si="0"/>
        <v>421250764</v>
      </c>
      <c r="I8" s="654">
        <f t="shared" si="0"/>
        <v>442763950</v>
      </c>
      <c r="J8" s="650">
        <f t="shared" si="0"/>
        <v>468934300</v>
      </c>
      <c r="K8" s="651">
        <f t="shared" si="0"/>
        <v>498085200</v>
      </c>
    </row>
    <row r="9" spans="1:11" ht="11.25" customHeight="1">
      <c r="A9" s="239" t="s">
        <v>399</v>
      </c>
      <c r="B9" s="59"/>
      <c r="C9" s="2287">
        <v>2591000</v>
      </c>
      <c r="D9" s="2287">
        <v>3755000</v>
      </c>
      <c r="E9" s="2288">
        <v>4950460</v>
      </c>
      <c r="F9" s="2289"/>
      <c r="G9" s="2287"/>
      <c r="H9" s="2288"/>
      <c r="I9" s="2290"/>
      <c r="J9" s="2287"/>
      <c r="K9" s="2291"/>
    </row>
    <row r="10" spans="1:11" ht="11.25" customHeight="1">
      <c r="A10" s="632" t="s">
        <v>894</v>
      </c>
      <c r="B10" s="59"/>
      <c r="C10" s="655"/>
      <c r="D10" s="655"/>
      <c r="E10" s="616"/>
      <c r="F10" s="615"/>
      <c r="G10" s="613"/>
      <c r="H10" s="616"/>
      <c r="I10" s="617"/>
      <c r="J10" s="613"/>
      <c r="K10" s="614"/>
    </row>
    <row r="11" spans="1:11" ht="11.25" customHeight="1">
      <c r="A11" s="239" t="s">
        <v>1071</v>
      </c>
      <c r="B11" s="59"/>
      <c r="C11" s="2287">
        <v>442899</v>
      </c>
      <c r="D11" s="2287"/>
      <c r="E11" s="2288">
        <v>0</v>
      </c>
      <c r="F11" s="2289"/>
      <c r="G11" s="2287">
        <v>0</v>
      </c>
      <c r="H11" s="2288">
        <v>0</v>
      </c>
      <c r="I11" s="2290">
        <v>0</v>
      </c>
      <c r="J11" s="2287">
        <v>0</v>
      </c>
      <c r="K11" s="2291">
        <v>0</v>
      </c>
    </row>
    <row r="12" spans="1:11" ht="11.25" customHeight="1">
      <c r="A12" s="656" t="str">
        <f>A7</f>
        <v>Current year receipts</v>
      </c>
      <c r="B12" s="59"/>
      <c r="C12" s="2287"/>
      <c r="D12" s="2287"/>
      <c r="E12" s="2288">
        <f>636404+2898502</f>
        <v>3534906</v>
      </c>
      <c r="F12" s="2289"/>
      <c r="G12" s="2287">
        <v>1083009.75</v>
      </c>
      <c r="H12" s="2288">
        <v>1083009.75</v>
      </c>
      <c r="I12" s="2290">
        <v>1200000</v>
      </c>
      <c r="J12" s="2287">
        <v>1255200</v>
      </c>
      <c r="K12" s="2291">
        <v>1312939.2</v>
      </c>
    </row>
    <row r="13" spans="1:11" ht="11.25" customHeight="1">
      <c r="A13" s="658" t="str">
        <f>A8</f>
        <v>Conditions met - transferred to revenue</v>
      </c>
      <c r="B13" s="59"/>
      <c r="C13" s="649">
        <f t="shared" ref="C13:K13" si="1">C11+C12-C14</f>
        <v>442899</v>
      </c>
      <c r="D13" s="650">
        <f t="shared" si="1"/>
        <v>0</v>
      </c>
      <c r="E13" s="651">
        <f t="shared" si="1"/>
        <v>3534906</v>
      </c>
      <c r="F13" s="652">
        <f t="shared" si="1"/>
        <v>0</v>
      </c>
      <c r="G13" s="650">
        <f t="shared" si="1"/>
        <v>1083009.75</v>
      </c>
      <c r="H13" s="653">
        <f t="shared" si="1"/>
        <v>1083009.75</v>
      </c>
      <c r="I13" s="654">
        <f t="shared" si="1"/>
        <v>1200000</v>
      </c>
      <c r="J13" s="650">
        <f t="shared" si="1"/>
        <v>1255200</v>
      </c>
      <c r="K13" s="651">
        <f t="shared" si="1"/>
        <v>1312939.2</v>
      </c>
    </row>
    <row r="14" spans="1:11" ht="11.25" customHeight="1">
      <c r="A14" s="656" t="str">
        <f>A9</f>
        <v>Conditions still to be met - transferred to liabilities</v>
      </c>
      <c r="B14" s="59"/>
      <c r="C14" s="2287"/>
      <c r="D14" s="2287"/>
      <c r="E14" s="2288"/>
      <c r="F14" s="2289"/>
      <c r="G14" s="2287"/>
      <c r="H14" s="2288"/>
      <c r="I14" s="2290"/>
      <c r="J14" s="2287"/>
      <c r="K14" s="2291"/>
    </row>
    <row r="15" spans="1:11" ht="11.25" customHeight="1">
      <c r="A15" s="632" t="s">
        <v>928</v>
      </c>
      <c r="B15" s="59"/>
      <c r="C15" s="647"/>
      <c r="D15" s="647"/>
      <c r="E15" s="657"/>
      <c r="F15" s="644"/>
      <c r="G15" s="642"/>
      <c r="H15" s="643"/>
      <c r="I15" s="645"/>
      <c r="J15" s="642"/>
      <c r="K15" s="646"/>
    </row>
    <row r="16" spans="1:11" ht="11.25" customHeight="1">
      <c r="A16" s="239" t="str">
        <f>A11</f>
        <v>Balance unspent at beginning of the year</v>
      </c>
      <c r="B16" s="59"/>
      <c r="C16" s="2287"/>
      <c r="D16" s="2287"/>
      <c r="E16" s="2288"/>
      <c r="F16" s="2289"/>
      <c r="G16" s="2287"/>
      <c r="H16" s="2288"/>
      <c r="I16" s="2290"/>
      <c r="J16" s="2287"/>
      <c r="K16" s="2291"/>
    </row>
    <row r="17" spans="1:11" ht="11.25" customHeight="1">
      <c r="A17" s="656" t="str">
        <f>A12</f>
        <v>Current year receipts</v>
      </c>
      <c r="B17" s="59"/>
      <c r="C17" s="2287"/>
      <c r="D17" s="2287"/>
      <c r="E17" s="2288">
        <v>0</v>
      </c>
      <c r="F17" s="2289"/>
      <c r="G17" s="2287">
        <v>0</v>
      </c>
      <c r="H17" s="2287">
        <v>0</v>
      </c>
      <c r="I17" s="2290">
        <v>0</v>
      </c>
      <c r="J17" s="2287">
        <v>0</v>
      </c>
      <c r="K17" s="2291">
        <v>0</v>
      </c>
    </row>
    <row r="18" spans="1:11" ht="11.25" customHeight="1">
      <c r="A18" s="658" t="str">
        <f>A13</f>
        <v>Conditions met - transferred to revenue</v>
      </c>
      <c r="B18" s="59"/>
      <c r="C18" s="649">
        <f t="shared" ref="C18:K18" si="2">C16+C17-C19</f>
        <v>0</v>
      </c>
      <c r="D18" s="650">
        <f t="shared" si="2"/>
        <v>0</v>
      </c>
      <c r="E18" s="651">
        <f t="shared" si="2"/>
        <v>0</v>
      </c>
      <c r="F18" s="652">
        <f t="shared" si="2"/>
        <v>0</v>
      </c>
      <c r="G18" s="650">
        <f t="shared" si="2"/>
        <v>0</v>
      </c>
      <c r="H18" s="653">
        <f t="shared" si="2"/>
        <v>0</v>
      </c>
      <c r="I18" s="654">
        <f t="shared" si="2"/>
        <v>0</v>
      </c>
      <c r="J18" s="650">
        <f t="shared" si="2"/>
        <v>0</v>
      </c>
      <c r="K18" s="651">
        <f t="shared" si="2"/>
        <v>0</v>
      </c>
    </row>
    <row r="19" spans="1:11" ht="11.25" customHeight="1">
      <c r="A19" s="656" t="str">
        <f>A14</f>
        <v>Conditions still to be met - transferred to liabilities</v>
      </c>
      <c r="B19" s="59"/>
      <c r="C19" s="2287"/>
      <c r="D19" s="2287"/>
      <c r="E19" s="2288"/>
      <c r="F19" s="2289"/>
      <c r="G19" s="2287"/>
      <c r="H19" s="2288"/>
      <c r="I19" s="2290"/>
      <c r="J19" s="2287"/>
      <c r="K19" s="2291"/>
    </row>
    <row r="20" spans="1:11" ht="11.25" customHeight="1">
      <c r="A20" s="632" t="s">
        <v>511</v>
      </c>
      <c r="B20" s="59"/>
      <c r="C20" s="647"/>
      <c r="D20" s="647"/>
      <c r="E20" s="657"/>
      <c r="F20" s="644"/>
      <c r="G20" s="642"/>
      <c r="H20" s="643"/>
      <c r="I20" s="645"/>
      <c r="J20" s="642"/>
      <c r="K20" s="646"/>
    </row>
    <row r="21" spans="1:11" ht="11.25" customHeight="1">
      <c r="A21" s="656" t="str">
        <f>A11</f>
        <v>Balance unspent at beginning of the year</v>
      </c>
      <c r="B21" s="59"/>
      <c r="C21" s="2287">
        <v>972153</v>
      </c>
      <c r="D21" s="2287"/>
      <c r="E21" s="2288"/>
      <c r="F21" s="2289"/>
      <c r="G21" s="2287"/>
      <c r="H21" s="2288"/>
      <c r="I21" s="2290"/>
      <c r="J21" s="2287"/>
      <c r="K21" s="2291"/>
    </row>
    <row r="22" spans="1:11" ht="11.25" customHeight="1">
      <c r="A22" s="656" t="str">
        <f>A12</f>
        <v>Current year receipts</v>
      </c>
      <c r="B22" s="59"/>
      <c r="C22" s="2287"/>
      <c r="D22" s="2287"/>
      <c r="E22" s="2288"/>
      <c r="F22" s="2289"/>
      <c r="G22" s="2287"/>
      <c r="H22" s="2288"/>
      <c r="I22" s="2290"/>
      <c r="J22" s="2287"/>
      <c r="K22" s="2291"/>
    </row>
    <row r="23" spans="1:11" ht="11.25" customHeight="1">
      <c r="A23" s="658" t="str">
        <f>A13</f>
        <v>Conditions met - transferred to revenue</v>
      </c>
      <c r="B23" s="59"/>
      <c r="C23" s="649">
        <f t="shared" ref="C23:K23" si="3">C21+C22-C24</f>
        <v>972153</v>
      </c>
      <c r="D23" s="650">
        <f t="shared" si="3"/>
        <v>0</v>
      </c>
      <c r="E23" s="651">
        <f t="shared" si="3"/>
        <v>0</v>
      </c>
      <c r="F23" s="652">
        <f t="shared" si="3"/>
        <v>0</v>
      </c>
      <c r="G23" s="650">
        <f t="shared" si="3"/>
        <v>0</v>
      </c>
      <c r="H23" s="653">
        <f t="shared" si="3"/>
        <v>0</v>
      </c>
      <c r="I23" s="654">
        <f t="shared" si="3"/>
        <v>0</v>
      </c>
      <c r="J23" s="650">
        <f t="shared" si="3"/>
        <v>0</v>
      </c>
      <c r="K23" s="651">
        <f t="shared" si="3"/>
        <v>0</v>
      </c>
    </row>
    <row r="24" spans="1:11" ht="11.25" customHeight="1">
      <c r="A24" s="656" t="str">
        <f>A14</f>
        <v>Conditions still to be met - transferred to liabilities</v>
      </c>
      <c r="B24" s="59"/>
      <c r="C24" s="2287"/>
      <c r="D24" s="2287"/>
      <c r="E24" s="2291"/>
      <c r="F24" s="2289"/>
      <c r="G24" s="2287"/>
      <c r="H24" s="2288"/>
      <c r="I24" s="2290"/>
      <c r="J24" s="2287"/>
      <c r="K24" s="2291"/>
    </row>
    <row r="25" spans="1:11" ht="11.25" customHeight="1">
      <c r="A25" s="659" t="s">
        <v>302</v>
      </c>
      <c r="B25" s="660"/>
      <c r="C25" s="650">
        <f t="shared" ref="C25:K26" si="4">C8+C13+C18+C23</f>
        <v>438486158</v>
      </c>
      <c r="D25" s="650">
        <f t="shared" si="4"/>
        <v>398713931</v>
      </c>
      <c r="E25" s="651">
        <f t="shared" si="4"/>
        <v>387199654</v>
      </c>
      <c r="F25" s="652">
        <f t="shared" si="4"/>
        <v>416300150</v>
      </c>
      <c r="G25" s="650">
        <f t="shared" si="4"/>
        <v>422631775.75</v>
      </c>
      <c r="H25" s="653">
        <f t="shared" si="4"/>
        <v>422333773.75</v>
      </c>
      <c r="I25" s="654">
        <f t="shared" si="4"/>
        <v>443963950</v>
      </c>
      <c r="J25" s="650">
        <f t="shared" si="4"/>
        <v>470189500</v>
      </c>
      <c r="K25" s="651">
        <f t="shared" si="4"/>
        <v>499398139.19999999</v>
      </c>
    </row>
    <row r="26" spans="1:11" ht="11.25" customHeight="1">
      <c r="A26" s="659" t="s">
        <v>303</v>
      </c>
      <c r="B26" s="660">
        <v>2</v>
      </c>
      <c r="C26" s="650">
        <f t="shared" si="4"/>
        <v>2591000</v>
      </c>
      <c r="D26" s="650">
        <f t="shared" si="4"/>
        <v>3755000</v>
      </c>
      <c r="E26" s="651">
        <f t="shared" si="4"/>
        <v>4950460</v>
      </c>
      <c r="F26" s="652">
        <f t="shared" si="4"/>
        <v>0</v>
      </c>
      <c r="G26" s="650">
        <f t="shared" si="4"/>
        <v>0</v>
      </c>
      <c r="H26" s="653">
        <f t="shared" si="4"/>
        <v>0</v>
      </c>
      <c r="I26" s="654">
        <f t="shared" si="4"/>
        <v>0</v>
      </c>
      <c r="J26" s="650">
        <f t="shared" si="4"/>
        <v>0</v>
      </c>
      <c r="K26" s="651">
        <f t="shared" si="4"/>
        <v>0</v>
      </c>
    </row>
    <row r="27" spans="1:11" ht="4.9000000000000004" customHeight="1">
      <c r="A27" s="148"/>
      <c r="B27" s="59"/>
      <c r="C27" s="582"/>
      <c r="D27" s="582"/>
      <c r="E27" s="578"/>
      <c r="F27" s="579"/>
      <c r="G27" s="582"/>
      <c r="H27" s="580"/>
      <c r="I27" s="583"/>
      <c r="J27" s="582"/>
      <c r="K27" s="578"/>
    </row>
    <row r="28" spans="1:11" ht="11.25" customHeight="1">
      <c r="A28" s="126" t="s">
        <v>260</v>
      </c>
      <c r="B28" s="59" t="s">
        <v>447</v>
      </c>
      <c r="C28" s="582"/>
      <c r="D28" s="582"/>
      <c r="E28" s="578"/>
      <c r="F28" s="579"/>
      <c r="G28" s="582"/>
      <c r="H28" s="580"/>
      <c r="I28" s="583"/>
      <c r="J28" s="582"/>
      <c r="K28" s="578"/>
    </row>
    <row r="29" spans="1:11" ht="11.25" customHeight="1">
      <c r="A29" s="632" t="str">
        <f>A5</f>
        <v>National Government:</v>
      </c>
      <c r="B29" s="59"/>
      <c r="C29" s="582"/>
      <c r="D29" s="582"/>
      <c r="E29" s="578"/>
      <c r="F29" s="579"/>
      <c r="G29" s="582"/>
      <c r="H29" s="580"/>
      <c r="I29" s="583"/>
      <c r="J29" s="582"/>
      <c r="K29" s="578"/>
    </row>
    <row r="30" spans="1:11" ht="11.25" customHeight="1">
      <c r="A30" s="239" t="s">
        <v>1071</v>
      </c>
      <c r="B30" s="59"/>
      <c r="C30" s="2287">
        <v>7280527</v>
      </c>
      <c r="D30" s="2287">
        <v>15830308</v>
      </c>
      <c r="E30" s="2288"/>
      <c r="F30" s="2289"/>
      <c r="G30" s="2287"/>
      <c r="H30" s="2288"/>
      <c r="I30" s="2290"/>
      <c r="J30" s="2287"/>
      <c r="K30" s="2291"/>
    </row>
    <row r="31" spans="1:11" ht="11.25" customHeight="1">
      <c r="A31" s="239" t="s">
        <v>1072</v>
      </c>
      <c r="B31" s="59"/>
      <c r="C31" s="2260">
        <v>45537940</v>
      </c>
      <c r="D31" s="2260">
        <v>14197574</v>
      </c>
      <c r="E31" s="2263">
        <f>87699250-39373000</f>
        <v>48326250</v>
      </c>
      <c r="F31" s="2262">
        <v>89549850</v>
      </c>
      <c r="G31" s="2260">
        <v>89549850</v>
      </c>
      <c r="H31" s="2260">
        <v>89549850</v>
      </c>
      <c r="I31" s="2264">
        <v>88938050</v>
      </c>
      <c r="J31" s="2260">
        <v>96829700</v>
      </c>
      <c r="K31" s="2261">
        <v>102603800</v>
      </c>
    </row>
    <row r="32" spans="1:11" ht="11.25" customHeight="1">
      <c r="A32" s="648" t="s">
        <v>1070</v>
      </c>
      <c r="B32" s="59"/>
      <c r="C32" s="649">
        <f t="shared" ref="C32:K32" si="5">C30+C31-C33</f>
        <v>35068746</v>
      </c>
      <c r="D32" s="650">
        <f t="shared" si="5"/>
        <v>30027882</v>
      </c>
      <c r="E32" s="651">
        <f t="shared" si="5"/>
        <v>48200214</v>
      </c>
      <c r="F32" s="652">
        <f t="shared" si="5"/>
        <v>89549850</v>
      </c>
      <c r="G32" s="650">
        <f t="shared" si="5"/>
        <v>89549850</v>
      </c>
      <c r="H32" s="653">
        <f t="shared" si="5"/>
        <v>89549850</v>
      </c>
      <c r="I32" s="654">
        <f t="shared" si="5"/>
        <v>88938050</v>
      </c>
      <c r="J32" s="650">
        <f t="shared" si="5"/>
        <v>96829700</v>
      </c>
      <c r="K32" s="651">
        <f t="shared" si="5"/>
        <v>102603800</v>
      </c>
    </row>
    <row r="33" spans="1:15" ht="11.25" customHeight="1">
      <c r="A33" s="239" t="s">
        <v>399</v>
      </c>
      <c r="B33" s="59"/>
      <c r="C33" s="2287">
        <v>17749721</v>
      </c>
      <c r="D33" s="2287">
        <v>0</v>
      </c>
      <c r="E33" s="2288">
        <v>126036</v>
      </c>
      <c r="F33" s="2289"/>
      <c r="G33" s="2287"/>
      <c r="H33" s="2288"/>
      <c r="I33" s="2290"/>
      <c r="J33" s="2287"/>
      <c r="K33" s="2291"/>
    </row>
    <row r="34" spans="1:15" ht="11.25" customHeight="1">
      <c r="A34" s="632" t="s">
        <v>894</v>
      </c>
      <c r="B34" s="59"/>
      <c r="C34" s="655"/>
      <c r="D34" s="655"/>
      <c r="E34" s="616"/>
      <c r="F34" s="615"/>
      <c r="G34" s="613"/>
      <c r="H34" s="616"/>
      <c r="I34" s="617"/>
      <c r="J34" s="613"/>
      <c r="K34" s="614"/>
    </row>
    <row r="35" spans="1:15" ht="11.25" customHeight="1">
      <c r="A35" s="239" t="s">
        <v>1071</v>
      </c>
      <c r="B35" s="59"/>
      <c r="C35" s="2287"/>
      <c r="D35" s="2287"/>
      <c r="E35" s="2288"/>
      <c r="F35" s="2289"/>
      <c r="G35" s="2287"/>
      <c r="H35" s="2288"/>
      <c r="I35" s="2290"/>
      <c r="J35" s="2287"/>
      <c r="K35" s="2291"/>
    </row>
    <row r="36" spans="1:15" ht="11.25" customHeight="1">
      <c r="A36" s="656" t="str">
        <f>A31</f>
        <v>Current year receipts</v>
      </c>
      <c r="B36" s="59"/>
      <c r="C36" s="2287"/>
      <c r="D36" s="2260"/>
      <c r="E36" s="2263"/>
      <c r="F36" s="2262"/>
      <c r="G36" s="2260"/>
      <c r="H36" s="2263"/>
      <c r="I36" s="2264"/>
      <c r="J36" s="2260"/>
      <c r="K36" s="2261"/>
    </row>
    <row r="37" spans="1:15" ht="11.25" customHeight="1">
      <c r="A37" s="658" t="str">
        <f>A32</f>
        <v>Conditions met - transferred to revenue</v>
      </c>
      <c r="B37" s="59"/>
      <c r="C37" s="649">
        <f t="shared" ref="C37:K37" si="6">C35+C36-C38</f>
        <v>0</v>
      </c>
      <c r="D37" s="650">
        <f t="shared" si="6"/>
        <v>0</v>
      </c>
      <c r="E37" s="651">
        <f t="shared" si="6"/>
        <v>0</v>
      </c>
      <c r="F37" s="652">
        <f t="shared" si="6"/>
        <v>0</v>
      </c>
      <c r="G37" s="650">
        <f t="shared" si="6"/>
        <v>0</v>
      </c>
      <c r="H37" s="653">
        <f t="shared" si="6"/>
        <v>0</v>
      </c>
      <c r="I37" s="654">
        <f t="shared" si="6"/>
        <v>0</v>
      </c>
      <c r="J37" s="650">
        <f t="shared" si="6"/>
        <v>0</v>
      </c>
      <c r="K37" s="651">
        <f t="shared" si="6"/>
        <v>0</v>
      </c>
      <c r="O37" s="240"/>
    </row>
    <row r="38" spans="1:15" ht="11.25" customHeight="1">
      <c r="A38" s="656" t="str">
        <f>A33</f>
        <v>Conditions still to be met - transferred to liabilities</v>
      </c>
      <c r="B38" s="59"/>
      <c r="C38" s="2287"/>
      <c r="D38" s="2287"/>
      <c r="E38" s="2288"/>
      <c r="F38" s="2289"/>
      <c r="G38" s="2287"/>
      <c r="H38" s="2288"/>
      <c r="I38" s="2290"/>
      <c r="J38" s="2287"/>
      <c r="K38" s="2291"/>
    </row>
    <row r="39" spans="1:15" ht="11.25" customHeight="1">
      <c r="A39" s="632" t="s">
        <v>928</v>
      </c>
      <c r="B39" s="59"/>
      <c r="C39" s="647"/>
      <c r="D39" s="647"/>
      <c r="E39" s="657"/>
      <c r="F39" s="644"/>
      <c r="G39" s="642"/>
      <c r="H39" s="643"/>
      <c r="I39" s="645"/>
      <c r="J39" s="642"/>
      <c r="K39" s="646"/>
    </row>
    <row r="40" spans="1:15" ht="11.25" customHeight="1">
      <c r="A40" s="239" t="str">
        <f>A35</f>
        <v>Balance unspent at beginning of the year</v>
      </c>
      <c r="B40" s="59"/>
      <c r="C40" s="2287"/>
      <c r="D40" s="2287"/>
      <c r="E40" s="2288"/>
      <c r="F40" s="2289"/>
      <c r="G40" s="2287"/>
      <c r="H40" s="2288"/>
      <c r="I40" s="2290"/>
      <c r="J40" s="2287"/>
      <c r="K40" s="2291"/>
    </row>
    <row r="41" spans="1:15" ht="11.25" customHeight="1">
      <c r="A41" s="656" t="str">
        <f>A36</f>
        <v>Current year receipts</v>
      </c>
      <c r="B41" s="59"/>
      <c r="C41" s="2287"/>
      <c r="D41" s="2287"/>
      <c r="E41" s="2288"/>
      <c r="F41" s="2289"/>
      <c r="G41" s="2287"/>
      <c r="H41" s="2288"/>
      <c r="I41" s="2290"/>
      <c r="J41" s="2287"/>
      <c r="K41" s="2291"/>
    </row>
    <row r="42" spans="1:15" ht="11.25" customHeight="1">
      <c r="A42" s="658" t="str">
        <f>A37</f>
        <v>Conditions met - transferred to revenue</v>
      </c>
      <c r="B42" s="59"/>
      <c r="C42" s="649">
        <f t="shared" ref="C42:K42" si="7">C40+C41-C43</f>
        <v>0</v>
      </c>
      <c r="D42" s="650">
        <f t="shared" si="7"/>
        <v>0</v>
      </c>
      <c r="E42" s="651">
        <f t="shared" si="7"/>
        <v>0</v>
      </c>
      <c r="F42" s="652">
        <f t="shared" si="7"/>
        <v>0</v>
      </c>
      <c r="G42" s="650">
        <f t="shared" si="7"/>
        <v>0</v>
      </c>
      <c r="H42" s="653">
        <f t="shared" si="7"/>
        <v>0</v>
      </c>
      <c r="I42" s="654">
        <f t="shared" si="7"/>
        <v>0</v>
      </c>
      <c r="J42" s="650">
        <f t="shared" si="7"/>
        <v>0</v>
      </c>
      <c r="K42" s="651">
        <f t="shared" si="7"/>
        <v>0</v>
      </c>
    </row>
    <row r="43" spans="1:15" ht="11.25" customHeight="1">
      <c r="A43" s="656" t="str">
        <f>A38</f>
        <v>Conditions still to be met - transferred to liabilities</v>
      </c>
      <c r="B43" s="59"/>
      <c r="C43" s="2287"/>
      <c r="D43" s="2287"/>
      <c r="E43" s="2288"/>
      <c r="F43" s="2289"/>
      <c r="G43" s="2287"/>
      <c r="H43" s="2288"/>
      <c r="I43" s="2290"/>
      <c r="J43" s="2287"/>
      <c r="K43" s="2291"/>
    </row>
    <row r="44" spans="1:15" ht="11.25" customHeight="1">
      <c r="A44" s="632" t="s">
        <v>511</v>
      </c>
      <c r="B44" s="59"/>
      <c r="C44" s="647"/>
      <c r="D44" s="647"/>
      <c r="E44" s="657"/>
      <c r="F44" s="644"/>
      <c r="G44" s="642"/>
      <c r="H44" s="643"/>
      <c r="I44" s="645"/>
      <c r="J44" s="642"/>
      <c r="K44" s="646"/>
    </row>
    <row r="45" spans="1:15" ht="11.25" customHeight="1">
      <c r="A45" s="656" t="str">
        <f>A35</f>
        <v>Balance unspent at beginning of the year</v>
      </c>
      <c r="B45" s="59"/>
      <c r="C45" s="2287"/>
      <c r="D45" s="2287"/>
      <c r="E45" s="2288">
        <v>200000</v>
      </c>
      <c r="F45" s="2289"/>
      <c r="G45" s="2287"/>
      <c r="H45" s="2288"/>
      <c r="I45" s="2290"/>
      <c r="J45" s="2287"/>
      <c r="K45" s="2291"/>
    </row>
    <row r="46" spans="1:15" ht="11.25" customHeight="1">
      <c r="A46" s="656" t="str">
        <f>A36</f>
        <v>Current year receipts</v>
      </c>
      <c r="B46" s="59"/>
      <c r="C46" s="2287"/>
      <c r="D46" s="2287">
        <v>200000</v>
      </c>
      <c r="E46" s="2288"/>
      <c r="F46" s="2289"/>
      <c r="G46" s="2287">
        <v>10000000</v>
      </c>
      <c r="H46" s="2288">
        <v>10000000</v>
      </c>
      <c r="I46" s="2290"/>
      <c r="J46" s="2287"/>
      <c r="K46" s="2291"/>
    </row>
    <row r="47" spans="1:15" ht="11.25" customHeight="1">
      <c r="A47" s="658" t="str">
        <f>A37</f>
        <v>Conditions met - transferred to revenue</v>
      </c>
      <c r="B47" s="59"/>
      <c r="C47" s="649">
        <f t="shared" ref="C47:K47" si="8">C45+C46-C48</f>
        <v>0</v>
      </c>
      <c r="D47" s="650">
        <f t="shared" si="8"/>
        <v>0</v>
      </c>
      <c r="E47" s="651">
        <f t="shared" si="8"/>
        <v>193226</v>
      </c>
      <c r="F47" s="652">
        <f t="shared" si="8"/>
        <v>0</v>
      </c>
      <c r="G47" s="650">
        <f t="shared" si="8"/>
        <v>10000000</v>
      </c>
      <c r="H47" s="653">
        <f t="shared" si="8"/>
        <v>10000000</v>
      </c>
      <c r="I47" s="654">
        <f t="shared" si="8"/>
        <v>0</v>
      </c>
      <c r="J47" s="650">
        <f t="shared" si="8"/>
        <v>0</v>
      </c>
      <c r="K47" s="651">
        <f t="shared" si="8"/>
        <v>0</v>
      </c>
    </row>
    <row r="48" spans="1:15" ht="11.25" customHeight="1">
      <c r="A48" s="656" t="str">
        <f>A38</f>
        <v>Conditions still to be met - transferred to liabilities</v>
      </c>
      <c r="B48" s="59"/>
      <c r="C48" s="2287"/>
      <c r="D48" s="2287">
        <v>200000</v>
      </c>
      <c r="E48" s="2291">
        <v>6774</v>
      </c>
      <c r="F48" s="2289"/>
      <c r="G48" s="2287"/>
      <c r="H48" s="2288"/>
      <c r="I48" s="2290"/>
      <c r="J48" s="2287"/>
      <c r="K48" s="2291"/>
    </row>
    <row r="49" spans="1:11">
      <c r="A49" s="659" t="s">
        <v>533</v>
      </c>
      <c r="B49" s="660"/>
      <c r="C49" s="661">
        <f t="shared" ref="C49:K50" si="9">C32+C37+C42+C47</f>
        <v>35068746</v>
      </c>
      <c r="D49" s="661">
        <f t="shared" si="9"/>
        <v>30027882</v>
      </c>
      <c r="E49" s="662">
        <f t="shared" si="9"/>
        <v>48393440</v>
      </c>
      <c r="F49" s="663">
        <f t="shared" si="9"/>
        <v>89549850</v>
      </c>
      <c r="G49" s="661">
        <f t="shared" si="9"/>
        <v>99549850</v>
      </c>
      <c r="H49" s="664">
        <f t="shared" si="9"/>
        <v>99549850</v>
      </c>
      <c r="I49" s="665">
        <f t="shared" si="9"/>
        <v>88938050</v>
      </c>
      <c r="J49" s="661">
        <f t="shared" si="9"/>
        <v>96829700</v>
      </c>
      <c r="K49" s="662">
        <f t="shared" si="9"/>
        <v>102603800</v>
      </c>
    </row>
    <row r="50" spans="1:11">
      <c r="A50" s="659" t="s">
        <v>304</v>
      </c>
      <c r="B50" s="660">
        <v>2</v>
      </c>
      <c r="C50" s="661">
        <f t="shared" si="9"/>
        <v>17749721</v>
      </c>
      <c r="D50" s="661">
        <f t="shared" si="9"/>
        <v>200000</v>
      </c>
      <c r="E50" s="662">
        <f t="shared" si="9"/>
        <v>132810</v>
      </c>
      <c r="F50" s="663">
        <f t="shared" si="9"/>
        <v>0</v>
      </c>
      <c r="G50" s="661">
        <f t="shared" si="9"/>
        <v>0</v>
      </c>
      <c r="H50" s="664">
        <f t="shared" si="9"/>
        <v>0</v>
      </c>
      <c r="I50" s="665">
        <f t="shared" si="9"/>
        <v>0</v>
      </c>
      <c r="J50" s="661">
        <f t="shared" si="9"/>
        <v>0</v>
      </c>
      <c r="K50" s="662">
        <f t="shared" si="9"/>
        <v>0</v>
      </c>
    </row>
    <row r="51" spans="1:11" ht="4.9000000000000004" customHeight="1">
      <c r="A51" s="666"/>
      <c r="B51" s="59"/>
      <c r="C51" s="647"/>
      <c r="D51" s="647"/>
      <c r="E51" s="657"/>
      <c r="F51" s="644"/>
      <c r="G51" s="642"/>
      <c r="H51" s="643"/>
      <c r="I51" s="645"/>
      <c r="J51" s="642"/>
      <c r="K51" s="646"/>
    </row>
    <row r="52" spans="1:11" ht="11.25" customHeight="1">
      <c r="A52" s="933" t="s">
        <v>243</v>
      </c>
      <c r="B52" s="934"/>
      <c r="C52" s="935">
        <f t="shared" ref="C52:K52" si="10">C25+C49</f>
        <v>473554904</v>
      </c>
      <c r="D52" s="935">
        <f t="shared" si="10"/>
        <v>428741813</v>
      </c>
      <c r="E52" s="936">
        <f t="shared" si="10"/>
        <v>435593094</v>
      </c>
      <c r="F52" s="937">
        <f t="shared" si="10"/>
        <v>505850000</v>
      </c>
      <c r="G52" s="935">
        <f t="shared" si="10"/>
        <v>522181625.75</v>
      </c>
      <c r="H52" s="938">
        <f t="shared" si="10"/>
        <v>521883623.75</v>
      </c>
      <c r="I52" s="939">
        <f t="shared" si="10"/>
        <v>532902000</v>
      </c>
      <c r="J52" s="935">
        <f t="shared" si="10"/>
        <v>567019200</v>
      </c>
      <c r="K52" s="936">
        <f t="shared" si="10"/>
        <v>602001939.20000005</v>
      </c>
    </row>
    <row r="53" spans="1:11" ht="11.25" customHeight="1">
      <c r="A53" s="155" t="s">
        <v>1265</v>
      </c>
      <c r="B53" s="102"/>
      <c r="C53" s="595">
        <f>C26+C50</f>
        <v>20340721</v>
      </c>
      <c r="D53" s="595">
        <f t="shared" ref="D53:K53" si="11">D26+D50</f>
        <v>3955000</v>
      </c>
      <c r="E53" s="596">
        <f t="shared" si="11"/>
        <v>5083270</v>
      </c>
      <c r="F53" s="597">
        <f t="shared" si="11"/>
        <v>0</v>
      </c>
      <c r="G53" s="595">
        <f t="shared" si="11"/>
        <v>0</v>
      </c>
      <c r="H53" s="598">
        <f t="shared" si="11"/>
        <v>0</v>
      </c>
      <c r="I53" s="599">
        <f t="shared" si="11"/>
        <v>0</v>
      </c>
      <c r="J53" s="595">
        <f t="shared" si="11"/>
        <v>0</v>
      </c>
      <c r="K53" s="596">
        <f t="shared" si="11"/>
        <v>0</v>
      </c>
    </row>
    <row r="54" spans="1:11" s="576" customFormat="1" ht="11.25" customHeight="1">
      <c r="A54" s="1063" t="str">
        <f>head27a</f>
        <v>References</v>
      </c>
      <c r="B54" s="918"/>
      <c r="C54" s="915"/>
      <c r="D54" s="915"/>
      <c r="E54" s="915"/>
      <c r="F54" s="915"/>
      <c r="G54" s="915"/>
      <c r="H54" s="915"/>
      <c r="I54" s="915"/>
      <c r="J54" s="915"/>
      <c r="K54" s="915"/>
    </row>
    <row r="55" spans="1:11" s="576" customFormat="1" ht="11.25" customHeight="1">
      <c r="A55" s="2863" t="s">
        <v>532</v>
      </c>
      <c r="B55" s="2863"/>
      <c r="C55" s="2863"/>
      <c r="D55" s="2863"/>
      <c r="E55" s="2863"/>
      <c r="F55" s="2863"/>
      <c r="G55" s="2863"/>
      <c r="H55" s="2863"/>
      <c r="I55" s="2863"/>
      <c r="J55" s="2863"/>
      <c r="K55" s="2863"/>
    </row>
    <row r="56" spans="1:11" s="576" customFormat="1" ht="11.25" customHeight="1">
      <c r="A56" s="2863" t="s">
        <v>242</v>
      </c>
      <c r="B56" s="2863"/>
      <c r="C56" s="2863"/>
      <c r="D56" s="2863"/>
      <c r="E56" s="2863"/>
      <c r="F56" s="2863"/>
      <c r="G56" s="2863"/>
      <c r="H56" s="2863"/>
      <c r="I56" s="2863"/>
      <c r="J56" s="2863"/>
      <c r="K56" s="2863"/>
    </row>
    <row r="57" spans="1:11" s="576" customFormat="1" ht="11.25" customHeight="1">
      <c r="A57" s="2863" t="s">
        <v>764</v>
      </c>
      <c r="B57" s="2863"/>
      <c r="C57" s="2863"/>
      <c r="D57" s="2863"/>
      <c r="E57" s="2863"/>
      <c r="F57" s="2863"/>
      <c r="G57" s="2863"/>
      <c r="H57" s="2863"/>
      <c r="I57" s="2863"/>
      <c r="J57" s="2863"/>
      <c r="K57" s="2863"/>
    </row>
    <row r="58" spans="1:11" ht="11.25" customHeight="1">
      <c r="A58" s="668"/>
      <c r="B58" s="668"/>
      <c r="C58" s="668"/>
      <c r="D58" s="668"/>
      <c r="E58" s="668"/>
      <c r="F58" s="668"/>
      <c r="G58" s="668"/>
      <c r="H58" s="668"/>
      <c r="I58" s="668"/>
      <c r="J58" s="668"/>
      <c r="K58" s="668"/>
    </row>
    <row r="59" spans="1:11" ht="11.25" customHeight="1">
      <c r="A59" s="305" t="s">
        <v>400</v>
      </c>
      <c r="C59" s="235">
        <f>C25-'A4-FinPerf RE'!C18</f>
        <v>67</v>
      </c>
      <c r="D59" s="235">
        <f>D25-'A4-FinPerf RE'!D18</f>
        <v>7</v>
      </c>
      <c r="E59" s="235">
        <f>E25-'A4-FinPerf RE'!E18</f>
        <v>-179.64999997615814</v>
      </c>
      <c r="F59" s="235">
        <f>F25-'A4-FinPerf RE'!F18</f>
        <v>0</v>
      </c>
      <c r="G59" s="235">
        <f>G25-'A4-FinPerf RE'!G18</f>
        <v>-104.26999998092651</v>
      </c>
      <c r="H59" s="235">
        <f>H25-'A4-FinPerf RE'!H18</f>
        <v>-106.26999998092651</v>
      </c>
      <c r="I59" s="235">
        <f>I25-'A4-FinPerf RE'!J18</f>
        <v>0</v>
      </c>
      <c r="J59" s="235">
        <f>J25-'A4-FinPerf RE'!K18</f>
        <v>0</v>
      </c>
      <c r="K59" s="235">
        <f>K25-'A4-FinPerf RE'!L18</f>
        <v>0</v>
      </c>
    </row>
    <row r="60" spans="1:11" ht="11.25" customHeight="1">
      <c r="A60" s="305" t="s">
        <v>401</v>
      </c>
      <c r="C60" s="235"/>
      <c r="D60" s="235"/>
      <c r="E60" s="235"/>
      <c r="F60" s="235"/>
      <c r="G60" s="235">
        <f>G49-'A5-Capex'!G70</f>
        <v>0</v>
      </c>
      <c r="H60" s="235">
        <f>H49-'A5-Capex'!H70</f>
        <v>0</v>
      </c>
      <c r="I60" s="235">
        <f>I49-'A5-Capex'!J70</f>
        <v>0</v>
      </c>
      <c r="J60" s="235">
        <f>J49-'A5-Capex'!K70</f>
        <v>0</v>
      </c>
      <c r="K60" s="235">
        <f>K49-'A5-Capex'!L70</f>
        <v>0</v>
      </c>
    </row>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sheetData>
  <mergeCells count="5">
    <mergeCell ref="A57:K57"/>
    <mergeCell ref="F2:H2"/>
    <mergeCell ref="I2:K2"/>
    <mergeCell ref="A55:K55"/>
    <mergeCell ref="A56:K56"/>
  </mergeCells>
  <phoneticPr fontId="5"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2"/>
  <sheetViews>
    <sheetView showGridLines="0" topLeftCell="A55" zoomScale="110" zoomScaleNormal="110" zoomScaleSheetLayoutView="100" workbookViewId="0">
      <selection activeCell="D12" sqref="D12"/>
    </sheetView>
  </sheetViews>
  <sheetFormatPr defaultColWidth="9.140625" defaultRowHeight="12.75"/>
  <cols>
    <col min="1" max="1" width="47.140625" style="26" customWidth="1"/>
    <col min="2" max="2" width="3" style="124" customWidth="1"/>
    <col min="3"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ht="13.5" customHeight="1">
      <c r="A1" s="24" t="str">
        <f>muni&amp;" - "&amp; TableA21</f>
        <v>LIM333 Greater Tzaneen - Supporting Table SA21 Transfers and grants made by the municipality</v>
      </c>
      <c r="B1" s="24"/>
      <c r="C1" s="24"/>
      <c r="D1" s="24"/>
      <c r="E1" s="24"/>
      <c r="F1" s="24"/>
      <c r="G1" s="24"/>
      <c r="H1" s="24"/>
      <c r="I1" s="24"/>
      <c r="J1" s="24"/>
      <c r="K1" s="24"/>
      <c r="L1" s="24"/>
    </row>
    <row r="2" spans="1:12" ht="28.5" customHeight="1">
      <c r="A2" s="1550" t="str">
        <f>desc</f>
        <v>Description</v>
      </c>
      <c r="B2" s="1551" t="str">
        <f>head27</f>
        <v>Ref</v>
      </c>
      <c r="C2" s="27" t="str">
        <f>head1b</f>
        <v>2016/17</v>
      </c>
      <c r="D2" s="618" t="str">
        <f>head1A</f>
        <v>2017/18</v>
      </c>
      <c r="E2" s="23" t="str">
        <f>Head1</f>
        <v>2018/19</v>
      </c>
      <c r="F2" s="2842" t="str">
        <f>Head2</f>
        <v>Current Year 2019/20</v>
      </c>
      <c r="G2" s="2843"/>
      <c r="H2" s="2843"/>
      <c r="I2" s="2847"/>
      <c r="J2" s="2839" t="str">
        <f>Head3</f>
        <v>2020/21 Medium Term Revenue &amp; Expenditure Framework</v>
      </c>
      <c r="K2" s="2840"/>
      <c r="L2" s="2841"/>
    </row>
    <row r="3" spans="1:12" ht="25.5">
      <c r="A3" s="57" t="s">
        <v>569</v>
      </c>
      <c r="B3" s="1552"/>
      <c r="C3" s="260" t="str">
        <f>Head5</f>
        <v>Audited Outcome</v>
      </c>
      <c r="D3" s="854" t="str">
        <f>Head5</f>
        <v>Audited Outcome</v>
      </c>
      <c r="E3" s="261" t="str">
        <f>Head5</f>
        <v>Audited Outcome</v>
      </c>
      <c r="F3" s="172" t="str">
        <f>Head6</f>
        <v>Original Budget</v>
      </c>
      <c r="G3" s="260" t="str">
        <f>Head7</f>
        <v>Adjusted Budget</v>
      </c>
      <c r="H3" s="259" t="str">
        <f>Head8</f>
        <v>Full Year Forecast</v>
      </c>
      <c r="I3" s="1600" t="str">
        <f>Head5b</f>
        <v>Pre-audit outcome</v>
      </c>
      <c r="J3" s="259" t="str">
        <f>Head9</f>
        <v>Budget Year 2020/21</v>
      </c>
      <c r="K3" s="260" t="str">
        <f>Head10</f>
        <v>Budget Year +1 2021/22</v>
      </c>
      <c r="L3" s="261" t="str">
        <f>Head11</f>
        <v>Budget Year +2 2022/23</v>
      </c>
    </row>
    <row r="4" spans="1:12" ht="5.25" customHeight="1">
      <c r="A4" s="1585"/>
      <c r="B4" s="1586"/>
      <c r="C4" s="29"/>
      <c r="D4" s="1582"/>
      <c r="E4" s="30"/>
      <c r="F4" s="28"/>
      <c r="G4" s="29"/>
      <c r="H4" s="31"/>
      <c r="I4" s="526"/>
      <c r="J4" s="31"/>
      <c r="K4" s="29"/>
      <c r="L4" s="30"/>
    </row>
    <row r="5" spans="1:12" ht="11.25" customHeight="1">
      <c r="A5" s="126" t="s">
        <v>1783</v>
      </c>
      <c r="B5" s="1553"/>
      <c r="C5" s="80"/>
      <c r="D5" s="80"/>
      <c r="E5" s="81"/>
      <c r="F5" s="82"/>
      <c r="G5" s="80"/>
      <c r="H5" s="1594"/>
      <c r="I5" s="453"/>
      <c r="J5" s="79"/>
      <c r="K5" s="80"/>
      <c r="L5" s="81"/>
    </row>
    <row r="6" spans="1:12" ht="12" customHeight="1">
      <c r="A6" s="2292" t="s">
        <v>956</v>
      </c>
      <c r="B6" s="1553">
        <v>1</v>
      </c>
      <c r="C6" s="1951"/>
      <c r="D6" s="1951"/>
      <c r="E6" s="1960"/>
      <c r="F6" s="1961"/>
      <c r="G6" s="1951"/>
      <c r="H6" s="1952"/>
      <c r="I6" s="1963"/>
      <c r="J6" s="1962"/>
      <c r="K6" s="1951"/>
      <c r="L6" s="1960"/>
    </row>
    <row r="7" spans="1:12" ht="11.25" customHeight="1">
      <c r="A7" s="2293"/>
      <c r="B7" s="1553"/>
      <c r="C7" s="1951"/>
      <c r="D7" s="1951"/>
      <c r="E7" s="1960"/>
      <c r="F7" s="1961"/>
      <c r="G7" s="1951"/>
      <c r="H7" s="1952"/>
      <c r="I7" s="1963"/>
      <c r="J7" s="1962"/>
      <c r="K7" s="1951"/>
      <c r="L7" s="1960"/>
    </row>
    <row r="8" spans="1:12" ht="11.25" customHeight="1">
      <c r="A8" s="2293"/>
      <c r="B8" s="1553"/>
      <c r="C8" s="1951"/>
      <c r="D8" s="1951"/>
      <c r="E8" s="1960"/>
      <c r="F8" s="1961"/>
      <c r="G8" s="1951"/>
      <c r="H8" s="1952"/>
      <c r="I8" s="1963"/>
      <c r="J8" s="1962"/>
      <c r="K8" s="1951"/>
      <c r="L8" s="1960"/>
    </row>
    <row r="9" spans="1:12" ht="11.25" customHeight="1">
      <c r="A9" s="659" t="s">
        <v>1785</v>
      </c>
      <c r="B9" s="1554"/>
      <c r="C9" s="150">
        <f>SUM(C6:C8)</f>
        <v>0</v>
      </c>
      <c r="D9" s="150">
        <f t="shared" ref="D9:L9" si="0">SUM(D6:D8)</f>
        <v>0</v>
      </c>
      <c r="E9" s="151">
        <f t="shared" si="0"/>
        <v>0</v>
      </c>
      <c r="F9" s="152">
        <f t="shared" si="0"/>
        <v>0</v>
      </c>
      <c r="G9" s="150">
        <f t="shared" si="0"/>
        <v>0</v>
      </c>
      <c r="H9" s="1595">
        <f t="shared" si="0"/>
        <v>0</v>
      </c>
      <c r="I9" s="1601">
        <f t="shared" si="0"/>
        <v>0</v>
      </c>
      <c r="J9" s="149">
        <f t="shared" si="0"/>
        <v>0</v>
      </c>
      <c r="K9" s="150">
        <f t="shared" si="0"/>
        <v>0</v>
      </c>
      <c r="L9" s="151">
        <f t="shared" si="0"/>
        <v>0</v>
      </c>
    </row>
    <row r="10" spans="1:12" ht="6" customHeight="1">
      <c r="A10" s="148"/>
      <c r="B10" s="1553"/>
      <c r="C10" s="80"/>
      <c r="D10" s="80"/>
      <c r="E10" s="81"/>
      <c r="F10" s="82"/>
      <c r="G10" s="80"/>
      <c r="H10" s="1594"/>
      <c r="I10" s="453"/>
      <c r="J10" s="79"/>
      <c r="K10" s="80"/>
      <c r="L10" s="81"/>
    </row>
    <row r="11" spans="1:12" ht="11.25" customHeight="1">
      <c r="A11" s="672" t="s">
        <v>1786</v>
      </c>
      <c r="B11" s="1555"/>
      <c r="C11" s="84"/>
      <c r="D11" s="84"/>
      <c r="E11" s="139"/>
      <c r="F11" s="128"/>
      <c r="G11" s="84"/>
      <c r="H11" s="425"/>
      <c r="I11" s="906"/>
      <c r="J11" s="87"/>
      <c r="K11" s="84"/>
      <c r="L11" s="139"/>
    </row>
    <row r="12" spans="1:12" ht="11.25" customHeight="1">
      <c r="A12" s="2464" t="s">
        <v>2548</v>
      </c>
      <c r="B12" s="1555">
        <v>2</v>
      </c>
      <c r="C12" s="1951">
        <v>114341656.28999999</v>
      </c>
      <c r="D12" s="1951">
        <v>109211114</v>
      </c>
      <c r="E12" s="1960">
        <v>44274410.650000006</v>
      </c>
      <c r="F12" s="1961">
        <v>27894000</v>
      </c>
      <c r="G12" s="1951">
        <f>33927730.02+298000</f>
        <v>34225730.020000003</v>
      </c>
      <c r="H12" s="1952">
        <v>28931106.280000001</v>
      </c>
      <c r="I12" s="1952">
        <v>28931106.280000001</v>
      </c>
      <c r="J12" s="1962">
        <v>25334000</v>
      </c>
      <c r="K12" s="1951">
        <v>18355200</v>
      </c>
      <c r="L12" s="1960">
        <v>18412939.199999999</v>
      </c>
    </row>
    <row r="13" spans="1:12" ht="11.25" customHeight="1">
      <c r="A13" s="2265"/>
      <c r="B13" s="1555"/>
      <c r="C13" s="1951"/>
      <c r="D13" s="1951"/>
      <c r="E13" s="1960"/>
      <c r="F13" s="1961"/>
      <c r="G13" s="1951"/>
      <c r="H13" s="1952"/>
      <c r="I13" s="1963"/>
      <c r="J13" s="1962"/>
      <c r="K13" s="1951"/>
      <c r="L13" s="1960"/>
    </row>
    <row r="14" spans="1:12" ht="11.25" customHeight="1">
      <c r="A14" s="2265"/>
      <c r="B14" s="1555"/>
      <c r="C14" s="1951"/>
      <c r="D14" s="1951"/>
      <c r="E14" s="1960"/>
      <c r="F14" s="1961"/>
      <c r="G14" s="1951"/>
      <c r="H14" s="1952"/>
      <c r="I14" s="1963"/>
      <c r="J14" s="1962"/>
      <c r="K14" s="1951"/>
      <c r="L14" s="1960"/>
    </row>
    <row r="15" spans="1:12" ht="11.25" customHeight="1">
      <c r="A15" s="673" t="s">
        <v>1787</v>
      </c>
      <c r="B15" s="1556"/>
      <c r="C15" s="675">
        <f>SUM(C12:C14)</f>
        <v>114341656.28999999</v>
      </c>
      <c r="D15" s="675">
        <f t="shared" ref="D15:L15" si="1">SUM(D12:D14)</f>
        <v>109211114</v>
      </c>
      <c r="E15" s="676">
        <f t="shared" si="1"/>
        <v>44274410.650000006</v>
      </c>
      <c r="F15" s="677">
        <f t="shared" si="1"/>
        <v>27894000</v>
      </c>
      <c r="G15" s="675">
        <f t="shared" si="1"/>
        <v>34225730.020000003</v>
      </c>
      <c r="H15" s="1596">
        <f t="shared" si="1"/>
        <v>28931106.280000001</v>
      </c>
      <c r="I15" s="1602">
        <f t="shared" si="1"/>
        <v>28931106.280000001</v>
      </c>
      <c r="J15" s="678">
        <f t="shared" si="1"/>
        <v>25334000</v>
      </c>
      <c r="K15" s="675">
        <f t="shared" si="1"/>
        <v>18355200</v>
      </c>
      <c r="L15" s="676">
        <f t="shared" si="1"/>
        <v>18412939.199999999</v>
      </c>
    </row>
    <row r="16" spans="1:12">
      <c r="A16" s="517"/>
      <c r="B16" s="1555"/>
      <c r="C16" s="264"/>
      <c r="D16" s="264"/>
      <c r="E16" s="218"/>
      <c r="F16" s="265"/>
      <c r="G16" s="264"/>
      <c r="H16" s="1597"/>
      <c r="I16" s="1603"/>
      <c r="J16" s="266"/>
      <c r="K16" s="264"/>
      <c r="L16" s="218"/>
    </row>
    <row r="17" spans="1:12" ht="11.25" customHeight="1">
      <c r="A17" s="672" t="s">
        <v>1788</v>
      </c>
      <c r="B17" s="1555"/>
      <c r="C17" s="84"/>
      <c r="D17" s="84"/>
      <c r="E17" s="139"/>
      <c r="F17" s="128"/>
      <c r="G17" s="84"/>
      <c r="H17" s="425"/>
      <c r="I17" s="906"/>
      <c r="J17" s="87"/>
      <c r="K17" s="84"/>
      <c r="L17" s="139"/>
    </row>
    <row r="18" spans="1:12" ht="11.25" customHeight="1">
      <c r="A18" s="2464" t="s">
        <v>2549</v>
      </c>
      <c r="B18" s="1555">
        <v>3</v>
      </c>
      <c r="C18" s="1951">
        <v>2994051.87</v>
      </c>
      <c r="D18" s="1951">
        <v>3067047.22</v>
      </c>
      <c r="E18" s="1960">
        <v>4161614.71</v>
      </c>
      <c r="F18" s="1961">
        <v>4000000</v>
      </c>
      <c r="G18" s="1951">
        <v>4000000</v>
      </c>
      <c r="H18" s="1952">
        <v>3623100.0600000005</v>
      </c>
      <c r="I18" s="1952">
        <v>3623100.0600000005</v>
      </c>
      <c r="J18" s="1962">
        <v>4000000</v>
      </c>
      <c r="K18" s="1951">
        <v>4184000</v>
      </c>
      <c r="L18" s="1960">
        <v>4376464</v>
      </c>
    </row>
    <row r="19" spans="1:12" ht="11.25" customHeight="1">
      <c r="A19" s="2265"/>
      <c r="B19" s="1555"/>
      <c r="C19" s="1951"/>
      <c r="D19" s="1951"/>
      <c r="E19" s="1960"/>
      <c r="F19" s="1961"/>
      <c r="G19" s="1951"/>
      <c r="H19" s="1952"/>
      <c r="I19" s="1963"/>
      <c r="J19" s="1962"/>
      <c r="K19" s="1951"/>
      <c r="L19" s="1960"/>
    </row>
    <row r="20" spans="1:12" ht="11.25" customHeight="1">
      <c r="A20" s="2265"/>
      <c r="B20" s="1555"/>
      <c r="C20" s="1951"/>
      <c r="D20" s="1951"/>
      <c r="E20" s="1960"/>
      <c r="F20" s="1961"/>
      <c r="G20" s="1951"/>
      <c r="H20" s="1952"/>
      <c r="I20" s="1963"/>
      <c r="J20" s="1962"/>
      <c r="K20" s="1951"/>
      <c r="L20" s="1960"/>
    </row>
    <row r="21" spans="1:12" ht="11.25" customHeight="1">
      <c r="A21" s="673" t="s">
        <v>1789</v>
      </c>
      <c r="B21" s="1556"/>
      <c r="C21" s="675">
        <f>SUM(C18:C20)</f>
        <v>2994051.87</v>
      </c>
      <c r="D21" s="675">
        <f t="shared" ref="D21:L21" si="2">SUM(D18:D20)</f>
        <v>3067047.22</v>
      </c>
      <c r="E21" s="676">
        <f t="shared" si="2"/>
        <v>4161614.71</v>
      </c>
      <c r="F21" s="677">
        <f t="shared" si="2"/>
        <v>4000000</v>
      </c>
      <c r="G21" s="675">
        <f t="shared" si="2"/>
        <v>4000000</v>
      </c>
      <c r="H21" s="1596">
        <f t="shared" si="2"/>
        <v>3623100.0600000005</v>
      </c>
      <c r="I21" s="1602">
        <f t="shared" si="2"/>
        <v>3623100.0600000005</v>
      </c>
      <c r="J21" s="678">
        <f t="shared" si="2"/>
        <v>4000000</v>
      </c>
      <c r="K21" s="675">
        <f>SUM(K18:K20)</f>
        <v>4184000</v>
      </c>
      <c r="L21" s="676">
        <f t="shared" si="2"/>
        <v>4376464</v>
      </c>
    </row>
    <row r="22" spans="1:12" ht="11.25" customHeight="1">
      <c r="A22" s="517"/>
      <c r="B22" s="1555"/>
      <c r="C22" s="264"/>
      <c r="D22" s="264"/>
      <c r="E22" s="218"/>
      <c r="F22" s="265"/>
      <c r="G22" s="264"/>
      <c r="H22" s="1597"/>
      <c r="I22" s="1603"/>
      <c r="J22" s="266"/>
      <c r="K22" s="264"/>
      <c r="L22" s="218"/>
    </row>
    <row r="23" spans="1:12" ht="11.25" customHeight="1">
      <c r="A23" s="672" t="s">
        <v>1790</v>
      </c>
      <c r="B23" s="1555"/>
      <c r="C23" s="84"/>
      <c r="D23" s="84"/>
      <c r="E23" s="139"/>
      <c r="F23" s="128"/>
      <c r="G23" s="84"/>
      <c r="H23" s="425"/>
      <c r="I23" s="906"/>
      <c r="J23" s="87"/>
      <c r="K23" s="84"/>
      <c r="L23" s="139"/>
    </row>
    <row r="24" spans="1:12" ht="11.25" customHeight="1">
      <c r="A24" s="2464" t="s">
        <v>2550</v>
      </c>
      <c r="B24" s="1555"/>
      <c r="C24" s="1951">
        <v>33326</v>
      </c>
      <c r="D24" s="1951">
        <v>33326</v>
      </c>
      <c r="E24" s="1960"/>
      <c r="F24" s="1961">
        <v>100000</v>
      </c>
      <c r="G24" s="1951">
        <v>45000</v>
      </c>
      <c r="H24" s="1952"/>
      <c r="I24" s="1963"/>
      <c r="J24" s="1962">
        <v>45000</v>
      </c>
      <c r="K24" s="1951">
        <v>47070</v>
      </c>
      <c r="L24" s="1960">
        <v>49235.22</v>
      </c>
    </row>
    <row r="25" spans="1:12" ht="11.25" customHeight="1">
      <c r="A25" s="2265" t="s">
        <v>2551</v>
      </c>
      <c r="B25" s="1555"/>
      <c r="C25" s="1951">
        <v>5596588</v>
      </c>
      <c r="D25" s="1951">
        <v>236644</v>
      </c>
      <c r="E25" s="1960">
        <v>262644</v>
      </c>
      <c r="F25" s="1961">
        <v>1727812</v>
      </c>
      <c r="G25" s="1951">
        <v>440300</v>
      </c>
      <c r="H25" s="1952">
        <v>276500</v>
      </c>
      <c r="I25" s="1952">
        <v>276500</v>
      </c>
      <c r="J25" s="1962">
        <v>440000</v>
      </c>
      <c r="K25" s="1951">
        <v>460240</v>
      </c>
      <c r="L25" s="1960">
        <v>481411.04000000004</v>
      </c>
    </row>
    <row r="26" spans="1:12" ht="12" customHeight="1">
      <c r="A26" s="1370" t="s">
        <v>1791</v>
      </c>
      <c r="B26" s="1556"/>
      <c r="C26" s="675">
        <f t="shared" ref="C26:L26" si="3">SUM(C24:C25)</f>
        <v>5629914</v>
      </c>
      <c r="D26" s="675">
        <f t="shared" si="3"/>
        <v>269970</v>
      </c>
      <c r="E26" s="676">
        <f t="shared" si="3"/>
        <v>262644</v>
      </c>
      <c r="F26" s="677">
        <f t="shared" si="3"/>
        <v>1827812</v>
      </c>
      <c r="G26" s="675">
        <f t="shared" si="3"/>
        <v>485300</v>
      </c>
      <c r="H26" s="1596">
        <f t="shared" si="3"/>
        <v>276500</v>
      </c>
      <c r="I26" s="1602">
        <f t="shared" si="3"/>
        <v>276500</v>
      </c>
      <c r="J26" s="678">
        <f t="shared" si="3"/>
        <v>485000</v>
      </c>
      <c r="K26" s="675">
        <f t="shared" si="3"/>
        <v>507310</v>
      </c>
      <c r="L26" s="676">
        <f t="shared" si="3"/>
        <v>530646.26</v>
      </c>
    </row>
    <row r="27" spans="1:12" ht="12" customHeight="1">
      <c r="A27" s="1584"/>
      <c r="B27" s="1555"/>
      <c r="C27" s="264"/>
      <c r="D27" s="264"/>
      <c r="E27" s="218"/>
      <c r="F27" s="265"/>
      <c r="G27" s="264"/>
      <c r="H27" s="1597"/>
      <c r="I27" s="1603"/>
      <c r="J27" s="266"/>
      <c r="K27" s="264"/>
      <c r="L27" s="218"/>
    </row>
    <row r="28" spans="1:12">
      <c r="A28" s="672" t="s">
        <v>1792</v>
      </c>
      <c r="B28" s="1555"/>
      <c r="C28" s="84"/>
      <c r="D28" s="84"/>
      <c r="E28" s="139"/>
      <c r="F28" s="128"/>
      <c r="G28" s="84"/>
      <c r="H28" s="425"/>
      <c r="I28" s="906"/>
      <c r="J28" s="87"/>
      <c r="K28" s="84"/>
      <c r="L28" s="139"/>
    </row>
    <row r="29" spans="1:12" ht="11.25" customHeight="1">
      <c r="A29" s="2464" t="s">
        <v>2552</v>
      </c>
      <c r="B29" s="1555"/>
      <c r="C29" s="1951">
        <v>375157</v>
      </c>
      <c r="D29" s="1951">
        <v>520526.46</v>
      </c>
      <c r="E29" s="1960">
        <v>620837</v>
      </c>
      <c r="F29" s="1961">
        <v>1000000</v>
      </c>
      <c r="G29" s="1951">
        <v>500000</v>
      </c>
      <c r="H29" s="1952">
        <v>14000</v>
      </c>
      <c r="I29" s="1952">
        <v>14000</v>
      </c>
      <c r="J29" s="1962">
        <v>350000</v>
      </c>
      <c r="K29" s="1951">
        <v>366100</v>
      </c>
      <c r="L29" s="1960">
        <v>382940.6</v>
      </c>
    </row>
    <row r="30" spans="1:12" ht="11.25" customHeight="1">
      <c r="A30" s="2464"/>
      <c r="B30" s="1555"/>
      <c r="C30" s="1951"/>
      <c r="D30" s="1951"/>
      <c r="E30" s="1960">
        <v>636404.06999999995</v>
      </c>
      <c r="F30" s="1961"/>
      <c r="G30" s="1951"/>
      <c r="H30" s="1952"/>
      <c r="I30" s="1952"/>
      <c r="J30" s="1962"/>
      <c r="K30" s="1951"/>
      <c r="L30" s="1960"/>
    </row>
    <row r="31" spans="1:12" ht="11.25" customHeight="1">
      <c r="A31" s="2265" t="s">
        <v>2553</v>
      </c>
      <c r="B31" s="1555"/>
      <c r="C31" s="1951">
        <v>267928.96999999997</v>
      </c>
      <c r="D31" s="1951">
        <v>194961.6</v>
      </c>
      <c r="E31" s="1960">
        <v>341452</v>
      </c>
      <c r="F31" s="1961">
        <v>1300000</v>
      </c>
      <c r="G31" s="1951">
        <v>750000</v>
      </c>
      <c r="H31" s="1952">
        <v>918510.58000000007</v>
      </c>
      <c r="I31" s="1952">
        <v>918510.58000000007</v>
      </c>
      <c r="J31" s="1962">
        <v>750000</v>
      </c>
      <c r="K31" s="1951">
        <v>784500</v>
      </c>
      <c r="L31" s="1960">
        <v>820587</v>
      </c>
    </row>
    <row r="32" spans="1:12" ht="11.25" customHeight="1">
      <c r="A32" s="1370" t="s">
        <v>1793</v>
      </c>
      <c r="B32" s="1556"/>
      <c r="C32" s="675">
        <f t="shared" ref="C32:L32" si="4">SUM(C29:C31)</f>
        <v>643085.97</v>
      </c>
      <c r="D32" s="675">
        <f t="shared" si="4"/>
        <v>715488.06</v>
      </c>
      <c r="E32" s="676">
        <f t="shared" si="4"/>
        <v>1598693.0699999998</v>
      </c>
      <c r="F32" s="677">
        <f t="shared" si="4"/>
        <v>2300000</v>
      </c>
      <c r="G32" s="675">
        <f t="shared" si="4"/>
        <v>1250000</v>
      </c>
      <c r="H32" s="1596">
        <f t="shared" si="4"/>
        <v>932510.58000000007</v>
      </c>
      <c r="I32" s="1602">
        <f t="shared" si="4"/>
        <v>932510.58000000007</v>
      </c>
      <c r="J32" s="678">
        <f t="shared" si="4"/>
        <v>1100000</v>
      </c>
      <c r="K32" s="675">
        <f t="shared" si="4"/>
        <v>1150600</v>
      </c>
      <c r="L32" s="676">
        <f t="shared" si="4"/>
        <v>1203527.6000000001</v>
      </c>
    </row>
    <row r="33" spans="1:16" ht="15" customHeight="1">
      <c r="A33" s="680" t="s">
        <v>1784</v>
      </c>
      <c r="B33" s="1557">
        <v>6</v>
      </c>
      <c r="C33" s="104">
        <f t="shared" ref="C33:L33" si="5">C9+C15+C21+C26+C32</f>
        <v>123608708.13</v>
      </c>
      <c r="D33" s="104">
        <f t="shared" si="5"/>
        <v>113263619.28</v>
      </c>
      <c r="E33" s="225">
        <f t="shared" si="5"/>
        <v>50297362.430000007</v>
      </c>
      <c r="F33" s="226">
        <f t="shared" si="5"/>
        <v>36021812</v>
      </c>
      <c r="G33" s="104">
        <f t="shared" si="5"/>
        <v>39961030.020000003</v>
      </c>
      <c r="H33" s="1598">
        <f t="shared" si="5"/>
        <v>33763216.920000002</v>
      </c>
      <c r="I33" s="1604">
        <f t="shared" si="5"/>
        <v>33763216.920000002</v>
      </c>
      <c r="J33" s="103">
        <f t="shared" si="5"/>
        <v>30919000</v>
      </c>
      <c r="K33" s="104">
        <f t="shared" si="5"/>
        <v>24197110</v>
      </c>
      <c r="L33" s="225">
        <f t="shared" si="5"/>
        <v>24523577.060000002</v>
      </c>
    </row>
    <row r="34" spans="1:16" ht="7.5" customHeight="1">
      <c r="A34" s="1587"/>
      <c r="B34" s="1588"/>
      <c r="C34" s="1589"/>
      <c r="D34" s="1589"/>
      <c r="E34" s="1589"/>
      <c r="F34" s="1589"/>
      <c r="G34" s="1589"/>
      <c r="H34" s="1589"/>
      <c r="I34" s="1605"/>
      <c r="J34" s="1589"/>
      <c r="K34" s="1589"/>
      <c r="L34" s="1589"/>
    </row>
    <row r="35" spans="1:16" ht="11.25" customHeight="1">
      <c r="A35" s="758" t="s">
        <v>1893</v>
      </c>
      <c r="B35" s="1590"/>
      <c r="C35" s="294"/>
      <c r="D35" s="294"/>
      <c r="E35" s="1591"/>
      <c r="F35" s="1592"/>
      <c r="G35" s="294"/>
      <c r="H35" s="1599"/>
      <c r="I35" s="1606"/>
      <c r="J35" s="1593"/>
      <c r="K35" s="294"/>
      <c r="L35" s="1591"/>
    </row>
    <row r="36" spans="1:16" ht="11.25" customHeight="1">
      <c r="A36" s="2292" t="s">
        <v>956</v>
      </c>
      <c r="B36" s="1553">
        <v>1</v>
      </c>
      <c r="C36" s="1951"/>
      <c r="D36" s="1951"/>
      <c r="E36" s="1960"/>
      <c r="F36" s="1961"/>
      <c r="G36" s="1951"/>
      <c r="H36" s="1952"/>
      <c r="I36" s="1963"/>
      <c r="J36" s="1962"/>
      <c r="K36" s="1951"/>
      <c r="L36" s="1960"/>
    </row>
    <row r="37" spans="1:16" ht="11.25" customHeight="1">
      <c r="A37" s="2293"/>
      <c r="B37" s="1553"/>
      <c r="C37" s="1951"/>
      <c r="D37" s="1951"/>
      <c r="E37" s="1960"/>
      <c r="F37" s="1961"/>
      <c r="G37" s="1951"/>
      <c r="H37" s="1952"/>
      <c r="I37" s="1963"/>
      <c r="J37" s="1962"/>
      <c r="K37" s="1951"/>
      <c r="L37" s="1960"/>
      <c r="P37" s="240"/>
    </row>
    <row r="38" spans="1:16" ht="11.25" customHeight="1">
      <c r="A38" s="2293"/>
      <c r="B38" s="1553"/>
      <c r="C38" s="1951"/>
      <c r="D38" s="1951"/>
      <c r="E38" s="1960"/>
      <c r="F38" s="1961"/>
      <c r="G38" s="1951"/>
      <c r="H38" s="1952"/>
      <c r="I38" s="1963"/>
      <c r="J38" s="1962"/>
      <c r="K38" s="1951"/>
      <c r="L38" s="1960"/>
    </row>
    <row r="39" spans="1:16" ht="11.25" customHeight="1">
      <c r="A39" s="659" t="s">
        <v>1894</v>
      </c>
      <c r="B39" s="1554"/>
      <c r="C39" s="150">
        <f>SUM(C36:C38)</f>
        <v>0</v>
      </c>
      <c r="D39" s="150">
        <f t="shared" ref="D39:L39" si="6">SUM(D36:D38)</f>
        <v>0</v>
      </c>
      <c r="E39" s="151">
        <f t="shared" si="6"/>
        <v>0</v>
      </c>
      <c r="F39" s="152">
        <f t="shared" si="6"/>
        <v>0</v>
      </c>
      <c r="G39" s="150">
        <f t="shared" si="6"/>
        <v>0</v>
      </c>
      <c r="H39" s="1595">
        <f t="shared" si="6"/>
        <v>0</v>
      </c>
      <c r="I39" s="1601">
        <f t="shared" si="6"/>
        <v>0</v>
      </c>
      <c r="J39" s="149">
        <f t="shared" si="6"/>
        <v>0</v>
      </c>
      <c r="K39" s="150">
        <f t="shared" si="6"/>
        <v>0</v>
      </c>
      <c r="L39" s="151">
        <f t="shared" si="6"/>
        <v>0</v>
      </c>
    </row>
    <row r="40" spans="1:16" ht="11.25" customHeight="1">
      <c r="A40" s="148"/>
      <c r="B40" s="1553"/>
      <c r="C40" s="80"/>
      <c r="D40" s="80"/>
      <c r="E40" s="81"/>
      <c r="F40" s="82"/>
      <c r="G40" s="80"/>
      <c r="H40" s="1594"/>
      <c r="I40" s="453"/>
      <c r="J40" s="79"/>
      <c r="K40" s="80"/>
      <c r="L40" s="81"/>
    </row>
    <row r="41" spans="1:16" ht="11.25" customHeight="1">
      <c r="A41" s="672" t="s">
        <v>1895</v>
      </c>
      <c r="B41" s="1555"/>
      <c r="C41" s="84"/>
      <c r="D41" s="84"/>
      <c r="E41" s="139"/>
      <c r="F41" s="128"/>
      <c r="G41" s="84"/>
      <c r="H41" s="425"/>
      <c r="I41" s="906"/>
      <c r="J41" s="87"/>
      <c r="K41" s="84"/>
      <c r="L41" s="139"/>
    </row>
    <row r="42" spans="1:16" ht="11.25" customHeight="1">
      <c r="A42" s="2464" t="str">
        <f>$A$6</f>
        <v>Insert description</v>
      </c>
      <c r="B42" s="1555">
        <v>2</v>
      </c>
      <c r="C42" s="1951"/>
      <c r="D42" s="1951"/>
      <c r="E42" s="1960"/>
      <c r="F42" s="1961"/>
      <c r="G42" s="1951"/>
      <c r="H42" s="1952"/>
      <c r="I42" s="1963"/>
      <c r="J42" s="1962"/>
      <c r="K42" s="1951"/>
      <c r="L42" s="1960"/>
    </row>
    <row r="43" spans="1:16" ht="11.25" customHeight="1">
      <c r="A43" s="2265"/>
      <c r="B43" s="1555"/>
      <c r="C43" s="1951"/>
      <c r="D43" s="1951"/>
      <c r="E43" s="1960"/>
      <c r="F43" s="1961"/>
      <c r="G43" s="1951"/>
      <c r="H43" s="1952"/>
      <c r="I43" s="1963"/>
      <c r="J43" s="1962"/>
      <c r="K43" s="1951"/>
      <c r="L43" s="1960"/>
    </row>
    <row r="44" spans="1:16" ht="11.25" customHeight="1">
      <c r="A44" s="2265"/>
      <c r="B44" s="1555"/>
      <c r="C44" s="1951"/>
      <c r="D44" s="1951"/>
      <c r="E44" s="1960"/>
      <c r="F44" s="1961"/>
      <c r="G44" s="1951"/>
      <c r="H44" s="1952"/>
      <c r="I44" s="1963"/>
      <c r="J44" s="1962"/>
      <c r="K44" s="1951"/>
      <c r="L44" s="1960"/>
    </row>
    <row r="45" spans="1:16" ht="11.25" customHeight="1">
      <c r="A45" s="673" t="s">
        <v>1896</v>
      </c>
      <c r="B45" s="1556"/>
      <c r="C45" s="675">
        <f>SUM(C42:C44)</f>
        <v>0</v>
      </c>
      <c r="D45" s="675">
        <f t="shared" ref="D45:L45" si="7">SUM(D42:D44)</f>
        <v>0</v>
      </c>
      <c r="E45" s="676">
        <f t="shared" si="7"/>
        <v>0</v>
      </c>
      <c r="F45" s="677">
        <f t="shared" si="7"/>
        <v>0</v>
      </c>
      <c r="G45" s="675">
        <f t="shared" si="7"/>
        <v>0</v>
      </c>
      <c r="H45" s="1596">
        <f t="shared" si="7"/>
        <v>0</v>
      </c>
      <c r="I45" s="1602">
        <f t="shared" si="7"/>
        <v>0</v>
      </c>
      <c r="J45" s="678">
        <f t="shared" si="7"/>
        <v>0</v>
      </c>
      <c r="K45" s="675">
        <f t="shared" si="7"/>
        <v>0</v>
      </c>
      <c r="L45" s="676">
        <f t="shared" si="7"/>
        <v>0</v>
      </c>
    </row>
    <row r="46" spans="1:16" ht="11.25" customHeight="1">
      <c r="A46" s="517"/>
      <c r="B46" s="1555"/>
      <c r="C46" s="264"/>
      <c r="D46" s="264"/>
      <c r="E46" s="218"/>
      <c r="F46" s="265"/>
      <c r="G46" s="264"/>
      <c r="H46" s="1597"/>
      <c r="I46" s="1603"/>
      <c r="J46" s="266"/>
      <c r="K46" s="264"/>
      <c r="L46" s="218"/>
    </row>
    <row r="47" spans="1:16" ht="11.25" customHeight="1">
      <c r="A47" s="672" t="s">
        <v>1897</v>
      </c>
      <c r="B47" s="1555"/>
      <c r="C47" s="84"/>
      <c r="D47" s="84"/>
      <c r="E47" s="139"/>
      <c r="F47" s="128"/>
      <c r="G47" s="84"/>
      <c r="H47" s="425"/>
      <c r="I47" s="906"/>
      <c r="J47" s="87"/>
      <c r="K47" s="84"/>
      <c r="L47" s="139"/>
    </row>
    <row r="48" spans="1:16" ht="11.25" customHeight="1">
      <c r="A48" s="2464" t="str">
        <f>$A$6</f>
        <v>Insert description</v>
      </c>
      <c r="B48" s="1555">
        <v>3</v>
      </c>
      <c r="C48" s="1951"/>
      <c r="D48" s="1951"/>
      <c r="E48" s="1960"/>
      <c r="F48" s="1961"/>
      <c r="G48" s="1951"/>
      <c r="H48" s="1952"/>
      <c r="I48" s="1963"/>
      <c r="J48" s="1962"/>
      <c r="K48" s="1951"/>
      <c r="L48" s="1960"/>
    </row>
    <row r="49" spans="1:12" ht="11.25" customHeight="1">
      <c r="A49" s="2265"/>
      <c r="B49" s="1555"/>
      <c r="C49" s="1951"/>
      <c r="D49" s="1951"/>
      <c r="E49" s="1960"/>
      <c r="F49" s="1961"/>
      <c r="G49" s="1951"/>
      <c r="H49" s="1952"/>
      <c r="I49" s="1963"/>
      <c r="J49" s="1962"/>
      <c r="K49" s="1951"/>
      <c r="L49" s="1960"/>
    </row>
    <row r="50" spans="1:12" ht="11.25" customHeight="1">
      <c r="A50" s="2265"/>
      <c r="B50" s="1555"/>
      <c r="C50" s="1951"/>
      <c r="D50" s="1951"/>
      <c r="E50" s="1960"/>
      <c r="F50" s="1961"/>
      <c r="G50" s="1951"/>
      <c r="H50" s="1952"/>
      <c r="I50" s="1963"/>
      <c r="J50" s="1962"/>
      <c r="K50" s="1951"/>
      <c r="L50" s="1960"/>
    </row>
    <row r="51" spans="1:12" ht="11.25" customHeight="1">
      <c r="A51" s="673" t="s">
        <v>1898</v>
      </c>
      <c r="B51" s="1556"/>
      <c r="C51" s="675">
        <f>SUM(C48:C50)</f>
        <v>0</v>
      </c>
      <c r="D51" s="675">
        <f t="shared" ref="D51:J51" si="8">SUM(D48:D50)</f>
        <v>0</v>
      </c>
      <c r="E51" s="676">
        <f t="shared" si="8"/>
        <v>0</v>
      </c>
      <c r="F51" s="677">
        <f t="shared" si="8"/>
        <v>0</v>
      </c>
      <c r="G51" s="675">
        <f t="shared" si="8"/>
        <v>0</v>
      </c>
      <c r="H51" s="1596">
        <f t="shared" si="8"/>
        <v>0</v>
      </c>
      <c r="I51" s="1602">
        <f t="shared" si="8"/>
        <v>0</v>
      </c>
      <c r="J51" s="678">
        <f t="shared" si="8"/>
        <v>0</v>
      </c>
      <c r="K51" s="675">
        <f>SUM(K48:K50)</f>
        <v>0</v>
      </c>
      <c r="L51" s="676">
        <f>SUM(L48:L50)</f>
        <v>0</v>
      </c>
    </row>
    <row r="52" spans="1:12" ht="11.25" customHeight="1">
      <c r="A52" s="517"/>
      <c r="B52" s="1555"/>
      <c r="C52" s="264"/>
      <c r="D52" s="264"/>
      <c r="E52" s="218"/>
      <c r="F52" s="265"/>
      <c r="G52" s="264"/>
      <c r="H52" s="1597"/>
      <c r="I52" s="1603"/>
      <c r="J52" s="266"/>
      <c r="K52" s="264"/>
      <c r="L52" s="218"/>
    </row>
    <row r="53" spans="1:12" ht="11.25" customHeight="1">
      <c r="A53" s="672" t="s">
        <v>1899</v>
      </c>
      <c r="B53" s="1555"/>
      <c r="C53" s="84"/>
      <c r="D53" s="84"/>
      <c r="E53" s="139"/>
      <c r="F53" s="128"/>
      <c r="G53" s="84"/>
      <c r="H53" s="425"/>
      <c r="I53" s="906"/>
      <c r="J53" s="87"/>
      <c r="K53" s="84"/>
      <c r="L53" s="139"/>
    </row>
    <row r="54" spans="1:12" ht="11.25" customHeight="1">
      <c r="A54" s="2464" t="str">
        <f>$A$6</f>
        <v>Insert description</v>
      </c>
      <c r="B54" s="1555">
        <v>4</v>
      </c>
      <c r="C54" s="1951"/>
      <c r="D54" s="1951"/>
      <c r="E54" s="1960"/>
      <c r="F54" s="1961"/>
      <c r="G54" s="1951"/>
      <c r="H54" s="1952"/>
      <c r="I54" s="1963"/>
      <c r="J54" s="1962"/>
      <c r="K54" s="1951"/>
      <c r="L54" s="1960"/>
    </row>
    <row r="55" spans="1:12" ht="11.25" customHeight="1">
      <c r="A55" s="2265"/>
      <c r="B55" s="1555"/>
      <c r="C55" s="1951"/>
      <c r="D55" s="1951"/>
      <c r="E55" s="1960"/>
      <c r="F55" s="1961"/>
      <c r="G55" s="1951"/>
      <c r="H55" s="1952"/>
      <c r="I55" s="1963"/>
      <c r="J55" s="1962"/>
      <c r="K55" s="1951"/>
      <c r="L55" s="1960"/>
    </row>
    <row r="56" spans="1:12" ht="11.25" customHeight="1">
      <c r="A56" s="2265"/>
      <c r="B56" s="1555"/>
      <c r="C56" s="1951"/>
      <c r="D56" s="1951"/>
      <c r="E56" s="1960"/>
      <c r="F56" s="1961"/>
      <c r="G56" s="1951"/>
      <c r="H56" s="1952"/>
      <c r="I56" s="1963"/>
      <c r="J56" s="1962"/>
      <c r="K56" s="1951"/>
      <c r="L56" s="1960"/>
    </row>
    <row r="57" spans="1:12" ht="11.25" customHeight="1">
      <c r="A57" s="1370" t="s">
        <v>1900</v>
      </c>
      <c r="B57" s="1556"/>
      <c r="C57" s="675">
        <f>SUM(C54:C56)</f>
        <v>0</v>
      </c>
      <c r="D57" s="675">
        <f t="shared" ref="D57:J57" si="9">SUM(D54:D56)</f>
        <v>0</v>
      </c>
      <c r="E57" s="676">
        <f t="shared" si="9"/>
        <v>0</v>
      </c>
      <c r="F57" s="677">
        <f t="shared" si="9"/>
        <v>0</v>
      </c>
      <c r="G57" s="675">
        <f t="shared" si="9"/>
        <v>0</v>
      </c>
      <c r="H57" s="1596">
        <f t="shared" si="9"/>
        <v>0</v>
      </c>
      <c r="I57" s="1602">
        <f t="shared" si="9"/>
        <v>0</v>
      </c>
      <c r="J57" s="678">
        <f t="shared" si="9"/>
        <v>0</v>
      </c>
      <c r="K57" s="675">
        <f>SUM(K54:K56)</f>
        <v>0</v>
      </c>
      <c r="L57" s="676">
        <f>SUM(L54:L56)</f>
        <v>0</v>
      </c>
    </row>
    <row r="58" spans="1:12" ht="11.25" customHeight="1">
      <c r="A58" s="1584"/>
      <c r="B58" s="1555"/>
      <c r="C58" s="264"/>
      <c r="D58" s="264"/>
      <c r="E58" s="218"/>
      <c r="F58" s="265"/>
      <c r="G58" s="264"/>
      <c r="H58" s="1597"/>
      <c r="I58" s="1603"/>
      <c r="J58" s="266"/>
      <c r="K58" s="264"/>
      <c r="L58" s="218"/>
    </row>
    <row r="59" spans="1:12" ht="11.25" customHeight="1">
      <c r="A59" s="672" t="s">
        <v>1780</v>
      </c>
      <c r="B59" s="1555"/>
      <c r="C59" s="84"/>
      <c r="D59" s="84"/>
      <c r="E59" s="139"/>
      <c r="F59" s="128"/>
      <c r="G59" s="84"/>
      <c r="H59" s="425"/>
      <c r="I59" s="906"/>
      <c r="J59" s="87"/>
      <c r="K59" s="84"/>
      <c r="L59" s="139"/>
    </row>
    <row r="60" spans="1:12" ht="11.25" customHeight="1">
      <c r="A60" s="2464" t="str">
        <f>$A$6</f>
        <v>Insert description</v>
      </c>
      <c r="B60" s="1555">
        <v>5</v>
      </c>
      <c r="C60" s="1951"/>
      <c r="D60" s="1951"/>
      <c r="E60" s="1960"/>
      <c r="F60" s="1961"/>
      <c r="G60" s="1951"/>
      <c r="H60" s="1952"/>
      <c r="I60" s="1963"/>
      <c r="J60" s="1962"/>
      <c r="K60" s="1951"/>
      <c r="L60" s="1960"/>
    </row>
    <row r="61" spans="1:12" ht="11.25" customHeight="1">
      <c r="A61" s="2265"/>
      <c r="B61" s="1555"/>
      <c r="C61" s="1951"/>
      <c r="D61" s="1951"/>
      <c r="E61" s="1960"/>
      <c r="F61" s="1961"/>
      <c r="G61" s="1951"/>
      <c r="H61" s="1952"/>
      <c r="I61" s="1963"/>
      <c r="J61" s="1962"/>
      <c r="K61" s="1951"/>
      <c r="L61" s="1960"/>
    </row>
    <row r="62" spans="1:12" ht="11.25" customHeight="1">
      <c r="A62" s="2265"/>
      <c r="B62" s="1555"/>
      <c r="C62" s="1951"/>
      <c r="D62" s="1951"/>
      <c r="E62" s="1960"/>
      <c r="F62" s="1961"/>
      <c r="G62" s="1951"/>
      <c r="H62" s="1952"/>
      <c r="I62" s="1963"/>
      <c r="J62" s="1962"/>
      <c r="K62" s="1951"/>
      <c r="L62" s="1960"/>
    </row>
    <row r="63" spans="1:12" ht="11.25" customHeight="1">
      <c r="A63" s="1370" t="s">
        <v>1901</v>
      </c>
      <c r="B63" s="1556"/>
      <c r="C63" s="675">
        <f t="shared" ref="C63:L63" si="10">SUM(C60:C62)</f>
        <v>0</v>
      </c>
      <c r="D63" s="675">
        <f t="shared" si="10"/>
        <v>0</v>
      </c>
      <c r="E63" s="676">
        <f t="shared" si="10"/>
        <v>0</v>
      </c>
      <c r="F63" s="677">
        <f t="shared" si="10"/>
        <v>0</v>
      </c>
      <c r="G63" s="675">
        <f t="shared" si="10"/>
        <v>0</v>
      </c>
      <c r="H63" s="1596">
        <f t="shared" si="10"/>
        <v>0</v>
      </c>
      <c r="I63" s="1602">
        <f t="shared" si="10"/>
        <v>0</v>
      </c>
      <c r="J63" s="678">
        <f t="shared" si="10"/>
        <v>0</v>
      </c>
      <c r="K63" s="675">
        <f t="shared" si="10"/>
        <v>0</v>
      </c>
      <c r="L63" s="676">
        <f t="shared" si="10"/>
        <v>0</v>
      </c>
    </row>
    <row r="64" spans="1:12" ht="15" customHeight="1">
      <c r="A64" s="680" t="s">
        <v>1902</v>
      </c>
      <c r="B64" s="1557"/>
      <c r="C64" s="104">
        <f t="shared" ref="C64:L64" si="11">C39+C45+C51+C57+C63</f>
        <v>0</v>
      </c>
      <c r="D64" s="104">
        <f t="shared" si="11"/>
        <v>0</v>
      </c>
      <c r="E64" s="225">
        <f t="shared" si="11"/>
        <v>0</v>
      </c>
      <c r="F64" s="226">
        <f t="shared" si="11"/>
        <v>0</v>
      </c>
      <c r="G64" s="104">
        <f t="shared" si="11"/>
        <v>0</v>
      </c>
      <c r="H64" s="1598">
        <f t="shared" si="11"/>
        <v>0</v>
      </c>
      <c r="I64" s="1604">
        <f t="shared" si="11"/>
        <v>0</v>
      </c>
      <c r="J64" s="103">
        <f t="shared" si="11"/>
        <v>0</v>
      </c>
      <c r="K64" s="104">
        <f t="shared" si="11"/>
        <v>0</v>
      </c>
      <c r="L64" s="225">
        <f t="shared" si="11"/>
        <v>0</v>
      </c>
    </row>
    <row r="65" spans="1:12" ht="15" customHeight="1">
      <c r="A65" s="680" t="s">
        <v>262</v>
      </c>
      <c r="B65" s="1557">
        <v>6</v>
      </c>
      <c r="C65" s="104">
        <f>C33+C64</f>
        <v>123608708.13</v>
      </c>
      <c r="D65" s="104">
        <f t="shared" ref="D65:L65" si="12">D33+D64</f>
        <v>113263619.28</v>
      </c>
      <c r="E65" s="225">
        <f t="shared" si="12"/>
        <v>50297362.430000007</v>
      </c>
      <c r="F65" s="226">
        <f t="shared" si="12"/>
        <v>36021812</v>
      </c>
      <c r="G65" s="104">
        <f t="shared" si="12"/>
        <v>39961030.020000003</v>
      </c>
      <c r="H65" s="1598">
        <f t="shared" si="12"/>
        <v>33763216.920000002</v>
      </c>
      <c r="I65" s="1604">
        <f t="shared" si="12"/>
        <v>33763216.920000002</v>
      </c>
      <c r="J65" s="103">
        <f t="shared" si="12"/>
        <v>30919000</v>
      </c>
      <c r="K65" s="104">
        <f t="shared" si="12"/>
        <v>24197110</v>
      </c>
      <c r="L65" s="225">
        <f t="shared" si="12"/>
        <v>24523577.060000002</v>
      </c>
    </row>
    <row r="66" spans="1:12" ht="11.25" customHeight="1">
      <c r="A66" s="112" t="str">
        <f>head27a</f>
        <v>References</v>
      </c>
      <c r="B66" s="113"/>
      <c r="C66" s="118"/>
      <c r="D66" s="118"/>
      <c r="E66" s="118"/>
      <c r="F66" s="118"/>
      <c r="G66" s="118"/>
      <c r="H66" s="118"/>
      <c r="I66" s="118"/>
      <c r="J66" s="118"/>
      <c r="K66" s="118"/>
      <c r="L66" s="118"/>
    </row>
    <row r="67" spans="1:12">
      <c r="A67" s="119" t="s">
        <v>1171</v>
      </c>
    </row>
    <row r="68" spans="1:12">
      <c r="A68" s="119" t="s">
        <v>1132</v>
      </c>
    </row>
    <row r="69" spans="1:12">
      <c r="A69" s="119" t="s">
        <v>1224</v>
      </c>
    </row>
    <row r="70" spans="1:12">
      <c r="A70" s="119" t="s">
        <v>1498</v>
      </c>
    </row>
    <row r="71" spans="1:12">
      <c r="A71" s="119" t="s">
        <v>1782</v>
      </c>
    </row>
    <row r="72" spans="1:12">
      <c r="A72" s="119" t="s">
        <v>1781</v>
      </c>
    </row>
  </sheetData>
  <mergeCells count="2">
    <mergeCell ref="J2:L2"/>
    <mergeCell ref="F2:I2"/>
  </mergeCells>
  <phoneticPr fontId="5"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42 A48 A54 A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98" activePane="bottomRight" state="frozen"/>
      <selection pane="topRight"/>
      <selection pane="bottomLeft"/>
      <selection pane="bottomRight" activeCell="D61" sqref="D61"/>
    </sheetView>
  </sheetViews>
  <sheetFormatPr defaultColWidth="9.140625"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"&amp;TableA22</f>
        <v>LIM333 Greater Tzaneen - Supporting Table SA22 Summary councillor and staff benefits</v>
      </c>
      <c r="B1" s="24"/>
      <c r="C1" s="24"/>
      <c r="D1" s="24"/>
      <c r="E1" s="24"/>
      <c r="F1" s="24"/>
      <c r="G1" s="24"/>
      <c r="H1" s="24"/>
      <c r="I1" s="24"/>
      <c r="J1" s="24"/>
      <c r="K1" s="24"/>
    </row>
    <row r="2" spans="1:12" ht="28.5" customHeight="1">
      <c r="A2" s="841" t="s">
        <v>1441</v>
      </c>
      <c r="B2" s="288" t="str">
        <f>head27</f>
        <v>Ref</v>
      </c>
      <c r="C2" s="27" t="str">
        <f>head1b</f>
        <v>2016/17</v>
      </c>
      <c r="D2" s="618" t="str">
        <f>head1A</f>
        <v>2017/18</v>
      </c>
      <c r="E2" s="23" t="str">
        <f>Head1</f>
        <v>2018/19</v>
      </c>
      <c r="F2" s="2842" t="str">
        <f>Head2</f>
        <v>Current Year 2019/20</v>
      </c>
      <c r="G2" s="2843"/>
      <c r="H2" s="2847"/>
      <c r="I2" s="2840" t="str">
        <f>Head3</f>
        <v>2020/21 Medium Term Revenue &amp; Expenditure Framework</v>
      </c>
      <c r="J2" s="2840"/>
      <c r="K2" s="2841"/>
    </row>
    <row r="3" spans="1:12" ht="25.5">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259" t="str">
        <f>Head9</f>
        <v>Budget Year 2020/21</v>
      </c>
      <c r="J3" s="260" t="str">
        <f>Head10</f>
        <v>Budget Year +1 2021/22</v>
      </c>
      <c r="K3" s="261" t="str">
        <f>Head11</f>
        <v>Budget Year +2 2022/23</v>
      </c>
    </row>
    <row r="4" spans="1:12">
      <c r="A4" s="126"/>
      <c r="B4" s="59">
        <v>1</v>
      </c>
      <c r="C4" s="59" t="s">
        <v>345</v>
      </c>
      <c r="D4" s="59" t="s">
        <v>1173</v>
      </c>
      <c r="E4" s="682" t="s">
        <v>427</v>
      </c>
      <c r="F4" s="683" t="s">
        <v>473</v>
      </c>
      <c r="G4" s="59" t="s">
        <v>1360</v>
      </c>
      <c r="H4" s="682" t="s">
        <v>1361</v>
      </c>
      <c r="I4" s="519" t="s">
        <v>1362</v>
      </c>
      <c r="J4" s="59" t="s">
        <v>486</v>
      </c>
      <c r="K4" s="682" t="s">
        <v>487</v>
      </c>
    </row>
    <row r="5" spans="1:12" ht="11.25" customHeight="1">
      <c r="A5" s="126" t="s">
        <v>652</v>
      </c>
      <c r="B5" s="59"/>
      <c r="C5" s="80"/>
      <c r="D5" s="80"/>
      <c r="E5" s="81"/>
      <c r="F5" s="82"/>
      <c r="G5" s="80"/>
      <c r="H5" s="81"/>
      <c r="I5" s="79"/>
      <c r="J5" s="80"/>
      <c r="K5" s="81"/>
    </row>
    <row r="6" spans="1:12" ht="11.25" customHeight="1">
      <c r="A6" s="127" t="s">
        <v>1142</v>
      </c>
      <c r="B6" s="59"/>
      <c r="C6" s="1951">
        <v>22457384</v>
      </c>
      <c r="D6" s="1951">
        <f>24432412</f>
        <v>24432412</v>
      </c>
      <c r="E6" s="1960">
        <v>26136302.419999998</v>
      </c>
      <c r="F6" s="1961">
        <v>28266131</v>
      </c>
      <c r="G6" s="1951">
        <v>28266131</v>
      </c>
      <c r="H6" s="1960">
        <v>28125131.32</v>
      </c>
      <c r="I6" s="1962">
        <v>28360883</v>
      </c>
      <c r="J6" s="1951">
        <v>29665483.618000001</v>
      </c>
      <c r="K6" s="1960">
        <v>31030095.864427995</v>
      </c>
    </row>
    <row r="7" spans="1:12" ht="11.25" customHeight="1">
      <c r="A7" s="127" t="s">
        <v>1799</v>
      </c>
      <c r="B7" s="59"/>
      <c r="C7" s="1951"/>
      <c r="D7" s="1951"/>
      <c r="E7" s="1960"/>
      <c r="F7" s="1961"/>
      <c r="G7" s="1951"/>
      <c r="H7" s="1960"/>
      <c r="I7" s="1962"/>
      <c r="J7" s="1951"/>
      <c r="K7" s="1960"/>
    </row>
    <row r="8" spans="1:12" ht="11.25" customHeight="1">
      <c r="A8" s="127" t="s">
        <v>653</v>
      </c>
      <c r="B8" s="59"/>
      <c r="C8" s="1951"/>
      <c r="D8" s="1951"/>
      <c r="E8" s="1960"/>
      <c r="F8" s="1961"/>
      <c r="G8" s="1951"/>
      <c r="H8" s="1960"/>
      <c r="I8" s="1962"/>
      <c r="J8" s="1951"/>
      <c r="K8" s="1960"/>
    </row>
    <row r="9" spans="1:12" ht="11.25" customHeight="1">
      <c r="A9" s="127" t="s">
        <v>1947</v>
      </c>
      <c r="B9" s="59"/>
      <c r="C9" s="1951"/>
      <c r="D9" s="1951"/>
      <c r="E9" s="1960"/>
      <c r="F9" s="1961"/>
      <c r="G9" s="1951"/>
      <c r="H9" s="1960"/>
      <c r="I9" s="1962"/>
      <c r="J9" s="1951"/>
      <c r="K9" s="1960"/>
      <c r="L9" s="240"/>
    </row>
    <row r="10" spans="1:12" ht="11.25" customHeight="1">
      <c r="A10" s="67" t="s">
        <v>1800</v>
      </c>
      <c r="B10" s="59"/>
      <c r="C10" s="1951"/>
      <c r="D10" s="1951"/>
      <c r="E10" s="1960"/>
      <c r="F10" s="1961"/>
      <c r="G10" s="1951"/>
      <c r="H10" s="1960"/>
      <c r="I10" s="1962"/>
      <c r="J10" s="1951"/>
      <c r="K10" s="1960"/>
      <c r="L10" s="240"/>
    </row>
    <row r="11" spans="1:12" ht="11.25" customHeight="1">
      <c r="A11" s="67" t="s">
        <v>1948</v>
      </c>
      <c r="B11" s="59"/>
      <c r="C11" s="1951"/>
      <c r="D11" s="1951"/>
      <c r="E11" s="1960"/>
      <c r="F11" s="1961"/>
      <c r="G11" s="1951"/>
      <c r="H11" s="1960"/>
      <c r="I11" s="1962"/>
      <c r="J11" s="1951"/>
      <c r="K11" s="1960"/>
      <c r="L11" s="240"/>
    </row>
    <row r="12" spans="1:12" ht="11.25" customHeight="1">
      <c r="A12" s="67" t="s">
        <v>1348</v>
      </c>
      <c r="B12" s="59"/>
      <c r="C12" s="1951"/>
      <c r="D12" s="1951"/>
      <c r="E12" s="1960"/>
      <c r="F12" s="1961"/>
      <c r="G12" s="1951"/>
      <c r="H12" s="1960"/>
      <c r="I12" s="1962"/>
      <c r="J12" s="1951"/>
      <c r="K12" s="1960"/>
      <c r="L12" s="240"/>
    </row>
    <row r="13" spans="1:12" ht="11.25" customHeight="1">
      <c r="A13" s="140" t="s">
        <v>654</v>
      </c>
      <c r="B13" s="59"/>
      <c r="C13" s="142">
        <f t="shared" ref="C13:K13" si="0">SUM(C6:C12)</f>
        <v>22457384</v>
      </c>
      <c r="D13" s="90">
        <f t="shared" si="0"/>
        <v>24432412</v>
      </c>
      <c r="E13" s="91">
        <f t="shared" si="0"/>
        <v>26136302.419999998</v>
      </c>
      <c r="F13" s="92">
        <f t="shared" si="0"/>
        <v>28266131</v>
      </c>
      <c r="G13" s="90">
        <f t="shared" si="0"/>
        <v>28266131</v>
      </c>
      <c r="H13" s="91">
        <f t="shared" si="0"/>
        <v>28125131.32</v>
      </c>
      <c r="I13" s="89">
        <f t="shared" si="0"/>
        <v>28360883</v>
      </c>
      <c r="J13" s="90">
        <f t="shared" si="0"/>
        <v>29665483.618000001</v>
      </c>
      <c r="K13" s="91">
        <f t="shared" si="0"/>
        <v>31030095.864427995</v>
      </c>
      <c r="L13" s="240"/>
    </row>
    <row r="14" spans="1:12" ht="11.25" customHeight="1">
      <c r="A14" s="243" t="s">
        <v>799</v>
      </c>
      <c r="B14" s="59">
        <v>4</v>
      </c>
      <c r="C14" s="684"/>
      <c r="D14" s="685">
        <f>IF(ISERROR((D13/C13)-1),0,((D13/C13)-1))</f>
        <v>8.7945595088012141E-2</v>
      </c>
      <c r="E14" s="720">
        <f t="shared" ref="E14:K14" si="1">IF(ISERROR((E13/D13)-1),0,((E13/D13)-1))</f>
        <v>6.9738936131234164E-2</v>
      </c>
      <c r="F14" s="1015">
        <f t="shared" si="1"/>
        <v>8.1489284359145486E-2</v>
      </c>
      <c r="G14" s="685">
        <f t="shared" si="1"/>
        <v>0</v>
      </c>
      <c r="H14" s="720">
        <f t="shared" si="1"/>
        <v>-4.9882907568779E-3</v>
      </c>
      <c r="I14" s="1015">
        <f t="shared" si="1"/>
        <v>8.3822428175599484E-3</v>
      </c>
      <c r="J14" s="685">
        <f t="shared" si="1"/>
        <v>4.6000000000000041E-2</v>
      </c>
      <c r="K14" s="720">
        <f t="shared" si="1"/>
        <v>4.5999999999999819E-2</v>
      </c>
      <c r="L14" s="240"/>
    </row>
    <row r="15" spans="1:12" ht="4.9000000000000004" customHeight="1">
      <c r="A15" s="148"/>
      <c r="B15" s="59"/>
      <c r="C15" s="384"/>
      <c r="D15" s="273"/>
      <c r="E15" s="72"/>
      <c r="F15" s="270"/>
      <c r="G15" s="273"/>
      <c r="H15" s="72"/>
      <c r="I15" s="182"/>
      <c r="J15" s="273"/>
      <c r="K15" s="72"/>
      <c r="L15" s="240"/>
    </row>
    <row r="16" spans="1:12" ht="11.25" customHeight="1">
      <c r="A16" s="126" t="s">
        <v>1141</v>
      </c>
      <c r="B16" s="59">
        <v>2</v>
      </c>
      <c r="C16" s="84"/>
      <c r="D16" s="80"/>
      <c r="E16" s="81"/>
      <c r="F16" s="82"/>
      <c r="G16" s="80"/>
      <c r="H16" s="81"/>
      <c r="I16" s="79"/>
      <c r="J16" s="80"/>
      <c r="K16" s="81"/>
      <c r="L16" s="240"/>
    </row>
    <row r="17" spans="1:12" ht="11.25" customHeight="1">
      <c r="A17" s="67" t="s">
        <v>1142</v>
      </c>
      <c r="B17" s="59"/>
      <c r="C17" s="1951">
        <v>7387404</v>
      </c>
      <c r="D17" s="1951">
        <v>4135434</v>
      </c>
      <c r="E17" s="1960">
        <v>10227895</v>
      </c>
      <c r="F17" s="1961">
        <v>10328246</v>
      </c>
      <c r="G17" s="1951">
        <v>10328246</v>
      </c>
      <c r="H17" s="1951">
        <v>10328246</v>
      </c>
      <c r="I17" s="1962">
        <v>10114131</v>
      </c>
      <c r="J17" s="1951">
        <v>10579381.026000001</v>
      </c>
      <c r="K17" s="1960">
        <v>11066032.553196</v>
      </c>
      <c r="L17" s="240"/>
    </row>
    <row r="18" spans="1:12" ht="11.25" customHeight="1">
      <c r="A18" s="67" t="s">
        <v>1799</v>
      </c>
      <c r="B18" s="59"/>
      <c r="C18" s="1951"/>
      <c r="D18" s="1951"/>
      <c r="E18" s="1960"/>
      <c r="F18" s="1961"/>
      <c r="G18" s="1951"/>
      <c r="H18" s="1960"/>
      <c r="I18" s="1962"/>
      <c r="J18" s="1951"/>
      <c r="K18" s="1960"/>
      <c r="L18" s="240"/>
    </row>
    <row r="19" spans="1:12" ht="11.25" customHeight="1">
      <c r="A19" s="67" t="s">
        <v>653</v>
      </c>
      <c r="B19" s="59"/>
      <c r="C19" s="1951"/>
      <c r="D19" s="1951"/>
      <c r="E19" s="1960"/>
      <c r="F19" s="1961"/>
      <c r="G19" s="1951"/>
      <c r="H19" s="1960"/>
      <c r="I19" s="1962"/>
      <c r="J19" s="1951"/>
      <c r="K19" s="1960"/>
      <c r="L19" s="240"/>
    </row>
    <row r="20" spans="1:12" ht="11.25" customHeight="1">
      <c r="A20" s="67" t="s">
        <v>953</v>
      </c>
      <c r="B20" s="59"/>
      <c r="C20" s="1951"/>
      <c r="D20" s="1951"/>
      <c r="E20" s="1960"/>
      <c r="F20" s="1961"/>
      <c r="G20" s="1951"/>
      <c r="H20" s="1960"/>
      <c r="I20" s="1962"/>
      <c r="J20" s="1951"/>
      <c r="K20" s="1960"/>
      <c r="L20" s="240"/>
    </row>
    <row r="21" spans="1:12" ht="11.25" customHeight="1">
      <c r="A21" s="67" t="s">
        <v>655</v>
      </c>
      <c r="B21" s="59"/>
      <c r="C21" s="1951"/>
      <c r="D21" s="1951"/>
      <c r="E21" s="1960">
        <v>502946</v>
      </c>
      <c r="F21" s="1961">
        <v>996627</v>
      </c>
      <c r="G21" s="1951"/>
      <c r="H21" s="1960"/>
      <c r="I21" s="1962">
        <v>1011425</v>
      </c>
      <c r="J21" s="1951">
        <v>1057950.55</v>
      </c>
      <c r="K21" s="1960">
        <v>1106616.2753000001</v>
      </c>
      <c r="L21" s="240"/>
    </row>
    <row r="22" spans="1:12" ht="11.25" customHeight="1">
      <c r="A22" s="67" t="s">
        <v>1947</v>
      </c>
      <c r="B22" s="59">
        <v>3</v>
      </c>
      <c r="C22" s="1951"/>
      <c r="D22" s="1951"/>
      <c r="E22" s="1960"/>
      <c r="F22" s="1961"/>
      <c r="G22" s="1951"/>
      <c r="H22" s="1960"/>
      <c r="I22" s="1962"/>
      <c r="J22" s="1951"/>
      <c r="K22" s="1960"/>
      <c r="L22" s="240"/>
    </row>
    <row r="23" spans="1:12" ht="11.25" customHeight="1">
      <c r="A23" s="67" t="s">
        <v>1800</v>
      </c>
      <c r="B23" s="59">
        <v>3</v>
      </c>
      <c r="C23" s="1951"/>
      <c r="D23" s="1951"/>
      <c r="E23" s="1960"/>
      <c r="F23" s="1961"/>
      <c r="G23" s="1951"/>
      <c r="H23" s="1960"/>
      <c r="I23" s="1962"/>
      <c r="J23" s="1951"/>
      <c r="K23" s="1960"/>
      <c r="L23" s="240"/>
    </row>
    <row r="24" spans="1:12" ht="11.25" customHeight="1">
      <c r="A24" s="67" t="s">
        <v>1948</v>
      </c>
      <c r="B24" s="59">
        <v>3</v>
      </c>
      <c r="C24" s="1951"/>
      <c r="D24" s="1951"/>
      <c r="E24" s="1960"/>
      <c r="F24" s="1961"/>
      <c r="G24" s="1951"/>
      <c r="H24" s="1960"/>
      <c r="I24" s="1962"/>
      <c r="J24" s="1951"/>
      <c r="K24" s="1960"/>
      <c r="L24" s="240"/>
    </row>
    <row r="25" spans="1:12" ht="11.25" customHeight="1">
      <c r="A25" s="67" t="s">
        <v>1348</v>
      </c>
      <c r="B25" s="59">
        <v>3</v>
      </c>
      <c r="C25" s="1951"/>
      <c r="D25" s="1951"/>
      <c r="E25" s="1960"/>
      <c r="F25" s="1961"/>
      <c r="G25" s="1951"/>
      <c r="H25" s="1960"/>
      <c r="I25" s="1962"/>
      <c r="J25" s="1951"/>
      <c r="K25" s="1960"/>
      <c r="L25" s="240"/>
    </row>
    <row r="26" spans="1:12" ht="11.25" customHeight="1">
      <c r="A26" s="67" t="s">
        <v>1459</v>
      </c>
      <c r="B26" s="59"/>
      <c r="C26" s="1951"/>
      <c r="D26" s="1951"/>
      <c r="E26" s="1960"/>
      <c r="F26" s="1961"/>
      <c r="G26" s="1951"/>
      <c r="H26" s="1960"/>
      <c r="I26" s="1962"/>
      <c r="J26" s="1951"/>
      <c r="K26" s="1960"/>
      <c r="L26" s="240"/>
    </row>
    <row r="27" spans="1:12" ht="11.25" customHeight="1">
      <c r="A27" s="67" t="s">
        <v>954</v>
      </c>
      <c r="B27" s="59"/>
      <c r="C27" s="1951"/>
      <c r="D27" s="1951"/>
      <c r="E27" s="1960"/>
      <c r="F27" s="1961"/>
      <c r="G27" s="1951"/>
      <c r="H27" s="1960"/>
      <c r="I27" s="1962"/>
      <c r="J27" s="1951"/>
      <c r="K27" s="1960"/>
      <c r="L27" s="240"/>
    </row>
    <row r="28" spans="1:12" ht="11.25" customHeight="1">
      <c r="A28" s="67" t="s">
        <v>1460</v>
      </c>
      <c r="B28" s="59">
        <v>6</v>
      </c>
      <c r="C28" s="1951"/>
      <c r="D28" s="1951"/>
      <c r="E28" s="1960"/>
      <c r="F28" s="1961"/>
      <c r="G28" s="1951"/>
      <c r="H28" s="1960"/>
      <c r="I28" s="1962"/>
      <c r="J28" s="1951"/>
      <c r="K28" s="1960"/>
      <c r="L28" s="240"/>
    </row>
    <row r="29" spans="1:12" ht="11.25" customHeight="1">
      <c r="A29" s="140" t="s">
        <v>656</v>
      </c>
      <c r="B29" s="59"/>
      <c r="C29" s="142">
        <f>SUM(C17:C28)</f>
        <v>7387404</v>
      </c>
      <c r="D29" s="90">
        <f t="shared" ref="D29:K29" si="2">SUM(D17:D28)</f>
        <v>4135434</v>
      </c>
      <c r="E29" s="91">
        <f t="shared" si="2"/>
        <v>10730841</v>
      </c>
      <c r="F29" s="92">
        <f t="shared" si="2"/>
        <v>11324873</v>
      </c>
      <c r="G29" s="90">
        <f t="shared" si="2"/>
        <v>10328246</v>
      </c>
      <c r="H29" s="91">
        <f t="shared" si="2"/>
        <v>10328246</v>
      </c>
      <c r="I29" s="89">
        <f t="shared" si="2"/>
        <v>11125556</v>
      </c>
      <c r="J29" s="90">
        <f t="shared" si="2"/>
        <v>11637331.576000001</v>
      </c>
      <c r="K29" s="91">
        <f t="shared" si="2"/>
        <v>12172648.828496</v>
      </c>
      <c r="L29" s="240"/>
    </row>
    <row r="30" spans="1:12" ht="11.25" customHeight="1">
      <c r="A30" s="243" t="str">
        <f>$A$14</f>
        <v>% increase</v>
      </c>
      <c r="B30" s="59">
        <f>$B$14</f>
        <v>4</v>
      </c>
      <c r="C30" s="684"/>
      <c r="D30" s="685">
        <f>IF(ISERROR((D29/C29)-1),0,((D29/C29)-1))</f>
        <v>-0.44020470519819954</v>
      </c>
      <c r="E30" s="686">
        <f t="shared" ref="E30:K30" si="3">IF(ISERROR((E29/D29)-1),0,((E29/D29)-1))</f>
        <v>1.5948524387041361</v>
      </c>
      <c r="F30" s="687">
        <f t="shared" si="3"/>
        <v>5.5357450548377374E-2</v>
      </c>
      <c r="G30" s="685">
        <f t="shared" si="3"/>
        <v>-8.8003370987030038E-2</v>
      </c>
      <c r="H30" s="686">
        <f t="shared" si="3"/>
        <v>0</v>
      </c>
      <c r="I30" s="688">
        <f t="shared" si="3"/>
        <v>7.7197038103081539E-2</v>
      </c>
      <c r="J30" s="685">
        <f t="shared" si="3"/>
        <v>4.6000000000000041E-2</v>
      </c>
      <c r="K30" s="686">
        <f t="shared" si="3"/>
        <v>4.5999999999999819E-2</v>
      </c>
      <c r="L30" s="240"/>
    </row>
    <row r="31" spans="1:12" ht="4.9000000000000004" customHeight="1">
      <c r="A31" s="148"/>
      <c r="B31" s="59"/>
      <c r="C31" s="384"/>
      <c r="D31" s="273"/>
      <c r="E31" s="72"/>
      <c r="F31" s="270"/>
      <c r="G31" s="273"/>
      <c r="H31" s="72"/>
      <c r="I31" s="182"/>
      <c r="J31" s="273"/>
      <c r="K31" s="72"/>
      <c r="L31" s="240"/>
    </row>
    <row r="32" spans="1:12" ht="11.25" customHeight="1">
      <c r="A32" s="126" t="s">
        <v>657</v>
      </c>
      <c r="B32" s="59"/>
      <c r="C32" s="84"/>
      <c r="D32" s="80"/>
      <c r="E32" s="81"/>
      <c r="F32" s="82"/>
      <c r="G32" s="80"/>
      <c r="H32" s="81"/>
      <c r="I32" s="79"/>
      <c r="J32" s="80"/>
      <c r="K32" s="81"/>
      <c r="L32" s="240"/>
    </row>
    <row r="33" spans="1:15" ht="11.25" customHeight="1">
      <c r="A33" s="127" t="s">
        <v>1142</v>
      </c>
      <c r="B33" s="59"/>
      <c r="C33" s="1951">
        <f>155023550.68</f>
        <v>155023550.68000001</v>
      </c>
      <c r="D33" s="1951">
        <f>164849590.77</f>
        <v>164849590.77000001</v>
      </c>
      <c r="E33" s="1960">
        <f>177417368.25</f>
        <v>177417368.25</v>
      </c>
      <c r="F33" s="1961">
        <f>194740218.28</f>
        <v>194740218.28</v>
      </c>
      <c r="G33" s="1961">
        <f>191392991.46</f>
        <v>191392991.46000001</v>
      </c>
      <c r="H33" s="1960">
        <f>188718196.78</f>
        <v>188718196.78</v>
      </c>
      <c r="I33" s="1962">
        <f>212879882-I17</f>
        <v>202765751</v>
      </c>
      <c r="J33" s="1951">
        <f>222672356.572-J17</f>
        <v>212092975.546</v>
      </c>
      <c r="K33" s="1960">
        <f>232915284.974312-K17</f>
        <v>221849252.42111599</v>
      </c>
      <c r="L33" s="240"/>
    </row>
    <row r="34" spans="1:15" ht="11.25" customHeight="1">
      <c r="A34" s="127" t="s">
        <v>1799</v>
      </c>
      <c r="B34" s="59"/>
      <c r="C34" s="1951">
        <v>26625377</v>
      </c>
      <c r="D34" s="1951">
        <v>28938422.719999995</v>
      </c>
      <c r="E34" s="1960">
        <v>30465325.089999992</v>
      </c>
      <c r="F34" s="1961">
        <v>37229524.350000001</v>
      </c>
      <c r="G34" s="1961">
        <v>36607906.260000005</v>
      </c>
      <c r="H34" s="1960">
        <v>32502727.580000002</v>
      </c>
      <c r="I34" s="1962">
        <v>39132493</v>
      </c>
      <c r="J34" s="1951">
        <v>40932587.678000003</v>
      </c>
      <c r="K34" s="1960">
        <v>42815486.711188003</v>
      </c>
      <c r="L34" s="240"/>
    </row>
    <row r="35" spans="1:15" ht="11.25" customHeight="1">
      <c r="A35" s="127" t="s">
        <v>653</v>
      </c>
      <c r="B35" s="59"/>
      <c r="C35" s="1951">
        <v>9333731.120000001</v>
      </c>
      <c r="D35" s="1951">
        <v>10417908.51</v>
      </c>
      <c r="E35" s="1960">
        <v>7221630.6199999992</v>
      </c>
      <c r="F35" s="1961">
        <v>18242071</v>
      </c>
      <c r="G35" s="1961">
        <v>17699951.800000001</v>
      </c>
      <c r="H35" s="1960">
        <v>19550714.839999996</v>
      </c>
      <c r="I35" s="1962">
        <v>16881173.129999999</v>
      </c>
      <c r="J35" s="1951">
        <v>17657707.093979999</v>
      </c>
      <c r="K35" s="1960">
        <v>18469961.620303083</v>
      </c>
      <c r="L35" s="240"/>
    </row>
    <row r="36" spans="1:15" ht="11.25" customHeight="1">
      <c r="A36" s="127" t="s">
        <v>953</v>
      </c>
      <c r="B36" s="59"/>
      <c r="C36" s="1951">
        <v>26110171</v>
      </c>
      <c r="D36" s="1951">
        <v>25484377</v>
      </c>
      <c r="E36" s="1960">
        <v>24754783.300000001</v>
      </c>
      <c r="F36" s="1961">
        <v>41101954</v>
      </c>
      <c r="G36" s="1961">
        <v>20550976.5</v>
      </c>
      <c r="H36" s="1960">
        <v>21269157.5</v>
      </c>
      <c r="I36" s="1962">
        <v>18093992</v>
      </c>
      <c r="J36" s="1951">
        <v>18926315.632000003</v>
      </c>
      <c r="K36" s="1960">
        <v>19796926.151071999</v>
      </c>
      <c r="L36" s="240"/>
    </row>
    <row r="37" spans="1:15" ht="11.25" customHeight="1">
      <c r="A37" s="127" t="s">
        <v>655</v>
      </c>
      <c r="B37" s="59"/>
      <c r="C37" s="1951">
        <v>46604.66</v>
      </c>
      <c r="D37" s="1951">
        <v>37431</v>
      </c>
      <c r="E37" s="1960">
        <v>130799.53000000003</v>
      </c>
      <c r="F37" s="1961">
        <v>19398</v>
      </c>
      <c r="G37" s="1961">
        <v>0</v>
      </c>
      <c r="H37" s="1960"/>
      <c r="I37" s="1962"/>
      <c r="J37" s="1951"/>
      <c r="K37" s="1960"/>
      <c r="L37" s="240"/>
    </row>
    <row r="38" spans="1:15" ht="11.25" customHeight="1">
      <c r="A38" s="127" t="s">
        <v>1947</v>
      </c>
      <c r="B38" s="59">
        <v>3</v>
      </c>
      <c r="C38" s="1951">
        <v>11139562</v>
      </c>
      <c r="D38" s="1951">
        <v>11912410</v>
      </c>
      <c r="E38" s="1960">
        <v>12767199.93</v>
      </c>
      <c r="F38" s="1961">
        <v>16369685</v>
      </c>
      <c r="G38" s="1961">
        <v>16369685</v>
      </c>
      <c r="H38" s="1960">
        <v>12722655.18</v>
      </c>
      <c r="I38" s="1962">
        <v>16774895</v>
      </c>
      <c r="J38" s="1951">
        <v>17546540.169999998</v>
      </c>
      <c r="K38" s="1960">
        <v>18353681.017819997</v>
      </c>
      <c r="L38" s="240"/>
    </row>
    <row r="39" spans="1:15" ht="11.25" customHeight="1">
      <c r="A39" s="127" t="s">
        <v>1800</v>
      </c>
      <c r="B39" s="59">
        <v>3</v>
      </c>
      <c r="C39" s="1951"/>
      <c r="D39" s="1951"/>
      <c r="E39" s="1960"/>
      <c r="F39" s="1961">
        <v>0</v>
      </c>
      <c r="G39" s="1961">
        <v>0</v>
      </c>
      <c r="H39" s="1960"/>
      <c r="I39" s="1962"/>
      <c r="J39" s="1951"/>
      <c r="K39" s="1960"/>
      <c r="L39" s="240"/>
      <c r="O39" s="240"/>
    </row>
    <row r="40" spans="1:15" ht="11.25" customHeight="1">
      <c r="A40" s="127" t="s">
        <v>1948</v>
      </c>
      <c r="B40" s="59">
        <v>3</v>
      </c>
      <c r="C40" s="1951">
        <v>3200597</v>
      </c>
      <c r="D40" s="1951">
        <v>3609018</v>
      </c>
      <c r="E40" s="1960">
        <v>1886397.5999999996</v>
      </c>
      <c r="F40" s="1961">
        <v>2077981</v>
      </c>
      <c r="G40" s="1961">
        <v>2077981</v>
      </c>
      <c r="H40" s="1960">
        <v>1773313.5799999996</v>
      </c>
      <c r="I40" s="1962">
        <v>1841142</v>
      </c>
      <c r="J40" s="1951">
        <v>1925834.5320000001</v>
      </c>
      <c r="K40" s="1960">
        <v>2014422.920472</v>
      </c>
      <c r="L40" s="240"/>
      <c r="O40" s="240"/>
    </row>
    <row r="41" spans="1:15" ht="11.25" customHeight="1">
      <c r="A41" s="127" t="s">
        <v>1348</v>
      </c>
      <c r="B41" s="59">
        <v>3</v>
      </c>
      <c r="C41" s="1951">
        <v>18215217.879999999</v>
      </c>
      <c r="D41" s="1951">
        <v>21021580</v>
      </c>
      <c r="E41" s="1960">
        <v>22507400.959999997</v>
      </c>
      <c r="F41" s="1961">
        <v>22847664.329999998</v>
      </c>
      <c r="G41" s="1961">
        <v>22500659.329999998</v>
      </c>
      <c r="H41" s="1960">
        <v>18378259.640000001</v>
      </c>
      <c r="I41" s="1962">
        <v>22493532</v>
      </c>
      <c r="J41" s="1951">
        <v>23528234.471999999</v>
      </c>
      <c r="K41" s="1960">
        <v>24610533.257711999</v>
      </c>
      <c r="L41" s="240"/>
      <c r="O41" s="240"/>
    </row>
    <row r="42" spans="1:15" ht="11.25" customHeight="1">
      <c r="A42" s="127" t="s">
        <v>1459</v>
      </c>
      <c r="B42" s="59"/>
      <c r="C42" s="1951">
        <v>10256778.289999999</v>
      </c>
      <c r="D42" s="1951">
        <v>11610083</v>
      </c>
      <c r="E42" s="1960">
        <v>7350724.7200000007</v>
      </c>
      <c r="F42" s="1961">
        <v>7955022</v>
      </c>
      <c r="G42" s="1961">
        <v>7955022</v>
      </c>
      <c r="H42" s="1960">
        <v>9550617.7999999989</v>
      </c>
      <c r="I42" s="1962">
        <v>12094185</v>
      </c>
      <c r="J42" s="1951">
        <v>12650517.510000002</v>
      </c>
      <c r="K42" s="1960">
        <v>13232441.31546</v>
      </c>
      <c r="L42" s="240"/>
    </row>
    <row r="43" spans="1:15" ht="11.25" customHeight="1">
      <c r="A43" s="127" t="s">
        <v>954</v>
      </c>
      <c r="B43" s="59"/>
      <c r="C43" s="1951"/>
      <c r="D43" s="1951"/>
      <c r="E43" s="1960"/>
      <c r="F43" s="1961"/>
      <c r="G43" s="1951"/>
      <c r="H43" s="1960"/>
      <c r="I43" s="1962"/>
      <c r="J43" s="1951"/>
      <c r="K43" s="1960"/>
      <c r="L43" s="240"/>
    </row>
    <row r="44" spans="1:15" ht="11.25" customHeight="1">
      <c r="A44" s="127" t="s">
        <v>1460</v>
      </c>
      <c r="B44" s="59">
        <v>6</v>
      </c>
      <c r="C44" s="1951"/>
      <c r="D44" s="1951"/>
      <c r="E44" s="1960"/>
      <c r="F44" s="1961"/>
      <c r="G44" s="1951"/>
      <c r="H44" s="1960"/>
      <c r="I44" s="1962"/>
      <c r="J44" s="1951"/>
      <c r="K44" s="1960"/>
      <c r="L44" s="240"/>
    </row>
    <row r="45" spans="1:15" ht="11.25" customHeight="1">
      <c r="A45" s="140" t="s">
        <v>1569</v>
      </c>
      <c r="B45" s="59"/>
      <c r="C45" s="90">
        <f t="shared" ref="C45:K45" si="4">SUM(C33:C44)</f>
        <v>259951589.63</v>
      </c>
      <c r="D45" s="90">
        <f t="shared" si="4"/>
        <v>277880821</v>
      </c>
      <c r="E45" s="91">
        <f t="shared" si="4"/>
        <v>284501630.00000006</v>
      </c>
      <c r="F45" s="92">
        <f t="shared" si="4"/>
        <v>340583517.95999998</v>
      </c>
      <c r="G45" s="90">
        <f t="shared" si="4"/>
        <v>315155173.35000002</v>
      </c>
      <c r="H45" s="91">
        <f t="shared" si="4"/>
        <v>304465642.89999998</v>
      </c>
      <c r="I45" s="89">
        <f t="shared" si="4"/>
        <v>330077163.13</v>
      </c>
      <c r="J45" s="90">
        <f t="shared" si="4"/>
        <v>345260712.63398004</v>
      </c>
      <c r="K45" s="91">
        <f t="shared" si="4"/>
        <v>361142705.41514319</v>
      </c>
      <c r="L45" s="240"/>
    </row>
    <row r="46" spans="1:15" ht="11.25" customHeight="1">
      <c r="A46" s="243" t="str">
        <f>$A$14</f>
        <v>% increase</v>
      </c>
      <c r="B46" s="59">
        <f>$B$14</f>
        <v>4</v>
      </c>
      <c r="C46" s="689"/>
      <c r="D46" s="685">
        <f>IF(ISERROR((D45/C45)-1),0,((D45/C45)-1))</f>
        <v>6.8971424239103296E-2</v>
      </c>
      <c r="E46" s="686">
        <f t="shared" ref="E46:K46" si="5">IF(ISERROR((E45/D45)-1),0,((E45/D45)-1))</f>
        <v>2.3826073984429597E-2</v>
      </c>
      <c r="F46" s="687">
        <f t="shared" si="5"/>
        <v>0.1971232571145547</v>
      </c>
      <c r="G46" s="685">
        <f t="shared" si="5"/>
        <v>-7.4661113263227219E-2</v>
      </c>
      <c r="H46" s="686">
        <f t="shared" si="5"/>
        <v>-3.391830867433876E-2</v>
      </c>
      <c r="I46" s="688">
        <f t="shared" si="5"/>
        <v>8.4119574169529532E-2</v>
      </c>
      <c r="J46" s="685">
        <f t="shared" si="5"/>
        <v>4.6000000000000041E-2</v>
      </c>
      <c r="K46" s="686">
        <f t="shared" si="5"/>
        <v>4.6000000000000263E-2</v>
      </c>
      <c r="L46" s="240"/>
    </row>
    <row r="47" spans="1:15" ht="4.9000000000000004" customHeight="1">
      <c r="A47" s="148"/>
      <c r="B47" s="59"/>
      <c r="C47" s="273"/>
      <c r="D47" s="273"/>
      <c r="E47" s="72"/>
      <c r="F47" s="270"/>
      <c r="G47" s="273"/>
      <c r="H47" s="72"/>
      <c r="I47" s="182"/>
      <c r="J47" s="273"/>
      <c r="K47" s="72"/>
      <c r="L47" s="240"/>
    </row>
    <row r="48" spans="1:15" ht="11.25" customHeight="1">
      <c r="A48" s="659" t="s">
        <v>1365</v>
      </c>
      <c r="B48" s="660"/>
      <c r="C48" s="150">
        <f t="shared" ref="C48:K48" si="6">C13+C29+C45</f>
        <v>289796377.63</v>
      </c>
      <c r="D48" s="150">
        <f t="shared" si="6"/>
        <v>306448667</v>
      </c>
      <c r="E48" s="151">
        <f t="shared" si="6"/>
        <v>321368773.42000008</v>
      </c>
      <c r="F48" s="152">
        <f t="shared" si="6"/>
        <v>380174521.95999998</v>
      </c>
      <c r="G48" s="150">
        <f t="shared" si="6"/>
        <v>353749550.35000002</v>
      </c>
      <c r="H48" s="151">
        <f t="shared" si="6"/>
        <v>342919020.21999997</v>
      </c>
      <c r="I48" s="149">
        <f t="shared" si="6"/>
        <v>369563602.13</v>
      </c>
      <c r="J48" s="150">
        <f t="shared" si="6"/>
        <v>386563527.82798004</v>
      </c>
      <c r="K48" s="151">
        <f t="shared" si="6"/>
        <v>404345450.10806715</v>
      </c>
      <c r="L48" s="240"/>
    </row>
    <row r="49" spans="1:12" ht="11.25" customHeight="1">
      <c r="A49" s="148"/>
      <c r="B49" s="59"/>
      <c r="C49" s="690"/>
      <c r="D49" s="685">
        <f>IF(ISERROR((D48/C48)-1),0,((D48/C48)-1))</f>
        <v>5.7462034226186676E-2</v>
      </c>
      <c r="E49" s="686">
        <f t="shared" ref="E49:K49" si="7">IF(ISERROR((E48/D48)-1),0,((E48/D48)-1))</f>
        <v>4.8687131081565749E-2</v>
      </c>
      <c r="F49" s="687">
        <f t="shared" si="7"/>
        <v>0.18298525993733095</v>
      </c>
      <c r="G49" s="685">
        <f t="shared" si="7"/>
        <v>-6.950747639206678E-2</v>
      </c>
      <c r="H49" s="686">
        <f t="shared" si="7"/>
        <v>-3.0616378506444275E-2</v>
      </c>
      <c r="I49" s="688">
        <f t="shared" si="7"/>
        <v>7.7699341065730732E-2</v>
      </c>
      <c r="J49" s="685">
        <f t="shared" si="7"/>
        <v>4.6000000000000041E-2</v>
      </c>
      <c r="K49" s="686">
        <f t="shared" si="7"/>
        <v>4.6000000000000041E-2</v>
      </c>
      <c r="L49" s="240"/>
    </row>
    <row r="50" spans="1:12" ht="4.9000000000000004" customHeight="1">
      <c r="A50" s="148"/>
      <c r="B50" s="59"/>
      <c r="C50" s="273"/>
      <c r="D50" s="691"/>
      <c r="E50" s="692"/>
      <c r="F50" s="693"/>
      <c r="G50" s="691"/>
      <c r="H50" s="692"/>
      <c r="I50" s="694"/>
      <c r="J50" s="691"/>
      <c r="K50" s="692"/>
      <c r="L50" s="240"/>
    </row>
    <row r="51" spans="1:12" ht="11.25" customHeight="1">
      <c r="A51" s="126" t="s">
        <v>787</v>
      </c>
      <c r="B51" s="59"/>
      <c r="C51" s="80"/>
      <c r="D51" s="80"/>
      <c r="E51" s="81"/>
      <c r="F51" s="82"/>
      <c r="G51" s="80"/>
      <c r="H51" s="81"/>
      <c r="I51" s="79"/>
      <c r="J51" s="80"/>
      <c r="K51" s="81"/>
      <c r="L51" s="240"/>
    </row>
    <row r="52" spans="1:12" ht="11.25" customHeight="1">
      <c r="A52" s="67" t="s">
        <v>1142</v>
      </c>
      <c r="B52" s="59"/>
      <c r="C52" s="1951"/>
      <c r="D52" s="1951"/>
      <c r="E52" s="1960"/>
      <c r="F52" s="1961"/>
      <c r="G52" s="1951"/>
      <c r="H52" s="1960"/>
      <c r="I52" s="1962"/>
      <c r="J52" s="1951"/>
      <c r="K52" s="1960"/>
      <c r="L52" s="240"/>
    </row>
    <row r="53" spans="1:12" ht="11.25" customHeight="1">
      <c r="A53" s="67" t="s">
        <v>1799</v>
      </c>
      <c r="B53" s="59"/>
      <c r="C53" s="1951"/>
      <c r="D53" s="1951"/>
      <c r="E53" s="1960"/>
      <c r="F53" s="1961"/>
      <c r="G53" s="1951"/>
      <c r="H53" s="1960"/>
      <c r="I53" s="1962"/>
      <c r="J53" s="1951"/>
      <c r="K53" s="1960"/>
      <c r="L53" s="240"/>
    </row>
    <row r="54" spans="1:12" ht="11.25" customHeight="1">
      <c r="A54" s="67" t="s">
        <v>653</v>
      </c>
      <c r="B54" s="59"/>
      <c r="C54" s="1951"/>
      <c r="D54" s="1951"/>
      <c r="E54" s="1960"/>
      <c r="F54" s="1961"/>
      <c r="G54" s="1951"/>
      <c r="H54" s="1960"/>
      <c r="I54" s="1962"/>
      <c r="J54" s="1951"/>
      <c r="K54" s="1960"/>
      <c r="L54" s="240"/>
    </row>
    <row r="55" spans="1:12" ht="11.25" customHeight="1">
      <c r="A55" s="67" t="s">
        <v>953</v>
      </c>
      <c r="B55" s="59"/>
      <c r="C55" s="1951"/>
      <c r="D55" s="1951"/>
      <c r="E55" s="1960"/>
      <c r="F55" s="1961"/>
      <c r="G55" s="1951"/>
      <c r="H55" s="1960"/>
      <c r="I55" s="1962"/>
      <c r="J55" s="1951"/>
      <c r="K55" s="1960"/>
      <c r="L55" s="240"/>
    </row>
    <row r="56" spans="1:12" ht="11.25" customHeight="1">
      <c r="A56" s="67" t="s">
        <v>655</v>
      </c>
      <c r="B56" s="59"/>
      <c r="C56" s="1951"/>
      <c r="D56" s="1951"/>
      <c r="E56" s="1960"/>
      <c r="F56" s="1961"/>
      <c r="G56" s="1951"/>
      <c r="H56" s="1960"/>
      <c r="I56" s="1962"/>
      <c r="J56" s="1951"/>
      <c r="K56" s="1960"/>
      <c r="L56" s="240"/>
    </row>
    <row r="57" spans="1:12" ht="11.25" customHeight="1">
      <c r="A57" s="67" t="s">
        <v>1947</v>
      </c>
      <c r="B57" s="59">
        <v>3</v>
      </c>
      <c r="C57" s="1951"/>
      <c r="D57" s="1951"/>
      <c r="E57" s="1960"/>
      <c r="F57" s="1961"/>
      <c r="G57" s="1951"/>
      <c r="H57" s="1960"/>
      <c r="I57" s="1962"/>
      <c r="J57" s="1951"/>
      <c r="K57" s="1960"/>
      <c r="L57" s="240"/>
    </row>
    <row r="58" spans="1:12" ht="11.25" customHeight="1">
      <c r="A58" s="67" t="s">
        <v>1800</v>
      </c>
      <c r="B58" s="59">
        <v>3</v>
      </c>
      <c r="C58" s="1951"/>
      <c r="D58" s="1951"/>
      <c r="E58" s="1960"/>
      <c r="F58" s="1961"/>
      <c r="G58" s="1951"/>
      <c r="H58" s="1960"/>
      <c r="I58" s="1962"/>
      <c r="J58" s="1951"/>
      <c r="K58" s="1960"/>
      <c r="L58" s="240"/>
    </row>
    <row r="59" spans="1:12" ht="11.25" customHeight="1">
      <c r="A59" s="67" t="s">
        <v>1948</v>
      </c>
      <c r="B59" s="59">
        <v>3</v>
      </c>
      <c r="C59" s="1951"/>
      <c r="D59" s="1951"/>
      <c r="E59" s="1960"/>
      <c r="F59" s="1961"/>
      <c r="G59" s="1951"/>
      <c r="H59" s="1960"/>
      <c r="I59" s="1962"/>
      <c r="J59" s="1951"/>
      <c r="K59" s="1960"/>
      <c r="L59" s="240"/>
    </row>
    <row r="60" spans="1:12" ht="11.25" customHeight="1">
      <c r="A60" s="67" t="s">
        <v>1348</v>
      </c>
      <c r="B60" s="59">
        <v>3</v>
      </c>
      <c r="C60" s="1951">
        <v>197782</v>
      </c>
      <c r="D60" s="1951">
        <f>258363-4400</f>
        <v>253963</v>
      </c>
      <c r="E60" s="1960">
        <v>242168</v>
      </c>
      <c r="F60" s="1961">
        <v>247500</v>
      </c>
      <c r="G60" s="1961">
        <v>247500</v>
      </c>
      <c r="H60" s="1960">
        <v>247500</v>
      </c>
      <c r="I60" s="1962">
        <v>120250</v>
      </c>
      <c r="J60" s="1951">
        <v>132275</v>
      </c>
      <c r="K60" s="1960">
        <v>145502</v>
      </c>
      <c r="L60" s="240"/>
    </row>
    <row r="61" spans="1:12" ht="11.25" customHeight="1">
      <c r="A61" s="67" t="s">
        <v>1951</v>
      </c>
      <c r="B61" s="59"/>
      <c r="C61" s="1951">
        <v>610076</v>
      </c>
      <c r="D61" s="1951">
        <v>697193</v>
      </c>
      <c r="E61" s="1960">
        <v>672052</v>
      </c>
      <c r="F61" s="1961">
        <v>453500</v>
      </c>
      <c r="G61" s="1961">
        <v>453500</v>
      </c>
      <c r="H61" s="1960">
        <v>453500</v>
      </c>
      <c r="I61" s="1962">
        <v>553850</v>
      </c>
      <c r="J61" s="1951">
        <v>609235</v>
      </c>
      <c r="K61" s="1960">
        <v>670158</v>
      </c>
      <c r="L61" s="240"/>
    </row>
    <row r="62" spans="1:12" ht="11.25" customHeight="1">
      <c r="A62" s="67" t="s">
        <v>1459</v>
      </c>
      <c r="B62" s="59"/>
      <c r="C62" s="1951"/>
      <c r="D62" s="1951"/>
      <c r="E62" s="1960"/>
      <c r="F62" s="1961"/>
      <c r="G62" s="1951"/>
      <c r="H62" s="1960"/>
      <c r="I62" s="1962"/>
      <c r="J62" s="1951"/>
      <c r="K62" s="1960"/>
      <c r="L62" s="240"/>
    </row>
    <row r="63" spans="1:12" ht="11.25" customHeight="1">
      <c r="A63" s="67" t="s">
        <v>954</v>
      </c>
      <c r="B63" s="59"/>
      <c r="C63" s="1951"/>
      <c r="D63" s="1951"/>
      <c r="E63" s="1960"/>
      <c r="F63" s="1961"/>
      <c r="G63" s="1951"/>
      <c r="H63" s="1960"/>
      <c r="I63" s="1962"/>
      <c r="J63" s="1951"/>
      <c r="K63" s="1960"/>
      <c r="L63" s="240"/>
    </row>
    <row r="64" spans="1:12" ht="11.25" customHeight="1">
      <c r="A64" s="67" t="s">
        <v>1460</v>
      </c>
      <c r="B64" s="59">
        <v>6</v>
      </c>
      <c r="C64" s="1951"/>
      <c r="D64" s="1951"/>
      <c r="E64" s="1960"/>
      <c r="F64" s="1961"/>
      <c r="G64" s="1951"/>
      <c r="H64" s="1960"/>
      <c r="I64" s="1962"/>
      <c r="J64" s="1951"/>
      <c r="K64" s="1960"/>
      <c r="L64" s="240"/>
    </row>
    <row r="65" spans="1:12" ht="11.25" customHeight="1">
      <c r="A65" s="140" t="s">
        <v>1166</v>
      </c>
      <c r="B65" s="59"/>
      <c r="C65" s="90">
        <f>SUM(C52:C64)</f>
        <v>807858</v>
      </c>
      <c r="D65" s="90">
        <f t="shared" ref="D65:K65" si="8">SUM(D52:D64)</f>
        <v>951156</v>
      </c>
      <c r="E65" s="91">
        <f t="shared" si="8"/>
        <v>914220</v>
      </c>
      <c r="F65" s="92">
        <f t="shared" si="8"/>
        <v>701000</v>
      </c>
      <c r="G65" s="90">
        <f t="shared" si="8"/>
        <v>701000</v>
      </c>
      <c r="H65" s="91">
        <f t="shared" si="8"/>
        <v>701000</v>
      </c>
      <c r="I65" s="89">
        <f t="shared" si="8"/>
        <v>674100</v>
      </c>
      <c r="J65" s="90">
        <f t="shared" si="8"/>
        <v>741510</v>
      </c>
      <c r="K65" s="91">
        <f t="shared" si="8"/>
        <v>815660</v>
      </c>
      <c r="L65" s="240"/>
    </row>
    <row r="66" spans="1:12" ht="11.25" customHeight="1">
      <c r="A66" s="243" t="str">
        <f>$A$14</f>
        <v>% increase</v>
      </c>
      <c r="B66" s="59">
        <f>$B$14</f>
        <v>4</v>
      </c>
      <c r="C66" s="689"/>
      <c r="D66" s="685">
        <f>IF(ISERROR((D65/C65)-1),0,((D65/C65)-1))</f>
        <v>0.17738018315099935</v>
      </c>
      <c r="E66" s="686">
        <f t="shared" ref="E66:K66" si="9">IF(ISERROR((E65/D65)-1),0,((E65/D65)-1))</f>
        <v>-3.8832746678778229E-2</v>
      </c>
      <c r="F66" s="687">
        <f t="shared" si="9"/>
        <v>-0.23322613812867798</v>
      </c>
      <c r="G66" s="685">
        <f t="shared" si="9"/>
        <v>0</v>
      </c>
      <c r="H66" s="686">
        <f t="shared" si="9"/>
        <v>0</v>
      </c>
      <c r="I66" s="688">
        <f t="shared" si="9"/>
        <v>-3.8373751783166932E-2</v>
      </c>
      <c r="J66" s="685">
        <f t="shared" si="9"/>
        <v>0.10000000000000009</v>
      </c>
      <c r="K66" s="686">
        <f t="shared" si="9"/>
        <v>9.9998651400520666E-2</v>
      </c>
      <c r="L66" s="240"/>
    </row>
    <row r="67" spans="1:12" ht="4.9000000000000004" customHeight="1">
      <c r="A67" s="148"/>
      <c r="B67" s="59"/>
      <c r="C67" s="273"/>
      <c r="D67" s="273"/>
      <c r="E67" s="72"/>
      <c r="F67" s="270"/>
      <c r="G67" s="273"/>
      <c r="H67" s="72"/>
      <c r="I67" s="182"/>
      <c r="J67" s="273"/>
      <c r="K67" s="72"/>
      <c r="L67" s="240"/>
    </row>
    <row r="68" spans="1:12" ht="11.25" customHeight="1">
      <c r="A68" s="126" t="s">
        <v>238</v>
      </c>
      <c r="B68" s="59"/>
      <c r="C68" s="80"/>
      <c r="D68" s="80"/>
      <c r="E68" s="81"/>
      <c r="F68" s="82"/>
      <c r="G68" s="80"/>
      <c r="H68" s="81"/>
      <c r="I68" s="79"/>
      <c r="J68" s="80"/>
      <c r="K68" s="81"/>
      <c r="L68" s="240"/>
    </row>
    <row r="69" spans="1:12" ht="11.25" customHeight="1">
      <c r="A69" s="127" t="s">
        <v>1142</v>
      </c>
      <c r="B69" s="59"/>
      <c r="C69" s="1951">
        <v>689766</v>
      </c>
      <c r="D69" s="1951">
        <v>689766</v>
      </c>
      <c r="E69" s="1960">
        <v>700843</v>
      </c>
      <c r="F69" s="1961">
        <v>1475000</v>
      </c>
      <c r="G69" s="1961">
        <v>1475000</v>
      </c>
      <c r="H69" s="1960">
        <v>1475000</v>
      </c>
      <c r="I69" s="1962">
        <v>738000</v>
      </c>
      <c r="J69" s="1951">
        <v>811000</v>
      </c>
      <c r="K69" s="1960">
        <v>821000</v>
      </c>
      <c r="L69" s="240"/>
    </row>
    <row r="70" spans="1:12" ht="11.25" customHeight="1">
      <c r="A70" s="127" t="s">
        <v>1799</v>
      </c>
      <c r="B70" s="59"/>
      <c r="C70" s="1951"/>
      <c r="D70" s="1951"/>
      <c r="E70" s="1960"/>
      <c r="F70" s="1961"/>
      <c r="G70" s="1951"/>
      <c r="H70" s="1960"/>
      <c r="I70" s="1962"/>
      <c r="J70" s="1951"/>
      <c r="K70" s="1960"/>
      <c r="L70" s="240"/>
    </row>
    <row r="71" spans="1:12" ht="11.25" customHeight="1">
      <c r="A71" s="127" t="s">
        <v>653</v>
      </c>
      <c r="B71" s="59"/>
      <c r="C71" s="1951"/>
      <c r="D71" s="1951"/>
      <c r="E71" s="1960"/>
      <c r="F71" s="1961"/>
      <c r="G71" s="1951"/>
      <c r="H71" s="1960"/>
      <c r="I71" s="1962"/>
      <c r="J71" s="1951"/>
      <c r="K71" s="1960"/>
      <c r="L71" s="240"/>
    </row>
    <row r="72" spans="1:12" ht="11.25" customHeight="1">
      <c r="A72" s="127" t="s">
        <v>953</v>
      </c>
      <c r="B72" s="59"/>
      <c r="C72" s="1951"/>
      <c r="D72" s="1951"/>
      <c r="E72" s="1960"/>
      <c r="F72" s="1961"/>
      <c r="G72" s="1961"/>
      <c r="H72" s="1960"/>
      <c r="I72" s="1962"/>
      <c r="J72" s="1951"/>
      <c r="K72" s="1960"/>
      <c r="L72" s="240"/>
    </row>
    <row r="73" spans="1:12" ht="11.25" customHeight="1">
      <c r="A73" s="127" t="s">
        <v>655</v>
      </c>
      <c r="B73" s="59"/>
      <c r="C73" s="1951">
        <v>0</v>
      </c>
      <c r="D73" s="1951">
        <v>37431</v>
      </c>
      <c r="E73" s="1960">
        <v>51488</v>
      </c>
      <c r="F73" s="1961">
        <v>54056</v>
      </c>
      <c r="G73" s="1961">
        <v>54056</v>
      </c>
      <c r="H73" s="1960">
        <v>54056</v>
      </c>
      <c r="I73" s="1962">
        <v>59456</v>
      </c>
      <c r="J73" s="1951">
        <v>65408</v>
      </c>
      <c r="K73" s="1960">
        <v>71949</v>
      </c>
      <c r="L73" s="240"/>
    </row>
    <row r="74" spans="1:12" ht="11.25" customHeight="1">
      <c r="A74" s="127" t="s">
        <v>1947</v>
      </c>
      <c r="B74" s="59">
        <v>3</v>
      </c>
      <c r="C74" s="1951"/>
      <c r="D74" s="1951"/>
      <c r="E74" s="1960"/>
      <c r="F74" s="1961"/>
      <c r="G74" s="1961"/>
      <c r="H74" s="1960"/>
      <c r="I74" s="1962"/>
      <c r="J74" s="1951"/>
      <c r="K74" s="1960"/>
      <c r="L74" s="240"/>
    </row>
    <row r="75" spans="1:12" ht="11.25" customHeight="1">
      <c r="A75" s="127" t="s">
        <v>1800</v>
      </c>
      <c r="B75" s="59">
        <v>3</v>
      </c>
      <c r="C75" s="1951"/>
      <c r="D75" s="1951"/>
      <c r="E75" s="1960"/>
      <c r="F75" s="1961"/>
      <c r="G75" s="1961"/>
      <c r="H75" s="1960"/>
      <c r="I75" s="1962"/>
      <c r="J75" s="1951"/>
      <c r="K75" s="1960"/>
      <c r="L75" s="240"/>
    </row>
    <row r="76" spans="1:12" ht="11.25" customHeight="1">
      <c r="A76" s="127" t="s">
        <v>1948</v>
      </c>
      <c r="B76" s="59">
        <v>3</v>
      </c>
      <c r="C76" s="1951"/>
      <c r="D76" s="1951"/>
      <c r="E76" s="1960"/>
      <c r="F76" s="1961"/>
      <c r="G76" s="1961"/>
      <c r="H76" s="1960"/>
      <c r="I76" s="1962"/>
      <c r="J76" s="1951"/>
      <c r="K76" s="1960"/>
      <c r="L76" s="240"/>
    </row>
    <row r="77" spans="1:12" ht="11.25" customHeight="1">
      <c r="A77" s="127" t="s">
        <v>1348</v>
      </c>
      <c r="B77" s="59">
        <v>3</v>
      </c>
      <c r="C77" s="1951">
        <v>115000</v>
      </c>
      <c r="D77" s="1951">
        <v>91989</v>
      </c>
      <c r="E77" s="1960">
        <v>113418</v>
      </c>
      <c r="F77" s="1961">
        <v>95000</v>
      </c>
      <c r="G77" s="1961">
        <v>95000</v>
      </c>
      <c r="H77" s="1960">
        <v>95000</v>
      </c>
      <c r="I77" s="1962">
        <v>124000</v>
      </c>
      <c r="J77" s="1951">
        <v>136000</v>
      </c>
      <c r="K77" s="1960">
        <v>149000</v>
      </c>
      <c r="L77" s="240"/>
    </row>
    <row r="78" spans="1:12" ht="11.25" customHeight="1">
      <c r="A78" s="127" t="s">
        <v>1459</v>
      </c>
      <c r="B78" s="59"/>
      <c r="C78" s="1951"/>
      <c r="D78" s="1951"/>
      <c r="E78" s="1960"/>
      <c r="F78" s="1961"/>
      <c r="G78" s="1961"/>
      <c r="H78" s="1960"/>
      <c r="I78" s="1962"/>
      <c r="J78" s="1951"/>
      <c r="K78" s="1960"/>
      <c r="L78" s="240"/>
    </row>
    <row r="79" spans="1:12" ht="11.25" customHeight="1">
      <c r="A79" s="127" t="s">
        <v>954</v>
      </c>
      <c r="B79" s="59"/>
      <c r="C79" s="1951"/>
      <c r="D79" s="1951"/>
      <c r="E79" s="1960"/>
      <c r="F79" s="1961"/>
      <c r="G79" s="1951"/>
      <c r="H79" s="1960"/>
      <c r="I79" s="1962"/>
      <c r="J79" s="1951"/>
      <c r="K79" s="1960"/>
      <c r="L79" s="240"/>
    </row>
    <row r="80" spans="1:12" ht="11.25" customHeight="1">
      <c r="A80" s="127" t="s">
        <v>1460</v>
      </c>
      <c r="B80" s="59">
        <v>6</v>
      </c>
      <c r="C80" s="1951"/>
      <c r="D80" s="1951"/>
      <c r="E80" s="1960"/>
      <c r="F80" s="1961"/>
      <c r="G80" s="1951"/>
      <c r="H80" s="1960"/>
      <c r="I80" s="1962"/>
      <c r="J80" s="1951"/>
      <c r="K80" s="1960"/>
      <c r="L80" s="240"/>
    </row>
    <row r="81" spans="1:12" ht="11.25" customHeight="1">
      <c r="A81" s="140" t="s">
        <v>239</v>
      </c>
      <c r="B81" s="59"/>
      <c r="C81" s="90">
        <f>SUM(C69:C80)</f>
        <v>804766</v>
      </c>
      <c r="D81" s="90">
        <f t="shared" ref="D81:K81" si="10">SUM(D69:D80)</f>
        <v>819186</v>
      </c>
      <c r="E81" s="91">
        <f t="shared" si="10"/>
        <v>865749</v>
      </c>
      <c r="F81" s="92">
        <f t="shared" si="10"/>
        <v>1624056</v>
      </c>
      <c r="G81" s="90">
        <f t="shared" si="10"/>
        <v>1624056</v>
      </c>
      <c r="H81" s="91">
        <f t="shared" si="10"/>
        <v>1624056</v>
      </c>
      <c r="I81" s="89">
        <f t="shared" si="10"/>
        <v>921456</v>
      </c>
      <c r="J81" s="90">
        <f t="shared" si="10"/>
        <v>1012408</v>
      </c>
      <c r="K81" s="91">
        <f t="shared" si="10"/>
        <v>1041949</v>
      </c>
      <c r="L81" s="240"/>
    </row>
    <row r="82" spans="1:12" ht="11.25" customHeight="1">
      <c r="A82" s="243" t="str">
        <f>$A$14</f>
        <v>% increase</v>
      </c>
      <c r="B82" s="59">
        <f>$B$14</f>
        <v>4</v>
      </c>
      <c r="C82" s="689"/>
      <c r="D82" s="685">
        <f>IF(ISERROR((D81/C81)-1),0,((D81/C81)-1))</f>
        <v>1.7918252013628733E-2</v>
      </c>
      <c r="E82" s="686">
        <f t="shared" ref="E82:K82" si="11">IF(ISERROR((E81/D81)-1),0,((E81/D81)-1))</f>
        <v>5.6840571005852158E-2</v>
      </c>
      <c r="F82" s="687">
        <f t="shared" si="11"/>
        <v>0.87589705561311648</v>
      </c>
      <c r="G82" s="685">
        <f t="shared" si="11"/>
        <v>0</v>
      </c>
      <c r="H82" s="686">
        <f t="shared" si="11"/>
        <v>0</v>
      </c>
      <c r="I82" s="688">
        <f t="shared" si="11"/>
        <v>-0.43262055003029454</v>
      </c>
      <c r="J82" s="685">
        <f t="shared" si="11"/>
        <v>9.8704658714035221E-2</v>
      </c>
      <c r="K82" s="686">
        <f t="shared" si="11"/>
        <v>2.9178947617956474E-2</v>
      </c>
      <c r="L82" s="240"/>
    </row>
    <row r="83" spans="1:12" ht="4.9000000000000004" customHeight="1">
      <c r="A83" s="148"/>
      <c r="B83" s="59"/>
      <c r="C83" s="273"/>
      <c r="D83" s="273"/>
      <c r="E83" s="72"/>
      <c r="F83" s="270"/>
      <c r="G83" s="273"/>
      <c r="H83" s="72"/>
      <c r="I83" s="182"/>
      <c r="J83" s="273"/>
      <c r="K83" s="72"/>
      <c r="L83" s="240"/>
    </row>
    <row r="84" spans="1:12" ht="11.25" customHeight="1">
      <c r="A84" s="126" t="s">
        <v>240</v>
      </c>
      <c r="B84" s="59"/>
      <c r="C84" s="80"/>
      <c r="D84" s="80"/>
      <c r="E84" s="81"/>
      <c r="F84" s="82"/>
      <c r="G84" s="80"/>
      <c r="H84" s="81"/>
      <c r="I84" s="79"/>
      <c r="J84" s="80"/>
      <c r="K84" s="81"/>
      <c r="L84" s="240"/>
    </row>
    <row r="85" spans="1:12" ht="11.25" customHeight="1">
      <c r="A85" s="127" t="s">
        <v>1142</v>
      </c>
      <c r="B85" s="59"/>
      <c r="C85" s="1951">
        <f>1938615-C69</f>
        <v>1248849</v>
      </c>
      <c r="D85" s="1951">
        <f>2257860-D69</f>
        <v>1568094</v>
      </c>
      <c r="E85" s="1960">
        <f>2600905-E69</f>
        <v>1900062</v>
      </c>
      <c r="F85" s="1961">
        <v>2583123.73</v>
      </c>
      <c r="G85" s="1961">
        <v>2583123.73</v>
      </c>
      <c r="H85" s="1960">
        <v>2583123.73</v>
      </c>
      <c r="I85" s="1962">
        <f>2841436-I69</f>
        <v>2103436</v>
      </c>
      <c r="J85" s="1951">
        <f>3125579-J69</f>
        <v>2314579</v>
      </c>
      <c r="K85" s="1960">
        <f>3438137-K69</f>
        <v>2617137</v>
      </c>
      <c r="L85" s="240"/>
    </row>
    <row r="86" spans="1:12" ht="11.25" customHeight="1">
      <c r="A86" s="127" t="s">
        <v>1799</v>
      </c>
      <c r="B86" s="59"/>
      <c r="C86" s="1951">
        <v>637002</v>
      </c>
      <c r="D86" s="1951">
        <v>487971</v>
      </c>
      <c r="E86" s="1960">
        <v>839682</v>
      </c>
      <c r="F86" s="1961">
        <v>1084319.1499999999</v>
      </c>
      <c r="G86" s="1961">
        <v>1084319.1499999999</v>
      </c>
      <c r="H86" s="1960">
        <v>1084319.1499999999</v>
      </c>
      <c r="I86" s="1962">
        <v>1192751</v>
      </c>
      <c r="J86" s="1951">
        <v>1312026</v>
      </c>
      <c r="K86" s="1960">
        <v>1443229</v>
      </c>
      <c r="L86" s="240"/>
    </row>
    <row r="87" spans="1:12" ht="11.25" customHeight="1">
      <c r="A87" s="127" t="s">
        <v>653</v>
      </c>
      <c r="B87" s="59"/>
      <c r="C87" s="1951"/>
      <c r="D87" s="1951"/>
      <c r="E87" s="1960"/>
      <c r="F87" s="1961"/>
      <c r="G87" s="1961"/>
      <c r="H87" s="1960"/>
      <c r="I87" s="1962"/>
      <c r="J87" s="1951"/>
      <c r="K87" s="1960"/>
      <c r="L87" s="240"/>
    </row>
    <row r="88" spans="1:12" ht="11.25" customHeight="1">
      <c r="A88" s="127" t="s">
        <v>953</v>
      </c>
      <c r="B88" s="59"/>
      <c r="C88" s="1951">
        <v>2136</v>
      </c>
      <c r="D88" s="1951">
        <v>6702</v>
      </c>
      <c r="E88" s="1960">
        <v>15218</v>
      </c>
      <c r="F88" s="1961">
        <v>9954.26</v>
      </c>
      <c r="G88" s="1961">
        <v>9954.26</v>
      </c>
      <c r="H88" s="1960">
        <v>9954.26</v>
      </c>
      <c r="I88" s="1962">
        <v>22719</v>
      </c>
      <c r="J88" s="1951">
        <f>24991</f>
        <v>24991</v>
      </c>
      <c r="K88" s="1960">
        <v>27491</v>
      </c>
      <c r="L88" s="240"/>
    </row>
    <row r="89" spans="1:12" ht="11.25" customHeight="1">
      <c r="A89" s="127" t="s">
        <v>655</v>
      </c>
      <c r="B89" s="59"/>
      <c r="C89" s="1951">
        <v>0</v>
      </c>
      <c r="D89" s="1951">
        <f>37431-D73</f>
        <v>0</v>
      </c>
      <c r="E89" s="1960">
        <f>51488-E73</f>
        <v>0</v>
      </c>
      <c r="F89" s="1961">
        <v>54056.82</v>
      </c>
      <c r="G89" s="1961">
        <v>54056.82</v>
      </c>
      <c r="H89" s="1960">
        <v>54056.82</v>
      </c>
      <c r="I89" s="1962">
        <f>59462-I73</f>
        <v>6</v>
      </c>
      <c r="J89" s="1951">
        <f>65408-J73</f>
        <v>0</v>
      </c>
      <c r="K89" s="1960">
        <f>71949-K73</f>
        <v>0</v>
      </c>
      <c r="L89" s="240"/>
    </row>
    <row r="90" spans="1:12" ht="11.25" customHeight="1">
      <c r="A90" s="127" t="s">
        <v>1947</v>
      </c>
      <c r="B90" s="59">
        <v>3</v>
      </c>
      <c r="C90" s="1951"/>
      <c r="D90" s="1951"/>
      <c r="E90" s="1960"/>
      <c r="F90" s="1961"/>
      <c r="G90" s="1961"/>
      <c r="H90" s="1960"/>
      <c r="I90" s="1962"/>
      <c r="J90" s="1951"/>
      <c r="K90" s="1960"/>
      <c r="L90" s="240"/>
    </row>
    <row r="91" spans="1:12" ht="11.25" customHeight="1">
      <c r="A91" s="127" t="s">
        <v>1800</v>
      </c>
      <c r="B91" s="59">
        <v>3</v>
      </c>
      <c r="C91" s="1951"/>
      <c r="D91" s="1951"/>
      <c r="E91" s="1960"/>
      <c r="F91" s="1961"/>
      <c r="G91" s="1961"/>
      <c r="H91" s="1960"/>
      <c r="I91" s="1962"/>
      <c r="J91" s="1951"/>
      <c r="K91" s="1960"/>
      <c r="L91" s="240"/>
    </row>
    <row r="92" spans="1:12" ht="11.25" customHeight="1">
      <c r="A92" s="127" t="s">
        <v>1948</v>
      </c>
      <c r="B92" s="59">
        <v>3</v>
      </c>
      <c r="C92" s="1951"/>
      <c r="D92" s="1951"/>
      <c r="E92" s="1960"/>
      <c r="F92" s="1961"/>
      <c r="G92" s="1961"/>
      <c r="H92" s="1960"/>
      <c r="I92" s="1962"/>
      <c r="J92" s="1951"/>
      <c r="K92" s="1960"/>
      <c r="L92" s="240"/>
    </row>
    <row r="93" spans="1:12" ht="11.25" customHeight="1">
      <c r="A93" s="127" t="s">
        <v>1348</v>
      </c>
      <c r="B93" s="59">
        <v>3</v>
      </c>
      <c r="C93" s="1951">
        <f>129439-C77</f>
        <v>14439</v>
      </c>
      <c r="D93" s="1951">
        <f>156755-D77</f>
        <v>64766</v>
      </c>
      <c r="E93" s="1960">
        <f>228216-E77</f>
        <v>114798</v>
      </c>
      <c r="F93" s="1961">
        <v>131207.54</v>
      </c>
      <c r="G93" s="1961">
        <v>131207.54</v>
      </c>
      <c r="H93" s="1960">
        <v>131207.54</v>
      </c>
      <c r="I93" s="1962">
        <f>132000-I77</f>
        <v>8000</v>
      </c>
      <c r="J93" s="1951">
        <f>145200-J77</f>
        <v>9200</v>
      </c>
      <c r="K93" s="1960">
        <f>159720-K77</f>
        <v>10720</v>
      </c>
      <c r="L93" s="240"/>
    </row>
    <row r="94" spans="1:12" ht="11.25" customHeight="1">
      <c r="A94" s="127" t="s">
        <v>1459</v>
      </c>
      <c r="B94" s="59"/>
      <c r="C94" s="1951">
        <v>57418</v>
      </c>
      <c r="D94" s="1951">
        <v>94115</v>
      </c>
      <c r="E94" s="1960">
        <v>56092</v>
      </c>
      <c r="F94" s="1961">
        <v>162753.34</v>
      </c>
      <c r="G94" s="1961">
        <v>162753.34</v>
      </c>
      <c r="H94" s="1960">
        <v>162753.34</v>
      </c>
      <c r="I94" s="1962">
        <v>113028</v>
      </c>
      <c r="J94" s="1951">
        <v>124331</v>
      </c>
      <c r="K94" s="1960">
        <v>136765</v>
      </c>
      <c r="L94" s="240"/>
    </row>
    <row r="95" spans="1:12" ht="11.25" customHeight="1">
      <c r="A95" s="127" t="s">
        <v>954</v>
      </c>
      <c r="B95" s="59"/>
      <c r="C95" s="1951"/>
      <c r="D95" s="1951"/>
      <c r="E95" s="1960"/>
      <c r="F95" s="1961"/>
      <c r="G95" s="1951"/>
      <c r="H95" s="1960"/>
      <c r="I95" s="1962"/>
      <c r="J95" s="1951"/>
      <c r="K95" s="1960"/>
      <c r="L95" s="240"/>
    </row>
    <row r="96" spans="1:12" ht="11.25" customHeight="1">
      <c r="A96" s="127" t="s">
        <v>1460</v>
      </c>
      <c r="B96" s="59">
        <v>6</v>
      </c>
      <c r="C96" s="1951"/>
      <c r="D96" s="1951"/>
      <c r="E96" s="1960"/>
      <c r="F96" s="1961"/>
      <c r="G96" s="1951"/>
      <c r="H96" s="1960"/>
      <c r="I96" s="1962"/>
      <c r="J96" s="1951"/>
      <c r="K96" s="1960"/>
      <c r="L96" s="240"/>
    </row>
    <row r="97" spans="1:14" ht="11.25" customHeight="1">
      <c r="A97" s="140" t="s">
        <v>1140</v>
      </c>
      <c r="B97" s="59"/>
      <c r="C97" s="90">
        <f>SUM(C85:C96)</f>
        <v>1959844</v>
      </c>
      <c r="D97" s="90">
        <f t="shared" ref="D97:K97" si="12">SUM(D85:D96)</f>
        <v>2221648</v>
      </c>
      <c r="E97" s="91">
        <f t="shared" si="12"/>
        <v>2925852</v>
      </c>
      <c r="F97" s="92">
        <f t="shared" si="12"/>
        <v>4025414.8399999994</v>
      </c>
      <c r="G97" s="90">
        <f t="shared" si="12"/>
        <v>4025414.8399999994</v>
      </c>
      <c r="H97" s="91">
        <f t="shared" si="12"/>
        <v>4025414.8399999994</v>
      </c>
      <c r="I97" s="89">
        <f t="shared" si="12"/>
        <v>3439940</v>
      </c>
      <c r="J97" s="90">
        <f t="shared" si="12"/>
        <v>3785127</v>
      </c>
      <c r="K97" s="91">
        <f t="shared" si="12"/>
        <v>4235342</v>
      </c>
      <c r="L97" s="240"/>
    </row>
    <row r="98" spans="1:14" ht="11.25" customHeight="1">
      <c r="A98" s="243" t="str">
        <f>$A$14</f>
        <v>% increase</v>
      </c>
      <c r="B98" s="59">
        <f>$B$14</f>
        <v>4</v>
      </c>
      <c r="C98" s="689"/>
      <c r="D98" s="685">
        <f>IF(ISERROR((D97/C97)-1),0,((D97/C97)-1))</f>
        <v>0.13358410159175937</v>
      </c>
      <c r="E98" s="686">
        <f t="shared" ref="E98:K98" si="13">IF(ISERROR((E97/D97)-1),0,((E97/D97)-1))</f>
        <v>0.31697370600563191</v>
      </c>
      <c r="F98" s="687">
        <f t="shared" si="13"/>
        <v>0.37580945310972647</v>
      </c>
      <c r="G98" s="685">
        <f t="shared" si="13"/>
        <v>0</v>
      </c>
      <c r="H98" s="686">
        <f t="shared" si="13"/>
        <v>0</v>
      </c>
      <c r="I98" s="688">
        <f t="shared" si="13"/>
        <v>-0.14544459720827174</v>
      </c>
      <c r="J98" s="685">
        <f t="shared" si="13"/>
        <v>0.10034680837456467</v>
      </c>
      <c r="K98" s="686">
        <f t="shared" si="13"/>
        <v>0.11894316888178391</v>
      </c>
      <c r="L98" s="240"/>
    </row>
    <row r="99" spans="1:14" ht="4.9000000000000004" customHeight="1">
      <c r="A99" s="148"/>
      <c r="B99" s="59"/>
      <c r="C99" s="273"/>
      <c r="D99" s="273"/>
      <c r="E99" s="72"/>
      <c r="F99" s="270"/>
      <c r="G99" s="273"/>
      <c r="H99" s="72"/>
      <c r="I99" s="182"/>
      <c r="J99" s="273"/>
      <c r="K99" s="72"/>
      <c r="L99" s="240"/>
    </row>
    <row r="100" spans="1:14" ht="11.25" customHeight="1">
      <c r="A100" s="659" t="s">
        <v>1366</v>
      </c>
      <c r="B100" s="660"/>
      <c r="C100" s="150">
        <f>C65+C81+C97</f>
        <v>3572468</v>
      </c>
      <c r="D100" s="150">
        <f t="shared" ref="D100:K100" si="14">D65+D81+D97</f>
        <v>3991990</v>
      </c>
      <c r="E100" s="151">
        <f t="shared" si="14"/>
        <v>4705821</v>
      </c>
      <c r="F100" s="152">
        <f t="shared" si="14"/>
        <v>6350470.8399999999</v>
      </c>
      <c r="G100" s="150">
        <f t="shared" si="14"/>
        <v>6350470.8399999999</v>
      </c>
      <c r="H100" s="151">
        <f t="shared" si="14"/>
        <v>6350470.8399999999</v>
      </c>
      <c r="I100" s="149">
        <f t="shared" si="14"/>
        <v>5035496</v>
      </c>
      <c r="J100" s="150">
        <f t="shared" si="14"/>
        <v>5539045</v>
      </c>
      <c r="K100" s="151">
        <f t="shared" si="14"/>
        <v>6092951</v>
      </c>
      <c r="L100" s="240"/>
    </row>
    <row r="101" spans="1:14" ht="6" customHeight="1">
      <c r="A101" s="148"/>
      <c r="B101" s="59"/>
      <c r="C101" s="273"/>
      <c r="D101" s="273"/>
      <c r="E101" s="72"/>
      <c r="F101" s="270"/>
      <c r="G101" s="273"/>
      <c r="H101" s="72"/>
      <c r="I101" s="182"/>
      <c r="J101" s="273"/>
      <c r="K101" s="72"/>
      <c r="L101" s="240"/>
    </row>
    <row r="102" spans="1:14" ht="25.5">
      <c r="A102" s="1179" t="s">
        <v>492</v>
      </c>
      <c r="B102" s="252"/>
      <c r="C102" s="157">
        <f>C48+C100</f>
        <v>293368845.63</v>
      </c>
      <c r="D102" s="157">
        <f>D48+D100</f>
        <v>310440657</v>
      </c>
      <c r="E102" s="158">
        <f t="shared" ref="E102:K102" si="15">E48+E100</f>
        <v>326074594.42000008</v>
      </c>
      <c r="F102" s="159">
        <f t="shared" si="15"/>
        <v>386524992.79999995</v>
      </c>
      <c r="G102" s="157">
        <f t="shared" si="15"/>
        <v>360100021.19</v>
      </c>
      <c r="H102" s="158">
        <f t="shared" si="15"/>
        <v>349269491.05999994</v>
      </c>
      <c r="I102" s="156">
        <f>I48+I100</f>
        <v>374599098.13</v>
      </c>
      <c r="J102" s="157">
        <f t="shared" si="15"/>
        <v>392102572.82798004</v>
      </c>
      <c r="K102" s="158">
        <f t="shared" si="15"/>
        <v>410438401.10806715</v>
      </c>
      <c r="L102" s="240"/>
    </row>
    <row r="103" spans="1:14" ht="12.75" customHeight="1">
      <c r="A103" s="243" t="str">
        <f>$A$14</f>
        <v>% increase</v>
      </c>
      <c r="B103" s="59">
        <f>$B$14</f>
        <v>4</v>
      </c>
      <c r="C103" s="690"/>
      <c r="D103" s="685">
        <f>IF(ISERROR((D102/C102)-1),0,((D102/C102)-1))</f>
        <v>5.8192311911439809E-2</v>
      </c>
      <c r="E103" s="688">
        <f t="shared" ref="E103:K103" si="16">IF(ISERROR((E102/D102)-1),0,((E102/D102)-1))</f>
        <v>5.0360470084947817E-2</v>
      </c>
      <c r="F103" s="687">
        <f t="shared" si="16"/>
        <v>0.18538824984977764</v>
      </c>
      <c r="G103" s="685">
        <f t="shared" si="16"/>
        <v>-6.836549279407933E-2</v>
      </c>
      <c r="H103" s="686">
        <f t="shared" si="16"/>
        <v>-3.0076449577006614E-2</v>
      </c>
      <c r="I103" s="688">
        <f t="shared" si="16"/>
        <v>7.2521670854007514E-2</v>
      </c>
      <c r="J103" s="685">
        <f t="shared" si="16"/>
        <v>4.6725885847983761E-2</v>
      </c>
      <c r="K103" s="686">
        <f t="shared" si="16"/>
        <v>4.6762835927963264E-2</v>
      </c>
      <c r="L103" s="233"/>
      <c r="M103" s="123"/>
      <c r="N103" s="123"/>
    </row>
    <row r="104" spans="1:14" ht="12.75" customHeight="1">
      <c r="A104" s="155" t="s">
        <v>1266</v>
      </c>
      <c r="B104" s="102" t="s">
        <v>1992</v>
      </c>
      <c r="C104" s="107">
        <f t="shared" ref="C104:K104" si="17">C29+C45+C81+C97</f>
        <v>270103603.63</v>
      </c>
      <c r="D104" s="107">
        <f t="shared" si="17"/>
        <v>285057089</v>
      </c>
      <c r="E104" s="108">
        <f t="shared" si="17"/>
        <v>299024072.00000006</v>
      </c>
      <c r="F104" s="106">
        <f t="shared" si="17"/>
        <v>357557861.79999995</v>
      </c>
      <c r="G104" s="107">
        <f t="shared" si="17"/>
        <v>331132890.19</v>
      </c>
      <c r="H104" s="105">
        <f t="shared" si="17"/>
        <v>320443359.73999995</v>
      </c>
      <c r="I104" s="108">
        <f t="shared" si="17"/>
        <v>345564115.13</v>
      </c>
      <c r="J104" s="107">
        <f t="shared" si="17"/>
        <v>361695579.20998001</v>
      </c>
      <c r="K104" s="105">
        <f t="shared" si="17"/>
        <v>378592645.24363917</v>
      </c>
      <c r="L104" s="233"/>
      <c r="M104" s="123"/>
      <c r="N104" s="123"/>
    </row>
    <row r="105" spans="1:14" s="576" customFormat="1">
      <c r="A105" s="1092" t="str">
        <f>head27a</f>
        <v>References</v>
      </c>
      <c r="B105" s="874"/>
      <c r="C105" s="916"/>
      <c r="D105" s="916"/>
      <c r="E105" s="916"/>
      <c r="F105" s="916"/>
      <c r="G105" s="916"/>
      <c r="H105" s="916"/>
      <c r="I105" s="916"/>
      <c r="J105" s="916"/>
      <c r="K105" s="916"/>
      <c r="L105" s="898"/>
      <c r="M105" s="898"/>
      <c r="N105" s="898"/>
    </row>
    <row r="106" spans="1:14" s="576" customFormat="1">
      <c r="A106" s="1093" t="s">
        <v>1453</v>
      </c>
      <c r="B106" s="874"/>
      <c r="C106" s="916"/>
      <c r="D106" s="916"/>
      <c r="E106" s="916"/>
      <c r="F106" s="916"/>
      <c r="G106" s="916"/>
      <c r="H106" s="916"/>
      <c r="I106" s="916"/>
      <c r="J106" s="916"/>
      <c r="K106" s="916"/>
      <c r="L106" s="898"/>
      <c r="M106" s="898"/>
      <c r="N106" s="898"/>
    </row>
    <row r="107" spans="1:14" s="576" customFormat="1">
      <c r="A107" s="1238" t="s">
        <v>583</v>
      </c>
      <c r="B107" s="874"/>
      <c r="C107" s="916"/>
      <c r="D107" s="916"/>
      <c r="E107" s="916"/>
      <c r="F107" s="916"/>
      <c r="G107" s="916"/>
      <c r="H107" s="916"/>
      <c r="I107" s="916"/>
      <c r="J107" s="916"/>
      <c r="K107" s="916"/>
      <c r="L107" s="898"/>
      <c r="M107" s="898"/>
      <c r="N107" s="898"/>
    </row>
    <row r="108" spans="1:14" s="576" customFormat="1">
      <c r="A108" s="1093" t="s">
        <v>1970</v>
      </c>
      <c r="B108" s="874"/>
      <c r="C108" s="916"/>
      <c r="D108" s="916"/>
      <c r="E108" s="916"/>
      <c r="F108" s="916"/>
      <c r="G108" s="916"/>
      <c r="H108" s="916"/>
      <c r="I108" s="916"/>
      <c r="J108" s="916"/>
      <c r="K108" s="916"/>
      <c r="L108" s="898"/>
      <c r="M108" s="898"/>
      <c r="N108" s="898"/>
    </row>
    <row r="109" spans="1:14" s="576" customFormat="1">
      <c r="A109" s="1238" t="s">
        <v>1454</v>
      </c>
      <c r="B109" s="884"/>
      <c r="C109" s="920"/>
    </row>
    <row r="110" spans="1:14" s="576" customFormat="1">
      <c r="A110" s="1238" t="s">
        <v>108</v>
      </c>
      <c r="B110" s="884"/>
      <c r="C110" s="920"/>
    </row>
    <row r="111" spans="1:14" s="576" customFormat="1">
      <c r="A111" s="1238" t="s">
        <v>1801</v>
      </c>
      <c r="B111" s="884"/>
      <c r="C111" s="920"/>
    </row>
    <row r="112" spans="1:14" s="576" customFormat="1">
      <c r="A112" s="1238" t="s">
        <v>1991</v>
      </c>
      <c r="B112" s="884"/>
      <c r="C112" s="920"/>
    </row>
    <row r="113" spans="1:3" s="576" customFormat="1" ht="3.75" customHeight="1">
      <c r="A113" s="1238"/>
      <c r="B113" s="884"/>
      <c r="C113" s="920"/>
    </row>
    <row r="114" spans="1:3" s="576" customFormat="1">
      <c r="A114" s="1239" t="s">
        <v>472</v>
      </c>
      <c r="B114" s="884"/>
    </row>
    <row r="115" spans="1:3" s="576" customFormat="1">
      <c r="A115" s="1238" t="s">
        <v>1499</v>
      </c>
      <c r="B115" s="884"/>
    </row>
    <row r="116" spans="1:3" s="576" customFormat="1">
      <c r="A116" s="1238" t="s">
        <v>142</v>
      </c>
      <c r="B116" s="884"/>
    </row>
    <row r="117" spans="1:3" s="576" customFormat="1">
      <c r="A117" s="1238" t="s">
        <v>143</v>
      </c>
      <c r="B117" s="884"/>
    </row>
    <row r="118" spans="1:3" s="576" customFormat="1">
      <c r="A118" s="1238" t="s">
        <v>144</v>
      </c>
      <c r="B118" s="884"/>
    </row>
    <row r="119" spans="1:3" s="576" customFormat="1">
      <c r="A119" s="1238" t="s">
        <v>145</v>
      </c>
      <c r="B119" s="884"/>
    </row>
    <row r="120" spans="1:3" s="576" customFormat="1">
      <c r="A120" s="1238" t="s">
        <v>146</v>
      </c>
      <c r="B120" s="884"/>
    </row>
    <row r="122" spans="1:3">
      <c r="B122" s="26"/>
    </row>
    <row r="123" spans="1:3">
      <c r="B123" s="26"/>
    </row>
    <row r="124" spans="1:3">
      <c r="B124" s="26"/>
    </row>
    <row r="125" spans="1:3">
      <c r="B125" s="26"/>
    </row>
    <row r="126" spans="1:3">
      <c r="B126" s="26"/>
    </row>
    <row r="127" spans="1:3">
      <c r="B127" s="26"/>
    </row>
    <row r="128" spans="1:3">
      <c r="B128" s="26"/>
    </row>
    <row r="129" spans="2:2">
      <c r="B129" s="26"/>
    </row>
    <row r="130" spans="2:2">
      <c r="B130" s="26"/>
    </row>
    <row r="131" spans="2:2">
      <c r="B131" s="26"/>
    </row>
    <row r="132" spans="2:2">
      <c r="B132" s="26"/>
    </row>
    <row r="133" spans="2:2">
      <c r="B133" s="26"/>
    </row>
    <row r="134" spans="2:2">
      <c r="B134" s="26"/>
    </row>
    <row r="135" spans="2:2">
      <c r="B135" s="26"/>
    </row>
    <row r="136" spans="2:2">
      <c r="B136" s="26"/>
    </row>
    <row r="137" spans="2:2">
      <c r="B137" s="26"/>
    </row>
    <row r="138" spans="2:2">
      <c r="B138" s="26"/>
    </row>
    <row r="139" spans="2:2">
      <c r="B139" s="26"/>
    </row>
    <row r="140" spans="2:2">
      <c r="B140" s="26"/>
    </row>
    <row r="141" spans="2:2">
      <c r="B141" s="26"/>
    </row>
    <row r="142" spans="2:2">
      <c r="B142" s="26"/>
    </row>
    <row r="143" spans="2:2">
      <c r="B143" s="26"/>
    </row>
    <row r="144" spans="2:2">
      <c r="B144" s="26"/>
    </row>
    <row r="145" spans="2:2">
      <c r="B145" s="26"/>
    </row>
    <row r="146" spans="2:2">
      <c r="B146" s="26"/>
    </row>
    <row r="147" spans="2:2">
      <c r="B147" s="26"/>
    </row>
    <row r="148" spans="2:2">
      <c r="B148" s="26"/>
    </row>
    <row r="149" spans="2:2">
      <c r="B149" s="26"/>
    </row>
    <row r="150" spans="2:2">
      <c r="B150" s="26"/>
    </row>
    <row r="151" spans="2:2">
      <c r="B151" s="26"/>
    </row>
    <row r="152" spans="2:2">
      <c r="B152" s="26"/>
    </row>
    <row r="153" spans="2:2">
      <c r="B153" s="26"/>
    </row>
    <row r="154" spans="2:2">
      <c r="B154" s="26"/>
    </row>
    <row r="155" spans="2:2">
      <c r="B155" s="26"/>
    </row>
    <row r="156" spans="2:2">
      <c r="B156" s="26"/>
    </row>
    <row r="157" spans="2:2">
      <c r="B157" s="26"/>
    </row>
    <row r="158" spans="2:2">
      <c r="B158" s="26"/>
    </row>
    <row r="159" spans="2:2">
      <c r="B159" s="26"/>
    </row>
    <row r="160" spans="2:2">
      <c r="B160" s="26"/>
    </row>
    <row r="161" spans="2:2">
      <c r="B161" s="26"/>
    </row>
    <row r="162" spans="2:2">
      <c r="B162" s="26"/>
    </row>
    <row r="163" spans="2:2">
      <c r="B163" s="26"/>
    </row>
    <row r="164" spans="2:2">
      <c r="B164" s="26"/>
    </row>
    <row r="165" spans="2:2">
      <c r="B165" s="26"/>
    </row>
    <row r="166" spans="2:2">
      <c r="B166" s="26"/>
    </row>
    <row r="167" spans="2:2">
      <c r="B167" s="26"/>
    </row>
    <row r="168" spans="2:2">
      <c r="B168" s="26"/>
    </row>
    <row r="169" spans="2:2">
      <c r="B169" s="26"/>
    </row>
    <row r="170" spans="2:2">
      <c r="B170" s="26"/>
    </row>
    <row r="171" spans="2:2">
      <c r="B171" s="26"/>
    </row>
    <row r="172" spans="2:2">
      <c r="B172" s="26"/>
    </row>
    <row r="173" spans="2:2">
      <c r="B173" s="26"/>
    </row>
    <row r="174" spans="2:2">
      <c r="B174" s="26"/>
    </row>
    <row r="175" spans="2:2">
      <c r="B175" s="26"/>
    </row>
    <row r="176" spans="2:2">
      <c r="B176" s="26"/>
    </row>
    <row r="177" spans="2:2">
      <c r="B177" s="26"/>
    </row>
    <row r="178" spans="2:2">
      <c r="B178" s="26"/>
    </row>
    <row r="179" spans="2:2">
      <c r="B179" s="26"/>
    </row>
    <row r="180" spans="2:2">
      <c r="B180" s="26"/>
    </row>
    <row r="181" spans="2:2">
      <c r="B181" s="26"/>
    </row>
    <row r="182" spans="2:2">
      <c r="B182" s="26"/>
    </row>
    <row r="183" spans="2:2">
      <c r="B183" s="26"/>
    </row>
    <row r="184" spans="2:2">
      <c r="B184" s="26"/>
    </row>
    <row r="185" spans="2:2">
      <c r="B185" s="26"/>
    </row>
    <row r="186" spans="2:2">
      <c r="B186" s="26"/>
    </row>
    <row r="187" spans="2:2">
      <c r="B187" s="26"/>
    </row>
    <row r="188" spans="2:2">
      <c r="B188" s="26"/>
    </row>
    <row r="189" spans="2:2">
      <c r="B189" s="26"/>
    </row>
    <row r="190" spans="2:2">
      <c r="B190" s="26"/>
    </row>
    <row r="191" spans="2:2">
      <c r="B191" s="26"/>
    </row>
    <row r="192" spans="2:2">
      <c r="B192" s="26"/>
    </row>
    <row r="193" spans="2:2">
      <c r="B193" s="26"/>
    </row>
    <row r="194" spans="2:2">
      <c r="B194" s="26"/>
    </row>
    <row r="195" spans="2:2">
      <c r="B195" s="26"/>
    </row>
    <row r="196" spans="2:2">
      <c r="B196" s="26"/>
    </row>
  </sheetData>
  <mergeCells count="2">
    <mergeCell ref="F2:H2"/>
    <mergeCell ref="I2:K2"/>
  </mergeCells>
  <phoneticPr fontId="5" type="noConversion"/>
  <dataValidations count="1">
    <dataValidation type="decimal" allowBlank="1" showInputMessage="1" showErrorMessage="1" sqref="C85:K96 C6:K12 C33:K44 C52:K64 C69:K80 C17:K28">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9" activePane="bottomRight" state="frozen"/>
      <selection pane="topRight"/>
      <selection pane="bottomLeft"/>
      <selection pane="bottomRight" activeCell="G35" activeCellId="1" sqref="D35 G35"/>
    </sheetView>
  </sheetViews>
  <sheetFormatPr defaultColWidth="9.140625" defaultRowHeight="12.75"/>
  <cols>
    <col min="1" max="1" width="38.7109375" style="26" customWidth="1"/>
    <col min="2" max="2" width="3" style="124" customWidth="1"/>
    <col min="3" max="3" width="4.140625" style="124" customWidth="1"/>
    <col min="4" max="4" width="9.28515625" style="26" customWidth="1"/>
    <col min="5" max="5" width="9.7109375" style="26" customWidth="1"/>
    <col min="6" max="9" width="9.28515625" style="26" customWidth="1"/>
    <col min="10"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9" ht="13.5" customHeight="1">
      <c r="A1" s="24" t="str">
        <f>muni&amp;" - "&amp;TableA23</f>
        <v>LIM333 Greater Tzaneen - Supporting Table SA23 Salaries, allowances &amp; benefits (political office bearers/councillors/senior managers)</v>
      </c>
      <c r="B1" s="24"/>
      <c r="C1" s="24"/>
      <c r="D1" s="24"/>
      <c r="E1" s="24"/>
      <c r="F1" s="24"/>
      <c r="G1" s="24"/>
      <c r="H1" s="24"/>
      <c r="I1" s="24"/>
    </row>
    <row r="2" spans="1:9" ht="24.75" customHeight="1">
      <c r="A2" s="841" t="s">
        <v>283</v>
      </c>
      <c r="B2" s="288" t="str">
        <f>head27</f>
        <v>Ref</v>
      </c>
      <c r="C2" s="2901" t="s">
        <v>1967</v>
      </c>
      <c r="D2" s="2920" t="s">
        <v>92</v>
      </c>
      <c r="E2" s="1822" t="s">
        <v>1969</v>
      </c>
      <c r="F2" s="2920" t="s">
        <v>93</v>
      </c>
      <c r="G2" s="2920" t="s">
        <v>650</v>
      </c>
      <c r="H2" s="697" t="s">
        <v>839</v>
      </c>
      <c r="I2" s="697" t="s">
        <v>840</v>
      </c>
    </row>
    <row r="3" spans="1:9" ht="29.25" customHeight="1">
      <c r="A3" s="57" t="s">
        <v>667</v>
      </c>
      <c r="B3" s="1341"/>
      <c r="C3" s="2902"/>
      <c r="D3" s="2921"/>
      <c r="E3" s="1821" t="s">
        <v>1968</v>
      </c>
      <c r="F3" s="2921"/>
      <c r="G3" s="2921"/>
      <c r="H3" s="855"/>
      <c r="I3" s="855" t="s">
        <v>1573</v>
      </c>
    </row>
    <row r="4" spans="1:9" ht="11.25" customHeight="1">
      <c r="A4" s="126" t="s">
        <v>91</v>
      </c>
      <c r="B4" s="59">
        <v>3</v>
      </c>
      <c r="C4" s="698"/>
      <c r="D4" s="699"/>
      <c r="E4" s="699"/>
      <c r="F4" s="699"/>
      <c r="G4" s="262"/>
      <c r="H4" s="263"/>
      <c r="I4" s="700"/>
    </row>
    <row r="5" spans="1:9" ht="11.25" customHeight="1">
      <c r="A5" s="127" t="s">
        <v>620</v>
      </c>
      <c r="B5" s="59">
        <v>4</v>
      </c>
      <c r="C5" s="2294"/>
      <c r="D5" s="1989">
        <v>552295</v>
      </c>
      <c r="E5" s="1989"/>
      <c r="F5" s="1989">
        <v>234014</v>
      </c>
      <c r="G5" s="1415"/>
      <c r="H5" s="1416"/>
      <c r="I5" s="700">
        <f t="shared" ref="I5:I10" si="0">SUM(D5:F5)</f>
        <v>786309</v>
      </c>
    </row>
    <row r="6" spans="1:9" ht="11.25" customHeight="1">
      <c r="A6" s="127" t="s">
        <v>1143</v>
      </c>
      <c r="B6" s="59"/>
      <c r="C6" s="2294"/>
      <c r="D6" s="1989">
        <v>517777</v>
      </c>
      <c r="E6" s="1989"/>
      <c r="F6" s="1989">
        <v>223970</v>
      </c>
      <c r="G6" s="1415"/>
      <c r="H6" s="1416"/>
      <c r="I6" s="700">
        <f t="shared" si="0"/>
        <v>741747</v>
      </c>
    </row>
    <row r="7" spans="1:9" ht="11.25" customHeight="1">
      <c r="A7" s="127" t="s">
        <v>621</v>
      </c>
      <c r="B7" s="59"/>
      <c r="C7" s="2294"/>
      <c r="D7" s="1989">
        <v>690370</v>
      </c>
      <c r="E7" s="1989"/>
      <c r="F7" s="1989">
        <v>280512</v>
      </c>
      <c r="G7" s="1415"/>
      <c r="H7" s="1416"/>
      <c r="I7" s="700">
        <f t="shared" si="0"/>
        <v>970882</v>
      </c>
    </row>
    <row r="8" spans="1:9" ht="11.25" customHeight="1">
      <c r="A8" s="127" t="s">
        <v>234</v>
      </c>
      <c r="B8" s="59"/>
      <c r="C8" s="2294"/>
      <c r="D8" s="1989">
        <v>0</v>
      </c>
      <c r="E8" s="1989"/>
      <c r="F8" s="1989">
        <v>0</v>
      </c>
      <c r="G8" s="1415"/>
      <c r="H8" s="1416"/>
      <c r="I8" s="700">
        <f t="shared" si="0"/>
        <v>0</v>
      </c>
    </row>
    <row r="9" spans="1:9" ht="11.25" customHeight="1">
      <c r="A9" s="127" t="s">
        <v>393</v>
      </c>
      <c r="B9" s="59"/>
      <c r="C9" s="2294"/>
      <c r="D9" s="1989">
        <v>1444260</v>
      </c>
      <c r="E9" s="1989"/>
      <c r="F9" s="1989">
        <v>729856</v>
      </c>
      <c r="G9" s="1415"/>
      <c r="H9" s="1416"/>
      <c r="I9" s="700">
        <f t="shared" si="0"/>
        <v>2174116</v>
      </c>
    </row>
    <row r="10" spans="1:9" ht="11.25" customHeight="1">
      <c r="A10" s="127" t="s">
        <v>394</v>
      </c>
      <c r="B10" s="59"/>
      <c r="C10" s="2294"/>
      <c r="D10" s="1989">
        <v>15504471</v>
      </c>
      <c r="E10" s="1989"/>
      <c r="F10" s="1989">
        <f>8264185-80827</f>
        <v>8183358</v>
      </c>
      <c r="G10" s="1415"/>
      <c r="H10" s="1416"/>
      <c r="I10" s="700">
        <f t="shared" si="0"/>
        <v>23687829</v>
      </c>
    </row>
    <row r="11" spans="1:9" ht="11.25" customHeight="1">
      <c r="A11" s="659" t="str">
        <f>"Total "&amp;A4</f>
        <v>Total Councillors</v>
      </c>
      <c r="B11" s="660">
        <v>8</v>
      </c>
      <c r="C11" s="702">
        <f t="shared" ref="C11:I11" si="1">SUM(C5:C10)</f>
        <v>0</v>
      </c>
      <c r="D11" s="703">
        <f t="shared" si="1"/>
        <v>18709173</v>
      </c>
      <c r="E11" s="703">
        <f t="shared" si="1"/>
        <v>0</v>
      </c>
      <c r="F11" s="704">
        <f t="shared" si="1"/>
        <v>9651710</v>
      </c>
      <c r="G11" s="703"/>
      <c r="H11" s="708"/>
      <c r="I11" s="705">
        <f t="shared" si="1"/>
        <v>28360883</v>
      </c>
    </row>
    <row r="12" spans="1:9">
      <c r="A12" s="148"/>
      <c r="B12" s="59"/>
      <c r="C12" s="698"/>
      <c r="D12" s="699"/>
      <c r="E12" s="262"/>
      <c r="F12" s="699"/>
      <c r="G12" s="262"/>
      <c r="H12" s="263"/>
      <c r="I12" s="700"/>
    </row>
    <row r="13" spans="1:9" ht="11.25" customHeight="1">
      <c r="A13" s="126" t="s">
        <v>1141</v>
      </c>
      <c r="B13" s="59">
        <v>5</v>
      </c>
      <c r="C13" s="698"/>
      <c r="D13" s="699"/>
      <c r="E13" s="262"/>
      <c r="F13" s="699"/>
      <c r="G13" s="262"/>
      <c r="H13" s="263"/>
      <c r="I13" s="700"/>
    </row>
    <row r="14" spans="1:9" ht="11.25" customHeight="1">
      <c r="A14" s="1005" t="s">
        <v>94</v>
      </c>
      <c r="B14" s="59"/>
      <c r="C14" s="2294"/>
      <c r="D14" s="1989">
        <v>1819172</v>
      </c>
      <c r="E14" s="1989"/>
      <c r="F14" s="1989">
        <v>25704</v>
      </c>
      <c r="G14" s="1989">
        <v>181917</v>
      </c>
      <c r="H14" s="1416"/>
      <c r="I14" s="700">
        <f t="shared" ref="I14:I19" si="2">SUM(D14:H14)</f>
        <v>2026793</v>
      </c>
    </row>
    <row r="15" spans="1:9" ht="11.25" customHeight="1">
      <c r="A15" s="1005" t="s">
        <v>95</v>
      </c>
      <c r="B15" s="59"/>
      <c r="C15" s="2294"/>
      <c r="D15" s="1989">
        <v>1487168</v>
      </c>
      <c r="E15" s="1989"/>
      <c r="F15" s="1989">
        <v>25704</v>
      </c>
      <c r="G15" s="1989">
        <v>148717</v>
      </c>
      <c r="H15" s="1416"/>
      <c r="I15" s="700">
        <f t="shared" si="2"/>
        <v>1661589</v>
      </c>
    </row>
    <row r="16" spans="1:9" ht="11.25" customHeight="1">
      <c r="A16" s="2265" t="s">
        <v>2927</v>
      </c>
      <c r="B16" s="59"/>
      <c r="C16" s="2294"/>
      <c r="D16" s="1989">
        <v>1293190</v>
      </c>
      <c r="E16" s="1989"/>
      <c r="F16" s="1989">
        <v>25704</v>
      </c>
      <c r="G16" s="1989">
        <v>129319</v>
      </c>
      <c r="H16" s="1416"/>
      <c r="I16" s="700">
        <f t="shared" si="2"/>
        <v>1448213</v>
      </c>
    </row>
    <row r="17" spans="1:9" ht="11.25" customHeight="1">
      <c r="A17" s="2265" t="s">
        <v>121</v>
      </c>
      <c r="B17" s="59"/>
      <c r="C17" s="2294"/>
      <c r="D17" s="1989">
        <v>1247074</v>
      </c>
      <c r="E17" s="1989"/>
      <c r="F17" s="1989">
        <v>25704</v>
      </c>
      <c r="G17" s="1989">
        <v>124707</v>
      </c>
      <c r="H17" s="1416"/>
      <c r="I17" s="700">
        <f t="shared" si="2"/>
        <v>1397485</v>
      </c>
    </row>
    <row r="18" spans="1:9" ht="11.25" customHeight="1">
      <c r="A18" s="2265" t="s">
        <v>3240</v>
      </c>
      <c r="B18" s="59"/>
      <c r="C18" s="2294"/>
      <c r="D18" s="1989">
        <v>1293190</v>
      </c>
      <c r="E18" s="1989"/>
      <c r="F18" s="1989">
        <v>25704</v>
      </c>
      <c r="G18" s="1989">
        <v>129319</v>
      </c>
      <c r="H18" s="1416"/>
      <c r="I18" s="700">
        <f t="shared" si="2"/>
        <v>1448213</v>
      </c>
    </row>
    <row r="19" spans="1:9" ht="11.25" customHeight="1">
      <c r="A19" s="2265" t="s">
        <v>3241</v>
      </c>
      <c r="B19" s="59"/>
      <c r="C19" s="2294"/>
      <c r="D19" s="1989">
        <v>1487168</v>
      </c>
      <c r="E19" s="1989"/>
      <c r="F19" s="1989">
        <v>25704</v>
      </c>
      <c r="G19" s="1989">
        <v>148717</v>
      </c>
      <c r="H19" s="1416"/>
      <c r="I19" s="700">
        <f t="shared" si="2"/>
        <v>1661589</v>
      </c>
    </row>
    <row r="20" spans="1:9" ht="4.9000000000000004" customHeight="1">
      <c r="A20" s="148"/>
      <c r="B20" s="59"/>
      <c r="C20" s="1495"/>
      <c r="D20" s="1496"/>
      <c r="E20" s="1497"/>
      <c r="F20" s="1496"/>
      <c r="G20" s="1497"/>
      <c r="H20" s="1498"/>
      <c r="I20" s="700"/>
    </row>
    <row r="21" spans="1:9" ht="11.25" customHeight="1">
      <c r="A21" s="815" t="s">
        <v>274</v>
      </c>
      <c r="B21" s="59"/>
      <c r="C21" s="698"/>
      <c r="D21" s="699"/>
      <c r="E21" s="262"/>
      <c r="F21" s="699"/>
      <c r="G21" s="262"/>
      <c r="H21" s="263"/>
      <c r="I21" s="700"/>
    </row>
    <row r="22" spans="1:9" ht="11.25" customHeight="1">
      <c r="A22" s="2265" t="s">
        <v>3242</v>
      </c>
      <c r="B22" s="59"/>
      <c r="C22" s="2294"/>
      <c r="D22" s="1989">
        <v>1487169</v>
      </c>
      <c r="E22" s="1989"/>
      <c r="F22" s="1989">
        <v>25704</v>
      </c>
      <c r="G22" s="1989">
        <v>148729</v>
      </c>
      <c r="H22" s="1416"/>
      <c r="I22" s="700">
        <f>SUM(D22:H22)</f>
        <v>1661602</v>
      </c>
    </row>
    <row r="23" spans="1:9" ht="11.25" customHeight="1">
      <c r="A23" s="2265"/>
      <c r="B23" s="59"/>
      <c r="C23" s="2294"/>
      <c r="D23" s="1989"/>
      <c r="E23" s="1989"/>
      <c r="F23" s="1989"/>
      <c r="G23" s="1989"/>
      <c r="H23" s="1416"/>
      <c r="I23" s="700">
        <f t="shared" ref="I23:I32" si="3">SUM(D23:H23)</f>
        <v>0</v>
      </c>
    </row>
    <row r="24" spans="1:9" ht="11.25" customHeight="1">
      <c r="A24" s="2265"/>
      <c r="B24" s="59"/>
      <c r="C24" s="2294"/>
      <c r="D24" s="1989"/>
      <c r="E24" s="1989"/>
      <c r="F24" s="1989"/>
      <c r="G24" s="1989"/>
      <c r="H24" s="1416"/>
      <c r="I24" s="700">
        <f t="shared" si="3"/>
        <v>0</v>
      </c>
    </row>
    <row r="25" spans="1:9" ht="11.25" customHeight="1">
      <c r="A25" s="2265"/>
      <c r="B25" s="59"/>
      <c r="C25" s="2294"/>
      <c r="D25" s="1989"/>
      <c r="E25" s="1989"/>
      <c r="F25" s="1989"/>
      <c r="G25" s="1989"/>
      <c r="H25" s="1416"/>
      <c r="I25" s="700">
        <f t="shared" si="3"/>
        <v>0</v>
      </c>
    </row>
    <row r="26" spans="1:9" ht="11.25" customHeight="1">
      <c r="A26" s="2265"/>
      <c r="B26" s="59"/>
      <c r="C26" s="2294"/>
      <c r="D26" s="1989"/>
      <c r="E26" s="1989"/>
      <c r="F26" s="1989"/>
      <c r="G26" s="1989"/>
      <c r="H26" s="1416"/>
      <c r="I26" s="700">
        <f t="shared" si="3"/>
        <v>0</v>
      </c>
    </row>
    <row r="27" spans="1:9" ht="11.25" customHeight="1">
      <c r="A27" s="2265"/>
      <c r="B27" s="59"/>
      <c r="C27" s="2294"/>
      <c r="D27" s="1989"/>
      <c r="E27" s="1989"/>
      <c r="F27" s="1989"/>
      <c r="G27" s="1989"/>
      <c r="H27" s="1416"/>
      <c r="I27" s="700">
        <f t="shared" si="3"/>
        <v>0</v>
      </c>
    </row>
    <row r="28" spans="1:9" ht="11.25" customHeight="1">
      <c r="A28" s="2265"/>
      <c r="B28" s="59"/>
      <c r="C28" s="2294"/>
      <c r="D28" s="1989"/>
      <c r="E28" s="1989"/>
      <c r="F28" s="1989"/>
      <c r="G28" s="1989"/>
      <c r="H28" s="1416"/>
      <c r="I28" s="700">
        <f t="shared" si="3"/>
        <v>0</v>
      </c>
    </row>
    <row r="29" spans="1:9" ht="11.25" customHeight="1">
      <c r="A29" s="2265"/>
      <c r="B29" s="59"/>
      <c r="C29" s="2294"/>
      <c r="D29" s="1989"/>
      <c r="E29" s="1989"/>
      <c r="F29" s="1989"/>
      <c r="G29" s="1989"/>
      <c r="H29" s="1416"/>
      <c r="I29" s="700">
        <f t="shared" si="3"/>
        <v>0</v>
      </c>
    </row>
    <row r="30" spans="1:9" ht="11.25" customHeight="1">
      <c r="A30" s="2265"/>
      <c r="B30" s="59"/>
      <c r="C30" s="2294"/>
      <c r="D30" s="1989"/>
      <c r="E30" s="1989"/>
      <c r="F30" s="1989"/>
      <c r="G30" s="1989"/>
      <c r="H30" s="1416"/>
      <c r="I30" s="700">
        <f t="shared" si="3"/>
        <v>0</v>
      </c>
    </row>
    <row r="31" spans="1:9" ht="11.25" customHeight="1">
      <c r="A31" s="2265"/>
      <c r="B31" s="59"/>
      <c r="C31" s="2294"/>
      <c r="D31" s="1989"/>
      <c r="E31" s="1989"/>
      <c r="F31" s="1989"/>
      <c r="G31" s="1989"/>
      <c r="H31" s="1416"/>
      <c r="I31" s="700">
        <f t="shared" si="3"/>
        <v>0</v>
      </c>
    </row>
    <row r="32" spans="1:9" ht="11.25" customHeight="1">
      <c r="A32" s="2265"/>
      <c r="B32" s="59"/>
      <c r="C32" s="2294"/>
      <c r="D32" s="1989"/>
      <c r="E32" s="1989"/>
      <c r="F32" s="1989"/>
      <c r="G32" s="1989"/>
      <c r="H32" s="1416"/>
      <c r="I32" s="700">
        <f t="shared" si="3"/>
        <v>0</v>
      </c>
    </row>
    <row r="33" spans="1:9" ht="11.25" customHeight="1">
      <c r="A33" s="1985"/>
      <c r="B33" s="59"/>
      <c r="C33" s="2294"/>
      <c r="D33" s="1989"/>
      <c r="E33" s="1989"/>
      <c r="F33" s="1989"/>
      <c r="G33" s="1989"/>
      <c r="H33" s="1416"/>
      <c r="I33" s="700">
        <f>SUM(D33:H33)</f>
        <v>0</v>
      </c>
    </row>
    <row r="34" spans="1:9" ht="11.25" customHeight="1">
      <c r="A34" s="1985"/>
      <c r="B34" s="59"/>
      <c r="C34" s="2294"/>
      <c r="D34" s="1989"/>
      <c r="E34" s="1989"/>
      <c r="F34" s="1989"/>
      <c r="G34" s="1989"/>
      <c r="H34" s="1416"/>
      <c r="I34" s="700">
        <f>SUM(D34:H34)</f>
        <v>0</v>
      </c>
    </row>
    <row r="35" spans="1:9" ht="11.25" customHeight="1">
      <c r="A35" s="659" t="str">
        <f>"Total "&amp;A13</f>
        <v>Total Senior Managers of the Municipality</v>
      </c>
      <c r="B35" s="660" t="s">
        <v>1994</v>
      </c>
      <c r="C35" s="707">
        <f>SUM(C14:C34)</f>
        <v>0</v>
      </c>
      <c r="D35" s="704">
        <f>SUM(D14:D34)</f>
        <v>10114131</v>
      </c>
      <c r="E35" s="703">
        <f>SUM(E14:E34)</f>
        <v>0</v>
      </c>
      <c r="F35" s="704">
        <f>SUM(F14:F34)</f>
        <v>179928</v>
      </c>
      <c r="G35" s="703">
        <f>SUM(G14:G34)</f>
        <v>1011425</v>
      </c>
      <c r="H35" s="708"/>
      <c r="I35" s="705">
        <f>SUM(I14:I34)</f>
        <v>11305484</v>
      </c>
    </row>
    <row r="36" spans="1:9">
      <c r="A36" s="148"/>
      <c r="B36" s="59"/>
      <c r="C36" s="698"/>
      <c r="D36" s="699"/>
      <c r="E36" s="262"/>
      <c r="F36" s="699"/>
      <c r="G36" s="262"/>
      <c r="H36" s="263"/>
      <c r="I36" s="700"/>
    </row>
    <row r="37" spans="1:9" ht="11.25" customHeight="1">
      <c r="A37" s="126" t="s">
        <v>651</v>
      </c>
      <c r="B37" s="59" t="s">
        <v>1971</v>
      </c>
      <c r="C37" s="698"/>
      <c r="D37" s="699"/>
      <c r="E37" s="262"/>
      <c r="F37" s="699"/>
      <c r="G37" s="262"/>
      <c r="H37" s="263"/>
      <c r="I37" s="700"/>
    </row>
    <row r="38" spans="1:9" ht="11.25" customHeight="1">
      <c r="A38" s="131" t="s">
        <v>96</v>
      </c>
      <c r="B38" s="59"/>
      <c r="C38" s="701"/>
      <c r="D38" s="262"/>
      <c r="E38" s="262"/>
      <c r="F38" s="262"/>
      <c r="G38" s="262"/>
      <c r="H38" s="263"/>
      <c r="I38" s="709"/>
    </row>
    <row r="39" spans="1:9" ht="11.25" customHeight="1">
      <c r="A39" s="2265"/>
      <c r="B39" s="59"/>
      <c r="C39" s="2294"/>
      <c r="D39" s="1989"/>
      <c r="E39" s="1989"/>
      <c r="F39" s="1989"/>
      <c r="G39" s="1989"/>
      <c r="H39" s="1416"/>
      <c r="I39" s="709">
        <f>SUM(D39:G39)</f>
        <v>0</v>
      </c>
    </row>
    <row r="40" spans="1:9" ht="11.25" customHeight="1">
      <c r="A40" s="2265" t="s">
        <v>3446</v>
      </c>
      <c r="B40" s="59"/>
      <c r="C40" s="2294"/>
      <c r="D40" s="1989"/>
      <c r="E40" s="1989"/>
      <c r="F40" s="1989">
        <v>224440</v>
      </c>
      <c r="G40" s="1989"/>
      <c r="H40" s="1416"/>
      <c r="I40" s="709">
        <f t="shared" ref="I40:I54" si="4">SUM(D40:G40)</f>
        <v>224440</v>
      </c>
    </row>
    <row r="41" spans="1:9" ht="11.25" customHeight="1">
      <c r="A41" s="2265" t="s">
        <v>3447</v>
      </c>
      <c r="B41" s="59"/>
      <c r="C41" s="2294"/>
      <c r="D41" s="1989"/>
      <c r="E41" s="1989"/>
      <c r="F41" s="1989">
        <v>133567</v>
      </c>
      <c r="G41" s="1989"/>
      <c r="H41" s="1416"/>
      <c r="I41" s="709">
        <f t="shared" si="4"/>
        <v>133567</v>
      </c>
    </row>
    <row r="42" spans="1:9" ht="11.25" customHeight="1">
      <c r="A42" s="2265" t="s">
        <v>3448</v>
      </c>
      <c r="B42" s="59"/>
      <c r="C42" s="2294"/>
      <c r="D42" s="1989"/>
      <c r="E42" s="1989"/>
      <c r="F42" s="1989">
        <v>172432</v>
      </c>
      <c r="G42" s="1989"/>
      <c r="H42" s="1416"/>
      <c r="I42" s="709">
        <f t="shared" si="4"/>
        <v>172432</v>
      </c>
    </row>
    <row r="43" spans="1:9" ht="11.25" customHeight="1">
      <c r="A43" s="2265" t="s">
        <v>3449</v>
      </c>
      <c r="B43" s="59"/>
      <c r="C43" s="2294"/>
      <c r="D43" s="1989"/>
      <c r="E43" s="1989"/>
      <c r="F43" s="1989">
        <v>143661</v>
      </c>
      <c r="G43" s="1989"/>
      <c r="H43" s="1416"/>
      <c r="I43" s="709">
        <f t="shared" si="4"/>
        <v>143661</v>
      </c>
    </row>
    <row r="44" spans="1:9" ht="11.25" customHeight="1">
      <c r="A44" s="2265"/>
      <c r="B44" s="59"/>
      <c r="C44" s="2294"/>
      <c r="D44" s="1989"/>
      <c r="E44" s="1989"/>
      <c r="F44" s="1989"/>
      <c r="G44" s="1989"/>
      <c r="H44" s="1416"/>
      <c r="I44" s="709">
        <f t="shared" si="4"/>
        <v>0</v>
      </c>
    </row>
    <row r="45" spans="1:9" ht="11.25" customHeight="1">
      <c r="A45" s="2265"/>
      <c r="B45" s="59"/>
      <c r="C45" s="2294"/>
      <c r="D45" s="1989"/>
      <c r="E45" s="1989"/>
      <c r="F45" s="1989"/>
      <c r="G45" s="1989"/>
      <c r="H45" s="1416"/>
      <c r="I45" s="709">
        <f t="shared" si="4"/>
        <v>0</v>
      </c>
    </row>
    <row r="46" spans="1:9" ht="11.25" customHeight="1">
      <c r="A46" s="2265"/>
      <c r="B46" s="59"/>
      <c r="C46" s="2294"/>
      <c r="D46" s="1989"/>
      <c r="E46" s="1989"/>
      <c r="F46" s="1989"/>
      <c r="G46" s="1989"/>
      <c r="H46" s="1416"/>
      <c r="I46" s="709">
        <f t="shared" si="4"/>
        <v>0</v>
      </c>
    </row>
    <row r="47" spans="1:9" ht="11.25" customHeight="1">
      <c r="A47" s="2265"/>
      <c r="B47" s="59"/>
      <c r="C47" s="2294"/>
      <c r="D47" s="1989"/>
      <c r="E47" s="1989"/>
      <c r="F47" s="1989"/>
      <c r="G47" s="1989"/>
      <c r="H47" s="1416"/>
      <c r="I47" s="709">
        <f t="shared" si="4"/>
        <v>0</v>
      </c>
    </row>
    <row r="48" spans="1:9" ht="11.25" customHeight="1">
      <c r="A48" s="2265"/>
      <c r="B48" s="59"/>
      <c r="C48" s="2294"/>
      <c r="D48" s="1989"/>
      <c r="E48" s="1989"/>
      <c r="F48" s="1989"/>
      <c r="G48" s="1989"/>
      <c r="H48" s="1416"/>
      <c r="I48" s="709">
        <f t="shared" si="4"/>
        <v>0</v>
      </c>
    </row>
    <row r="49" spans="1:15" ht="11.25" customHeight="1">
      <c r="A49" s="2265"/>
      <c r="B49" s="59"/>
      <c r="C49" s="2294"/>
      <c r="D49" s="1989"/>
      <c r="E49" s="1989"/>
      <c r="F49" s="1989"/>
      <c r="G49" s="1989"/>
      <c r="H49" s="1416"/>
      <c r="I49" s="709">
        <f t="shared" si="4"/>
        <v>0</v>
      </c>
    </row>
    <row r="50" spans="1:15" ht="11.25" customHeight="1">
      <c r="A50" s="2265"/>
      <c r="B50" s="59"/>
      <c r="C50" s="2294"/>
      <c r="D50" s="1989"/>
      <c r="E50" s="1989"/>
      <c r="F50" s="1989"/>
      <c r="G50" s="1989"/>
      <c r="H50" s="1416"/>
      <c r="I50" s="709">
        <f t="shared" si="4"/>
        <v>0</v>
      </c>
    </row>
    <row r="51" spans="1:15" ht="11.25" customHeight="1">
      <c r="A51" s="2265"/>
      <c r="B51" s="59"/>
      <c r="C51" s="2294"/>
      <c r="D51" s="1989"/>
      <c r="E51" s="1989"/>
      <c r="F51" s="1989"/>
      <c r="G51" s="1989"/>
      <c r="H51" s="1416"/>
      <c r="I51" s="709">
        <f t="shared" si="4"/>
        <v>0</v>
      </c>
    </row>
    <row r="52" spans="1:15" ht="11.25" customHeight="1">
      <c r="A52" s="2265"/>
      <c r="B52" s="59"/>
      <c r="C52" s="2294"/>
      <c r="D52" s="1989"/>
      <c r="E52" s="1989"/>
      <c r="F52" s="1989"/>
      <c r="G52" s="1989"/>
      <c r="H52" s="1416"/>
      <c r="I52" s="709">
        <f t="shared" si="4"/>
        <v>0</v>
      </c>
    </row>
    <row r="53" spans="1:15" ht="11.25" customHeight="1">
      <c r="A53" s="2265"/>
      <c r="B53" s="59"/>
      <c r="C53" s="2294"/>
      <c r="D53" s="1989"/>
      <c r="E53" s="1989"/>
      <c r="F53" s="1989"/>
      <c r="G53" s="1989"/>
      <c r="H53" s="1416"/>
      <c r="I53" s="709">
        <f t="shared" si="4"/>
        <v>0</v>
      </c>
    </row>
    <row r="54" spans="1:15" ht="11.25" customHeight="1">
      <c r="A54" s="2265"/>
      <c r="B54" s="59"/>
      <c r="C54" s="2294"/>
      <c r="D54" s="1989"/>
      <c r="E54" s="1989"/>
      <c r="F54" s="1989"/>
      <c r="G54" s="1989"/>
      <c r="H54" s="1416"/>
      <c r="I54" s="709">
        <f t="shared" si="4"/>
        <v>0</v>
      </c>
    </row>
    <row r="55" spans="1:15" ht="11.25" customHeight="1">
      <c r="A55" s="659" t="s">
        <v>275</v>
      </c>
      <c r="B55" s="660" t="s">
        <v>1994</v>
      </c>
      <c r="C55" s="707">
        <f>SUM(C38:C54)</f>
        <v>0</v>
      </c>
      <c r="D55" s="704">
        <f t="shared" ref="D55:I55" si="5">SUM(D39:D54)</f>
        <v>0</v>
      </c>
      <c r="E55" s="703">
        <f t="shared" si="5"/>
        <v>0</v>
      </c>
      <c r="F55" s="704">
        <f t="shared" si="5"/>
        <v>674100</v>
      </c>
      <c r="G55" s="703">
        <f t="shared" si="5"/>
        <v>0</v>
      </c>
      <c r="H55" s="708"/>
      <c r="I55" s="705">
        <f t="shared" si="5"/>
        <v>674100</v>
      </c>
    </row>
    <row r="56" spans="1:15">
      <c r="A56" s="148"/>
      <c r="B56" s="59"/>
      <c r="C56" s="698"/>
      <c r="D56" s="699"/>
      <c r="E56" s="699"/>
      <c r="F56" s="699"/>
      <c r="G56" s="699"/>
      <c r="H56" s="710"/>
      <c r="I56" s="700"/>
    </row>
    <row r="57" spans="1:15" s="631" customFormat="1" ht="25.5">
      <c r="A57" s="711" t="s">
        <v>235</v>
      </c>
      <c r="B57" s="636">
        <v>10</v>
      </c>
      <c r="C57" s="712">
        <f t="shared" ref="C57:I57" si="6">C11+C35+C55</f>
        <v>0</v>
      </c>
      <c r="D57" s="713">
        <f t="shared" si="6"/>
        <v>28823304</v>
      </c>
      <c r="E57" s="713">
        <f t="shared" si="6"/>
        <v>0</v>
      </c>
      <c r="F57" s="713">
        <f t="shared" si="6"/>
        <v>10505738</v>
      </c>
      <c r="G57" s="713">
        <f t="shared" si="6"/>
        <v>1011425</v>
      </c>
      <c r="H57" s="714"/>
      <c r="I57" s="715">
        <f t="shared" si="6"/>
        <v>40340467</v>
      </c>
    </row>
    <row r="58" spans="1:15" ht="4.9000000000000004" customHeight="1">
      <c r="A58" s="520"/>
      <c r="B58" s="113"/>
      <c r="C58" s="113"/>
      <c r="D58" s="182"/>
      <c r="E58" s="182"/>
      <c r="F58" s="182"/>
      <c r="G58" s="182"/>
      <c r="H58" s="182"/>
      <c r="I58" s="182"/>
      <c r="J58" s="123"/>
      <c r="K58" s="123"/>
      <c r="L58" s="123"/>
    </row>
    <row r="59" spans="1:15" s="576" customFormat="1">
      <c r="A59" s="1092" t="str">
        <f>head27a</f>
        <v>References</v>
      </c>
      <c r="B59" s="874"/>
      <c r="C59" s="874"/>
      <c r="D59" s="916"/>
      <c r="E59" s="916"/>
      <c r="F59" s="916"/>
      <c r="G59" s="916"/>
      <c r="H59" s="916"/>
      <c r="I59" s="916"/>
      <c r="J59" s="898"/>
      <c r="K59" s="898"/>
      <c r="L59" s="898"/>
    </row>
    <row r="60" spans="1:15" s="923" customFormat="1">
      <c r="A60" s="1819" t="s">
        <v>838</v>
      </c>
      <c r="B60" s="1820"/>
      <c r="C60" s="1820"/>
    </row>
    <row r="61" spans="1:15" s="576" customFormat="1">
      <c r="A61" s="1238" t="s">
        <v>1972</v>
      </c>
      <c r="B61" s="884"/>
      <c r="C61" s="884"/>
      <c r="O61" s="923"/>
    </row>
    <row r="62" spans="1:15" s="576" customFormat="1">
      <c r="A62" s="1238" t="s">
        <v>1973</v>
      </c>
      <c r="B62" s="884"/>
      <c r="C62" s="884"/>
    </row>
    <row r="63" spans="1:15" s="576" customFormat="1">
      <c r="A63" s="1238" t="s">
        <v>1974</v>
      </c>
      <c r="B63" s="884"/>
      <c r="C63" s="884"/>
    </row>
    <row r="64" spans="1:15" s="576" customFormat="1">
      <c r="A64" s="1238" t="s">
        <v>392</v>
      </c>
      <c r="B64" s="884"/>
      <c r="C64" s="884"/>
    </row>
    <row r="65" spans="1:3" s="576" customFormat="1">
      <c r="A65" s="1238" t="s">
        <v>1975</v>
      </c>
      <c r="B65" s="884"/>
      <c r="C65" s="884"/>
    </row>
    <row r="66" spans="1:3" s="576" customFormat="1">
      <c r="A66" s="1238" t="s">
        <v>1976</v>
      </c>
      <c r="B66" s="884"/>
      <c r="C66" s="884"/>
    </row>
    <row r="67" spans="1:3" s="576" customFormat="1">
      <c r="A67" s="1238" t="s">
        <v>1977</v>
      </c>
      <c r="B67" s="884"/>
      <c r="C67" s="884"/>
    </row>
    <row r="68" spans="1:3" s="576" customFormat="1">
      <c r="A68" s="1238" t="s">
        <v>1978</v>
      </c>
      <c r="B68" s="884"/>
      <c r="C68" s="884"/>
    </row>
    <row r="69" spans="1:3" s="576" customFormat="1">
      <c r="A69" s="1238" t="s">
        <v>1979</v>
      </c>
      <c r="B69" s="884"/>
      <c r="C69" s="884"/>
    </row>
    <row r="70" spans="1:3" s="576" customFormat="1">
      <c r="A70" s="1238" t="s">
        <v>1993</v>
      </c>
      <c r="B70" s="884"/>
      <c r="C70" s="884"/>
    </row>
  </sheetData>
  <mergeCells count="4">
    <mergeCell ref="C2:C3"/>
    <mergeCell ref="F2:F3"/>
    <mergeCell ref="D2:D3"/>
    <mergeCell ref="G2:G3"/>
  </mergeCells>
  <phoneticPr fontId="5"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37" activePane="bottomLeft" state="frozen"/>
      <selection activeCell="C32" sqref="C32"/>
      <selection pane="bottomLeft" activeCell="F39" sqref="F39:H41"/>
    </sheetView>
  </sheetViews>
  <sheetFormatPr defaultColWidth="9.140625" defaultRowHeight="12.75"/>
  <cols>
    <col min="1" max="1" width="37.7109375" style="26" customWidth="1"/>
    <col min="2" max="2" width="3.42578125" style="124" customWidth="1"/>
    <col min="3" max="11" width="8.710937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"&amp;TableA24</f>
        <v>LIM333 Greater Tzaneen - Supporting Table SA24 Summary of personnel numbers</v>
      </c>
      <c r="B1" s="24"/>
      <c r="C1" s="24"/>
      <c r="D1" s="24"/>
      <c r="E1" s="24"/>
      <c r="F1" s="24"/>
      <c r="G1" s="24"/>
      <c r="H1" s="24"/>
      <c r="I1" s="24"/>
      <c r="J1" s="24"/>
      <c r="K1" s="24"/>
    </row>
    <row r="2" spans="1:12" ht="28.5" customHeight="1">
      <c r="A2" s="841" t="s">
        <v>584</v>
      </c>
      <c r="B2" s="288" t="str">
        <f>head27</f>
        <v>Ref</v>
      </c>
      <c r="C2" s="2922" t="str">
        <f>Head1</f>
        <v>2018/19</v>
      </c>
      <c r="D2" s="2923"/>
      <c r="E2" s="2924"/>
      <c r="F2" s="2842" t="str">
        <f>Head2</f>
        <v>Current Year 2019/20</v>
      </c>
      <c r="G2" s="2843"/>
      <c r="H2" s="2843"/>
      <c r="I2" s="2839" t="str">
        <f>Head9</f>
        <v>Budget Year 2020/21</v>
      </c>
      <c r="J2" s="2840"/>
      <c r="K2" s="2841"/>
      <c r="L2" s="240"/>
    </row>
    <row r="3" spans="1:12" ht="25.5">
      <c r="A3" s="57" t="s">
        <v>1471</v>
      </c>
      <c r="B3" s="842" t="s">
        <v>1701</v>
      </c>
      <c r="C3" s="260" t="s">
        <v>381</v>
      </c>
      <c r="D3" s="854" t="s">
        <v>823</v>
      </c>
      <c r="E3" s="261" t="s">
        <v>382</v>
      </c>
      <c r="F3" s="260" t="s">
        <v>381</v>
      </c>
      <c r="G3" s="854" t="s">
        <v>823</v>
      </c>
      <c r="H3" s="261" t="s">
        <v>382</v>
      </c>
      <c r="I3" s="260" t="s">
        <v>381</v>
      </c>
      <c r="J3" s="854" t="s">
        <v>823</v>
      </c>
      <c r="K3" s="261" t="s">
        <v>382</v>
      </c>
      <c r="L3" s="240"/>
    </row>
    <row r="4" spans="1:12">
      <c r="A4" s="517" t="s">
        <v>383</v>
      </c>
      <c r="B4" s="59"/>
      <c r="C4" s="699"/>
      <c r="D4" s="699"/>
      <c r="E4" s="716"/>
      <c r="F4" s="717"/>
      <c r="G4" s="699"/>
      <c r="H4" s="718"/>
      <c r="I4" s="710"/>
      <c r="J4" s="699"/>
      <c r="K4" s="716"/>
      <c r="L4" s="240"/>
    </row>
    <row r="5" spans="1:12" ht="11.25" customHeight="1">
      <c r="A5" s="127" t="s">
        <v>785</v>
      </c>
      <c r="B5" s="59"/>
      <c r="C5" s="1989">
        <v>69</v>
      </c>
      <c r="D5" s="1989">
        <v>0</v>
      </c>
      <c r="E5" s="1990">
        <v>69</v>
      </c>
      <c r="F5" s="1988">
        <v>69</v>
      </c>
      <c r="G5" s="1989">
        <v>0</v>
      </c>
      <c r="H5" s="2240">
        <v>69</v>
      </c>
      <c r="I5" s="1991">
        <v>69</v>
      </c>
      <c r="J5" s="1989"/>
      <c r="K5" s="1990">
        <v>69</v>
      </c>
      <c r="L5" s="240"/>
    </row>
    <row r="6" spans="1:12" ht="11.25" customHeight="1">
      <c r="A6" s="131" t="s">
        <v>1243</v>
      </c>
      <c r="B6" s="59">
        <v>4</v>
      </c>
      <c r="C6" s="1989">
        <v>10</v>
      </c>
      <c r="D6" s="1989">
        <v>0</v>
      </c>
      <c r="E6" s="1990">
        <v>7</v>
      </c>
      <c r="F6" s="1988"/>
      <c r="G6" s="1989"/>
      <c r="H6" s="2240"/>
      <c r="I6" s="1991">
        <v>10</v>
      </c>
      <c r="J6" s="1989"/>
      <c r="K6" s="1990">
        <v>7</v>
      </c>
      <c r="L6" s="240"/>
    </row>
    <row r="7" spans="1:12" ht="11.25" customHeight="1">
      <c r="A7" s="517" t="s">
        <v>1244</v>
      </c>
      <c r="B7" s="59">
        <v>5</v>
      </c>
      <c r="C7" s="1989">
        <v>0</v>
      </c>
      <c r="D7" s="1989">
        <v>0</v>
      </c>
      <c r="E7" s="1990">
        <v>0</v>
      </c>
      <c r="F7" s="1988"/>
      <c r="G7" s="1989"/>
      <c r="H7" s="2240"/>
      <c r="I7" s="1991"/>
      <c r="J7" s="1989"/>
      <c r="K7" s="1990"/>
      <c r="L7" s="240"/>
    </row>
    <row r="8" spans="1:12" ht="11.25" customHeight="1">
      <c r="A8" s="131" t="s">
        <v>1245</v>
      </c>
      <c r="B8" s="59">
        <v>3</v>
      </c>
      <c r="C8" s="1989">
        <v>7</v>
      </c>
      <c r="D8" s="1989">
        <v>0</v>
      </c>
      <c r="E8" s="1990">
        <v>2</v>
      </c>
      <c r="F8" s="1988">
        <v>7</v>
      </c>
      <c r="G8" s="1989">
        <v>0</v>
      </c>
      <c r="H8" s="2240">
        <v>7</v>
      </c>
      <c r="I8" s="1991">
        <v>7</v>
      </c>
      <c r="J8" s="1989"/>
      <c r="K8" s="1990">
        <v>7</v>
      </c>
      <c r="L8" s="240"/>
    </row>
    <row r="9" spans="1:12" ht="11.25" customHeight="1">
      <c r="A9" s="131" t="s">
        <v>488</v>
      </c>
      <c r="B9" s="59">
        <v>7</v>
      </c>
      <c r="C9" s="1989">
        <v>35</v>
      </c>
      <c r="D9" s="1989">
        <v>25</v>
      </c>
      <c r="E9" s="1990">
        <v>0</v>
      </c>
      <c r="F9" s="1988"/>
      <c r="G9" s="1989"/>
      <c r="H9" s="2240"/>
      <c r="I9" s="1991">
        <v>35</v>
      </c>
      <c r="J9" s="1989">
        <v>30</v>
      </c>
      <c r="K9" s="1990"/>
      <c r="L9" s="240"/>
    </row>
    <row r="10" spans="1:12" ht="11.25" customHeight="1">
      <c r="A10" s="131" t="s">
        <v>1246</v>
      </c>
      <c r="B10" s="59"/>
      <c r="C10" s="1006">
        <f>[3]SA24!F10</f>
        <v>98</v>
      </c>
      <c r="D10" s="1006">
        <f>[3]SA24!G10</f>
        <v>57</v>
      </c>
      <c r="E10" s="1007">
        <f>[3]SA24!H10</f>
        <v>0</v>
      </c>
      <c r="F10" s="1008">
        <f t="shared" ref="F10:K10" si="0">SUM(F11:F19)</f>
        <v>98</v>
      </c>
      <c r="G10" s="1006">
        <f t="shared" si="0"/>
        <v>72</v>
      </c>
      <c r="H10" s="1009">
        <f t="shared" si="0"/>
        <v>0</v>
      </c>
      <c r="I10" s="1010">
        <f t="shared" si="0"/>
        <v>98</v>
      </c>
      <c r="J10" s="1006">
        <f t="shared" si="0"/>
        <v>57</v>
      </c>
      <c r="K10" s="1007">
        <f t="shared" si="0"/>
        <v>0</v>
      </c>
      <c r="L10" s="240"/>
    </row>
    <row r="11" spans="1:12" ht="11.25" customHeight="1">
      <c r="A11" s="1285" t="s">
        <v>1580</v>
      </c>
      <c r="B11" s="59"/>
      <c r="C11" s="1989">
        <v>23</v>
      </c>
      <c r="D11" s="1989">
        <v>12</v>
      </c>
      <c r="E11" s="1990">
        <v>0</v>
      </c>
      <c r="F11" s="1988">
        <v>23</v>
      </c>
      <c r="G11" s="1989">
        <v>26</v>
      </c>
      <c r="H11" s="2240"/>
      <c r="I11" s="1991">
        <v>23</v>
      </c>
      <c r="J11" s="1989">
        <v>12</v>
      </c>
      <c r="K11" s="1990"/>
      <c r="L11" s="240"/>
    </row>
    <row r="12" spans="1:12" ht="11.25" customHeight="1">
      <c r="A12" s="1285" t="s">
        <v>1247</v>
      </c>
      <c r="B12" s="59"/>
      <c r="C12" s="1989">
        <v>6</v>
      </c>
      <c r="D12" s="1989">
        <v>3</v>
      </c>
      <c r="E12" s="1990">
        <v>0</v>
      </c>
      <c r="F12" s="1988">
        <v>6</v>
      </c>
      <c r="G12" s="1989">
        <v>2</v>
      </c>
      <c r="H12" s="2240"/>
      <c r="I12" s="1991">
        <v>6</v>
      </c>
      <c r="J12" s="1989">
        <v>2</v>
      </c>
      <c r="K12" s="1990"/>
      <c r="L12" s="240"/>
    </row>
    <row r="13" spans="1:12" ht="11.25" customHeight="1">
      <c r="A13" s="1285" t="s">
        <v>286</v>
      </c>
      <c r="B13" s="59"/>
      <c r="C13" s="1989">
        <v>2</v>
      </c>
      <c r="D13" s="1989">
        <v>2</v>
      </c>
      <c r="E13" s="1990">
        <v>0</v>
      </c>
      <c r="F13" s="1988">
        <v>2</v>
      </c>
      <c r="G13" s="1989">
        <v>2</v>
      </c>
      <c r="H13" s="2240"/>
      <c r="I13" s="1991">
        <v>2</v>
      </c>
      <c r="J13" s="1989">
        <v>1</v>
      </c>
      <c r="K13" s="1990"/>
      <c r="L13" s="240"/>
    </row>
    <row r="14" spans="1:12" ht="11.25" customHeight="1">
      <c r="A14" s="1285" t="s">
        <v>632</v>
      </c>
      <c r="B14" s="59"/>
      <c r="C14" s="1989">
        <v>10</v>
      </c>
      <c r="D14" s="1989">
        <v>3</v>
      </c>
      <c r="E14" s="1990">
        <v>0</v>
      </c>
      <c r="F14" s="1988">
        <v>10</v>
      </c>
      <c r="G14" s="1989">
        <v>3</v>
      </c>
      <c r="H14" s="2240"/>
      <c r="I14" s="1991">
        <v>10</v>
      </c>
      <c r="J14" s="1989">
        <v>3</v>
      </c>
      <c r="K14" s="1990"/>
      <c r="L14" s="240"/>
    </row>
    <row r="15" spans="1:12" ht="11.25" customHeight="1">
      <c r="A15" s="1285" t="s">
        <v>556</v>
      </c>
      <c r="B15" s="59"/>
      <c r="C15" s="1989">
        <v>32</v>
      </c>
      <c r="D15" s="1989">
        <v>19</v>
      </c>
      <c r="E15" s="1990">
        <v>0</v>
      </c>
      <c r="F15" s="1988">
        <v>32</v>
      </c>
      <c r="G15" s="1989">
        <v>21</v>
      </c>
      <c r="H15" s="2240"/>
      <c r="I15" s="1991">
        <v>32</v>
      </c>
      <c r="J15" s="1989">
        <v>20</v>
      </c>
      <c r="K15" s="1990"/>
      <c r="L15" s="240"/>
    </row>
    <row r="16" spans="1:12" ht="11.25" customHeight="1">
      <c r="A16" s="1285" t="s">
        <v>827</v>
      </c>
      <c r="B16" s="59"/>
      <c r="C16" s="1989">
        <v>14</v>
      </c>
      <c r="D16" s="1989">
        <v>7</v>
      </c>
      <c r="E16" s="1990">
        <v>0</v>
      </c>
      <c r="F16" s="1988">
        <v>14</v>
      </c>
      <c r="G16" s="1989">
        <v>7</v>
      </c>
      <c r="H16" s="2240"/>
      <c r="I16" s="1991">
        <v>14</v>
      </c>
      <c r="J16" s="1989">
        <v>8</v>
      </c>
      <c r="K16" s="1990"/>
      <c r="L16" s="240"/>
    </row>
    <row r="17" spans="1:12" ht="11.25" customHeight="1">
      <c r="A17" s="1285" t="s">
        <v>828</v>
      </c>
      <c r="B17" s="59"/>
      <c r="C17" s="1989">
        <v>3</v>
      </c>
      <c r="D17" s="1989">
        <v>3</v>
      </c>
      <c r="E17" s="1990">
        <v>0</v>
      </c>
      <c r="F17" s="1988">
        <v>3</v>
      </c>
      <c r="G17" s="1989">
        <v>3</v>
      </c>
      <c r="H17" s="2240"/>
      <c r="I17" s="1991">
        <v>3</v>
      </c>
      <c r="J17" s="1989">
        <v>3</v>
      </c>
      <c r="K17" s="1990"/>
      <c r="L17" s="240"/>
    </row>
    <row r="18" spans="1:12" ht="11.25" customHeight="1">
      <c r="A18" s="1285" t="s">
        <v>1129</v>
      </c>
      <c r="B18" s="59"/>
      <c r="C18" s="1989">
        <v>8</v>
      </c>
      <c r="D18" s="1989">
        <v>8</v>
      </c>
      <c r="E18" s="1990">
        <v>0</v>
      </c>
      <c r="F18" s="1988">
        <v>8</v>
      </c>
      <c r="G18" s="1989">
        <v>8</v>
      </c>
      <c r="H18" s="2240"/>
      <c r="I18" s="1991">
        <v>8</v>
      </c>
      <c r="J18" s="1989">
        <v>8</v>
      </c>
      <c r="K18" s="1990"/>
      <c r="L18" s="240"/>
    </row>
    <row r="19" spans="1:12" ht="11.25" customHeight="1">
      <c r="A19" s="1285" t="s">
        <v>245</v>
      </c>
      <c r="B19" s="59"/>
      <c r="C19" s="1989">
        <v>0</v>
      </c>
      <c r="D19" s="1989">
        <v>0</v>
      </c>
      <c r="E19" s="1990">
        <v>0</v>
      </c>
      <c r="F19" s="1988"/>
      <c r="G19" s="1989"/>
      <c r="H19" s="2240"/>
      <c r="I19" s="1991"/>
      <c r="J19" s="1989"/>
      <c r="K19" s="1990"/>
      <c r="L19" s="240"/>
    </row>
    <row r="20" spans="1:12" ht="11.25" customHeight="1">
      <c r="A20" s="131" t="s">
        <v>1248</v>
      </c>
      <c r="B20" s="59"/>
      <c r="C20" s="1006">
        <f>[3]SA24!F20</f>
        <v>93</v>
      </c>
      <c r="D20" s="1006">
        <f>[3]SA24!G20</f>
        <v>57</v>
      </c>
      <c r="E20" s="1007">
        <f>[3]SA24!H20</f>
        <v>0</v>
      </c>
      <c r="F20" s="1008"/>
      <c r="G20" s="1006"/>
      <c r="H20" s="1009">
        <f t="shared" ref="H20:K20" si="1">SUM(H21:H29)</f>
        <v>0</v>
      </c>
      <c r="I20" s="1010">
        <f t="shared" si="1"/>
        <v>93</v>
      </c>
      <c r="J20" s="1006">
        <f t="shared" si="1"/>
        <v>61</v>
      </c>
      <c r="K20" s="1007">
        <f t="shared" si="1"/>
        <v>0</v>
      </c>
      <c r="L20" s="240"/>
    </row>
    <row r="21" spans="1:12" ht="11.25" customHeight="1">
      <c r="A21" s="1285" t="s">
        <v>1580</v>
      </c>
      <c r="B21" s="59"/>
      <c r="C21" s="1989">
        <v>51</v>
      </c>
      <c r="D21" s="1989">
        <v>33</v>
      </c>
      <c r="E21" s="1990">
        <v>0</v>
      </c>
      <c r="F21" s="1988">
        <v>51</v>
      </c>
      <c r="G21" s="1989">
        <v>36</v>
      </c>
      <c r="H21" s="2240"/>
      <c r="I21" s="1991">
        <v>51</v>
      </c>
      <c r="J21" s="1989">
        <v>33</v>
      </c>
      <c r="K21" s="1990"/>
      <c r="L21" s="240"/>
    </row>
    <row r="22" spans="1:12" ht="11.25" customHeight="1">
      <c r="A22" s="1285" t="s">
        <v>1247</v>
      </c>
      <c r="B22" s="59"/>
      <c r="C22" s="1989">
        <v>1</v>
      </c>
      <c r="D22" s="1989">
        <v>1</v>
      </c>
      <c r="E22" s="1990">
        <v>0</v>
      </c>
      <c r="F22" s="1988">
        <v>1</v>
      </c>
      <c r="G22" s="1989">
        <v>1</v>
      </c>
      <c r="H22" s="2240"/>
      <c r="I22" s="1991">
        <v>1</v>
      </c>
      <c r="J22" s="1989">
        <v>1</v>
      </c>
      <c r="K22" s="1990"/>
      <c r="L22" s="240"/>
    </row>
    <row r="23" spans="1:12" ht="11.25" customHeight="1">
      <c r="A23" s="1285" t="s">
        <v>286</v>
      </c>
      <c r="B23" s="59"/>
      <c r="C23" s="1989">
        <v>4</v>
      </c>
      <c r="D23" s="1989">
        <v>4</v>
      </c>
      <c r="E23" s="1990">
        <v>0</v>
      </c>
      <c r="F23" s="1988">
        <v>2</v>
      </c>
      <c r="G23" s="1989">
        <v>2</v>
      </c>
      <c r="H23" s="2240"/>
      <c r="I23" s="1991">
        <v>4</v>
      </c>
      <c r="J23" s="1989">
        <v>4</v>
      </c>
      <c r="K23" s="1990"/>
      <c r="L23" s="240"/>
    </row>
    <row r="24" spans="1:12" ht="11.25" customHeight="1">
      <c r="A24" s="1285" t="s">
        <v>632</v>
      </c>
      <c r="B24" s="59"/>
      <c r="C24" s="1989">
        <v>0</v>
      </c>
      <c r="D24" s="1989">
        <v>0</v>
      </c>
      <c r="E24" s="1990">
        <v>0</v>
      </c>
      <c r="F24" s="1988"/>
      <c r="G24" s="1989"/>
      <c r="H24" s="2240"/>
      <c r="I24" s="1991"/>
      <c r="J24" s="1989"/>
      <c r="K24" s="1990"/>
      <c r="L24" s="240"/>
    </row>
    <row r="25" spans="1:12" ht="11.25" customHeight="1">
      <c r="A25" s="1285" t="s">
        <v>556</v>
      </c>
      <c r="B25" s="59"/>
      <c r="C25" s="1989">
        <v>32</v>
      </c>
      <c r="D25" s="1989">
        <v>14</v>
      </c>
      <c r="E25" s="1990">
        <v>0</v>
      </c>
      <c r="F25" s="1988">
        <v>32</v>
      </c>
      <c r="G25" s="1989">
        <v>16</v>
      </c>
      <c r="H25" s="2240"/>
      <c r="I25" s="1991">
        <v>32</v>
      </c>
      <c r="J25" s="1989">
        <v>18</v>
      </c>
      <c r="K25" s="1990"/>
      <c r="L25" s="240"/>
    </row>
    <row r="26" spans="1:12" ht="11.25" customHeight="1">
      <c r="A26" s="1285" t="s">
        <v>827</v>
      </c>
      <c r="B26" s="59"/>
      <c r="C26" s="1989">
        <v>4</v>
      </c>
      <c r="D26" s="1989">
        <v>4</v>
      </c>
      <c r="E26" s="1990">
        <v>0</v>
      </c>
      <c r="F26" s="1988">
        <v>4</v>
      </c>
      <c r="G26" s="1989">
        <v>4</v>
      </c>
      <c r="H26" s="2240"/>
      <c r="I26" s="1991">
        <v>4</v>
      </c>
      <c r="J26" s="1989">
        <v>4</v>
      </c>
      <c r="K26" s="1990"/>
      <c r="L26" s="240"/>
    </row>
    <row r="27" spans="1:12" ht="11.25" customHeight="1">
      <c r="A27" s="1285" t="s">
        <v>828</v>
      </c>
      <c r="B27" s="59"/>
      <c r="C27" s="1989">
        <v>1</v>
      </c>
      <c r="D27" s="1989">
        <v>1</v>
      </c>
      <c r="E27" s="1990">
        <v>0</v>
      </c>
      <c r="F27" s="1988">
        <v>1</v>
      </c>
      <c r="G27" s="1989">
        <v>1</v>
      </c>
      <c r="H27" s="2240"/>
      <c r="I27" s="1991">
        <v>1</v>
      </c>
      <c r="J27" s="1989">
        <v>1</v>
      </c>
      <c r="K27" s="1990"/>
      <c r="L27" s="240"/>
    </row>
    <row r="28" spans="1:12" ht="11.25" customHeight="1">
      <c r="A28" s="1285" t="s">
        <v>1129</v>
      </c>
      <c r="B28" s="59"/>
      <c r="C28" s="1989">
        <v>0</v>
      </c>
      <c r="D28" s="1989">
        <v>0</v>
      </c>
      <c r="E28" s="1990">
        <v>0</v>
      </c>
      <c r="F28" s="1988"/>
      <c r="G28" s="1989"/>
      <c r="H28" s="2240"/>
      <c r="I28" s="1991"/>
      <c r="J28" s="1989"/>
      <c r="K28" s="1990"/>
      <c r="L28" s="240"/>
    </row>
    <row r="29" spans="1:12" ht="11.25" customHeight="1">
      <c r="A29" s="1285" t="s">
        <v>245</v>
      </c>
      <c r="B29" s="59"/>
      <c r="C29" s="1989">
        <v>0</v>
      </c>
      <c r="D29" s="1989">
        <v>0</v>
      </c>
      <c r="E29" s="1990">
        <v>0</v>
      </c>
      <c r="F29" s="1988"/>
      <c r="G29" s="1989"/>
      <c r="H29" s="2240"/>
      <c r="I29" s="1991"/>
      <c r="J29" s="1989"/>
      <c r="K29" s="1990"/>
      <c r="L29" s="240"/>
    </row>
    <row r="30" spans="1:12" ht="11.25" customHeight="1">
      <c r="A30" s="131" t="s">
        <v>1249</v>
      </c>
      <c r="B30" s="59"/>
      <c r="C30" s="1989">
        <v>78</v>
      </c>
      <c r="D30" s="1989">
        <v>78</v>
      </c>
      <c r="E30" s="1990">
        <v>0</v>
      </c>
      <c r="F30" s="1988">
        <v>78</v>
      </c>
      <c r="G30" s="1989">
        <v>78</v>
      </c>
      <c r="H30" s="2240"/>
      <c r="I30" s="1991">
        <v>78</v>
      </c>
      <c r="J30" s="1989">
        <v>78</v>
      </c>
      <c r="K30" s="1990"/>
      <c r="L30" s="240"/>
    </row>
    <row r="31" spans="1:12" ht="11.25" customHeight="1">
      <c r="A31" s="131" t="s">
        <v>1250</v>
      </c>
      <c r="B31" s="59"/>
      <c r="C31" s="1989">
        <v>13</v>
      </c>
      <c r="D31" s="1989">
        <v>13</v>
      </c>
      <c r="E31" s="1990">
        <v>0</v>
      </c>
      <c r="F31" s="1988">
        <v>13</v>
      </c>
      <c r="G31" s="1989">
        <v>12</v>
      </c>
      <c r="H31" s="2240"/>
      <c r="I31" s="1991"/>
      <c r="J31" s="1989"/>
      <c r="K31" s="1990"/>
      <c r="L31" s="240"/>
    </row>
    <row r="32" spans="1:12" ht="11.25" customHeight="1">
      <c r="A32" s="131" t="s">
        <v>701</v>
      </c>
      <c r="B32" s="59"/>
      <c r="C32" s="1989">
        <v>0</v>
      </c>
      <c r="D32" s="1989">
        <v>0</v>
      </c>
      <c r="E32" s="1990">
        <v>0</v>
      </c>
      <c r="F32" s="1988"/>
      <c r="G32" s="1989"/>
      <c r="H32" s="2240"/>
      <c r="I32" s="1991"/>
      <c r="J32" s="1989"/>
      <c r="K32" s="1990"/>
      <c r="L32" s="240"/>
    </row>
    <row r="33" spans="1:15" ht="11.25" customHeight="1">
      <c r="A33" s="131" t="s">
        <v>1251</v>
      </c>
      <c r="B33" s="59"/>
      <c r="C33" s="1989">
        <v>54</v>
      </c>
      <c r="D33" s="1989">
        <v>50</v>
      </c>
      <c r="E33" s="1990">
        <v>0</v>
      </c>
      <c r="F33" s="1988">
        <v>54</v>
      </c>
      <c r="G33" s="1989">
        <v>48</v>
      </c>
      <c r="H33" s="2240"/>
      <c r="I33" s="1991">
        <v>54</v>
      </c>
      <c r="J33" s="1989">
        <v>52</v>
      </c>
      <c r="K33" s="1990"/>
      <c r="L33" s="240"/>
    </row>
    <row r="34" spans="1:15" ht="11.25" customHeight="1">
      <c r="A34" s="131" t="s">
        <v>1252</v>
      </c>
      <c r="B34" s="59"/>
      <c r="C34" s="1989">
        <v>55</v>
      </c>
      <c r="D34" s="1989">
        <v>53</v>
      </c>
      <c r="E34" s="1990">
        <v>0</v>
      </c>
      <c r="F34" s="1988">
        <v>55</v>
      </c>
      <c r="G34" s="1989">
        <v>52</v>
      </c>
      <c r="H34" s="2240"/>
      <c r="I34" s="1991">
        <v>55</v>
      </c>
      <c r="J34" s="1989">
        <v>54</v>
      </c>
      <c r="K34" s="1990"/>
      <c r="L34" s="240"/>
    </row>
    <row r="35" spans="1:15" ht="11.25" customHeight="1">
      <c r="A35" s="131" t="s">
        <v>1253</v>
      </c>
      <c r="B35" s="59"/>
      <c r="C35" s="1989">
        <v>254</v>
      </c>
      <c r="D35" s="1989">
        <v>248</v>
      </c>
      <c r="E35" s="1990">
        <v>0</v>
      </c>
      <c r="F35" s="1988">
        <v>254</v>
      </c>
      <c r="G35" s="1989">
        <v>250</v>
      </c>
      <c r="H35" s="2240"/>
      <c r="I35" s="1991">
        <v>254</v>
      </c>
      <c r="J35" s="1989">
        <v>253</v>
      </c>
      <c r="K35" s="1990"/>
      <c r="L35" s="240"/>
    </row>
    <row r="36" spans="1:15" ht="11.25" customHeight="1">
      <c r="A36" s="680" t="s">
        <v>582</v>
      </c>
      <c r="B36" s="59">
        <v>9</v>
      </c>
      <c r="C36" s="721">
        <f>SUM(C5:C9)+SUM(C11:C19)+SUM(C21:C35)</f>
        <v>766</v>
      </c>
      <c r="D36" s="721">
        <f t="shared" ref="D36:K36" si="2">SUM(D5:D9)+SUM(D11:D19)+SUM(D21:D35)</f>
        <v>581</v>
      </c>
      <c r="E36" s="1129">
        <f t="shared" si="2"/>
        <v>78</v>
      </c>
      <c r="F36" s="1130">
        <f t="shared" si="2"/>
        <v>719</v>
      </c>
      <c r="G36" s="721">
        <f t="shared" si="2"/>
        <v>572</v>
      </c>
      <c r="H36" s="722">
        <f>SUM(H5:H9)+SUM(H11:H19)+SUM(H21:H35)</f>
        <v>76</v>
      </c>
      <c r="I36" s="1131">
        <f t="shared" si="2"/>
        <v>753</v>
      </c>
      <c r="J36" s="721">
        <f t="shared" si="2"/>
        <v>585</v>
      </c>
      <c r="K36" s="722">
        <f t="shared" si="2"/>
        <v>83</v>
      </c>
      <c r="L36" s="240"/>
    </row>
    <row r="37" spans="1:15" ht="11.25" customHeight="1">
      <c r="A37" s="827" t="s">
        <v>799</v>
      </c>
      <c r="B37" s="59"/>
      <c r="C37" s="719"/>
      <c r="D37" s="1132"/>
      <c r="E37" s="1133"/>
      <c r="F37" s="1134">
        <f t="shared" ref="F37:K37" si="3">IF(ISERROR((F36/C36)-1),0,((F36/C36)-1))</f>
        <v>-6.1357702349869481E-2</v>
      </c>
      <c r="G37" s="1135">
        <f t="shared" si="3"/>
        <v>-1.5490533562822706E-2</v>
      </c>
      <c r="H37" s="1136">
        <f t="shared" si="3"/>
        <v>-2.5641025641025661E-2</v>
      </c>
      <c r="I37" s="1137">
        <f t="shared" si="3"/>
        <v>4.7287899860917859E-2</v>
      </c>
      <c r="J37" s="1135">
        <f t="shared" si="3"/>
        <v>2.2727272727272707E-2</v>
      </c>
      <c r="K37" s="1138">
        <f t="shared" si="3"/>
        <v>9.210526315789469E-2</v>
      </c>
      <c r="L37" s="240"/>
      <c r="O37" s="240"/>
    </row>
    <row r="38" spans="1:15" ht="3.75" customHeight="1">
      <c r="A38" s="827"/>
      <c r="B38" s="59"/>
      <c r="C38" s="719"/>
      <c r="D38" s="1135"/>
      <c r="E38" s="1138"/>
      <c r="F38" s="1134"/>
      <c r="G38" s="1135"/>
      <c r="H38" s="1136"/>
      <c r="I38" s="1137"/>
      <c r="J38" s="1135"/>
      <c r="K38" s="1138"/>
      <c r="L38" s="240"/>
    </row>
    <row r="39" spans="1:15" ht="11.25" customHeight="1">
      <c r="A39" s="517" t="s">
        <v>1254</v>
      </c>
      <c r="B39" s="59" t="s">
        <v>2007</v>
      </c>
      <c r="C39" s="2295"/>
      <c r="D39" s="2296"/>
      <c r="E39" s="2297"/>
      <c r="F39" s="2298"/>
      <c r="G39" s="2299"/>
      <c r="H39" s="2300"/>
      <c r="I39" s="2301"/>
      <c r="J39" s="2299"/>
      <c r="K39" s="2302"/>
      <c r="L39" s="240"/>
    </row>
    <row r="40" spans="1:15" ht="11.25" customHeight="1">
      <c r="A40" s="127" t="s">
        <v>1255</v>
      </c>
      <c r="B40" s="59" t="s">
        <v>2008</v>
      </c>
      <c r="C40" s="2295">
        <v>84</v>
      </c>
      <c r="D40" s="2296">
        <v>52</v>
      </c>
      <c r="E40" s="2297">
        <v>0</v>
      </c>
      <c r="F40" s="2298">
        <v>84</v>
      </c>
      <c r="G40" s="2299">
        <v>52</v>
      </c>
      <c r="H40" s="2300"/>
      <c r="I40" s="2301">
        <v>84</v>
      </c>
      <c r="J40" s="2299">
        <v>51</v>
      </c>
      <c r="K40" s="2302"/>
      <c r="L40" s="240"/>
    </row>
    <row r="41" spans="1:15" ht="11.25" customHeight="1">
      <c r="A41" s="1139" t="s">
        <v>1256</v>
      </c>
      <c r="B41" s="252" t="s">
        <v>2008</v>
      </c>
      <c r="C41" s="2303">
        <v>16</v>
      </c>
      <c r="D41" s="2304">
        <v>12</v>
      </c>
      <c r="E41" s="2305">
        <v>0</v>
      </c>
      <c r="F41" s="2306">
        <v>18</v>
      </c>
      <c r="G41" s="2307">
        <v>11</v>
      </c>
      <c r="H41" s="2308"/>
      <c r="I41" s="2309">
        <v>18</v>
      </c>
      <c r="J41" s="2307">
        <v>11</v>
      </c>
      <c r="K41" s="2310"/>
      <c r="L41" s="240"/>
    </row>
    <row r="42" spans="1:15" ht="11.25" customHeight="1">
      <c r="A42" s="520"/>
      <c r="B42" s="113"/>
      <c r="C42" s="182"/>
      <c r="D42" s="182"/>
      <c r="E42" s="182"/>
      <c r="F42" s="182"/>
      <c r="G42" s="182"/>
      <c r="H42" s="182"/>
      <c r="I42" s="182"/>
      <c r="J42" s="182"/>
      <c r="K42" s="182"/>
      <c r="L42" s="240"/>
    </row>
    <row r="43" spans="1:15" ht="11.25" customHeight="1">
      <c r="A43" s="1092" t="str">
        <f>head27a</f>
        <v>References</v>
      </c>
      <c r="B43" s="874"/>
      <c r="C43" s="916"/>
      <c r="D43" s="916"/>
      <c r="E43" s="916"/>
      <c r="F43" s="916"/>
      <c r="G43" s="916"/>
      <c r="H43" s="916"/>
      <c r="I43" s="916"/>
      <c r="J43" s="916"/>
      <c r="K43" s="916"/>
      <c r="L43" s="240"/>
    </row>
    <row r="44" spans="1:15" ht="11.25" customHeight="1">
      <c r="A44" s="1508" t="s">
        <v>1702</v>
      </c>
      <c r="B44" s="874"/>
      <c r="C44" s="916"/>
      <c r="D44" s="916"/>
      <c r="E44" s="916"/>
      <c r="F44" s="916"/>
      <c r="G44" s="916"/>
      <c r="H44" s="916"/>
      <c r="I44" s="916"/>
      <c r="J44" s="916"/>
      <c r="K44" s="916"/>
      <c r="L44" s="240"/>
    </row>
    <row r="45" spans="1:15" ht="11.25" customHeight="1">
      <c r="A45" s="1238" t="s">
        <v>1703</v>
      </c>
      <c r="B45" s="884"/>
      <c r="C45" s="576"/>
      <c r="D45" s="576"/>
      <c r="E45" s="576"/>
      <c r="F45" s="576"/>
      <c r="G45" s="576"/>
      <c r="H45" s="576"/>
      <c r="I45" s="576"/>
      <c r="J45" s="576"/>
      <c r="K45" s="576"/>
    </row>
    <row r="46" spans="1:15" ht="11.25" customHeight="1">
      <c r="A46" s="1238" t="s">
        <v>1704</v>
      </c>
      <c r="B46" s="884"/>
      <c r="C46" s="576"/>
      <c r="D46" s="576"/>
      <c r="E46" s="576"/>
      <c r="F46" s="576"/>
      <c r="G46" s="576"/>
      <c r="H46" s="576"/>
      <c r="I46" s="576"/>
      <c r="J46" s="576"/>
      <c r="K46" s="576"/>
    </row>
    <row r="47" spans="1:15" ht="11.25" customHeight="1">
      <c r="A47" s="1238" t="s">
        <v>1705</v>
      </c>
      <c r="B47" s="884"/>
      <c r="C47" s="576"/>
      <c r="D47" s="576"/>
      <c r="E47" s="576"/>
      <c r="F47" s="576"/>
      <c r="G47" s="576"/>
      <c r="H47" s="576"/>
      <c r="I47" s="576"/>
      <c r="J47" s="576"/>
      <c r="K47" s="576"/>
    </row>
    <row r="48" spans="1:15" ht="11.25" customHeight="1">
      <c r="A48" s="1238" t="s">
        <v>1706</v>
      </c>
      <c r="B48" s="884"/>
      <c r="C48" s="576"/>
      <c r="D48" s="576"/>
      <c r="E48" s="576"/>
      <c r="F48" s="576"/>
      <c r="G48" s="576"/>
      <c r="H48" s="576"/>
      <c r="I48" s="576"/>
      <c r="J48" s="576"/>
      <c r="K48" s="576"/>
    </row>
    <row r="49" spans="1:11" ht="11.25" customHeight="1">
      <c r="A49" s="1238" t="s">
        <v>1707</v>
      </c>
      <c r="B49" s="884"/>
      <c r="C49" s="576"/>
      <c r="D49" s="576"/>
      <c r="E49" s="576"/>
      <c r="F49" s="576"/>
      <c r="G49" s="576"/>
      <c r="H49" s="576"/>
      <c r="I49" s="576"/>
      <c r="J49" s="576"/>
      <c r="K49" s="576"/>
    </row>
    <row r="50" spans="1:11" ht="11.25" customHeight="1">
      <c r="A50" s="1238" t="s">
        <v>1708</v>
      </c>
      <c r="B50" s="884"/>
      <c r="C50" s="576"/>
      <c r="D50" s="576"/>
      <c r="E50" s="576"/>
      <c r="F50" s="576"/>
      <c r="G50" s="576"/>
      <c r="H50" s="576"/>
      <c r="I50" s="576"/>
      <c r="J50" s="576"/>
      <c r="K50" s="576"/>
    </row>
    <row r="51" spans="1:11" ht="11.25" customHeight="1">
      <c r="A51" s="1238" t="s">
        <v>1709</v>
      </c>
      <c r="B51" s="884"/>
      <c r="C51" s="576"/>
      <c r="D51" s="576"/>
      <c r="E51" s="576"/>
      <c r="F51" s="576"/>
      <c r="G51" s="576"/>
      <c r="H51" s="576"/>
      <c r="I51" s="576"/>
      <c r="J51" s="576"/>
      <c r="K51" s="576"/>
    </row>
    <row r="52" spans="1:11">
      <c r="A52" s="1238" t="s">
        <v>1995</v>
      </c>
    </row>
    <row r="53" spans="1:11">
      <c r="A53" s="1238" t="s">
        <v>2006</v>
      </c>
    </row>
  </sheetData>
  <mergeCells count="3">
    <mergeCell ref="F2:H2"/>
    <mergeCell ref="I2:K2"/>
    <mergeCell ref="C2:E2"/>
  </mergeCells>
  <phoneticPr fontId="5" type="noConversion"/>
  <dataValidations count="1">
    <dataValidation type="decimal" allowBlank="1" showInputMessage="1" showErrorMessage="1" sqref="C5:K9 C39:K41 C21:K35 C11:K19">
      <formula1>-99999999999999900000</formula1>
      <formula2>9999999999999990000</formula2>
    </dataValidation>
  </dataValidations>
  <printOptions horizontalCentered="1"/>
  <pageMargins left="0.35433070866141736" right="0" top="0.59055118110236227" bottom="0.39370078740157483" header="0.51181102362204722" footer="0.39370078740157483"/>
  <pageSetup paperSize="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40" activePane="bottomRight" state="frozen"/>
      <selection pane="topRight"/>
      <selection pane="bottomLeft"/>
      <selection pane="bottomRight" activeCell="K39" sqref="K39"/>
    </sheetView>
  </sheetViews>
  <sheetFormatPr defaultColWidth="9.140625" defaultRowHeight="12.75"/>
  <cols>
    <col min="1" max="1" width="30.7109375" style="26" customWidth="1"/>
    <col min="2" max="2" width="3" style="26" customWidth="1"/>
    <col min="3" max="14" width="8.28515625" style="26" customWidth="1"/>
    <col min="15" max="17" width="9.28515625" style="26" customWidth="1"/>
    <col min="18" max="16384" width="9.140625" style="26"/>
  </cols>
  <sheetData>
    <row r="1" spans="1:17" ht="13.5" customHeight="1">
      <c r="A1" s="24" t="str">
        <f>muni&amp;" - "&amp; TableA25</f>
        <v>LIM333 Greater Tzaneen - Supporting Table SA25 Consolidated budgeted monthly revenue and expenditure</v>
      </c>
      <c r="B1" s="24"/>
      <c r="C1" s="24"/>
      <c r="D1" s="24"/>
      <c r="E1" s="24"/>
      <c r="F1" s="24"/>
      <c r="G1" s="24"/>
      <c r="H1" s="24"/>
      <c r="I1" s="24"/>
      <c r="J1" s="24"/>
      <c r="K1" s="24"/>
      <c r="L1" s="24"/>
      <c r="M1" s="24"/>
      <c r="N1" s="24"/>
      <c r="O1" s="24"/>
      <c r="P1" s="24"/>
      <c r="Q1" s="24"/>
    </row>
    <row r="2" spans="1:17" ht="28.5" customHeight="1">
      <c r="A2" s="841" t="str">
        <f>desc</f>
        <v>Description</v>
      </c>
      <c r="B2" s="852" t="str">
        <f>head27</f>
        <v>Ref</v>
      </c>
      <c r="C2" s="2842" t="str">
        <f>Head9</f>
        <v>Budget Year 2020/21</v>
      </c>
      <c r="D2" s="2843"/>
      <c r="E2" s="2843"/>
      <c r="F2" s="2843"/>
      <c r="G2" s="2843"/>
      <c r="H2" s="2843"/>
      <c r="I2" s="2843"/>
      <c r="J2" s="2843"/>
      <c r="K2" s="2843"/>
      <c r="L2" s="2843"/>
      <c r="M2" s="2843"/>
      <c r="N2" s="2843"/>
      <c r="O2" s="2839" t="s">
        <v>1560</v>
      </c>
      <c r="P2" s="2840"/>
      <c r="Q2" s="2841"/>
    </row>
    <row r="3" spans="1:17" ht="25.5">
      <c r="A3" s="848" t="s">
        <v>569</v>
      </c>
      <c r="B3" s="853"/>
      <c r="C3" s="1920" t="s">
        <v>623</v>
      </c>
      <c r="D3" s="789" t="s">
        <v>1240</v>
      </c>
      <c r="E3" s="789" t="s">
        <v>1241</v>
      </c>
      <c r="F3" s="789" t="s">
        <v>1242</v>
      </c>
      <c r="G3" s="789" t="s">
        <v>604</v>
      </c>
      <c r="H3" s="789" t="s">
        <v>605</v>
      </c>
      <c r="I3" s="789" t="s">
        <v>606</v>
      </c>
      <c r="J3" s="789" t="s">
        <v>607</v>
      </c>
      <c r="K3" s="789" t="s">
        <v>608</v>
      </c>
      <c r="L3" s="789" t="s">
        <v>609</v>
      </c>
      <c r="M3" s="789" t="s">
        <v>610</v>
      </c>
      <c r="N3" s="261" t="s">
        <v>611</v>
      </c>
      <c r="O3" s="172" t="str">
        <f>Head9</f>
        <v>Budget Year 2020/21</v>
      </c>
      <c r="P3" s="260" t="str">
        <f>Head10</f>
        <v>Budget Year +1 2021/22</v>
      </c>
      <c r="Q3" s="261" t="str">
        <f>Head11</f>
        <v>Budget Year +2 2022/23</v>
      </c>
    </row>
    <row r="4" spans="1:17">
      <c r="A4" s="723" t="str">
        <f>'A4-FinPerf RE'!A4</f>
        <v>Revenue By Source</v>
      </c>
      <c r="B4" s="724"/>
      <c r="C4" s="214"/>
      <c r="D4" s="184"/>
      <c r="E4" s="184"/>
      <c r="F4" s="184"/>
      <c r="G4" s="184"/>
      <c r="H4" s="184"/>
      <c r="I4" s="184"/>
      <c r="J4" s="184"/>
      <c r="K4" s="184"/>
      <c r="L4" s="184"/>
      <c r="M4" s="184"/>
      <c r="N4" s="725"/>
      <c r="O4" s="186"/>
      <c r="P4" s="184"/>
      <c r="Q4" s="187"/>
    </row>
    <row r="5" spans="1:17" ht="11.25" customHeight="1">
      <c r="A5" s="127" t="str">
        <f>'A4-FinPerf RE'!A5</f>
        <v>Property rates</v>
      </c>
      <c r="B5" s="726"/>
      <c r="C5" s="1953">
        <v>11145902.957348101</v>
      </c>
      <c r="D5" s="1951">
        <v>11102755.4227535</v>
      </c>
      <c r="E5" s="1951">
        <v>10840665.5441099</v>
      </c>
      <c r="F5" s="1951">
        <v>11310938.7725258</v>
      </c>
      <c r="G5" s="1951">
        <v>11524343.206000401</v>
      </c>
      <c r="H5" s="1951">
        <v>9535456.9952440597</v>
      </c>
      <c r="I5" s="1951">
        <v>11550414.703809001</v>
      </c>
      <c r="J5" s="1951">
        <v>11134303.998251799</v>
      </c>
      <c r="K5" s="1951">
        <v>11256132.0457053</v>
      </c>
      <c r="L5" s="1951">
        <v>13774304.105653301</v>
      </c>
      <c r="M5" s="1951">
        <v>11507464.009649299</v>
      </c>
      <c r="N5" s="670">
        <f t="shared" ref="N5:N20" si="0">O5-SUM(C5:M5)</f>
        <v>7817318.2389495373</v>
      </c>
      <c r="O5" s="82">
        <f>'A4-FinPerf RE'!J5</f>
        <v>132500000</v>
      </c>
      <c r="P5" s="80">
        <f>'A4-FinPerf RE'!K5</f>
        <v>138595000</v>
      </c>
      <c r="Q5" s="81">
        <f>'A4-FinPerf RE'!L5</f>
        <v>144970370</v>
      </c>
    </row>
    <row r="6" spans="1:17" ht="11.25" customHeight="1">
      <c r="A6" s="127" t="str">
        <f>'A4-FinPerf RE'!A6</f>
        <v>Service charges - electricity revenue</v>
      </c>
      <c r="B6" s="726"/>
      <c r="C6" s="1953">
        <v>48283347.657816596</v>
      </c>
      <c r="D6" s="1951">
        <v>65656213.974506997</v>
      </c>
      <c r="E6" s="1951">
        <v>64803744.7917777</v>
      </c>
      <c r="F6" s="1951">
        <v>39435274.660464503</v>
      </c>
      <c r="G6" s="1951">
        <v>44622035.074678697</v>
      </c>
      <c r="H6" s="1951">
        <v>31133249.859008901</v>
      </c>
      <c r="I6" s="1951">
        <v>43022904.8980994</v>
      </c>
      <c r="J6" s="1951">
        <v>37599495.017545998</v>
      </c>
      <c r="K6" s="1951">
        <v>39268806.711834803</v>
      </c>
      <c r="L6" s="1951">
        <v>48543409.432099298</v>
      </c>
      <c r="M6" s="1951">
        <v>42952178.211695999</v>
      </c>
      <c r="N6" s="670">
        <f t="shared" si="0"/>
        <v>65880339.710471153</v>
      </c>
      <c r="O6" s="82">
        <f>'A4-FinPerf RE'!J6</f>
        <v>571201000</v>
      </c>
      <c r="P6" s="84">
        <f>'A4-FinPerf RE'!K6</f>
        <v>597492246</v>
      </c>
      <c r="Q6" s="139">
        <f>'A4-FinPerf RE'!L6</f>
        <v>624993657.31599998</v>
      </c>
    </row>
    <row r="7" spans="1:17" ht="11.25" customHeight="1">
      <c r="A7" s="127" t="str">
        <f>'A4-FinPerf RE'!A7</f>
        <v>Service charges - water revenue</v>
      </c>
      <c r="B7" s="726"/>
      <c r="C7" s="1953"/>
      <c r="D7" s="1951"/>
      <c r="E7" s="1951"/>
      <c r="F7" s="1951"/>
      <c r="G7" s="1951"/>
      <c r="H7" s="1951"/>
      <c r="I7" s="1951"/>
      <c r="J7" s="1951"/>
      <c r="K7" s="1951"/>
      <c r="L7" s="1951"/>
      <c r="M7" s="1951"/>
      <c r="N7" s="670">
        <f t="shared" si="0"/>
        <v>0</v>
      </c>
      <c r="O7" s="82">
        <f>'A4-FinPerf RE'!J7</f>
        <v>0</v>
      </c>
      <c r="P7" s="84">
        <f>'A4-FinPerf RE'!K7</f>
        <v>0</v>
      </c>
      <c r="Q7" s="139">
        <f>'A4-FinPerf RE'!L7</f>
        <v>0</v>
      </c>
    </row>
    <row r="8" spans="1:17" ht="11.25" customHeight="1">
      <c r="A8" s="127" t="str">
        <f>'A4-FinPerf RE'!A8</f>
        <v>Service charges - sanitation revenue</v>
      </c>
      <c r="B8" s="726"/>
      <c r="C8" s="1953"/>
      <c r="D8" s="1951"/>
      <c r="E8" s="1951"/>
      <c r="F8" s="1951"/>
      <c r="G8" s="1951"/>
      <c r="H8" s="1951"/>
      <c r="I8" s="1951"/>
      <c r="J8" s="1951"/>
      <c r="K8" s="1951"/>
      <c r="L8" s="1951"/>
      <c r="M8" s="1951"/>
      <c r="N8" s="670">
        <f t="shared" si="0"/>
        <v>0</v>
      </c>
      <c r="O8" s="82">
        <f>'A4-FinPerf RE'!J8</f>
        <v>0</v>
      </c>
      <c r="P8" s="84">
        <f>'A4-FinPerf RE'!K8</f>
        <v>0</v>
      </c>
      <c r="Q8" s="139">
        <f>'A4-FinPerf RE'!L8</f>
        <v>0</v>
      </c>
    </row>
    <row r="9" spans="1:17" ht="11.25" customHeight="1">
      <c r="A9" s="127" t="str">
        <f>'A4-FinPerf RE'!A9</f>
        <v>Service charges - refuse revenue</v>
      </c>
      <c r="B9" s="726"/>
      <c r="C9" s="1953">
        <v>2629259.7685076599</v>
      </c>
      <c r="D9" s="1951">
        <v>2836681.0073583499</v>
      </c>
      <c r="E9" s="1951">
        <v>2811187.4910987602</v>
      </c>
      <c r="F9" s="1951">
        <v>2888203.6231558602</v>
      </c>
      <c r="G9" s="1951">
        <v>2875802.1664616899</v>
      </c>
      <c r="H9" s="1951">
        <v>2938873.3968156702</v>
      </c>
      <c r="I9" s="1951">
        <v>2726166.3058583499</v>
      </c>
      <c r="J9" s="1951">
        <v>3294305.2079643002</v>
      </c>
      <c r="K9" s="1951">
        <v>2982738.1665967698</v>
      </c>
      <c r="L9" s="1951">
        <v>3156265.8219599202</v>
      </c>
      <c r="M9" s="1951">
        <v>2994729.9385383702</v>
      </c>
      <c r="N9" s="670">
        <f t="shared" si="0"/>
        <v>3281919.105684299</v>
      </c>
      <c r="O9" s="82">
        <f>'A4-FinPerf RE'!J9</f>
        <v>35416132</v>
      </c>
      <c r="P9" s="84">
        <f>'A4-FinPerf RE'!K9</f>
        <v>37045274.071999997</v>
      </c>
      <c r="Q9" s="139">
        <f>'A4-FinPerf RE'!L9</f>
        <v>38749356.679311998</v>
      </c>
    </row>
    <row r="10" spans="1:17" ht="1.9" customHeight="1">
      <c r="A10" s="127"/>
      <c r="B10" s="726"/>
      <c r="C10" s="904"/>
      <c r="D10" s="900"/>
      <c r="E10" s="900"/>
      <c r="F10" s="900"/>
      <c r="G10" s="900"/>
      <c r="H10" s="900"/>
      <c r="I10" s="900"/>
      <c r="J10" s="900"/>
      <c r="K10" s="900"/>
      <c r="L10" s="900"/>
      <c r="M10" s="900"/>
      <c r="N10" s="1565"/>
      <c r="O10" s="1054"/>
      <c r="P10" s="1052"/>
      <c r="Q10" s="1053"/>
    </row>
    <row r="11" spans="1:17" ht="11.25" customHeight="1">
      <c r="A11" s="127" t="str">
        <f>'A4-FinPerf RE'!A11</f>
        <v>Rental of facilities and equipment</v>
      </c>
      <c r="B11" s="726"/>
      <c r="C11" s="1953">
        <v>93689.240473406404</v>
      </c>
      <c r="D11" s="1951">
        <v>91404.2032854914</v>
      </c>
      <c r="E11" s="1951">
        <v>86826.171047778596</v>
      </c>
      <c r="F11" s="1951">
        <v>75417.339297504499</v>
      </c>
      <c r="G11" s="1951">
        <v>110077.587198717</v>
      </c>
      <c r="H11" s="1951">
        <v>105453.713119163</v>
      </c>
      <c r="I11" s="1951">
        <v>88835.507669450395</v>
      </c>
      <c r="J11" s="1951">
        <v>101861.08125513</v>
      </c>
      <c r="K11" s="1951">
        <v>107554.261580643</v>
      </c>
      <c r="L11" s="1951">
        <v>105962.04356280901</v>
      </c>
      <c r="M11" s="1951">
        <v>109603.37701806999</v>
      </c>
      <c r="N11" s="670">
        <f t="shared" si="0"/>
        <v>93415.474491836736</v>
      </c>
      <c r="O11" s="82">
        <f>'A4-FinPerf RE'!J11</f>
        <v>1170100</v>
      </c>
      <c r="P11" s="80">
        <f>'A4-FinPerf RE'!K11</f>
        <v>1223924.6000000001</v>
      </c>
      <c r="Q11" s="81">
        <f>'A4-FinPerf RE'!L11</f>
        <v>1280225.1316</v>
      </c>
    </row>
    <row r="12" spans="1:17" ht="11.25" customHeight="1">
      <c r="A12" s="127" t="str">
        <f>'A4-FinPerf RE'!A12</f>
        <v>Interest earned - external investments</v>
      </c>
      <c r="B12" s="726"/>
      <c r="C12" s="1953">
        <v>63599.637119640101</v>
      </c>
      <c r="D12" s="1951">
        <v>230445.05380586299</v>
      </c>
      <c r="E12" s="1951">
        <v>457532.21371277398</v>
      </c>
      <c r="F12" s="1951">
        <v>268508.639653077</v>
      </c>
      <c r="G12" s="1951">
        <v>881151.50795473799</v>
      </c>
      <c r="H12" s="1951">
        <v>86000.442848803403</v>
      </c>
      <c r="I12" s="1951">
        <v>246194.559805875</v>
      </c>
      <c r="J12" s="1951">
        <v>293450.72354440601</v>
      </c>
      <c r="K12" s="1951">
        <v>412015.55880243698</v>
      </c>
      <c r="L12" s="1951">
        <v>79907.870163449799</v>
      </c>
      <c r="M12" s="1951">
        <v>594392.04544213205</v>
      </c>
      <c r="N12" s="670">
        <f t="shared" si="0"/>
        <v>687801.74714680389</v>
      </c>
      <c r="O12" s="82">
        <f>'A4-FinPerf RE'!J12</f>
        <v>4301000</v>
      </c>
      <c r="P12" s="80">
        <f>'A4-FinPerf RE'!K12</f>
        <v>4498846</v>
      </c>
      <c r="Q12" s="81">
        <f>'A4-FinPerf RE'!L12</f>
        <v>4705792.9160000002</v>
      </c>
    </row>
    <row r="13" spans="1:17" ht="11.25" customHeight="1">
      <c r="A13" s="127" t="str">
        <f>'A4-FinPerf RE'!A13</f>
        <v>Interest earned - outstanding debtors</v>
      </c>
      <c r="B13" s="726"/>
      <c r="C13" s="1953">
        <v>1851622.37790439</v>
      </c>
      <c r="D13" s="1951">
        <v>1925284.6473292999</v>
      </c>
      <c r="E13" s="1951">
        <v>1846046.6435092101</v>
      </c>
      <c r="F13" s="1951">
        <v>2068286.7984489901</v>
      </c>
      <c r="G13" s="1951">
        <v>2024642.4125493499</v>
      </c>
      <c r="H13" s="1951">
        <v>2022723.79140276</v>
      </c>
      <c r="I13" s="1951">
        <v>2075756.7324125101</v>
      </c>
      <c r="J13" s="1951">
        <v>1978610.9657575199</v>
      </c>
      <c r="K13" s="1951">
        <v>2091410.6600722701</v>
      </c>
      <c r="L13" s="1951">
        <v>2168912.73410179</v>
      </c>
      <c r="M13" s="1951">
        <v>1737160.2791078701</v>
      </c>
      <c r="N13" s="670">
        <f t="shared" si="0"/>
        <v>1809541.9574040398</v>
      </c>
      <c r="O13" s="82">
        <f>'A4-FinPerf RE'!J13</f>
        <v>23600000</v>
      </c>
      <c r="P13" s="80">
        <f>'A4-FinPerf RE'!K13</f>
        <v>24685600</v>
      </c>
      <c r="Q13" s="81">
        <f>'A4-FinPerf RE'!L13</f>
        <v>25821137.600000001</v>
      </c>
    </row>
    <row r="14" spans="1:17" ht="11.25" customHeight="1">
      <c r="A14" s="127" t="str">
        <f>'A4-FinPerf RE'!A14</f>
        <v>Dividends received</v>
      </c>
      <c r="B14" s="726"/>
      <c r="C14" s="1953"/>
      <c r="D14" s="1951"/>
      <c r="E14" s="1951"/>
      <c r="F14" s="1951"/>
      <c r="G14" s="1951"/>
      <c r="H14" s="1951"/>
      <c r="I14" s="1951"/>
      <c r="J14" s="1951"/>
      <c r="K14" s="1951"/>
      <c r="L14" s="1951"/>
      <c r="M14" s="1951"/>
      <c r="N14" s="670">
        <f t="shared" si="0"/>
        <v>0</v>
      </c>
      <c r="O14" s="82">
        <f>'A4-FinPerf RE'!J14</f>
        <v>0</v>
      </c>
      <c r="P14" s="80">
        <f>'A4-FinPerf RE'!K14</f>
        <v>0</v>
      </c>
      <c r="Q14" s="81">
        <f>'A4-FinPerf RE'!L14</f>
        <v>0</v>
      </c>
    </row>
    <row r="15" spans="1:17" ht="11.25" customHeight="1">
      <c r="A15" s="127" t="str">
        <f>'A4-FinPerf RE'!A15</f>
        <v>Fines, penalties and forfeits</v>
      </c>
      <c r="B15" s="726"/>
      <c r="C15" s="1953">
        <v>316248.69614053098</v>
      </c>
      <c r="D15" s="1951">
        <v>486390.20560037199</v>
      </c>
      <c r="E15" s="1951">
        <v>499587.34201763</v>
      </c>
      <c r="F15" s="1951">
        <v>550169.088874607</v>
      </c>
      <c r="G15" s="1951">
        <v>330326.07831956202</v>
      </c>
      <c r="H15" s="1951">
        <v>793431.00743057998</v>
      </c>
      <c r="I15" s="1951">
        <v>325948.667189322</v>
      </c>
      <c r="J15" s="1951">
        <v>233991.11235662099</v>
      </c>
      <c r="K15" s="1951">
        <v>541918.85648758698</v>
      </c>
      <c r="L15" s="1951">
        <v>360985.23008517298</v>
      </c>
      <c r="M15" s="1951">
        <v>307624.205233977</v>
      </c>
      <c r="N15" s="670">
        <f t="shared" si="0"/>
        <v>33754515.510264039</v>
      </c>
      <c r="O15" s="82">
        <f>'A4-FinPerf RE'!J15</f>
        <v>38501136</v>
      </c>
      <c r="P15" s="80">
        <f>'A4-FinPerf RE'!K15</f>
        <v>40272188.255999997</v>
      </c>
      <c r="Q15" s="81">
        <f>'A4-FinPerf RE'!L15</f>
        <v>42124708.915775999</v>
      </c>
    </row>
    <row r="16" spans="1:17" ht="11.25" customHeight="1">
      <c r="A16" s="127" t="str">
        <f>'A4-FinPerf RE'!A16</f>
        <v>Licences and permits</v>
      </c>
      <c r="B16" s="726"/>
      <c r="C16" s="1953">
        <v>54009.734514688404</v>
      </c>
      <c r="D16" s="1951">
        <v>56420.749659771202</v>
      </c>
      <c r="E16" s="1951">
        <v>57459.666775852304</v>
      </c>
      <c r="F16" s="1951">
        <v>72596.897948035607</v>
      </c>
      <c r="G16" s="1951">
        <v>70532.643160746695</v>
      </c>
      <c r="H16" s="1951">
        <v>77829.397821804203</v>
      </c>
      <c r="I16" s="1951">
        <v>47313.514532472</v>
      </c>
      <c r="J16" s="1951">
        <v>48600.897147678501</v>
      </c>
      <c r="K16" s="1951">
        <v>94177.481504171199</v>
      </c>
      <c r="L16" s="1951">
        <v>121018.814786635</v>
      </c>
      <c r="M16" s="1951">
        <v>62631.395840528399</v>
      </c>
      <c r="N16" s="670">
        <f t="shared" si="0"/>
        <v>154408.80630761653</v>
      </c>
      <c r="O16" s="82">
        <f>'A4-FinPerf RE'!J16</f>
        <v>917000</v>
      </c>
      <c r="P16" s="80">
        <f>'A4-FinPerf RE'!K16</f>
        <v>959182</v>
      </c>
      <c r="Q16" s="81">
        <f>'A4-FinPerf RE'!L16</f>
        <v>1003304.372</v>
      </c>
    </row>
    <row r="17" spans="1:17" ht="11.25" customHeight="1">
      <c r="A17" s="127" t="str">
        <f>'A4-FinPerf RE'!A17</f>
        <v>Agency services</v>
      </c>
      <c r="B17" s="726"/>
      <c r="C17" s="1953">
        <v>6037964.5715047503</v>
      </c>
      <c r="D17" s="1951">
        <v>3762106.5728109502</v>
      </c>
      <c r="E17" s="1951">
        <v>3882855.5278669</v>
      </c>
      <c r="F17" s="1951">
        <v>4009870.9857623298</v>
      </c>
      <c r="G17" s="1951">
        <v>4223125.4921605</v>
      </c>
      <c r="H17" s="1951">
        <v>3895226.67483286</v>
      </c>
      <c r="I17" s="1951">
        <v>8205274.5237507001</v>
      </c>
      <c r="J17" s="1951">
        <v>6972384.3376249</v>
      </c>
      <c r="K17" s="1951">
        <v>5953747.7442210997</v>
      </c>
      <c r="L17" s="1951">
        <v>3069372.53976474</v>
      </c>
      <c r="M17" s="1951">
        <v>4190088.1845152802</v>
      </c>
      <c r="N17" s="670">
        <f t="shared" si="0"/>
        <v>4462273.8451849893</v>
      </c>
      <c r="O17" s="82">
        <f>'A4-FinPerf RE'!J17</f>
        <v>58664291</v>
      </c>
      <c r="P17" s="80">
        <f>'A4-FinPerf RE'!K17</f>
        <v>61362848.386</v>
      </c>
      <c r="Q17" s="81">
        <f>'A4-FinPerf RE'!L17</f>
        <v>64185539.411756001</v>
      </c>
    </row>
    <row r="18" spans="1:17" ht="11.25" customHeight="1">
      <c r="A18" s="127" t="str">
        <f>'A4-FinPerf RE'!A18</f>
        <v>Transfers and subsidies</v>
      </c>
      <c r="B18" s="726"/>
      <c r="C18" s="1953">
        <v>171266077.34544799</v>
      </c>
      <c r="D18" s="1951">
        <v>1782584.9153412001</v>
      </c>
      <c r="E18" s="1951">
        <v>0</v>
      </c>
      <c r="F18" s="1951">
        <v>3000000</v>
      </c>
      <c r="G18" s="1951">
        <v>3210116.9830682399</v>
      </c>
      <c r="H18" s="1951">
        <v>118700088.11881199</v>
      </c>
      <c r="I18" s="1951">
        <v>0</v>
      </c>
      <c r="J18" s="1951">
        <v>3341298.1015905598</v>
      </c>
      <c r="K18" s="1951">
        <v>137982834.53573999</v>
      </c>
      <c r="L18" s="1951">
        <v>0</v>
      </c>
      <c r="M18" s="1951">
        <v>0</v>
      </c>
      <c r="N18" s="670">
        <f t="shared" si="0"/>
        <v>4680950</v>
      </c>
      <c r="O18" s="82">
        <f>'A4-FinPerf RE'!J18</f>
        <v>443963950</v>
      </c>
      <c r="P18" s="80">
        <f>'A4-FinPerf RE'!K18</f>
        <v>470189500</v>
      </c>
      <c r="Q18" s="81">
        <f>'A4-FinPerf RE'!L18</f>
        <v>499398139.20000005</v>
      </c>
    </row>
    <row r="19" spans="1:17" ht="11.25" customHeight="1">
      <c r="A19" s="127" t="str">
        <f>'A4-FinPerf RE'!A19</f>
        <v>Other revenue</v>
      </c>
      <c r="B19" s="726"/>
      <c r="C19" s="1953">
        <v>196378.79729014699</v>
      </c>
      <c r="D19" s="1951">
        <v>184704.260078864</v>
      </c>
      <c r="E19" s="1951">
        <v>203844.80109519299</v>
      </c>
      <c r="F19" s="1951">
        <v>263863.28125100001</v>
      </c>
      <c r="G19" s="1951">
        <v>448417.82262021501</v>
      </c>
      <c r="H19" s="1951">
        <v>239680.31726894999</v>
      </c>
      <c r="I19" s="1951">
        <v>545731.71109461598</v>
      </c>
      <c r="J19" s="1951">
        <v>296405.57893087098</v>
      </c>
      <c r="K19" s="1951">
        <v>185877.10370519201</v>
      </c>
      <c r="L19" s="1951">
        <v>173094.406896537</v>
      </c>
      <c r="M19" s="1951">
        <v>262714.47804418101</v>
      </c>
      <c r="N19" s="670">
        <f t="shared" si="0"/>
        <v>3471860.4417242338</v>
      </c>
      <c r="O19" s="82">
        <f>'A4-FinPerf RE'!J19</f>
        <v>6472573</v>
      </c>
      <c r="P19" s="80">
        <f>'A4-FinPerf RE'!K19</f>
        <v>6770311.358</v>
      </c>
      <c r="Q19" s="81">
        <f>'A4-FinPerf RE'!L19</f>
        <v>7081745.6804680005</v>
      </c>
    </row>
    <row r="20" spans="1:17" ht="11.25" customHeight="1">
      <c r="A20" s="127" t="str">
        <f>'A4-FinPerf RE'!A20</f>
        <v>Gains</v>
      </c>
      <c r="B20" s="726"/>
      <c r="C20" s="1953"/>
      <c r="D20" s="1951"/>
      <c r="E20" s="1951"/>
      <c r="F20" s="1951"/>
      <c r="G20" s="1951"/>
      <c r="H20" s="1951"/>
      <c r="I20" s="1951"/>
      <c r="J20" s="1951"/>
      <c r="K20" s="1951"/>
      <c r="L20" s="1951"/>
      <c r="M20" s="1951"/>
      <c r="N20" s="670">
        <f t="shared" si="0"/>
        <v>0</v>
      </c>
      <c r="O20" s="82">
        <f>'A4-FinPerf RE'!J20</f>
        <v>0</v>
      </c>
      <c r="P20" s="80">
        <f>'A4-FinPerf RE'!K20</f>
        <v>0</v>
      </c>
      <c r="Q20" s="81">
        <f>'A4-FinPerf RE'!L20</f>
        <v>0</v>
      </c>
    </row>
    <row r="21" spans="1:17">
      <c r="A21" s="140" t="str">
        <f>'A4-FinPerf RE'!A21</f>
        <v>Total Revenue (excluding capital transfers and contributions)</v>
      </c>
      <c r="B21" s="727"/>
      <c r="C21" s="93">
        <f>SUM(C5:C9)+SUM(C11:C20)</f>
        <v>241938100.7840679</v>
      </c>
      <c r="D21" s="90">
        <f t="shared" ref="D21:Q21" si="1">SUM(D5:D9)+SUM(D11:D20)</f>
        <v>88114991.01253067</v>
      </c>
      <c r="E21" s="90">
        <f t="shared" si="1"/>
        <v>85489750.193011701</v>
      </c>
      <c r="F21" s="90">
        <f t="shared" si="1"/>
        <v>63943130.087381713</v>
      </c>
      <c r="G21" s="90">
        <f t="shared" si="1"/>
        <v>70320570.97417286</v>
      </c>
      <c r="H21" s="90">
        <f t="shared" si="1"/>
        <v>169528013.71460557</v>
      </c>
      <c r="I21" s="90">
        <f t="shared" si="1"/>
        <v>68834541.124221697</v>
      </c>
      <c r="J21" s="90">
        <f t="shared" si="1"/>
        <v>65294707.02196978</v>
      </c>
      <c r="K21" s="90">
        <f t="shared" si="1"/>
        <v>200877213.12625027</v>
      </c>
      <c r="L21" s="90">
        <f t="shared" si="1"/>
        <v>71553232.999073654</v>
      </c>
      <c r="M21" s="90">
        <f t="shared" si="1"/>
        <v>64718586.125085711</v>
      </c>
      <c r="N21" s="728">
        <f t="shared" si="1"/>
        <v>126094344.83762854</v>
      </c>
      <c r="O21" s="92">
        <f t="shared" si="1"/>
        <v>1316707182</v>
      </c>
      <c r="P21" s="90">
        <f t="shared" si="1"/>
        <v>1383094920.6719999</v>
      </c>
      <c r="Q21" s="91">
        <f t="shared" si="1"/>
        <v>1454313977.2229118</v>
      </c>
    </row>
    <row r="22" spans="1:17" ht="4.9000000000000004" customHeight="1">
      <c r="A22" s="148"/>
      <c r="B22" s="726"/>
      <c r="C22" s="83"/>
      <c r="D22" s="80"/>
      <c r="E22" s="80"/>
      <c r="F22" s="80"/>
      <c r="G22" s="80"/>
      <c r="H22" s="80"/>
      <c r="I22" s="80"/>
      <c r="J22" s="80"/>
      <c r="K22" s="80"/>
      <c r="L22" s="80"/>
      <c r="M22" s="80"/>
      <c r="N22" s="670"/>
      <c r="O22" s="82"/>
      <c r="P22" s="80"/>
      <c r="Q22" s="81"/>
    </row>
    <row r="23" spans="1:17">
      <c r="A23" s="126" t="str">
        <f>'A4-FinPerf RE'!A23</f>
        <v>Expenditure By Type</v>
      </c>
      <c r="B23" s="729"/>
      <c r="C23" s="83"/>
      <c r="D23" s="80"/>
      <c r="E23" s="80"/>
      <c r="F23" s="80"/>
      <c r="G23" s="80"/>
      <c r="H23" s="80"/>
      <c r="I23" s="80"/>
      <c r="J23" s="80"/>
      <c r="K23" s="80"/>
      <c r="L23" s="80"/>
      <c r="M23" s="80"/>
      <c r="N23" s="670"/>
      <c r="O23" s="82"/>
      <c r="P23" s="80"/>
      <c r="Q23" s="81"/>
    </row>
    <row r="24" spans="1:17" ht="11.25" customHeight="1">
      <c r="A24" s="127" t="str">
        <f>'A4-FinPerf RE'!A24</f>
        <v>Employee related costs</v>
      </c>
      <c r="B24" s="726"/>
      <c r="C24" s="1953">
        <v>29576776.81451223</v>
      </c>
      <c r="D24" s="1951">
        <v>26198777.832561545</v>
      </c>
      <c r="E24" s="1951">
        <v>27660472.855715729</v>
      </c>
      <c r="F24" s="1951">
        <v>30284957.711045548</v>
      </c>
      <c r="G24" s="1951">
        <v>27389095.666075535</v>
      </c>
      <c r="H24" s="1951">
        <v>28354507.019634411</v>
      </c>
      <c r="I24" s="1951">
        <v>29053047.901886668</v>
      </c>
      <c r="J24" s="1951">
        <v>28352837.835634373</v>
      </c>
      <c r="K24" s="1951">
        <v>27404500.957063954</v>
      </c>
      <c r="L24" s="1951">
        <v>28199841.321563441</v>
      </c>
      <c r="M24" s="1951">
        <v>27770357.078253079</v>
      </c>
      <c r="N24" s="670">
        <f t="shared" ref="N24:N34" si="2">O24-SUM(C24:M24)</f>
        <v>35318945.136053443</v>
      </c>
      <c r="O24" s="82">
        <f>'A4-FinPerf RE'!J24</f>
        <v>345564118.13</v>
      </c>
      <c r="P24" s="80">
        <f>'A4-FinPerf RE'!K24</f>
        <v>361695582.96597999</v>
      </c>
      <c r="Q24" s="81">
        <f>'A4-FinPerf RE'!L24</f>
        <v>378592648.01775521</v>
      </c>
    </row>
    <row r="25" spans="1:17" ht="11.25" customHeight="1">
      <c r="A25" s="127" t="str">
        <f>'A4-FinPerf RE'!A25</f>
        <v>Remuneration of councillors</v>
      </c>
      <c r="B25" s="726"/>
      <c r="C25" s="1953">
        <v>2210549.6850470905</v>
      </c>
      <c r="D25" s="1951">
        <v>2198954.293779219</v>
      </c>
      <c r="E25" s="1951">
        <v>2226893.6698986129</v>
      </c>
      <c r="F25" s="1951">
        <v>2230418.2219847883</v>
      </c>
      <c r="G25" s="1951">
        <v>2260597.7392824767</v>
      </c>
      <c r="H25" s="1951">
        <v>2853536.839945701</v>
      </c>
      <c r="I25" s="1951">
        <v>2488712.2034997907</v>
      </c>
      <c r="J25" s="1951">
        <v>2372869.8754457911</v>
      </c>
      <c r="K25" s="1951">
        <v>2380942.6445736215</v>
      </c>
      <c r="L25" s="1951">
        <v>2379574.5749888592</v>
      </c>
      <c r="M25" s="1951">
        <v>2379574.5749888592</v>
      </c>
      <c r="N25" s="670">
        <f t="shared" si="2"/>
        <v>3052358.6765651889</v>
      </c>
      <c r="O25" s="82">
        <f>'A4-FinPerf RE'!J25</f>
        <v>29034983</v>
      </c>
      <c r="P25" s="80">
        <f>'A4-FinPerf RE'!K25</f>
        <v>30406993.618000001</v>
      </c>
      <c r="Q25" s="81">
        <f>'A4-FinPerf RE'!L25</f>
        <v>31845756.864427999</v>
      </c>
    </row>
    <row r="26" spans="1:17" ht="11.25" customHeight="1">
      <c r="A26" s="127" t="str">
        <f>'A4-FinPerf RE'!A26</f>
        <v>Debt impairment</v>
      </c>
      <c r="B26" s="726"/>
      <c r="C26" s="1953"/>
      <c r="D26" s="1951"/>
      <c r="E26" s="1951"/>
      <c r="F26" s="1951"/>
      <c r="G26" s="1951"/>
      <c r="H26" s="1951"/>
      <c r="I26" s="1951"/>
      <c r="J26" s="1951"/>
      <c r="K26" s="1951"/>
      <c r="L26" s="1951"/>
      <c r="M26" s="1951"/>
      <c r="N26" s="670">
        <f t="shared" si="2"/>
        <v>70035699</v>
      </c>
      <c r="O26" s="82">
        <f>'A4-FinPerf RE'!J26</f>
        <v>70035699</v>
      </c>
      <c r="P26" s="80">
        <f>'A4-FinPerf RE'!K26</f>
        <v>73257341.153999999</v>
      </c>
      <c r="Q26" s="81">
        <f>'A4-FinPerf RE'!L26</f>
        <v>76627178.847084001</v>
      </c>
    </row>
    <row r="27" spans="1:17" ht="11.25" customHeight="1">
      <c r="A27" s="127" t="str">
        <f>'A4-FinPerf RE'!A27</f>
        <v>Depreciation &amp; asset impairment</v>
      </c>
      <c r="B27" s="726"/>
      <c r="C27" s="1953">
        <v>11086011.602604715</v>
      </c>
      <c r="D27" s="1951">
        <v>11086011.602604715</v>
      </c>
      <c r="E27" s="1951">
        <v>11086011.602604715</v>
      </c>
      <c r="F27" s="1951">
        <v>11086011.602604715</v>
      </c>
      <c r="G27" s="1951">
        <v>11086011.602604715</v>
      </c>
      <c r="H27" s="1951">
        <v>11086011.602604715</v>
      </c>
      <c r="I27" s="1951">
        <v>11086011.602604715</v>
      </c>
      <c r="J27" s="1951">
        <v>10935877.431378858</v>
      </c>
      <c r="K27" s="1951">
        <v>11086011.602604715</v>
      </c>
      <c r="L27" s="1951">
        <v>11086011.602604715</v>
      </c>
      <c r="M27" s="1951">
        <v>11086011.602604715</v>
      </c>
      <c r="N27" s="670">
        <f t="shared" si="2"/>
        <v>11174813.542573988</v>
      </c>
      <c r="O27" s="82">
        <f>'A4-FinPerf RE'!J27</f>
        <v>132970807</v>
      </c>
      <c r="P27" s="80">
        <f>'A4-FinPerf RE'!K27</f>
        <v>130548742</v>
      </c>
      <c r="Q27" s="81">
        <f>'A4-FinPerf RE'!L27</f>
        <v>136675522.81999999</v>
      </c>
    </row>
    <row r="28" spans="1:17" ht="11.25" customHeight="1">
      <c r="A28" s="127" t="str">
        <f>'A4-FinPerf RE'!A28</f>
        <v>Finance charges</v>
      </c>
      <c r="B28" s="726"/>
      <c r="C28" s="1953">
        <v>379130.07629560173</v>
      </c>
      <c r="D28" s="1951">
        <v>378198.77373580652</v>
      </c>
      <c r="E28" s="1951">
        <v>34946.773690773065</v>
      </c>
      <c r="F28" s="1951">
        <v>1004602.7961739312</v>
      </c>
      <c r="G28" s="1951">
        <v>364330.09216505272</v>
      </c>
      <c r="H28" s="1951">
        <v>5910939.8232001914</v>
      </c>
      <c r="I28" s="1951">
        <v>373334.85931977007</v>
      </c>
      <c r="J28" s="1951">
        <v>339903.79077355436</v>
      </c>
      <c r="K28" s="1951">
        <v>34946.773690773065</v>
      </c>
      <c r="L28" s="1951">
        <v>992349.46299461264</v>
      </c>
      <c r="M28" s="1951">
        <v>3279824.0502747395</v>
      </c>
      <c r="N28" s="670">
        <f t="shared" si="2"/>
        <v>2636300.7276851945</v>
      </c>
      <c r="O28" s="82">
        <f>'A4-FinPerf RE'!J28</f>
        <v>15728808</v>
      </c>
      <c r="P28" s="80">
        <f>'A4-FinPerf RE'!K28</f>
        <v>14910947</v>
      </c>
      <c r="Q28" s="81">
        <f>'A4-FinPerf RE'!L28</f>
        <v>13926741</v>
      </c>
    </row>
    <row r="29" spans="1:17" ht="11.25" customHeight="1">
      <c r="A29" s="127" t="str">
        <f>'A4-FinPerf RE'!A29</f>
        <v>Bulk purchases</v>
      </c>
      <c r="B29" s="726"/>
      <c r="C29" s="1953">
        <v>0</v>
      </c>
      <c r="D29" s="1951">
        <v>46227824.538803205</v>
      </c>
      <c r="E29" s="1951">
        <v>49051628.038004845</v>
      </c>
      <c r="F29" s="1951">
        <v>30602259.591575257</v>
      </c>
      <c r="G29" s="1951">
        <v>29669642.077688552</v>
      </c>
      <c r="H29" s="1951">
        <v>28560953.967725173</v>
      </c>
      <c r="I29" s="1951">
        <v>18490478.697084367</v>
      </c>
      <c r="J29" s="1951">
        <v>37390219.301703699</v>
      </c>
      <c r="K29" s="1951">
        <v>28061969.284276482</v>
      </c>
      <c r="L29" s="1951">
        <v>30713941.41711098</v>
      </c>
      <c r="M29" s="1951">
        <v>27776141.224528544</v>
      </c>
      <c r="N29" s="670">
        <f t="shared" si="2"/>
        <v>79642441.861498892</v>
      </c>
      <c r="O29" s="82">
        <f>'A4-FinPerf RE'!J29</f>
        <v>406187500</v>
      </c>
      <c r="P29" s="80">
        <f>'A4-FinPerf RE'!K29</f>
        <v>428860000</v>
      </c>
      <c r="Q29" s="81">
        <f>'A4-FinPerf RE'!L29</f>
        <v>448587560</v>
      </c>
    </row>
    <row r="30" spans="1:17" ht="11.25" customHeight="1">
      <c r="A30" s="127" t="str">
        <f>'A4-FinPerf RE'!A30</f>
        <v>Other materials</v>
      </c>
      <c r="B30" s="726"/>
      <c r="C30" s="1953">
        <v>1702018.4092397955</v>
      </c>
      <c r="D30" s="1951">
        <v>4174298.2026482732</v>
      </c>
      <c r="E30" s="1951">
        <v>4792817.5760854557</v>
      </c>
      <c r="F30" s="1951">
        <v>6173523.1948873922</v>
      </c>
      <c r="G30" s="1951">
        <v>6959992.5081352666</v>
      </c>
      <c r="H30" s="1951">
        <v>5499321.3859881619</v>
      </c>
      <c r="I30" s="1951">
        <v>4488713.1719739949</v>
      </c>
      <c r="J30" s="1951">
        <v>3214295.7490179031</v>
      </c>
      <c r="K30" s="1951">
        <v>3001387.3459976073</v>
      </c>
      <c r="L30" s="1951">
        <v>4217240.2573254174</v>
      </c>
      <c r="M30" s="1951">
        <v>5406723.9900356671</v>
      </c>
      <c r="N30" s="670">
        <f t="shared" si="2"/>
        <v>7690753.0886650681</v>
      </c>
      <c r="O30" s="82">
        <f>'A4-FinPerf RE'!J30</f>
        <v>57321084.880000003</v>
      </c>
      <c r="P30" s="80">
        <f>'A4-FinPerf RE'!K30</f>
        <v>58828471.784479998</v>
      </c>
      <c r="Q30" s="81">
        <f>'A4-FinPerf RE'!L30</f>
        <v>61534908.1865661</v>
      </c>
    </row>
    <row r="31" spans="1:17" ht="11.25" customHeight="1">
      <c r="A31" s="127" t="str">
        <f>'A4-FinPerf RE'!A31</f>
        <v>Contracted services</v>
      </c>
      <c r="B31" s="726"/>
      <c r="C31" s="1953">
        <v>4963507.3486460429</v>
      </c>
      <c r="D31" s="1951">
        <v>5957041.1531639779</v>
      </c>
      <c r="E31" s="1951">
        <v>5482193.0517327487</v>
      </c>
      <c r="F31" s="1951">
        <v>5297985.3894293969</v>
      </c>
      <c r="G31" s="1951">
        <v>5345164.7772392398</v>
      </c>
      <c r="H31" s="1951">
        <v>5537036.6396755595</v>
      </c>
      <c r="I31" s="1951">
        <v>5250449.8693211684</v>
      </c>
      <c r="J31" s="1951">
        <v>5500784.4960559756</v>
      </c>
      <c r="K31" s="1951">
        <v>5840461.8233839432</v>
      </c>
      <c r="L31" s="1951">
        <v>5730189.2337514693</v>
      </c>
      <c r="M31" s="1951">
        <v>8615844.1973681524</v>
      </c>
      <c r="N31" s="670">
        <f t="shared" si="2"/>
        <v>8004551.0202323273</v>
      </c>
      <c r="O31" s="82">
        <f>'A4-FinPerf RE'!J31</f>
        <v>71525209</v>
      </c>
      <c r="P31" s="80">
        <f>'A4-FinPerf RE'!K31</f>
        <v>73817688.445999995</v>
      </c>
      <c r="Q31" s="81">
        <f>'A4-FinPerf RE'!L31</f>
        <v>77266452.820516005</v>
      </c>
    </row>
    <row r="32" spans="1:17" ht="11.25" customHeight="1">
      <c r="A32" s="127" t="str">
        <f>'A4-FinPerf RE'!A32</f>
        <v>Transfers and subsidies</v>
      </c>
      <c r="B32" s="726"/>
      <c r="C32" s="1953">
        <v>1424477.6510872084</v>
      </c>
      <c r="D32" s="1951">
        <v>1632385.6554234838</v>
      </c>
      <c r="E32" s="1951">
        <v>4158118.635014337</v>
      </c>
      <c r="F32" s="1951">
        <v>2028422.3501523307</v>
      </c>
      <c r="G32" s="1951">
        <v>3103960.7925083661</v>
      </c>
      <c r="H32" s="1951">
        <v>3301629.5810594792</v>
      </c>
      <c r="I32" s="1951">
        <v>2263799.2193407631</v>
      </c>
      <c r="J32" s="1951">
        <v>2628620.5643687882</v>
      </c>
      <c r="K32" s="1951">
        <v>1164318.6130377506</v>
      </c>
      <c r="L32" s="1951">
        <v>3269124.2266260386</v>
      </c>
      <c r="M32" s="1951">
        <v>2030686.4779445822</v>
      </c>
      <c r="N32" s="670">
        <f t="shared" si="2"/>
        <v>3913456.2334368713</v>
      </c>
      <c r="O32" s="82">
        <f>'A4-FinPerf RE'!J32</f>
        <v>30919000</v>
      </c>
      <c r="P32" s="80">
        <f>'A4-FinPerf RE'!K32</f>
        <v>24197110</v>
      </c>
      <c r="Q32" s="81">
        <f>'A4-FinPerf RE'!L32</f>
        <v>24523577.060000002</v>
      </c>
    </row>
    <row r="33" spans="1:17" ht="11.25" customHeight="1">
      <c r="A33" s="127" t="str">
        <f>'A4-FinPerf RE'!A33</f>
        <v>Other expenditure</v>
      </c>
      <c r="B33" s="726"/>
      <c r="C33" s="1953">
        <v>7300910.2267594412</v>
      </c>
      <c r="D33" s="1951">
        <v>13199312.013817245</v>
      </c>
      <c r="E33" s="1951">
        <v>11736192.409072632</v>
      </c>
      <c r="F33" s="1951">
        <v>10820993.901580941</v>
      </c>
      <c r="G33" s="1951">
        <v>7814730.2104478637</v>
      </c>
      <c r="H33" s="1951">
        <v>14038523.201256935</v>
      </c>
      <c r="I33" s="1951">
        <v>13739979.456010465</v>
      </c>
      <c r="J33" s="1951">
        <v>8790495.4923731219</v>
      </c>
      <c r="K33" s="1951">
        <v>13328572.868382717</v>
      </c>
      <c r="L33" s="1951">
        <v>7603694.8445651736</v>
      </c>
      <c r="M33" s="1951">
        <v>5942953.1616190458</v>
      </c>
      <c r="N33" s="670">
        <f t="shared" si="2"/>
        <v>13751473.27411443</v>
      </c>
      <c r="O33" s="82">
        <f>'A4-FinPerf RE'!J33</f>
        <v>128067831.06</v>
      </c>
      <c r="P33" s="80">
        <f>'A4-FinPerf RE'!K33</f>
        <v>133699489.31199998</v>
      </c>
      <c r="Q33" s="81">
        <f>'A4-FinPerf RE'!L33</f>
        <v>139486986.329052</v>
      </c>
    </row>
    <row r="34" spans="1:17" ht="11.25" customHeight="1">
      <c r="A34" s="127" t="str">
        <f>'A4-FinPerf RE'!A34</f>
        <v>Losses</v>
      </c>
      <c r="B34" s="726"/>
      <c r="C34" s="1953"/>
      <c r="D34" s="1951"/>
      <c r="E34" s="1951"/>
      <c r="F34" s="1951"/>
      <c r="G34" s="1951"/>
      <c r="H34" s="1951"/>
      <c r="I34" s="1951"/>
      <c r="J34" s="1951"/>
      <c r="K34" s="1951"/>
      <c r="L34" s="1951"/>
      <c r="M34" s="1951"/>
      <c r="N34" s="670">
        <f t="shared" si="2"/>
        <v>0</v>
      </c>
      <c r="O34" s="82">
        <f>'A4-FinPerf RE'!J34</f>
        <v>0</v>
      </c>
      <c r="P34" s="80">
        <f>'A4-FinPerf RE'!K34</f>
        <v>0</v>
      </c>
      <c r="Q34" s="81">
        <f>'A4-FinPerf RE'!L34</f>
        <v>0</v>
      </c>
    </row>
    <row r="35" spans="1:17">
      <c r="A35" s="140" t="str">
        <f>'A4-FinPerf RE'!A35</f>
        <v>Total Expenditure</v>
      </c>
      <c r="B35" s="727"/>
      <c r="C35" s="93">
        <f>SUM(C24:C34)</f>
        <v>58643381.814192131</v>
      </c>
      <c r="D35" s="90">
        <f t="shared" ref="D35:Q35" si="3">SUM(D24:D34)</f>
        <v>111052804.06653747</v>
      </c>
      <c r="E35" s="90">
        <f t="shared" si="3"/>
        <v>116229274.61181985</v>
      </c>
      <c r="F35" s="90">
        <f t="shared" si="3"/>
        <v>99529174.759434313</v>
      </c>
      <c r="G35" s="90">
        <f t="shared" si="3"/>
        <v>93993525.46614705</v>
      </c>
      <c r="H35" s="90">
        <f t="shared" si="3"/>
        <v>105142460.06109032</v>
      </c>
      <c r="I35" s="90">
        <f t="shared" si="3"/>
        <v>87234526.9810417</v>
      </c>
      <c r="J35" s="90">
        <f t="shared" si="3"/>
        <v>99525904.53675206</v>
      </c>
      <c r="K35" s="90">
        <f t="shared" si="3"/>
        <v>92303111.913011566</v>
      </c>
      <c r="L35" s="90">
        <f t="shared" si="3"/>
        <v>94191966.941530704</v>
      </c>
      <c r="M35" s="90">
        <f t="shared" si="3"/>
        <v>94288116.357617393</v>
      </c>
      <c r="N35" s="728">
        <f t="shared" si="3"/>
        <v>235220792.56082541</v>
      </c>
      <c r="O35" s="92">
        <f t="shared" si="3"/>
        <v>1287355040.0699999</v>
      </c>
      <c r="P35" s="90">
        <f t="shared" si="3"/>
        <v>1330222366.2804601</v>
      </c>
      <c r="Q35" s="91">
        <f t="shared" si="3"/>
        <v>1389067331.9454014</v>
      </c>
    </row>
    <row r="36" spans="1:17" ht="4.9000000000000004" customHeight="1">
      <c r="A36" s="148"/>
      <c r="B36" s="726"/>
      <c r="C36" s="83"/>
      <c r="D36" s="80"/>
      <c r="E36" s="80"/>
      <c r="F36" s="80"/>
      <c r="G36" s="80"/>
      <c r="H36" s="80"/>
      <c r="I36" s="80"/>
      <c r="J36" s="80"/>
      <c r="K36" s="80"/>
      <c r="L36" s="80"/>
      <c r="M36" s="80"/>
      <c r="N36" s="670"/>
      <c r="O36" s="82"/>
      <c r="P36" s="80"/>
      <c r="Q36" s="81"/>
    </row>
    <row r="37" spans="1:17">
      <c r="A37" s="730" t="str">
        <f>'A4-FinPerf RE'!A37</f>
        <v>Surplus/(Deficit)</v>
      </c>
      <c r="B37" s="731"/>
      <c r="C37" s="93">
        <f t="shared" ref="C37:Q37" si="4">C21-C35</f>
        <v>183294718.96987575</v>
      </c>
      <c r="D37" s="90">
        <f t="shared" si="4"/>
        <v>-22937813.0540068</v>
      </c>
      <c r="E37" s="90">
        <f t="shared" si="4"/>
        <v>-30739524.418808147</v>
      </c>
      <c r="F37" s="90">
        <f t="shared" si="4"/>
        <v>-35586044.672052599</v>
      </c>
      <c r="G37" s="90">
        <f t="shared" si="4"/>
        <v>-23672954.49197419</v>
      </c>
      <c r="H37" s="90">
        <f t="shared" si="4"/>
        <v>64385553.653515249</v>
      </c>
      <c r="I37" s="90">
        <f t="shared" si="4"/>
        <v>-18399985.856820002</v>
      </c>
      <c r="J37" s="90">
        <f t="shared" si="4"/>
        <v>-34231197.51478228</v>
      </c>
      <c r="K37" s="90">
        <f t="shared" si="4"/>
        <v>108574101.2132387</v>
      </c>
      <c r="L37" s="90">
        <f t="shared" si="4"/>
        <v>-22638733.94245705</v>
      </c>
      <c r="M37" s="90">
        <f t="shared" si="4"/>
        <v>-29569530.232531682</v>
      </c>
      <c r="N37" s="728">
        <f t="shared" si="4"/>
        <v>-109126447.72319686</v>
      </c>
      <c r="O37" s="92">
        <f t="shared" si="4"/>
        <v>29352141.930000067</v>
      </c>
      <c r="P37" s="90">
        <f t="shared" si="4"/>
        <v>52872554.391539812</v>
      </c>
      <c r="Q37" s="91">
        <f t="shared" si="4"/>
        <v>65246645.277510405</v>
      </c>
    </row>
    <row r="38" spans="1:17" ht="25.5" customHeight="1">
      <c r="A38" s="2533" t="str">
        <f>'A4-FinPerf RE'!A38</f>
        <v>Transfers and subsidies - capital (monetary allocations) (National / Provincial and District)</v>
      </c>
      <c r="B38" s="726"/>
      <c r="C38" s="1953">
        <v>32722618.509973101</v>
      </c>
      <c r="D38" s="1951">
        <v>0</v>
      </c>
      <c r="E38" s="1951">
        <v>0</v>
      </c>
      <c r="F38" s="1951">
        <v>0</v>
      </c>
      <c r="G38" s="1951">
        <v>0</v>
      </c>
      <c r="H38" s="1951">
        <v>37334102.284052603</v>
      </c>
      <c r="I38" s="1951">
        <v>0</v>
      </c>
      <c r="J38" s="1951">
        <v>0</v>
      </c>
      <c r="K38" s="1951">
        <f>23562279.2059743-4681000</f>
        <v>18881279.205974299</v>
      </c>
      <c r="L38" s="1951">
        <v>0</v>
      </c>
      <c r="M38" s="1951">
        <v>0</v>
      </c>
      <c r="N38" s="670">
        <f>O38-SUM(C38:M38)</f>
        <v>50</v>
      </c>
      <c r="O38" s="82">
        <f>'A4-FinPerf RE'!J38</f>
        <v>88938050</v>
      </c>
      <c r="P38" s="80">
        <f>'A4-FinPerf RE'!K38</f>
        <v>96829700</v>
      </c>
      <c r="Q38" s="81">
        <f>'A4-FinPerf RE'!L38</f>
        <v>102603800</v>
      </c>
    </row>
    <row r="39" spans="1:17" ht="62.25" customHeight="1">
      <c r="A39" s="2533" t="str">
        <f>'A4-FinPerf RE'!A39</f>
        <v>Transfers and subsidies - capital (monetary allocations) (National / Provincial Departmental Agencies, Households, Non-profit Institutions, Private Enterprises, Public Corporatons, Higher Educational Institutions)</v>
      </c>
      <c r="B39" s="726"/>
      <c r="C39" s="1953"/>
      <c r="D39" s="1951"/>
      <c r="E39" s="1951"/>
      <c r="F39" s="1951"/>
      <c r="G39" s="1951"/>
      <c r="H39" s="1951"/>
      <c r="I39" s="1951"/>
      <c r="J39" s="1951"/>
      <c r="K39" s="1951"/>
      <c r="L39" s="1951"/>
      <c r="M39" s="1951"/>
      <c r="N39" s="670">
        <f>O39-SUM(C39:M39)</f>
        <v>0</v>
      </c>
      <c r="O39" s="82">
        <f>'A4-FinPerf RE'!J39</f>
        <v>0</v>
      </c>
      <c r="P39" s="80">
        <f>'A4-FinPerf RE'!K39</f>
        <v>0</v>
      </c>
      <c r="Q39" s="81">
        <f>'A4-FinPerf RE'!L39</f>
        <v>0</v>
      </c>
    </row>
    <row r="40" spans="1:17" ht="11.25" customHeight="1">
      <c r="A40" s="131" t="str">
        <f>'A4-FinPerf RE'!A40</f>
        <v xml:space="preserve">Transfers and subsidies - capital (in-kind - all) </v>
      </c>
      <c r="B40" s="726"/>
      <c r="C40" s="1953"/>
      <c r="D40" s="1951"/>
      <c r="E40" s="1951"/>
      <c r="F40" s="1951"/>
      <c r="G40" s="1951"/>
      <c r="H40" s="1951"/>
      <c r="I40" s="1951"/>
      <c r="J40" s="1951"/>
      <c r="K40" s="1951"/>
      <c r="L40" s="1951"/>
      <c r="M40" s="1951"/>
      <c r="N40" s="670">
        <f>O40-SUM(C40:M40)</f>
        <v>0</v>
      </c>
      <c r="O40" s="82">
        <f>'A4-FinPerf RE'!J40</f>
        <v>0</v>
      </c>
      <c r="P40" s="80">
        <f>'A4-FinPerf RE'!K40</f>
        <v>0</v>
      </c>
      <c r="Q40" s="81">
        <f>'A4-FinPerf RE'!L40</f>
        <v>0</v>
      </c>
    </row>
    <row r="41" spans="1:17" s="631" customFormat="1" ht="22.5" customHeight="1">
      <c r="A41" s="732" t="str">
        <f>'A4-FinPerf RE'!A41</f>
        <v>Surplus/(Deficit) after capital transfers &amp; contributions</v>
      </c>
      <c r="B41" s="733"/>
      <c r="C41" s="2555">
        <f t="shared" ref="C41:N41" si="5">C37+SUM(C38:C40)</f>
        <v>216017337.47984886</v>
      </c>
      <c r="D41" s="735">
        <f t="shared" si="5"/>
        <v>-22937813.0540068</v>
      </c>
      <c r="E41" s="735">
        <f t="shared" si="5"/>
        <v>-30739524.418808147</v>
      </c>
      <c r="F41" s="735">
        <f t="shared" si="5"/>
        <v>-35586044.672052599</v>
      </c>
      <c r="G41" s="735">
        <f t="shared" si="5"/>
        <v>-23672954.49197419</v>
      </c>
      <c r="H41" s="735">
        <f t="shared" si="5"/>
        <v>101719655.93756786</v>
      </c>
      <c r="I41" s="735">
        <f t="shared" si="5"/>
        <v>-18399985.856820002</v>
      </c>
      <c r="J41" s="735">
        <f t="shared" si="5"/>
        <v>-34231197.51478228</v>
      </c>
      <c r="K41" s="735">
        <f t="shared" si="5"/>
        <v>127455380.419213</v>
      </c>
      <c r="L41" s="735">
        <f t="shared" si="5"/>
        <v>-22638733.94245705</v>
      </c>
      <c r="M41" s="735">
        <f t="shared" si="5"/>
        <v>-29569530.232531682</v>
      </c>
      <c r="N41" s="736">
        <f t="shared" si="5"/>
        <v>-109126397.72319686</v>
      </c>
      <c r="O41" s="734">
        <f>O37+SUM(O38:O40)</f>
        <v>118290191.93000007</v>
      </c>
      <c r="P41" s="735">
        <f>P37+SUM(P38:P40)</f>
        <v>149702254.39153981</v>
      </c>
      <c r="Q41" s="737">
        <f>Q37+SUM(Q38:Q40)</f>
        <v>167850445.2775104</v>
      </c>
    </row>
    <row r="42" spans="1:17" ht="11.25" customHeight="1">
      <c r="A42" s="127" t="str">
        <f>'A4-FinPerf RE'!A42</f>
        <v>Taxation</v>
      </c>
      <c r="B42" s="726"/>
      <c r="C42" s="1953"/>
      <c r="D42" s="1951"/>
      <c r="E42" s="1951"/>
      <c r="F42" s="1951"/>
      <c r="G42" s="1951"/>
      <c r="H42" s="1951"/>
      <c r="I42" s="1951"/>
      <c r="J42" s="1951"/>
      <c r="K42" s="1951"/>
      <c r="L42" s="1951"/>
      <c r="M42" s="1951"/>
      <c r="N42" s="670">
        <f>O42-SUM(C42:M42)</f>
        <v>0</v>
      </c>
      <c r="O42" s="82">
        <f>'A4-FinPerf RE'!J42</f>
        <v>0</v>
      </c>
      <c r="P42" s="80">
        <f>'A4-FinPerf RE'!K42</f>
        <v>0</v>
      </c>
      <c r="Q42" s="81">
        <f>'A4-FinPerf RE'!L42</f>
        <v>0</v>
      </c>
    </row>
    <row r="43" spans="1:17" ht="11.25" customHeight="1">
      <c r="A43" s="127" t="str">
        <f>'A4-FinPerf RE'!A44</f>
        <v>Attributable to minorities</v>
      </c>
      <c r="B43" s="726"/>
      <c r="C43" s="1953"/>
      <c r="D43" s="1951"/>
      <c r="E43" s="1951"/>
      <c r="F43" s="1951"/>
      <c r="G43" s="1951"/>
      <c r="H43" s="1951"/>
      <c r="I43" s="1951"/>
      <c r="J43" s="1951"/>
      <c r="K43" s="1951"/>
      <c r="L43" s="1951"/>
      <c r="M43" s="1951"/>
      <c r="N43" s="670">
        <f>O43-SUM(C43:M43)</f>
        <v>0</v>
      </c>
      <c r="O43" s="82">
        <f>'A4-FinPerf RE'!J44</f>
        <v>0</v>
      </c>
      <c r="P43" s="80">
        <f>'A4-FinPerf RE'!K44</f>
        <v>0</v>
      </c>
      <c r="Q43" s="81">
        <f>'A4-FinPerf RE'!L44</f>
        <v>0</v>
      </c>
    </row>
    <row r="44" spans="1:17">
      <c r="A44" s="391" t="str">
        <f>'A4-FinPerf RE'!A46</f>
        <v>Share of surplus/ (deficit) of associate</v>
      </c>
      <c r="B44" s="738"/>
      <c r="C44" s="1983"/>
      <c r="D44" s="1981"/>
      <c r="E44" s="1981"/>
      <c r="F44" s="1981"/>
      <c r="G44" s="1981"/>
      <c r="H44" s="1981"/>
      <c r="I44" s="1981"/>
      <c r="J44" s="1981"/>
      <c r="K44" s="1981"/>
      <c r="L44" s="1981"/>
      <c r="M44" s="1981"/>
      <c r="N44" s="670">
        <f>O44-SUM(C44:M44)</f>
        <v>0</v>
      </c>
      <c r="O44" s="82">
        <f>'A4-FinPerf RE'!J46</f>
        <v>0</v>
      </c>
      <c r="P44" s="80">
        <f>'A4-FinPerf RE'!K46</f>
        <v>0</v>
      </c>
      <c r="Q44" s="81">
        <f>'A4-FinPerf RE'!L46</f>
        <v>0</v>
      </c>
    </row>
    <row r="45" spans="1:17">
      <c r="A45" s="711" t="str">
        <f>'A4-FinPerf RE'!A37</f>
        <v>Surplus/(Deficit)</v>
      </c>
      <c r="B45" s="739">
        <v>1</v>
      </c>
      <c r="C45" s="226">
        <f>C41-C42+SUM(C43:C44)</f>
        <v>216017337.47984886</v>
      </c>
      <c r="D45" s="104">
        <f t="shared" ref="D45:M45" si="6">D41-D42+SUM(D43:D44)</f>
        <v>-22937813.0540068</v>
      </c>
      <c r="E45" s="104">
        <f t="shared" si="6"/>
        <v>-30739524.418808147</v>
      </c>
      <c r="F45" s="104">
        <f t="shared" si="6"/>
        <v>-35586044.672052599</v>
      </c>
      <c r="G45" s="104">
        <f t="shared" si="6"/>
        <v>-23672954.49197419</v>
      </c>
      <c r="H45" s="104">
        <f t="shared" si="6"/>
        <v>101719655.93756786</v>
      </c>
      <c r="I45" s="104">
        <f t="shared" si="6"/>
        <v>-18399985.856820002</v>
      </c>
      <c r="J45" s="104">
        <f t="shared" si="6"/>
        <v>-34231197.51478228</v>
      </c>
      <c r="K45" s="104">
        <f t="shared" si="6"/>
        <v>127455380.419213</v>
      </c>
      <c r="L45" s="104">
        <f t="shared" si="6"/>
        <v>-22638733.94245705</v>
      </c>
      <c r="M45" s="104">
        <f t="shared" si="6"/>
        <v>-29569530.232531682</v>
      </c>
      <c r="N45" s="681">
        <f>N41-N42+SUM(N43:N44)</f>
        <v>-109126397.72319686</v>
      </c>
      <c r="O45" s="226">
        <f>O41-O42+SUM(O43:O44)</f>
        <v>118290191.93000007</v>
      </c>
      <c r="P45" s="104">
        <f>P41-P42+SUM(P43:P44)</f>
        <v>149702254.39153981</v>
      </c>
      <c r="Q45" s="225">
        <f>Q41-Q42+SUM(Q43:Q44)</f>
        <v>167850445.2775104</v>
      </c>
    </row>
    <row r="46" spans="1:17" s="576" customFormat="1">
      <c r="A46" s="1240" t="str">
        <f>head27a</f>
        <v>References</v>
      </c>
      <c r="B46" s="921"/>
      <c r="C46" s="876"/>
      <c r="D46" s="876"/>
      <c r="E46" s="876"/>
      <c r="F46" s="876"/>
      <c r="G46" s="876"/>
      <c r="H46" s="876"/>
      <c r="I46" s="876"/>
      <c r="J46" s="876"/>
      <c r="K46" s="876"/>
      <c r="L46" s="876"/>
      <c r="M46" s="876"/>
      <c r="N46" s="876"/>
      <c r="O46" s="876"/>
      <c r="P46" s="876"/>
      <c r="Q46" s="876"/>
    </row>
    <row r="47" spans="1:17" s="576" customFormat="1">
      <c r="A47" s="1238" t="s">
        <v>1407</v>
      </c>
    </row>
    <row r="48" spans="1:17">
      <c r="A48" s="305" t="s">
        <v>1338</v>
      </c>
      <c r="B48" s="305"/>
      <c r="O48" s="741">
        <f>O45-'A4-FinPerf RE'!J47</f>
        <v>0</v>
      </c>
      <c r="P48" s="741">
        <f>P45-'A4-FinPerf RE'!K47</f>
        <v>0</v>
      </c>
      <c r="Q48" s="741">
        <f>Q45-'A4-FinPerf RE'!L47</f>
        <v>0</v>
      </c>
    </row>
  </sheetData>
  <mergeCells count="2">
    <mergeCell ref="C2:N2"/>
    <mergeCell ref="O2:Q2"/>
  </mergeCells>
  <phoneticPr fontId="5"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40" activePane="bottomRight" state="frozen"/>
      <selection pane="topRight"/>
      <selection pane="bottomLeft"/>
      <selection pane="bottomRight" activeCell="K13" sqref="K13"/>
    </sheetView>
  </sheetViews>
  <sheetFormatPr defaultColWidth="9.140625" defaultRowHeight="12.7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c r="A1" s="24" t="str">
        <f>muni&amp;" - "&amp;TableA26</f>
        <v>LIM333 Greater Tzaneen - Supporting Table SA26 Consolidated budgeted monthly revenue and expenditure (municipal vote)</v>
      </c>
      <c r="B1" s="24"/>
      <c r="C1" s="24"/>
      <c r="D1" s="24"/>
      <c r="E1" s="24"/>
      <c r="F1" s="24"/>
      <c r="G1" s="24"/>
      <c r="H1" s="24"/>
      <c r="I1" s="24"/>
      <c r="J1" s="24"/>
      <c r="K1" s="24"/>
      <c r="L1" s="24"/>
      <c r="M1" s="24"/>
      <c r="N1" s="24"/>
      <c r="O1" s="24"/>
      <c r="P1" s="24"/>
      <c r="Q1" s="24"/>
    </row>
    <row r="2" spans="1:18" ht="28.5" customHeight="1">
      <c r="A2" s="841" t="str">
        <f>desc</f>
        <v>Description</v>
      </c>
      <c r="B2" s="852" t="str">
        <f>head27</f>
        <v>Ref</v>
      </c>
      <c r="C2" s="2842" t="str">
        <f>Head9</f>
        <v>Budget Year 2020/21</v>
      </c>
      <c r="D2" s="2843"/>
      <c r="E2" s="2843"/>
      <c r="F2" s="2843"/>
      <c r="G2" s="2843"/>
      <c r="H2" s="2843"/>
      <c r="I2" s="2843"/>
      <c r="J2" s="2843"/>
      <c r="K2" s="2843"/>
      <c r="L2" s="2843"/>
      <c r="M2" s="2843"/>
      <c r="N2" s="2843"/>
      <c r="O2" s="2839" t="s">
        <v>1560</v>
      </c>
      <c r="P2" s="2840"/>
      <c r="Q2" s="2841"/>
    </row>
    <row r="3" spans="1:18" ht="25.5">
      <c r="A3" s="848" t="s">
        <v>569</v>
      </c>
      <c r="B3" s="853"/>
      <c r="C3" s="172" t="s">
        <v>623</v>
      </c>
      <c r="D3" s="789" t="s">
        <v>1240</v>
      </c>
      <c r="E3" s="789" t="s">
        <v>1241</v>
      </c>
      <c r="F3" s="789" t="s">
        <v>1242</v>
      </c>
      <c r="G3" s="789" t="s">
        <v>604</v>
      </c>
      <c r="H3" s="789" t="s">
        <v>605</v>
      </c>
      <c r="I3" s="789" t="s">
        <v>606</v>
      </c>
      <c r="J3" s="789" t="s">
        <v>607</v>
      </c>
      <c r="K3" s="789" t="s">
        <v>608</v>
      </c>
      <c r="L3" s="789" t="s">
        <v>609</v>
      </c>
      <c r="M3" s="789" t="s">
        <v>610</v>
      </c>
      <c r="N3" s="261" t="s">
        <v>611</v>
      </c>
      <c r="O3" s="172" t="str">
        <f>Head9</f>
        <v>Budget Year 2020/21</v>
      </c>
      <c r="P3" s="260" t="str">
        <f>Head10</f>
        <v>Budget Year +1 2021/22</v>
      </c>
      <c r="Q3" s="261" t="str">
        <f>Head11</f>
        <v>Budget Year +2 2022/23</v>
      </c>
    </row>
    <row r="4" spans="1:18">
      <c r="A4" s="126" t="str">
        <f>'A3-FinPerf V'!A4</f>
        <v>Revenue by Vote</v>
      </c>
      <c r="B4" s="729"/>
      <c r="C4" s="190"/>
      <c r="D4" s="188"/>
      <c r="E4" s="188"/>
      <c r="F4" s="188"/>
      <c r="G4" s="188"/>
      <c r="H4" s="188"/>
      <c r="I4" s="188"/>
      <c r="J4" s="188"/>
      <c r="K4" s="188"/>
      <c r="L4" s="188"/>
      <c r="M4" s="188"/>
      <c r="N4" s="849"/>
      <c r="O4" s="276"/>
      <c r="P4" s="188"/>
      <c r="Q4" s="191"/>
    </row>
    <row r="5" spans="1:18" ht="11.25" customHeight="1">
      <c r="A5" s="1005" t="str">
        <f>'A3-FinPerf V'!A5</f>
        <v>Vote 1 - Municipal Manager</v>
      </c>
      <c r="B5" s="726"/>
      <c r="C5" s="1961"/>
      <c r="D5" s="1951"/>
      <c r="E5" s="1951"/>
      <c r="F5" s="1951"/>
      <c r="G5" s="1951"/>
      <c r="H5" s="1951"/>
      <c r="I5" s="1951"/>
      <c r="J5" s="1951"/>
      <c r="K5" s="1951"/>
      <c r="L5" s="1951"/>
      <c r="M5" s="1951"/>
      <c r="N5" s="670">
        <f t="shared" ref="N5:N10" si="0">O5-SUM(C5:M5)</f>
        <v>1229</v>
      </c>
      <c r="O5" s="83">
        <f>'A3-FinPerf V'!I5</f>
        <v>1229</v>
      </c>
      <c r="P5" s="80">
        <f>'A3-FinPerf V'!J5</f>
        <v>1285.5339999999999</v>
      </c>
      <c r="Q5" s="81">
        <f>'A3-FinPerf V'!K5</f>
        <v>1344.6685639999998</v>
      </c>
    </row>
    <row r="6" spans="1:18" ht="11.25" customHeight="1">
      <c r="A6" s="1005" t="str">
        <f>'A3-FinPerf V'!A6</f>
        <v>Vote 2 - Planning &amp; Economic Development</v>
      </c>
      <c r="B6" s="726"/>
      <c r="C6" s="1961">
        <v>11226.501906139099</v>
      </c>
      <c r="D6" s="1951">
        <v>7624.5563296963301</v>
      </c>
      <c r="E6" s="1951">
        <v>10569.2125673722</v>
      </c>
      <c r="F6" s="1951">
        <v>18088.6026028657</v>
      </c>
      <c r="G6" s="1951">
        <v>22558.170106480899</v>
      </c>
      <c r="H6" s="1951">
        <v>10674.3788615749</v>
      </c>
      <c r="I6" s="1951">
        <v>16931.773366636</v>
      </c>
      <c r="J6" s="1951">
        <v>19035.0992506902</v>
      </c>
      <c r="K6" s="1951">
        <v>43091.889049559599</v>
      </c>
      <c r="L6" s="1951">
        <v>6546.6018141185796</v>
      </c>
      <c r="M6" s="1951">
        <v>21637.965032207201</v>
      </c>
      <c r="N6" s="670">
        <f t="shared" si="0"/>
        <v>212140.24911265928</v>
      </c>
      <c r="O6" s="83">
        <f>'A3-FinPerf V'!I6</f>
        <v>400125</v>
      </c>
      <c r="P6" s="84">
        <f>'A3-FinPerf V'!J6</f>
        <v>418530.75</v>
      </c>
      <c r="Q6" s="139">
        <f>'A3-FinPerf V'!K6</f>
        <v>437783.16450000001</v>
      </c>
    </row>
    <row r="7" spans="1:18" ht="11.25" customHeight="1">
      <c r="A7" s="1005" t="str">
        <f>'A3-FinPerf V'!A7</f>
        <v>Vote 3 - Financial Services</v>
      </c>
      <c r="B7" s="726"/>
      <c r="C7" s="1961">
        <v>175521355.88607401</v>
      </c>
      <c r="D7" s="1951">
        <v>13433846.404861899</v>
      </c>
      <c r="E7" s="1951">
        <v>13345686.1841734</v>
      </c>
      <c r="F7" s="1951">
        <v>13912033.756198199</v>
      </c>
      <c r="G7" s="1951">
        <v>14873384.423747201</v>
      </c>
      <c r="H7" s="1951">
        <v>127570893.708768</v>
      </c>
      <c r="I7" s="1951">
        <v>14392517.307764299</v>
      </c>
      <c r="J7" s="1951">
        <v>13670212.6013279</v>
      </c>
      <c r="K7" s="1951">
        <v>121353361.663776</v>
      </c>
      <c r="L7" s="1951">
        <v>16198399.0815464</v>
      </c>
      <c r="M7" s="1951">
        <v>14103039.811511301</v>
      </c>
      <c r="N7" s="670">
        <f t="shared" si="0"/>
        <v>13236994.170251369</v>
      </c>
      <c r="O7" s="83">
        <f>'A3-FinPerf V'!I7</f>
        <v>551611725</v>
      </c>
      <c r="P7" s="84">
        <f>'A3-FinPerf V'!J7</f>
        <v>589718017.60000002</v>
      </c>
      <c r="Q7" s="139">
        <f>'A3-FinPerf V'!K7</f>
        <v>625045498.40960002</v>
      </c>
    </row>
    <row r="8" spans="1:18" ht="11.25" customHeight="1">
      <c r="A8" s="1005" t="str">
        <f>'A3-FinPerf V'!A8</f>
        <v>Vote 4 - Corporate Services</v>
      </c>
      <c r="B8" s="726"/>
      <c r="C8" s="1961">
        <v>0</v>
      </c>
      <c r="D8" s="1951">
        <v>0</v>
      </c>
      <c r="E8" s="1951">
        <v>0</v>
      </c>
      <c r="F8" s="1951">
        <v>0</v>
      </c>
      <c r="G8" s="1951"/>
      <c r="H8" s="1951">
        <v>0</v>
      </c>
      <c r="I8" s="1951">
        <v>0</v>
      </c>
      <c r="J8" s="1951">
        <v>1200000</v>
      </c>
      <c r="K8" s="1951">
        <v>0</v>
      </c>
      <c r="L8" s="1951">
        <v>0</v>
      </c>
      <c r="M8" s="1951">
        <v>0</v>
      </c>
      <c r="N8" s="670">
        <f t="shared" si="0"/>
        <v>128</v>
      </c>
      <c r="O8" s="83">
        <f>'A3-FinPerf V'!I8</f>
        <v>1200128</v>
      </c>
      <c r="P8" s="84">
        <f>'A3-FinPerf V'!J8</f>
        <v>1255333.8879999998</v>
      </c>
      <c r="Q8" s="139">
        <f>'A3-FinPerf V'!K8</f>
        <v>1313079.246848</v>
      </c>
    </row>
    <row r="9" spans="1:18" ht="11.25" customHeight="1">
      <c r="A9" s="1005" t="str">
        <f>'A3-FinPerf V'!A9</f>
        <v>Vote 5 - Community Services</v>
      </c>
      <c r="B9" s="726"/>
      <c r="C9" s="1961">
        <v>2655502.9203011901</v>
      </c>
      <c r="D9" s="1951">
        <v>4638252.7650555298</v>
      </c>
      <c r="E9" s="1951">
        <v>2838061.8999405801</v>
      </c>
      <c r="F9" s="1951">
        <v>2907925.67153499</v>
      </c>
      <c r="G9" s="1951">
        <v>6119116.0787816197</v>
      </c>
      <c r="H9" s="1951">
        <v>2974996.66580348</v>
      </c>
      <c r="I9" s="1951">
        <v>2760711.7667485802</v>
      </c>
      <c r="J9" s="1951">
        <v>5451988.6562430104</v>
      </c>
      <c r="K9" s="1951">
        <v>33981772.937854201</v>
      </c>
      <c r="L9" s="1951">
        <v>3175287.2408392499</v>
      </c>
      <c r="M9" s="1951">
        <v>3012435.3368358701</v>
      </c>
      <c r="N9" s="670">
        <f t="shared" si="0"/>
        <v>3754357.0600616932</v>
      </c>
      <c r="O9" s="83">
        <f>'A3-FinPerf V'!I9</f>
        <v>74270409</v>
      </c>
      <c r="P9" s="84">
        <f>'A3-FinPerf V'!J9</f>
        <v>71247876.563999996</v>
      </c>
      <c r="Q9" s="139">
        <f>'A3-FinPerf V'!K9</f>
        <v>74525278.885944009</v>
      </c>
    </row>
    <row r="10" spans="1:18" ht="11.25" customHeight="1">
      <c r="A10" s="1005" t="str">
        <f>'A3-FinPerf V'!A10</f>
        <v>Vote 6 - Community Services</v>
      </c>
      <c r="B10" s="726"/>
      <c r="C10" s="1961">
        <v>6339211.4769316399</v>
      </c>
      <c r="D10" s="1951">
        <v>4244773.5791362403</v>
      </c>
      <c r="E10" s="1951">
        <v>4365320.9829935096</v>
      </c>
      <c r="F10" s="1951">
        <v>4551490.90091353</v>
      </c>
      <c r="G10" s="1951">
        <v>4535068.3851074297</v>
      </c>
      <c r="H10" s="1951">
        <v>4670036.6417822996</v>
      </c>
      <c r="I10" s="1951">
        <v>8528922.5461478494</v>
      </c>
      <c r="J10" s="1951">
        <v>7232643.1258162102</v>
      </c>
      <c r="K10" s="1951">
        <v>6082301.5911694104</v>
      </c>
      <c r="L10" s="1951">
        <v>3419237.4503105702</v>
      </c>
      <c r="M10" s="1951">
        <v>4503122.7539263498</v>
      </c>
      <c r="N10" s="670">
        <f t="shared" si="0"/>
        <v>38210161.565764956</v>
      </c>
      <c r="O10" s="83">
        <f>'A3-FinPerf V'!I10</f>
        <v>96682291</v>
      </c>
      <c r="P10" s="84">
        <f>'A3-FinPerf V'!J10</f>
        <v>101129676.38600001</v>
      </c>
      <c r="Q10" s="139">
        <f>'A3-FinPerf V'!K10</f>
        <v>105781641.49975599</v>
      </c>
    </row>
    <row r="11" spans="1:18" ht="11.25" customHeight="1">
      <c r="A11" s="1005" t="str">
        <f>'A3-FinPerf V'!A11</f>
        <v>Vote 7 - Electrical Engineering Services</v>
      </c>
      <c r="B11" s="726"/>
      <c r="C11" s="1961">
        <v>57283347.657816596</v>
      </c>
      <c r="D11" s="1951">
        <v>65656213.974506997</v>
      </c>
      <c r="E11" s="1951">
        <v>64803744.7917777</v>
      </c>
      <c r="F11" s="1951">
        <v>42435274.660464503</v>
      </c>
      <c r="G11" s="1951">
        <v>44622035.074678697</v>
      </c>
      <c r="H11" s="1951">
        <v>34133249.859008901</v>
      </c>
      <c r="I11" s="1951">
        <v>43022904.8980994</v>
      </c>
      <c r="J11" s="1951">
        <v>37599495.017545998</v>
      </c>
      <c r="K11" s="1951">
        <v>39268806.711834803</v>
      </c>
      <c r="L11" s="1951">
        <v>48543409.432099298</v>
      </c>
      <c r="M11" s="1951">
        <v>42952178.211695999</v>
      </c>
      <c r="N11" s="670">
        <f>O11-SUM(C11:M11)</f>
        <v>65880339.710471153</v>
      </c>
      <c r="O11" s="83">
        <f>'A3-FinPerf V'!I11</f>
        <v>586201000</v>
      </c>
      <c r="P11" s="84">
        <f>'A3-FinPerf V'!J11</f>
        <v>612492246</v>
      </c>
      <c r="Q11" s="139">
        <f>'A3-FinPerf V'!K11</f>
        <v>639993657.31599998</v>
      </c>
    </row>
    <row r="12" spans="1:18" ht="11.25" customHeight="1">
      <c r="A12" s="1005" t="str">
        <f>'A3-FinPerf V'!A12</f>
        <v>Vote 8 - Engineering Services</v>
      </c>
      <c r="B12" s="726"/>
      <c r="C12" s="1961">
        <v>32850074.851011202</v>
      </c>
      <c r="D12" s="1951">
        <v>134279.73264028001</v>
      </c>
      <c r="E12" s="1951">
        <v>126367.121559087</v>
      </c>
      <c r="F12" s="1951">
        <v>118316.495667601</v>
      </c>
      <c r="G12" s="1951">
        <v>148408.841751453</v>
      </c>
      <c r="H12" s="1951">
        <v>37502264.744433701</v>
      </c>
      <c r="I12" s="1951">
        <v>112552.832094931</v>
      </c>
      <c r="J12" s="1951">
        <v>121332.521785902</v>
      </c>
      <c r="K12" s="1951">
        <f>23710157.5385407-4681000</f>
        <v>19029157.538540699</v>
      </c>
      <c r="L12" s="1951">
        <v>210353.19246401399</v>
      </c>
      <c r="M12" s="1951">
        <v>126172.04608393001</v>
      </c>
      <c r="N12" s="670">
        <f>O12-SUM(C12:M12)</f>
        <v>4799045.0819671899</v>
      </c>
      <c r="O12" s="83">
        <f>'A3-FinPerf V'!I12</f>
        <v>95278325</v>
      </c>
      <c r="P12" s="84">
        <f>'A3-FinPerf V'!J12</f>
        <v>103661653.95</v>
      </c>
      <c r="Q12" s="139">
        <f>'A3-FinPerf V'!K12</f>
        <v>109819494.0317</v>
      </c>
    </row>
    <row r="13" spans="1:18" ht="11.25" customHeight="1">
      <c r="A13" s="1005" t="str">
        <f>'A3-FinPerf V'!A13</f>
        <v>Vote 9 - [NAME OF VOTE 9]</v>
      </c>
      <c r="B13" s="726"/>
      <c r="C13" s="1961"/>
      <c r="D13" s="1951"/>
      <c r="E13" s="1951"/>
      <c r="F13" s="1951"/>
      <c r="G13" s="1951"/>
      <c r="H13" s="1951"/>
      <c r="I13" s="1951"/>
      <c r="J13" s="1951"/>
      <c r="K13" s="1951"/>
      <c r="L13" s="1951"/>
      <c r="M13" s="1951"/>
      <c r="N13" s="670">
        <f>O13-SUM(C13:M13)</f>
        <v>0</v>
      </c>
      <c r="O13" s="83">
        <f>'A3-FinPerf V'!I13</f>
        <v>0</v>
      </c>
      <c r="P13" s="84">
        <f>'A3-FinPerf V'!J13</f>
        <v>0</v>
      </c>
      <c r="Q13" s="139">
        <f>'A3-FinPerf V'!K13</f>
        <v>0</v>
      </c>
      <c r="R13" s="240"/>
    </row>
    <row r="14" spans="1:18" ht="11.25" customHeight="1">
      <c r="A14" s="1005" t="str">
        <f>'A3-FinPerf V'!A14</f>
        <v>Vote 10 - [NAME OF VOTE 10]</v>
      </c>
      <c r="B14" s="726"/>
      <c r="C14" s="1961"/>
      <c r="D14" s="1951"/>
      <c r="E14" s="1951"/>
      <c r="F14" s="1951"/>
      <c r="G14" s="1951"/>
      <c r="H14" s="1951"/>
      <c r="I14" s="1951"/>
      <c r="J14" s="1951"/>
      <c r="K14" s="1951"/>
      <c r="L14" s="1951"/>
      <c r="M14" s="1951"/>
      <c r="N14" s="670">
        <f t="shared" ref="N14:N19" si="1">O14-SUM(C14:M14)</f>
        <v>0</v>
      </c>
      <c r="O14" s="83">
        <f>'A3-FinPerf V'!I14</f>
        <v>0</v>
      </c>
      <c r="P14" s="84">
        <f>'A3-FinPerf V'!J14</f>
        <v>0</v>
      </c>
      <c r="Q14" s="139">
        <f>'A3-FinPerf V'!K14</f>
        <v>0</v>
      </c>
      <c r="R14" s="240"/>
    </row>
    <row r="15" spans="1:18" ht="11.25" customHeight="1">
      <c r="A15" s="1005" t="str">
        <f>'A3-FinPerf V'!A15</f>
        <v>Vote 11 - [NAME OF VOTE 11]</v>
      </c>
      <c r="B15" s="726"/>
      <c r="C15" s="1961"/>
      <c r="D15" s="1951"/>
      <c r="E15" s="1951"/>
      <c r="F15" s="1951"/>
      <c r="G15" s="1951"/>
      <c r="H15" s="1951"/>
      <c r="I15" s="1951"/>
      <c r="J15" s="1951"/>
      <c r="K15" s="1951"/>
      <c r="L15" s="1951"/>
      <c r="M15" s="1951"/>
      <c r="N15" s="670">
        <f t="shared" si="1"/>
        <v>0</v>
      </c>
      <c r="O15" s="83">
        <f>'A3-FinPerf V'!I15</f>
        <v>0</v>
      </c>
      <c r="P15" s="84">
        <f>'A3-FinPerf V'!J15</f>
        <v>0</v>
      </c>
      <c r="Q15" s="139">
        <f>'A3-FinPerf V'!K15</f>
        <v>0</v>
      </c>
      <c r="R15" s="240"/>
    </row>
    <row r="16" spans="1:18" ht="11.25" customHeight="1">
      <c r="A16" s="1005" t="str">
        <f>'A3-FinPerf V'!A16</f>
        <v>Vote 12 - [NAME OF VOTE 12]</v>
      </c>
      <c r="B16" s="726"/>
      <c r="C16" s="1961"/>
      <c r="D16" s="1951"/>
      <c r="E16" s="1951"/>
      <c r="F16" s="1951"/>
      <c r="G16" s="1951"/>
      <c r="H16" s="1951"/>
      <c r="I16" s="1951"/>
      <c r="J16" s="1951"/>
      <c r="K16" s="1951"/>
      <c r="L16" s="1951"/>
      <c r="M16" s="1951"/>
      <c r="N16" s="670">
        <f t="shared" si="1"/>
        <v>0</v>
      </c>
      <c r="O16" s="83">
        <f>'A3-FinPerf V'!I16</f>
        <v>0</v>
      </c>
      <c r="P16" s="84">
        <f>'A3-FinPerf V'!J16</f>
        <v>0</v>
      </c>
      <c r="Q16" s="139">
        <f>'A3-FinPerf V'!K16</f>
        <v>0</v>
      </c>
      <c r="R16" s="240"/>
    </row>
    <row r="17" spans="1:18" ht="11.25" customHeight="1">
      <c r="A17" s="1005" t="str">
        <f>'A3-FinPerf V'!A17</f>
        <v>Vote 13 - [NAME OF VOTE 13]</v>
      </c>
      <c r="B17" s="726"/>
      <c r="C17" s="1961"/>
      <c r="D17" s="1951"/>
      <c r="E17" s="1951"/>
      <c r="F17" s="1951"/>
      <c r="G17" s="1951"/>
      <c r="H17" s="1951"/>
      <c r="I17" s="1951"/>
      <c r="J17" s="1951"/>
      <c r="K17" s="1951"/>
      <c r="L17" s="1951"/>
      <c r="M17" s="1951"/>
      <c r="N17" s="670">
        <f t="shared" si="1"/>
        <v>0</v>
      </c>
      <c r="O17" s="83">
        <f>'A3-FinPerf V'!I17</f>
        <v>0</v>
      </c>
      <c r="P17" s="84">
        <f>'A3-FinPerf V'!J17</f>
        <v>0</v>
      </c>
      <c r="Q17" s="139">
        <f>'A3-FinPerf V'!K17</f>
        <v>0</v>
      </c>
      <c r="R17" s="240"/>
    </row>
    <row r="18" spans="1:18" ht="11.25" customHeight="1">
      <c r="A18" s="1005" t="str">
        <f>'A3-FinPerf V'!A18</f>
        <v>Vote 14 - [NAME OF VOTE 14]</v>
      </c>
      <c r="B18" s="726"/>
      <c r="C18" s="1961"/>
      <c r="D18" s="1951"/>
      <c r="E18" s="1951"/>
      <c r="F18" s="1951"/>
      <c r="G18" s="1951"/>
      <c r="H18" s="1951"/>
      <c r="I18" s="1951"/>
      <c r="J18" s="1951"/>
      <c r="K18" s="1951"/>
      <c r="L18" s="1951"/>
      <c r="M18" s="1951"/>
      <c r="N18" s="670">
        <f t="shared" si="1"/>
        <v>0</v>
      </c>
      <c r="O18" s="83">
        <f>'A3-FinPerf V'!I18</f>
        <v>0</v>
      </c>
      <c r="P18" s="84">
        <f>'A3-FinPerf V'!J18</f>
        <v>0</v>
      </c>
      <c r="Q18" s="139">
        <f>'A3-FinPerf V'!K18</f>
        <v>0</v>
      </c>
      <c r="R18" s="240"/>
    </row>
    <row r="19" spans="1:18" ht="11.25" customHeight="1">
      <c r="A19" s="1005" t="str">
        <f>'A3-FinPerf V'!A19</f>
        <v>Vote 15 - [NAME OF VOTE 15]</v>
      </c>
      <c r="B19" s="726"/>
      <c r="C19" s="1961"/>
      <c r="D19" s="1951"/>
      <c r="E19" s="1951"/>
      <c r="F19" s="1951"/>
      <c r="G19" s="1951"/>
      <c r="H19" s="1951"/>
      <c r="I19" s="1951"/>
      <c r="J19" s="1951"/>
      <c r="K19" s="1951"/>
      <c r="L19" s="1951"/>
      <c r="M19" s="1951"/>
      <c r="N19" s="670">
        <f t="shared" si="1"/>
        <v>0</v>
      </c>
      <c r="O19" s="83">
        <f>'A3-FinPerf V'!I19</f>
        <v>0</v>
      </c>
      <c r="P19" s="84">
        <f>'A3-FinPerf V'!J19</f>
        <v>0</v>
      </c>
      <c r="Q19" s="139">
        <f>'A3-FinPerf V'!K19</f>
        <v>0</v>
      </c>
      <c r="R19" s="240"/>
    </row>
    <row r="20" spans="1:18">
      <c r="A20" s="140" t="str">
        <f>'A3-FinPerf V'!A20</f>
        <v>Total Revenue by Vote</v>
      </c>
      <c r="B20" s="727"/>
      <c r="C20" s="92">
        <f t="shared" ref="C20:Q20" si="2">SUM(C5:C19)</f>
        <v>274660719.29404074</v>
      </c>
      <c r="D20" s="90">
        <f t="shared" si="2"/>
        <v>88114991.01253064</v>
      </c>
      <c r="E20" s="90">
        <f t="shared" si="2"/>
        <v>85489750.193011642</v>
      </c>
      <c r="F20" s="90">
        <f>SUM(F5:F19)</f>
        <v>63943130.087381683</v>
      </c>
      <c r="G20" s="90">
        <f t="shared" si="2"/>
        <v>70320570.97417289</v>
      </c>
      <c r="H20" s="90">
        <f t="shared" si="2"/>
        <v>206862115.99865797</v>
      </c>
      <c r="I20" s="90">
        <f t="shared" si="2"/>
        <v>68834541.124221697</v>
      </c>
      <c r="J20" s="90">
        <f t="shared" si="2"/>
        <v>65294707.021969706</v>
      </c>
      <c r="K20" s="90">
        <f t="shared" si="2"/>
        <v>219758492.33222464</v>
      </c>
      <c r="L20" s="90">
        <f t="shared" si="2"/>
        <v>71553232.99907364</v>
      </c>
      <c r="M20" s="90">
        <f t="shared" si="2"/>
        <v>64718586.125085652</v>
      </c>
      <c r="N20" s="728">
        <f t="shared" si="2"/>
        <v>126094394.83762902</v>
      </c>
      <c r="O20" s="93">
        <f t="shared" si="2"/>
        <v>1405645232</v>
      </c>
      <c r="P20" s="90">
        <f t="shared" si="2"/>
        <v>1479924620.6720002</v>
      </c>
      <c r="Q20" s="91">
        <f t="shared" si="2"/>
        <v>1556917777.2229118</v>
      </c>
      <c r="R20" s="240"/>
    </row>
    <row r="21" spans="1:18" ht="4.9000000000000004" customHeight="1">
      <c r="A21" s="148"/>
      <c r="B21" s="726"/>
      <c r="C21" s="82"/>
      <c r="D21" s="80"/>
      <c r="E21" s="80"/>
      <c r="F21" s="80"/>
      <c r="G21" s="80"/>
      <c r="H21" s="80"/>
      <c r="I21" s="80"/>
      <c r="J21" s="80"/>
      <c r="K21" s="80"/>
      <c r="L21" s="80"/>
      <c r="M21" s="80"/>
      <c r="N21" s="670"/>
      <c r="O21" s="83"/>
      <c r="P21" s="80"/>
      <c r="Q21" s="81"/>
      <c r="R21" s="240"/>
    </row>
    <row r="22" spans="1:18">
      <c r="A22" s="126" t="str">
        <f>'A3-FinPerf V'!A22</f>
        <v>Expenditure by Vote to be appropriated</v>
      </c>
      <c r="B22" s="729"/>
      <c r="C22" s="82"/>
      <c r="D22" s="80"/>
      <c r="E22" s="80"/>
      <c r="F22" s="80"/>
      <c r="G22" s="80"/>
      <c r="H22" s="80"/>
      <c r="I22" s="80"/>
      <c r="J22" s="80"/>
      <c r="K22" s="80"/>
      <c r="L22" s="80"/>
      <c r="M22" s="80"/>
      <c r="N22" s="670"/>
      <c r="O22" s="83"/>
      <c r="P22" s="80"/>
      <c r="Q22" s="81"/>
      <c r="R22" s="240"/>
    </row>
    <row r="23" spans="1:18" ht="11.25" customHeight="1">
      <c r="A23" s="127" t="str">
        <f t="shared" ref="A23:A31" si="3">A5</f>
        <v>Vote 1 - Municipal Manager</v>
      </c>
      <c r="B23" s="726"/>
      <c r="C23" s="1961">
        <v>5720020.8429421317</v>
      </c>
      <c r="D23" s="1951">
        <v>6176769.4938370213</v>
      </c>
      <c r="E23" s="1951">
        <v>5711141.1330800336</v>
      </c>
      <c r="F23" s="1951">
        <v>6517845.5728230625</v>
      </c>
      <c r="G23" s="1951">
        <v>4627736.375283815</v>
      </c>
      <c r="H23" s="1951">
        <v>6980806.3006538674</v>
      </c>
      <c r="I23" s="1951">
        <v>6255191.8320803661</v>
      </c>
      <c r="J23" s="1951">
        <v>5156313.4430668596</v>
      </c>
      <c r="K23" s="1951">
        <v>6230587.7990315557</v>
      </c>
      <c r="L23" s="1951">
        <v>5806520.7958308524</v>
      </c>
      <c r="M23" s="1951">
        <v>5087142.8452376164</v>
      </c>
      <c r="N23" s="670">
        <f t="shared" ref="N23:N29" si="4">O23-SUM(C23:M23)</f>
        <v>9562082.6961328238</v>
      </c>
      <c r="O23" s="83">
        <f>'A3-FinPerf V'!I23</f>
        <v>73832159.129999995</v>
      </c>
      <c r="P23" s="80">
        <f>'A3-FinPerf V'!J23</f>
        <v>76159743.147980005</v>
      </c>
      <c r="Q23" s="81">
        <f>'A3-FinPerf V'!K23</f>
        <v>79661021.332787067</v>
      </c>
      <c r="R23" s="240"/>
    </row>
    <row r="24" spans="1:18" ht="11.25" customHeight="1">
      <c r="A24" s="127" t="str">
        <f t="shared" si="3"/>
        <v>Vote 2 - Planning &amp; Economic Development</v>
      </c>
      <c r="B24" s="726"/>
      <c r="C24" s="1961">
        <v>2186924.9888276341</v>
      </c>
      <c r="D24" s="1951">
        <v>1813097.9243807825</v>
      </c>
      <c r="E24" s="1951">
        <v>1759371.0803485936</v>
      </c>
      <c r="F24" s="1951">
        <v>1720295.7856122141</v>
      </c>
      <c r="G24" s="1951">
        <v>1702523.8407082842</v>
      </c>
      <c r="H24" s="1951">
        <v>4805712.5352220368</v>
      </c>
      <c r="I24" s="1951">
        <v>1709526.1089643277</v>
      </c>
      <c r="J24" s="1951">
        <v>1677267.9217383193</v>
      </c>
      <c r="K24" s="1951">
        <v>7017581.3039806047</v>
      </c>
      <c r="L24" s="1951">
        <v>1920993.6609163356</v>
      </c>
      <c r="M24" s="1951">
        <v>2136079.1066919179</v>
      </c>
      <c r="N24" s="670">
        <f t="shared" si="4"/>
        <v>2581414.7426089495</v>
      </c>
      <c r="O24" s="83">
        <f>'A3-FinPerf V'!I24</f>
        <v>31030789</v>
      </c>
      <c r="P24" s="80">
        <f>'A3-FinPerf V'!J24</f>
        <v>32422417.638000008</v>
      </c>
      <c r="Q24" s="81">
        <f>'A3-FinPerf V'!K24</f>
        <v>33894516.787347995</v>
      </c>
      <c r="R24" s="240"/>
    </row>
    <row r="25" spans="1:18" ht="11.25" customHeight="1">
      <c r="A25" s="127" t="str">
        <f t="shared" si="3"/>
        <v>Vote 3 - Financial Services</v>
      </c>
      <c r="B25" s="726"/>
      <c r="C25" s="1961">
        <v>6122544.6610110793</v>
      </c>
      <c r="D25" s="1951">
        <v>10012817.778915564</v>
      </c>
      <c r="E25" s="1951">
        <v>6595557.7993206317</v>
      </c>
      <c r="F25" s="1951">
        <v>7531611.6132166563</v>
      </c>
      <c r="G25" s="1951">
        <v>6533683.4814306553</v>
      </c>
      <c r="H25" s="1951">
        <v>8342685.7916083615</v>
      </c>
      <c r="I25" s="1951">
        <v>6369300.9176993594</v>
      </c>
      <c r="J25" s="1951">
        <v>6747845.736275333</v>
      </c>
      <c r="K25" s="1951">
        <v>7148823.9616168588</v>
      </c>
      <c r="L25" s="1951">
        <v>8109765.314566927</v>
      </c>
      <c r="M25" s="1951">
        <v>5539281.0754851475</v>
      </c>
      <c r="N25" s="670">
        <f t="shared" si="4"/>
        <v>34136076.86885342</v>
      </c>
      <c r="O25" s="83">
        <f>'A3-FinPerf V'!I25</f>
        <v>113189995</v>
      </c>
      <c r="P25" s="80">
        <f>'A3-FinPerf V'!J25</f>
        <v>117325417.15399998</v>
      </c>
      <c r="Q25" s="81">
        <f>'A3-FinPerf V'!K25</f>
        <v>122625326.34308401</v>
      </c>
      <c r="R25" s="240"/>
    </row>
    <row r="26" spans="1:18" ht="11.25" customHeight="1">
      <c r="A26" s="127" t="str">
        <f t="shared" si="3"/>
        <v>Vote 4 - Corporate Services</v>
      </c>
      <c r="B26" s="726"/>
      <c r="C26" s="1961">
        <v>4654685.1451806752</v>
      </c>
      <c r="D26" s="1951">
        <v>4747488.0961293653</v>
      </c>
      <c r="E26" s="1951">
        <v>4826209.273821881</v>
      </c>
      <c r="F26" s="1951">
        <v>5783358.5006563095</v>
      </c>
      <c r="G26" s="1951">
        <v>4177532.3299314179</v>
      </c>
      <c r="H26" s="1951">
        <v>5756049.4213113878</v>
      </c>
      <c r="I26" s="1951">
        <v>10029679.648315948</v>
      </c>
      <c r="J26" s="1951">
        <v>4142057.2181942184</v>
      </c>
      <c r="K26" s="1951">
        <v>3929811.1466632094</v>
      </c>
      <c r="L26" s="1951">
        <v>3814288.4300340787</v>
      </c>
      <c r="M26" s="1951">
        <v>3943325.2401600466</v>
      </c>
      <c r="N26" s="670">
        <f t="shared" si="4"/>
        <v>8168685.5496014655</v>
      </c>
      <c r="O26" s="83">
        <f>'A3-FinPerf V'!I26</f>
        <v>63973170</v>
      </c>
      <c r="P26" s="80">
        <f>'A3-FinPerf V'!J26</f>
        <v>66831373.910000004</v>
      </c>
      <c r="Q26" s="81">
        <f>'A3-FinPerf V'!K26</f>
        <v>69900537.43186</v>
      </c>
      <c r="R26" s="240"/>
    </row>
    <row r="27" spans="1:18" ht="11.25" customHeight="1">
      <c r="A27" s="127" t="str">
        <f t="shared" si="3"/>
        <v>Vote 5 - Community Services</v>
      </c>
      <c r="B27" s="726"/>
      <c r="C27" s="1961">
        <v>10937896.557411065</v>
      </c>
      <c r="D27" s="1951">
        <v>9451745.2431011703</v>
      </c>
      <c r="E27" s="1951">
        <v>11370852.700221807</v>
      </c>
      <c r="F27" s="1951">
        <v>11283957.548047166</v>
      </c>
      <c r="G27" s="1951">
        <v>10739548.762598094</v>
      </c>
      <c r="H27" s="1951">
        <v>11025751.172551591</v>
      </c>
      <c r="I27" s="1951">
        <v>11216293.367584996</v>
      </c>
      <c r="J27" s="1951">
        <v>10387464.845555065</v>
      </c>
      <c r="K27" s="1951">
        <v>9520480.7681179512</v>
      </c>
      <c r="L27" s="1951">
        <v>10250526.145767203</v>
      </c>
      <c r="M27" s="1951">
        <v>13041929.827412115</v>
      </c>
      <c r="N27" s="670">
        <f t="shared" si="4"/>
        <v>19706251.061631784</v>
      </c>
      <c r="O27" s="83">
        <f>'A3-FinPerf V'!I27</f>
        <v>138932698</v>
      </c>
      <c r="P27" s="80">
        <f>'A3-FinPerf V'!J27</f>
        <v>137686562.15799999</v>
      </c>
      <c r="Q27" s="81">
        <f>'A3-FinPerf V'!K27</f>
        <v>144019885.84926799</v>
      </c>
      <c r="R27" s="240"/>
    </row>
    <row r="28" spans="1:18" ht="11.25" customHeight="1">
      <c r="A28" s="127" t="str">
        <f t="shared" si="3"/>
        <v>Vote 6 - Community Services</v>
      </c>
      <c r="B28" s="726"/>
      <c r="C28" s="1961">
        <v>5788319.4101128057</v>
      </c>
      <c r="D28" s="1951">
        <v>8033715.6326755751</v>
      </c>
      <c r="E28" s="1951">
        <v>8636250.2285913862</v>
      </c>
      <c r="F28" s="1951">
        <v>8661650.1576454751</v>
      </c>
      <c r="G28" s="1951">
        <v>8526397.0678667855</v>
      </c>
      <c r="H28" s="1951">
        <v>8594679.1089385469</v>
      </c>
      <c r="I28" s="1951">
        <v>8057878.2750442205</v>
      </c>
      <c r="J28" s="1951">
        <v>9015830.2813707422</v>
      </c>
      <c r="K28" s="1951">
        <v>8481343.7290015947</v>
      </c>
      <c r="L28" s="1951">
        <v>8674265.2906767093</v>
      </c>
      <c r="M28" s="1951">
        <v>7637841.4262168519</v>
      </c>
      <c r="N28" s="670">
        <f t="shared" si="4"/>
        <v>40527194.391859308</v>
      </c>
      <c r="O28" s="83">
        <f>'A3-FinPerf V'!I28</f>
        <v>130635365</v>
      </c>
      <c r="P28" s="80">
        <f>'A3-FinPerf V'!J28</f>
        <v>136566477.25799999</v>
      </c>
      <c r="Q28" s="81">
        <f>'A3-FinPerf V'!K28</f>
        <v>142848496.15186802</v>
      </c>
      <c r="R28" s="240"/>
    </row>
    <row r="29" spans="1:18" ht="11.25" customHeight="1">
      <c r="A29" s="127" t="str">
        <f t="shared" si="3"/>
        <v>Vote 7 - Electrical Engineering Services</v>
      </c>
      <c r="B29" s="726"/>
      <c r="C29" s="1961">
        <v>11868580.261405479</v>
      </c>
      <c r="D29" s="1951">
        <v>58393750.620284691</v>
      </c>
      <c r="E29" s="1951">
        <v>62123025.1998991</v>
      </c>
      <c r="F29" s="1951">
        <v>43092042.270670481</v>
      </c>
      <c r="G29" s="1951">
        <v>44113695.519028373</v>
      </c>
      <c r="H29" s="1951">
        <v>43451362.658446342</v>
      </c>
      <c r="I29" s="1951">
        <v>30434318.489405762</v>
      </c>
      <c r="J29" s="1951">
        <v>49231621.980625339</v>
      </c>
      <c r="K29" s="1951">
        <v>37871837.350034408</v>
      </c>
      <c r="L29" s="1951">
        <v>42902188.708465427</v>
      </c>
      <c r="M29" s="1951">
        <v>43379798.065910712</v>
      </c>
      <c r="N29" s="670">
        <f t="shared" si="4"/>
        <v>105822700.87582386</v>
      </c>
      <c r="O29" s="83">
        <f>'A3-FinPerf V'!I29</f>
        <v>572684922</v>
      </c>
      <c r="P29" s="80">
        <f>'A3-FinPerf V'!J29</f>
        <v>604549039.17400002</v>
      </c>
      <c r="Q29" s="81">
        <f>'A3-FinPerf V'!K29</f>
        <v>630259437.96200395</v>
      </c>
      <c r="R29" s="240"/>
    </row>
    <row r="30" spans="1:18" ht="11.25" customHeight="1">
      <c r="A30" s="127" t="str">
        <f t="shared" si="3"/>
        <v>Vote 8 - Engineering Services</v>
      </c>
      <c r="B30" s="726"/>
      <c r="C30" s="1961">
        <v>11364409.947301263</v>
      </c>
      <c r="D30" s="1951">
        <v>12423419.277213287</v>
      </c>
      <c r="E30" s="1951">
        <v>15206867.196536412</v>
      </c>
      <c r="F30" s="1951">
        <v>14938413.310762944</v>
      </c>
      <c r="G30" s="1951">
        <v>13572408.08929966</v>
      </c>
      <c r="H30" s="1951">
        <v>16185413.072358193</v>
      </c>
      <c r="I30" s="1951">
        <v>13162338.341946723</v>
      </c>
      <c r="J30" s="1951">
        <v>13167503.109926194</v>
      </c>
      <c r="K30" s="1951">
        <v>12102645.854565367</v>
      </c>
      <c r="L30" s="1951">
        <v>12713418.595273191</v>
      </c>
      <c r="M30" s="1951">
        <v>13522718.770502998</v>
      </c>
      <c r="N30" s="670">
        <f>O30-SUM(C30:M30)</f>
        <v>14716386.314313769</v>
      </c>
      <c r="O30" s="83">
        <f>'A3-FinPerf V'!I30</f>
        <v>163075941.88</v>
      </c>
      <c r="P30" s="80">
        <f>'A3-FinPerf V'!J30</f>
        <v>158681336.11447999</v>
      </c>
      <c r="Q30" s="81">
        <f>'A3-FinPerf V'!K30</f>
        <v>165858109.83974609</v>
      </c>
      <c r="R30" s="240"/>
    </row>
    <row r="31" spans="1:18" ht="11.25" customHeight="1">
      <c r="A31" s="127" t="str">
        <f t="shared" si="3"/>
        <v>Vote 9 - [NAME OF VOTE 9]</v>
      </c>
      <c r="B31" s="726"/>
      <c r="C31" s="1961"/>
      <c r="D31" s="1951"/>
      <c r="E31" s="1951"/>
      <c r="F31" s="1951"/>
      <c r="G31" s="1951"/>
      <c r="H31" s="1951"/>
      <c r="I31" s="1951"/>
      <c r="J31" s="1951"/>
      <c r="K31" s="1951"/>
      <c r="L31" s="1951"/>
      <c r="M31" s="1951"/>
      <c r="N31" s="670">
        <f>O31-SUM(C31:M31)</f>
        <v>0</v>
      </c>
      <c r="O31" s="83">
        <f>'A3-FinPerf V'!I31</f>
        <v>0</v>
      </c>
      <c r="P31" s="80">
        <f>'A3-FinPerf V'!J31</f>
        <v>0</v>
      </c>
      <c r="Q31" s="81">
        <f>'A3-FinPerf V'!K31</f>
        <v>0</v>
      </c>
      <c r="R31" s="240"/>
    </row>
    <row r="32" spans="1:18" ht="11.25" customHeight="1">
      <c r="A32" s="127" t="str">
        <f t="shared" ref="A32:A37" si="5">A14</f>
        <v>Vote 10 - [NAME OF VOTE 10]</v>
      </c>
      <c r="B32" s="726"/>
      <c r="C32" s="1961"/>
      <c r="D32" s="1951"/>
      <c r="E32" s="1951"/>
      <c r="F32" s="1951"/>
      <c r="G32" s="1951"/>
      <c r="H32" s="1951"/>
      <c r="I32" s="1951"/>
      <c r="J32" s="1951"/>
      <c r="K32" s="1951"/>
      <c r="L32" s="1951"/>
      <c r="M32" s="1951"/>
      <c r="N32" s="670">
        <f t="shared" ref="N32:N37" si="6">O32-SUM(C32:M32)</f>
        <v>0</v>
      </c>
      <c r="O32" s="83">
        <f>'A3-FinPerf V'!I32</f>
        <v>0</v>
      </c>
      <c r="P32" s="80">
        <f>'A3-FinPerf V'!J32</f>
        <v>0</v>
      </c>
      <c r="Q32" s="81">
        <f>'A3-FinPerf V'!K32</f>
        <v>0</v>
      </c>
      <c r="R32" s="240"/>
    </row>
    <row r="33" spans="1:18" ht="11.25" customHeight="1">
      <c r="A33" s="127" t="str">
        <f t="shared" si="5"/>
        <v>Vote 11 - [NAME OF VOTE 11]</v>
      </c>
      <c r="B33" s="726"/>
      <c r="C33" s="1961"/>
      <c r="D33" s="1951"/>
      <c r="E33" s="1951"/>
      <c r="F33" s="1951"/>
      <c r="G33" s="1951"/>
      <c r="H33" s="1951"/>
      <c r="I33" s="1951"/>
      <c r="J33" s="1951"/>
      <c r="K33" s="1951"/>
      <c r="L33" s="1951"/>
      <c r="M33" s="1951"/>
      <c r="N33" s="670">
        <f t="shared" si="6"/>
        <v>0</v>
      </c>
      <c r="O33" s="83">
        <f>'A3-FinPerf V'!I33</f>
        <v>0</v>
      </c>
      <c r="P33" s="80">
        <f>'A3-FinPerf V'!J33</f>
        <v>0</v>
      </c>
      <c r="Q33" s="81">
        <f>'A3-FinPerf V'!K33</f>
        <v>0</v>
      </c>
      <c r="R33" s="240"/>
    </row>
    <row r="34" spans="1:18" ht="11.25" customHeight="1">
      <c r="A34" s="127" t="str">
        <f t="shared" si="5"/>
        <v>Vote 12 - [NAME OF VOTE 12]</v>
      </c>
      <c r="B34" s="726"/>
      <c r="C34" s="1961"/>
      <c r="D34" s="1951"/>
      <c r="E34" s="1951"/>
      <c r="F34" s="1951"/>
      <c r="G34" s="1951"/>
      <c r="H34" s="1951"/>
      <c r="I34" s="1951"/>
      <c r="J34" s="1951"/>
      <c r="K34" s="1951"/>
      <c r="L34" s="1951"/>
      <c r="M34" s="1951"/>
      <c r="N34" s="670">
        <f t="shared" si="6"/>
        <v>0</v>
      </c>
      <c r="O34" s="83">
        <f>'A3-FinPerf V'!I34</f>
        <v>0</v>
      </c>
      <c r="P34" s="80">
        <f>'A3-FinPerf V'!J34</f>
        <v>0</v>
      </c>
      <c r="Q34" s="81">
        <f>'A3-FinPerf V'!K34</f>
        <v>0</v>
      </c>
      <c r="R34" s="240"/>
    </row>
    <row r="35" spans="1:18" ht="11.25" customHeight="1">
      <c r="A35" s="127" t="str">
        <f t="shared" si="5"/>
        <v>Vote 13 - [NAME OF VOTE 13]</v>
      </c>
      <c r="B35" s="726"/>
      <c r="C35" s="1961"/>
      <c r="D35" s="1951"/>
      <c r="E35" s="1951"/>
      <c r="F35" s="1951"/>
      <c r="G35" s="1951"/>
      <c r="H35" s="1951"/>
      <c r="I35" s="1951"/>
      <c r="J35" s="1951"/>
      <c r="K35" s="1951"/>
      <c r="L35" s="1951"/>
      <c r="M35" s="1951"/>
      <c r="N35" s="670">
        <f t="shared" si="6"/>
        <v>0</v>
      </c>
      <c r="O35" s="83">
        <f>'A3-FinPerf V'!I35</f>
        <v>0</v>
      </c>
      <c r="P35" s="80">
        <f>'A3-FinPerf V'!J35</f>
        <v>0</v>
      </c>
      <c r="Q35" s="81">
        <f>'A3-FinPerf V'!K35</f>
        <v>0</v>
      </c>
      <c r="R35" s="240"/>
    </row>
    <row r="36" spans="1:18" ht="11.25" customHeight="1">
      <c r="A36" s="127" t="str">
        <f t="shared" si="5"/>
        <v>Vote 14 - [NAME OF VOTE 14]</v>
      </c>
      <c r="B36" s="726"/>
      <c r="C36" s="1961"/>
      <c r="D36" s="1951"/>
      <c r="E36" s="1951"/>
      <c r="F36" s="1951"/>
      <c r="G36" s="1951"/>
      <c r="H36" s="1951"/>
      <c r="I36" s="1951"/>
      <c r="J36" s="1951"/>
      <c r="K36" s="1951"/>
      <c r="L36" s="1951"/>
      <c r="M36" s="1951"/>
      <c r="N36" s="670">
        <f t="shared" si="6"/>
        <v>0</v>
      </c>
      <c r="O36" s="83">
        <f>'A3-FinPerf V'!I36</f>
        <v>0</v>
      </c>
      <c r="P36" s="80">
        <f>'A3-FinPerf V'!J36</f>
        <v>0</v>
      </c>
      <c r="Q36" s="81">
        <f>'A3-FinPerf V'!K36</f>
        <v>0</v>
      </c>
      <c r="R36" s="240"/>
    </row>
    <row r="37" spans="1:18" ht="11.25" customHeight="1">
      <c r="A37" s="127" t="str">
        <f t="shared" si="5"/>
        <v>Vote 15 - [NAME OF VOTE 15]</v>
      </c>
      <c r="B37" s="726"/>
      <c r="C37" s="1961"/>
      <c r="D37" s="1951"/>
      <c r="E37" s="1951"/>
      <c r="F37" s="1951"/>
      <c r="G37" s="1951"/>
      <c r="H37" s="1951"/>
      <c r="I37" s="1951"/>
      <c r="J37" s="1951"/>
      <c r="K37" s="1951"/>
      <c r="L37" s="1951"/>
      <c r="M37" s="1951"/>
      <c r="N37" s="670">
        <f t="shared" si="6"/>
        <v>0</v>
      </c>
      <c r="O37" s="83">
        <f>'A3-FinPerf V'!I37</f>
        <v>0</v>
      </c>
      <c r="P37" s="80">
        <f>'A3-FinPerf V'!J37</f>
        <v>0</v>
      </c>
      <c r="Q37" s="81">
        <f>'A3-FinPerf V'!K37</f>
        <v>0</v>
      </c>
      <c r="R37" s="240"/>
    </row>
    <row r="38" spans="1:18">
      <c r="A38" s="140" t="str">
        <f>'A3-FinPerf V'!A38</f>
        <v>Total Expenditure by Vote</v>
      </c>
      <c r="B38" s="727"/>
      <c r="C38" s="92">
        <f>SUM(C23:C37)</f>
        <v>58643381.814192139</v>
      </c>
      <c r="D38" s="90">
        <f t="shared" ref="D38:N38" si="7">SUM(D23:D37)</f>
        <v>111052804.06653745</v>
      </c>
      <c r="E38" s="90">
        <f t="shared" si="7"/>
        <v>116229274.61181985</v>
      </c>
      <c r="F38" s="90">
        <f t="shared" si="7"/>
        <v>99529174.759434313</v>
      </c>
      <c r="G38" s="90">
        <f t="shared" si="7"/>
        <v>93993525.46614708</v>
      </c>
      <c r="H38" s="90">
        <f t="shared" si="7"/>
        <v>105142460.06109032</v>
      </c>
      <c r="I38" s="90">
        <f t="shared" si="7"/>
        <v>87234526.9810417</v>
      </c>
      <c r="J38" s="90">
        <f t="shared" si="7"/>
        <v>99525904.536752075</v>
      </c>
      <c r="K38" s="90">
        <f t="shared" si="7"/>
        <v>92303111.913011551</v>
      </c>
      <c r="L38" s="90">
        <f t="shared" si="7"/>
        <v>94191966.941530734</v>
      </c>
      <c r="M38" s="90">
        <f t="shared" si="7"/>
        <v>94288116.357617408</v>
      </c>
      <c r="N38" s="728">
        <f t="shared" si="7"/>
        <v>235220792.50082538</v>
      </c>
      <c r="O38" s="93">
        <f>SUM(O23:O37)</f>
        <v>1287355040.0100002</v>
      </c>
      <c r="P38" s="90">
        <f>SUM(P23:P37)</f>
        <v>1330222366.55446</v>
      </c>
      <c r="Q38" s="91">
        <f>SUM(Q23:Q37)</f>
        <v>1389067331.6979651</v>
      </c>
      <c r="R38" s="240"/>
    </row>
    <row r="39" spans="1:18" ht="4.9000000000000004" customHeight="1">
      <c r="A39" s="148"/>
      <c r="B39" s="726"/>
      <c r="C39" s="82"/>
      <c r="D39" s="80"/>
      <c r="E39" s="80"/>
      <c r="F39" s="80"/>
      <c r="G39" s="80"/>
      <c r="H39" s="80"/>
      <c r="I39" s="80"/>
      <c r="J39" s="80"/>
      <c r="K39" s="80"/>
      <c r="L39" s="80"/>
      <c r="M39" s="80"/>
      <c r="N39" s="670"/>
      <c r="O39" s="83"/>
      <c r="P39" s="80"/>
      <c r="Q39" s="81"/>
      <c r="R39" s="240"/>
    </row>
    <row r="40" spans="1:18">
      <c r="A40" s="730" t="str">
        <f>'A4-FinPerf RE'!A37&amp;" before assoc."</f>
        <v>Surplus/(Deficit) before assoc.</v>
      </c>
      <c r="B40" s="731"/>
      <c r="C40" s="92">
        <f t="shared" ref="C40:Q40" si="8">C20-C38</f>
        <v>216017337.47984859</v>
      </c>
      <c r="D40" s="90">
        <f t="shared" si="8"/>
        <v>-22937813.054006815</v>
      </c>
      <c r="E40" s="90">
        <f t="shared" si="8"/>
        <v>-30739524.418808207</v>
      </c>
      <c r="F40" s="90">
        <f t="shared" si="8"/>
        <v>-35586044.672052629</v>
      </c>
      <c r="G40" s="90">
        <f t="shared" si="8"/>
        <v>-23672954.49197419</v>
      </c>
      <c r="H40" s="90">
        <f t="shared" si="8"/>
        <v>101719655.93756765</v>
      </c>
      <c r="I40" s="90">
        <f t="shared" si="8"/>
        <v>-18399985.856820002</v>
      </c>
      <c r="J40" s="90">
        <f t="shared" si="8"/>
        <v>-34231197.514782369</v>
      </c>
      <c r="K40" s="90">
        <f t="shared" si="8"/>
        <v>127455380.41921309</v>
      </c>
      <c r="L40" s="90">
        <f t="shared" si="8"/>
        <v>-22638733.942457095</v>
      </c>
      <c r="M40" s="90">
        <f t="shared" si="8"/>
        <v>-29569530.232531756</v>
      </c>
      <c r="N40" s="728">
        <f t="shared" si="8"/>
        <v>-109126397.66319636</v>
      </c>
      <c r="O40" s="93">
        <f t="shared" si="8"/>
        <v>118290191.98999977</v>
      </c>
      <c r="P40" s="90">
        <f t="shared" si="8"/>
        <v>149702254.11754012</v>
      </c>
      <c r="Q40" s="91">
        <f t="shared" si="8"/>
        <v>167850445.52494669</v>
      </c>
    </row>
    <row r="41" spans="1:18" ht="4.9000000000000004" customHeight="1">
      <c r="A41" s="148"/>
      <c r="B41" s="726"/>
      <c r="C41" s="82"/>
      <c r="D41" s="80"/>
      <c r="E41" s="80"/>
      <c r="F41" s="80"/>
      <c r="G41" s="80"/>
      <c r="H41" s="80"/>
      <c r="I41" s="80"/>
      <c r="J41" s="80"/>
      <c r="K41" s="80"/>
      <c r="L41" s="80"/>
      <c r="M41" s="80"/>
      <c r="N41" s="670"/>
      <c r="O41" s="83"/>
      <c r="P41" s="80"/>
      <c r="Q41" s="81"/>
    </row>
    <row r="42" spans="1:18" ht="11.25" customHeight="1">
      <c r="A42" s="127" t="str">
        <f>'SA25'!A42</f>
        <v>Taxation</v>
      </c>
      <c r="B42" s="726"/>
      <c r="C42" s="1961"/>
      <c r="D42" s="1951"/>
      <c r="E42" s="1951"/>
      <c r="F42" s="1951"/>
      <c r="G42" s="1951"/>
      <c r="H42" s="1951"/>
      <c r="I42" s="1951"/>
      <c r="J42" s="1951"/>
      <c r="K42" s="1951"/>
      <c r="L42" s="1951"/>
      <c r="M42" s="1951"/>
      <c r="N42" s="670">
        <f>O42-SUM(C42:M42)</f>
        <v>0</v>
      </c>
      <c r="O42" s="83">
        <f>'SA25'!O42</f>
        <v>0</v>
      </c>
      <c r="P42" s="80">
        <f>'SA25'!P42</f>
        <v>0</v>
      </c>
      <c r="Q42" s="81">
        <f>'SA25'!Q42</f>
        <v>0</v>
      </c>
    </row>
    <row r="43" spans="1:18" ht="11.25" customHeight="1">
      <c r="A43" s="127" t="str">
        <f>'SA25'!A43</f>
        <v>Attributable to minorities</v>
      </c>
      <c r="B43" s="726"/>
      <c r="C43" s="1961"/>
      <c r="D43" s="1951"/>
      <c r="E43" s="1951"/>
      <c r="F43" s="1951"/>
      <c r="G43" s="1951"/>
      <c r="H43" s="1951"/>
      <c r="I43" s="1951"/>
      <c r="J43" s="1951"/>
      <c r="K43" s="1951"/>
      <c r="L43" s="1951"/>
      <c r="M43" s="1951"/>
      <c r="N43" s="670">
        <f>O43-SUM(C43:M43)</f>
        <v>0</v>
      </c>
      <c r="O43" s="83">
        <f>'SA25'!O43</f>
        <v>0</v>
      </c>
      <c r="P43" s="80">
        <f>'SA25'!P43</f>
        <v>0</v>
      </c>
      <c r="Q43" s="81">
        <f>'SA25'!Q43</f>
        <v>0</v>
      </c>
    </row>
    <row r="44" spans="1:18">
      <c r="A44" s="391" t="str">
        <f>'A4-FinPerf RE'!A46</f>
        <v>Share of surplus/ (deficit) of associate</v>
      </c>
      <c r="B44" s="738"/>
      <c r="C44" s="1961"/>
      <c r="D44" s="1951"/>
      <c r="E44" s="1951"/>
      <c r="F44" s="1951"/>
      <c r="G44" s="1951"/>
      <c r="H44" s="1951"/>
      <c r="I44" s="1951"/>
      <c r="J44" s="1951"/>
      <c r="K44" s="1951"/>
      <c r="L44" s="1951"/>
      <c r="M44" s="1951"/>
      <c r="N44" s="670">
        <f>O44-SUM(C44:M44)</f>
        <v>0</v>
      </c>
      <c r="O44" s="83">
        <f>'A4-FinPerf RE'!J46</f>
        <v>0</v>
      </c>
      <c r="P44" s="80">
        <f>'A4-FinPerf RE'!K46</f>
        <v>0</v>
      </c>
      <c r="Q44" s="81">
        <f>'A4-FinPerf RE'!L46</f>
        <v>0</v>
      </c>
    </row>
    <row r="45" spans="1:18">
      <c r="A45" s="711" t="str">
        <f>'A4-FinPerf RE'!A37</f>
        <v>Surplus/(Deficit)</v>
      </c>
      <c r="B45" s="739">
        <v>1</v>
      </c>
      <c r="C45" s="226">
        <f>C40+C44</f>
        <v>216017337.47984859</v>
      </c>
      <c r="D45" s="104">
        <f t="shared" ref="D45:Q45" si="9">D40+D44</f>
        <v>-22937813.054006815</v>
      </c>
      <c r="E45" s="104">
        <f t="shared" si="9"/>
        <v>-30739524.418808207</v>
      </c>
      <c r="F45" s="104">
        <f t="shared" si="9"/>
        <v>-35586044.672052629</v>
      </c>
      <c r="G45" s="104">
        <f t="shared" si="9"/>
        <v>-23672954.49197419</v>
      </c>
      <c r="H45" s="104">
        <f t="shared" si="9"/>
        <v>101719655.93756765</v>
      </c>
      <c r="I45" s="104">
        <f t="shared" si="9"/>
        <v>-18399985.856820002</v>
      </c>
      <c r="J45" s="104">
        <f t="shared" si="9"/>
        <v>-34231197.514782369</v>
      </c>
      <c r="K45" s="104">
        <f t="shared" si="9"/>
        <v>127455380.41921309</v>
      </c>
      <c r="L45" s="104">
        <f t="shared" si="9"/>
        <v>-22638733.942457095</v>
      </c>
      <c r="M45" s="104">
        <f t="shared" si="9"/>
        <v>-29569530.232531756</v>
      </c>
      <c r="N45" s="681">
        <f t="shared" si="9"/>
        <v>-109126397.66319636</v>
      </c>
      <c r="O45" s="227">
        <f t="shared" si="9"/>
        <v>118290191.98999977</v>
      </c>
      <c r="P45" s="104">
        <f t="shared" si="9"/>
        <v>149702254.11754012</v>
      </c>
      <c r="Q45" s="225">
        <f t="shared" si="9"/>
        <v>167850445.52494669</v>
      </c>
    </row>
    <row r="46" spans="1:18" s="576" customFormat="1">
      <c r="A46" s="1240" t="str">
        <f>head27a</f>
        <v>References</v>
      </c>
      <c r="B46" s="921"/>
      <c r="C46" s="876"/>
      <c r="D46" s="876"/>
      <c r="E46" s="876"/>
      <c r="F46" s="876"/>
      <c r="G46" s="876"/>
      <c r="H46" s="876"/>
      <c r="I46" s="876"/>
      <c r="J46" s="876"/>
      <c r="K46" s="876"/>
      <c r="L46" s="876"/>
      <c r="M46" s="876"/>
      <c r="N46" s="876"/>
      <c r="O46" s="876"/>
      <c r="P46" s="876"/>
      <c r="Q46" s="876"/>
    </row>
    <row r="47" spans="1:18" s="576" customFormat="1">
      <c r="A47" s="1238" t="s">
        <v>1407</v>
      </c>
    </row>
    <row r="48" spans="1:18">
      <c r="A48" s="305" t="s">
        <v>1338</v>
      </c>
      <c r="B48" s="305"/>
      <c r="O48" s="741">
        <f>O45-'A4-FinPerf RE'!J47</f>
        <v>5.9999704360961914E-2</v>
      </c>
      <c r="P48" s="741">
        <f>P45-'A4-FinPerf RE'!K47</f>
        <v>-0.27399969100952148</v>
      </c>
      <c r="Q48" s="741">
        <f>Q45-'A4-FinPerf RE'!L47</f>
        <v>0.2474362850189209</v>
      </c>
    </row>
  </sheetData>
  <mergeCells count="2">
    <mergeCell ref="C2:N2"/>
    <mergeCell ref="O2:Q2"/>
  </mergeCells>
  <phoneticPr fontId="5"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46" activePane="bottomRight" state="frozen"/>
      <selection pane="topRight"/>
      <selection pane="bottomLeft"/>
      <selection pane="bottomRight" activeCell="K18" sqref="K18"/>
    </sheetView>
  </sheetViews>
  <sheetFormatPr defaultColWidth="9.140625" defaultRowHeight="12.75"/>
  <cols>
    <col min="1" max="1" width="30.7109375" style="26" customWidth="1"/>
    <col min="2" max="2" width="3" style="124" customWidth="1"/>
    <col min="3" max="14" width="8.28515625" style="26" customWidth="1"/>
    <col min="15" max="17" width="9.28515625" style="26" customWidth="1"/>
    <col min="18" max="16384" width="9.140625" style="26"/>
  </cols>
  <sheetData>
    <row r="1" spans="1:18" ht="13.5" customHeight="1">
      <c r="A1" s="24" t="str">
        <f>muni&amp;" - "&amp;TableA27</f>
        <v>LIM333 Greater Tzaneen - Supporting Table SA27 Consolidated budgeted monthly revenue and expenditure (functional classification)</v>
      </c>
      <c r="B1" s="24"/>
      <c r="C1" s="24"/>
      <c r="D1" s="24"/>
      <c r="E1" s="24"/>
      <c r="F1" s="24"/>
      <c r="G1" s="24"/>
      <c r="H1" s="24"/>
      <c r="I1" s="24"/>
      <c r="J1" s="24"/>
      <c r="K1" s="24"/>
      <c r="L1" s="24"/>
      <c r="M1" s="24"/>
      <c r="N1" s="24"/>
      <c r="O1" s="24"/>
      <c r="P1" s="24"/>
      <c r="Q1" s="24"/>
    </row>
    <row r="2" spans="1:18" ht="28.5" customHeight="1">
      <c r="A2" s="841" t="str">
        <f>desc</f>
        <v>Description</v>
      </c>
      <c r="B2" s="852" t="str">
        <f>head27</f>
        <v>Ref</v>
      </c>
      <c r="C2" s="2842" t="str">
        <f>Head9</f>
        <v>Budget Year 2020/21</v>
      </c>
      <c r="D2" s="2843"/>
      <c r="E2" s="2843"/>
      <c r="F2" s="2843"/>
      <c r="G2" s="2843"/>
      <c r="H2" s="2843"/>
      <c r="I2" s="2843"/>
      <c r="J2" s="2843"/>
      <c r="K2" s="2843"/>
      <c r="L2" s="2843"/>
      <c r="M2" s="2843"/>
      <c r="N2" s="2843"/>
      <c r="O2" s="2839" t="s">
        <v>1560</v>
      </c>
      <c r="P2" s="2840"/>
      <c r="Q2" s="2841"/>
    </row>
    <row r="3" spans="1:18" ht="25.5">
      <c r="A3" s="848" t="s">
        <v>569</v>
      </c>
      <c r="B3" s="853"/>
      <c r="C3" s="172" t="s">
        <v>623</v>
      </c>
      <c r="D3" s="789" t="s">
        <v>1240</v>
      </c>
      <c r="E3" s="789" t="s">
        <v>1241</v>
      </c>
      <c r="F3" s="789" t="s">
        <v>1242</v>
      </c>
      <c r="G3" s="789" t="s">
        <v>604</v>
      </c>
      <c r="H3" s="789" t="s">
        <v>605</v>
      </c>
      <c r="I3" s="789" t="s">
        <v>606</v>
      </c>
      <c r="J3" s="789" t="s">
        <v>607</v>
      </c>
      <c r="K3" s="789" t="s">
        <v>608</v>
      </c>
      <c r="L3" s="789" t="s">
        <v>609</v>
      </c>
      <c r="M3" s="789" t="s">
        <v>610</v>
      </c>
      <c r="N3" s="261" t="s">
        <v>611</v>
      </c>
      <c r="O3" s="172" t="str">
        <f>Head9</f>
        <v>Budget Year 2020/21</v>
      </c>
      <c r="P3" s="260" t="str">
        <f>Head10</f>
        <v>Budget Year +1 2021/22</v>
      </c>
      <c r="Q3" s="261" t="str">
        <f>Head11</f>
        <v>Budget Year +2 2022/23</v>
      </c>
    </row>
    <row r="4" spans="1:18">
      <c r="A4" s="126" t="str">
        <f>'A2-FinPerf SC'!A4</f>
        <v>Revenue - Functional</v>
      </c>
      <c r="B4" s="729"/>
      <c r="C4" s="190"/>
      <c r="D4" s="188"/>
      <c r="E4" s="188"/>
      <c r="F4" s="188"/>
      <c r="G4" s="188"/>
      <c r="H4" s="188"/>
      <c r="I4" s="188"/>
      <c r="J4" s="188"/>
      <c r="K4" s="188"/>
      <c r="L4" s="188"/>
      <c r="M4" s="188"/>
      <c r="N4" s="191"/>
      <c r="O4" s="190"/>
      <c r="P4" s="188"/>
      <c r="Q4" s="191"/>
      <c r="R4" s="240"/>
    </row>
    <row r="5" spans="1:18" ht="11.25" customHeight="1">
      <c r="A5" s="1101" t="str">
        <f>'A2-FinPerf SC'!A5</f>
        <v>Governance and administration</v>
      </c>
      <c r="B5" s="726"/>
      <c r="C5" s="965">
        <f>SUM(C6:C8)</f>
        <v>175521355.88607401</v>
      </c>
      <c r="D5" s="963">
        <f>SUM(D6:D8)</f>
        <v>13433846.404861899</v>
      </c>
      <c r="E5" s="963">
        <f t="shared" ref="E5:M5" si="0">SUM(E6:E8)</f>
        <v>13345686.1841734</v>
      </c>
      <c r="F5" s="963">
        <f t="shared" si="0"/>
        <v>13912033.756198199</v>
      </c>
      <c r="G5" s="963">
        <f t="shared" si="0"/>
        <v>14873384.423747201</v>
      </c>
      <c r="H5" s="963">
        <f t="shared" si="0"/>
        <v>127570893.708768</v>
      </c>
      <c r="I5" s="963">
        <f t="shared" si="0"/>
        <v>14392517.307764299</v>
      </c>
      <c r="J5" s="963">
        <f t="shared" si="0"/>
        <v>14870212.6013279</v>
      </c>
      <c r="K5" s="963">
        <f t="shared" si="0"/>
        <v>121353361.663776</v>
      </c>
      <c r="L5" s="963">
        <f t="shared" si="0"/>
        <v>16198399.0815464</v>
      </c>
      <c r="M5" s="963">
        <f t="shared" si="0"/>
        <v>14103039.811511301</v>
      </c>
      <c r="N5" s="96">
        <f t="shared" ref="N5:N24" si="1">O5-SUM(C5:M5)</f>
        <v>13238351.170251369</v>
      </c>
      <c r="O5" s="97">
        <f>'A2-FinPerf SC'!I5</f>
        <v>552813082</v>
      </c>
      <c r="P5" s="95">
        <f>'A2-FinPerf SC'!J5</f>
        <v>590974638.60000002</v>
      </c>
      <c r="Q5" s="96">
        <f>'A2-FinPerf SC'!K5</f>
        <v>626359960.52760005</v>
      </c>
      <c r="R5" s="240"/>
    </row>
    <row r="6" spans="1:18" ht="11.25" customHeight="1">
      <c r="A6" s="1102" t="str">
        <f>'A2-FinPerf SC'!A6</f>
        <v>Executive and council</v>
      </c>
      <c r="B6" s="726"/>
      <c r="C6" s="1961"/>
      <c r="D6" s="1951"/>
      <c r="E6" s="1951"/>
      <c r="F6" s="1951"/>
      <c r="G6" s="1951"/>
      <c r="H6" s="1951"/>
      <c r="I6" s="1951"/>
      <c r="J6" s="1951"/>
      <c r="K6" s="1951"/>
      <c r="L6" s="1951"/>
      <c r="M6" s="1951"/>
      <c r="N6" s="81">
        <f t="shared" si="1"/>
        <v>1100</v>
      </c>
      <c r="O6" s="82">
        <f>'A2-FinPerf SC'!I6</f>
        <v>1100</v>
      </c>
      <c r="P6" s="84">
        <f>'A2-FinPerf SC'!J6</f>
        <v>1150.5999999999999</v>
      </c>
      <c r="Q6" s="139">
        <f>'A2-FinPerf SC'!K6</f>
        <v>1203.5275999999999</v>
      </c>
      <c r="R6" s="240"/>
    </row>
    <row r="7" spans="1:18" ht="11.25" customHeight="1">
      <c r="A7" s="1102" t="str">
        <f>'A2-FinPerf SC'!A7</f>
        <v>Finance and administration</v>
      </c>
      <c r="B7" s="726"/>
      <c r="C7" s="1968">
        <v>175521355.88607401</v>
      </c>
      <c r="D7" s="1964">
        <v>13433846.404861899</v>
      </c>
      <c r="E7" s="1964">
        <v>13345686.1841734</v>
      </c>
      <c r="F7" s="1964">
        <v>13912033.756198199</v>
      </c>
      <c r="G7" s="1964">
        <v>14873384.423747201</v>
      </c>
      <c r="H7" s="1964">
        <v>127570893.708768</v>
      </c>
      <c r="I7" s="1964">
        <v>14392517.307764299</v>
      </c>
      <c r="J7" s="1964">
        <v>14870212.6013279</v>
      </c>
      <c r="K7" s="1964">
        <v>121353361.663776</v>
      </c>
      <c r="L7" s="1964">
        <v>16198399.0815464</v>
      </c>
      <c r="M7" s="1964">
        <v>14103039.811511301</v>
      </c>
      <c r="N7" s="81">
        <f t="shared" si="1"/>
        <v>13237251.170251369</v>
      </c>
      <c r="O7" s="82">
        <f>'A2-FinPerf SC'!I7</f>
        <v>552811982</v>
      </c>
      <c r="P7" s="84">
        <f>'A2-FinPerf SC'!J7</f>
        <v>590973488</v>
      </c>
      <c r="Q7" s="139">
        <f>'A2-FinPerf SC'!K7</f>
        <v>626358757</v>
      </c>
      <c r="R7" s="240"/>
    </row>
    <row r="8" spans="1:18" ht="11.25" customHeight="1">
      <c r="A8" s="1102" t="str">
        <f>'A2-FinPerf SC'!A8</f>
        <v>Internal audit</v>
      </c>
      <c r="B8" s="726"/>
      <c r="C8" s="1961"/>
      <c r="D8" s="1951"/>
      <c r="E8" s="1951"/>
      <c r="F8" s="1951"/>
      <c r="G8" s="1951"/>
      <c r="H8" s="1951"/>
      <c r="I8" s="1951"/>
      <c r="J8" s="1951"/>
      <c r="K8" s="1951"/>
      <c r="L8" s="1951"/>
      <c r="M8" s="1951"/>
      <c r="N8" s="81">
        <f t="shared" si="1"/>
        <v>0</v>
      </c>
      <c r="O8" s="82">
        <f>'A2-FinPerf SC'!I8</f>
        <v>0</v>
      </c>
      <c r="P8" s="84">
        <f>'A2-FinPerf SC'!J8</f>
        <v>0</v>
      </c>
      <c r="Q8" s="139">
        <f>'A2-FinPerf SC'!K8</f>
        <v>0</v>
      </c>
      <c r="R8" s="240"/>
    </row>
    <row r="9" spans="1:18" ht="11.25" customHeight="1">
      <c r="A9" s="1101" t="str">
        <f>'A2-FinPerf SC'!A9</f>
        <v>Community and public safety</v>
      </c>
      <c r="B9" s="726"/>
      <c r="C9" s="965">
        <f>SUM(C10:C14)</f>
        <v>454699.49188110826</v>
      </c>
      <c r="D9" s="963">
        <f t="shared" ref="D9:M9" si="2">SUM(D10:D14)</f>
        <v>636294.98347091058</v>
      </c>
      <c r="E9" s="963">
        <f t="shared" si="2"/>
        <v>636269.93887555436</v>
      </c>
      <c r="F9" s="963">
        <f t="shared" si="2"/>
        <v>678968.67233852833</v>
      </c>
      <c r="G9" s="963">
        <f t="shared" si="2"/>
        <v>493814.46001722169</v>
      </c>
      <c r="H9" s="963">
        <f t="shared" si="2"/>
        <v>979197.16692186799</v>
      </c>
      <c r="I9" s="963">
        <f t="shared" si="2"/>
        <v>471098.29196199705</v>
      </c>
      <c r="J9" s="963">
        <f t="shared" si="2"/>
        <v>397973.65765218961</v>
      </c>
      <c r="K9" s="963">
        <f t="shared" si="2"/>
        <v>284731.85341899027</v>
      </c>
      <c r="L9" s="963">
        <f t="shared" si="2"/>
        <v>579374.6102380841</v>
      </c>
      <c r="M9" s="963">
        <f t="shared" si="2"/>
        <v>440294.94344537245</v>
      </c>
      <c r="N9" s="96">
        <f t="shared" si="1"/>
        <v>34337408.929778174</v>
      </c>
      <c r="O9" s="97">
        <f>'A2-FinPerf SC'!I9</f>
        <v>40390127</v>
      </c>
      <c r="P9" s="264">
        <f>'A2-FinPerf SC'!J9</f>
        <v>42248075</v>
      </c>
      <c r="Q9" s="218">
        <f>'A2-FinPerf SC'!K9</f>
        <v>44191491.115999997</v>
      </c>
      <c r="R9" s="240"/>
    </row>
    <row r="10" spans="1:18" ht="11.25" customHeight="1">
      <c r="A10" s="1102" t="str">
        <f>'A2-FinPerf SC'!A10</f>
        <v>Community and social services</v>
      </c>
      <c r="B10" s="726"/>
      <c r="C10" s="1961">
        <v>8707.8514849464791</v>
      </c>
      <c r="D10" s="1951">
        <v>90.090090090090101</v>
      </c>
      <c r="E10" s="1951">
        <v>7977.6565759268296</v>
      </c>
      <c r="F10" s="1951">
        <v>3890.5798855764301</v>
      </c>
      <c r="G10" s="1951">
        <v>6539.3255905667402</v>
      </c>
      <c r="H10" s="1951">
        <v>3860.7914350917199</v>
      </c>
      <c r="I10" s="1951">
        <v>1018.92402455333</v>
      </c>
      <c r="J10" s="1951">
        <v>5605.5182813962501</v>
      </c>
      <c r="K10" s="1951">
        <v>3780.6568814847701</v>
      </c>
      <c r="L10" s="1951">
        <v>3965.1023019551299</v>
      </c>
      <c r="M10" s="1951">
        <v>5926.0408936828699</v>
      </c>
      <c r="N10" s="81">
        <f t="shared" si="1"/>
        <v>4773.4625547293617</v>
      </c>
      <c r="O10" s="82">
        <f>'A2-FinPerf SC'!I10</f>
        <v>56136</v>
      </c>
      <c r="P10" s="84">
        <f>'A2-FinPerf SC'!J10</f>
        <v>58719</v>
      </c>
      <c r="Q10" s="139">
        <f>'A2-FinPerf SC'!K10</f>
        <v>61422</v>
      </c>
      <c r="R10" s="240"/>
    </row>
    <row r="11" spans="1:18" ht="11.25" customHeight="1">
      <c r="A11" s="1102" t="str">
        <f>'A2-FinPerf SC'!A11</f>
        <v>Sport and recreation</v>
      </c>
      <c r="B11" s="726"/>
      <c r="C11" s="1961">
        <v>17000.094514226199</v>
      </c>
      <c r="D11" s="1951">
        <v>18361.546471537</v>
      </c>
      <c r="E11" s="1951">
        <v>18361.546471537</v>
      </c>
      <c r="F11" s="1951">
        <v>13534.8017767172</v>
      </c>
      <c r="G11" s="1951">
        <v>26122.397866767398</v>
      </c>
      <c r="H11" s="1951">
        <v>31727.271758355699</v>
      </c>
      <c r="I11" s="1951">
        <v>31545.771248997698</v>
      </c>
      <c r="J11" s="1951">
        <v>10244.6226123948</v>
      </c>
      <c r="K11" s="1951">
        <v>4343.9085815959397</v>
      </c>
      <c r="L11" s="1951">
        <v>14521.110783021501</v>
      </c>
      <c r="M11" s="1951">
        <v>11244.151609458</v>
      </c>
      <c r="N11" s="81">
        <f t="shared" si="1"/>
        <v>463758.77630539157</v>
      </c>
      <c r="O11" s="82">
        <f>'A2-FinPerf SC'!I11</f>
        <v>660766</v>
      </c>
      <c r="P11" s="84">
        <f>'A2-FinPerf SC'!J11</f>
        <v>691162</v>
      </c>
      <c r="Q11" s="139">
        <f>'A2-FinPerf SC'!K11</f>
        <v>722957</v>
      </c>
      <c r="R11" s="240"/>
    </row>
    <row r="12" spans="1:18" ht="11.25" customHeight="1">
      <c r="A12" s="1102" t="str">
        <f>'A2-FinPerf SC'!A12</f>
        <v>Public safety</v>
      </c>
      <c r="B12" s="726"/>
      <c r="C12" s="1961">
        <v>300999.99904947402</v>
      </c>
      <c r="D12" s="1951">
        <v>483028.40847464697</v>
      </c>
      <c r="E12" s="1951">
        <v>483028.40847464697</v>
      </c>
      <c r="F12" s="1951">
        <v>540930.12829180004</v>
      </c>
      <c r="G12" s="1951">
        <v>312208.689014078</v>
      </c>
      <c r="H12" s="1951">
        <v>774911.437552911</v>
      </c>
      <c r="I12" s="1951">
        <v>323999.99897684198</v>
      </c>
      <c r="J12" s="1951">
        <v>260255.78917814</v>
      </c>
      <c r="K12" s="1951">
        <v>128193.749595178</v>
      </c>
      <c r="L12" s="1951">
        <v>349999.99889473699</v>
      </c>
      <c r="M12" s="1951">
        <v>296417.49906394503</v>
      </c>
      <c r="N12" s="81">
        <f t="shared" si="1"/>
        <v>33747025.893433601</v>
      </c>
      <c r="O12" s="82">
        <f>'A2-FinPerf SC'!I12</f>
        <v>38001000</v>
      </c>
      <c r="P12" s="84">
        <f>'A2-FinPerf SC'!J12</f>
        <v>39749046</v>
      </c>
      <c r="Q12" s="139">
        <f>'A2-FinPerf SC'!K12</f>
        <v>41577502.115999997</v>
      </c>
      <c r="R12" s="240"/>
    </row>
    <row r="13" spans="1:18" ht="11.25" customHeight="1">
      <c r="A13" s="1102" t="str">
        <f>'A2-FinPerf SC'!A13</f>
        <v>Housing</v>
      </c>
      <c r="B13" s="726"/>
      <c r="C13" s="1961">
        <v>127456.34103810501</v>
      </c>
      <c r="D13" s="1951">
        <v>134279.73264028001</v>
      </c>
      <c r="E13" s="1951">
        <v>126367.121559087</v>
      </c>
      <c r="F13" s="1951">
        <v>118316.495667601</v>
      </c>
      <c r="G13" s="1951">
        <v>148408.841751453</v>
      </c>
      <c r="H13" s="1951">
        <v>168162.46038115301</v>
      </c>
      <c r="I13" s="1951">
        <v>112552.832094931</v>
      </c>
      <c r="J13" s="1951">
        <v>121332.521785902</v>
      </c>
      <c r="K13" s="1951">
        <v>147878.332566375</v>
      </c>
      <c r="L13" s="1951">
        <v>210353.19246401399</v>
      </c>
      <c r="M13" s="1951">
        <v>126172.04608393001</v>
      </c>
      <c r="N13" s="81">
        <f t="shared" si="1"/>
        <v>117945.08196716895</v>
      </c>
      <c r="O13" s="82">
        <f>'A2-FinPerf SC'!I13</f>
        <v>1659225</v>
      </c>
      <c r="P13" s="84">
        <f>'A2-FinPerf SC'!J13</f>
        <v>1735550</v>
      </c>
      <c r="Q13" s="139">
        <f>'A2-FinPerf SC'!K13</f>
        <v>1815386</v>
      </c>
      <c r="R13" s="240"/>
    </row>
    <row r="14" spans="1:18" ht="11.25" customHeight="1">
      <c r="A14" s="1102" t="str">
        <f>'A2-FinPerf SC'!A14</f>
        <v>Health</v>
      </c>
      <c r="B14" s="726"/>
      <c r="C14" s="1961">
        <v>535.20579435652996</v>
      </c>
      <c r="D14" s="1951">
        <v>535.20579435652996</v>
      </c>
      <c r="E14" s="1951">
        <v>535.20579435652996</v>
      </c>
      <c r="F14" s="1951">
        <v>2296.6667168335898</v>
      </c>
      <c r="G14" s="1951">
        <v>535.20579435652996</v>
      </c>
      <c r="H14" s="1951">
        <v>535.20579435652996</v>
      </c>
      <c r="I14" s="1951">
        <v>1980.7656166730201</v>
      </c>
      <c r="J14" s="1951">
        <v>535.20579435652996</v>
      </c>
      <c r="K14" s="1951">
        <v>535.20579435652996</v>
      </c>
      <c r="L14" s="1951">
        <v>535.20579435652996</v>
      </c>
      <c r="M14" s="1951">
        <v>535.20579435652996</v>
      </c>
      <c r="N14" s="81">
        <f t="shared" si="1"/>
        <v>3905.7155172846215</v>
      </c>
      <c r="O14" s="82">
        <f>'A2-FinPerf SC'!I14</f>
        <v>13000</v>
      </c>
      <c r="P14" s="84">
        <f>'A2-FinPerf SC'!J14</f>
        <v>13598</v>
      </c>
      <c r="Q14" s="139">
        <f>'A2-FinPerf SC'!K14</f>
        <v>14224</v>
      </c>
      <c r="R14" s="240"/>
    </row>
    <row r="15" spans="1:18" ht="11.25" customHeight="1">
      <c r="A15" s="1101" t="str">
        <f>'A2-FinPerf SC'!A15</f>
        <v>Economic and environmental services</v>
      </c>
      <c r="B15" s="726"/>
      <c r="C15" s="965">
        <f>SUM(C16:C18)</f>
        <v>38772056.489761442</v>
      </c>
      <c r="D15" s="963">
        <f t="shared" ref="D15:M15" si="3">SUM(D16:D18)</f>
        <v>3769369.7269912865</v>
      </c>
      <c r="E15" s="963">
        <f t="shared" si="3"/>
        <v>3892861.7870862423</v>
      </c>
      <c r="F15" s="963">
        <f t="shared" si="3"/>
        <v>4028649.3752245954</v>
      </c>
      <c r="G15" s="963">
        <f t="shared" si="3"/>
        <v>4245417.8661998305</v>
      </c>
      <c r="H15" s="963">
        <f t="shared" si="3"/>
        <v>41239901.867143579</v>
      </c>
      <c r="I15" s="963">
        <f t="shared" si="3"/>
        <v>8221854.3205376454</v>
      </c>
      <c r="J15" s="963">
        <f t="shared" si="3"/>
        <v>6991422.4358887598</v>
      </c>
      <c r="K15" s="963">
        <f t="shared" si="3"/>
        <v>24878478.936598059</v>
      </c>
      <c r="L15" s="963">
        <f t="shared" si="3"/>
        <v>3075784.0532299485</v>
      </c>
      <c r="M15" s="963">
        <f t="shared" si="3"/>
        <v>4228343.2198946169</v>
      </c>
      <c r="N15" s="96">
        <f t="shared" si="1"/>
        <v>9356375.9214439988</v>
      </c>
      <c r="O15" s="97">
        <f>'A2-FinPerf SC'!I15</f>
        <v>152700516</v>
      </c>
      <c r="P15" s="264">
        <f>'A2-FinPerf SC'!J15</f>
        <v>163725265.986</v>
      </c>
      <c r="Q15" s="218">
        <f>'A2-FinPerf SC'!K15</f>
        <v>172646033.395356</v>
      </c>
      <c r="R15" s="240"/>
    </row>
    <row r="16" spans="1:18" ht="11.25" customHeight="1">
      <c r="A16" s="1102" t="str">
        <f>'A2-FinPerf SC'!A16</f>
        <v>Planning and development</v>
      </c>
      <c r="B16" s="726"/>
      <c r="C16" s="1961">
        <v>11226.501906139099</v>
      </c>
      <c r="D16" s="1951">
        <v>7624.5563296963301</v>
      </c>
      <c r="E16" s="1951">
        <v>10569.2125673722</v>
      </c>
      <c r="F16" s="1951">
        <v>18088.6026028657</v>
      </c>
      <c r="G16" s="1951">
        <v>22558.170106480899</v>
      </c>
      <c r="H16" s="1951">
        <v>10674.3788615749</v>
      </c>
      <c r="I16" s="1951">
        <v>16931.773366636</v>
      </c>
      <c r="J16" s="1951">
        <v>19035.0992506902</v>
      </c>
      <c r="K16" s="1951">
        <v>43091.889049559599</v>
      </c>
      <c r="L16" s="1951">
        <v>6546.6018141185796</v>
      </c>
      <c r="M16" s="1951">
        <v>21637.965032207201</v>
      </c>
      <c r="N16" s="81">
        <f t="shared" si="1"/>
        <v>212140.24911265928</v>
      </c>
      <c r="O16" s="82">
        <f>'A2-FinPerf SC'!I16</f>
        <v>400125</v>
      </c>
      <c r="P16" s="84">
        <f>'A2-FinPerf SC'!J16</f>
        <v>418531</v>
      </c>
      <c r="Q16" s="139">
        <f>'A2-FinPerf SC'!K16</f>
        <v>437784.6</v>
      </c>
      <c r="R16" s="240"/>
    </row>
    <row r="17" spans="1:18" ht="11.25" customHeight="1">
      <c r="A17" s="1102" t="str">
        <f>'A2-FinPerf SC'!A17</f>
        <v>Road transport</v>
      </c>
      <c r="B17" s="726"/>
      <c r="C17" s="1961">
        <v>38760829.9878553</v>
      </c>
      <c r="D17" s="1951">
        <v>3761745.1706615901</v>
      </c>
      <c r="E17" s="1951">
        <v>3882292.5745188701</v>
      </c>
      <c r="F17" s="1951">
        <v>4010560.7726217299</v>
      </c>
      <c r="G17" s="1951">
        <v>4222859.6960933497</v>
      </c>
      <c r="H17" s="1951">
        <v>41229227.488282003</v>
      </c>
      <c r="I17" s="1951">
        <v>8204922.5471710097</v>
      </c>
      <c r="J17" s="1951">
        <v>6972387.3366380697</v>
      </c>
      <c r="K17" s="1951">
        <f>29516387.0475485-4681000</f>
        <v>24835387.047548499</v>
      </c>
      <c r="L17" s="1951">
        <v>3069237.4514158298</v>
      </c>
      <c r="M17" s="1951">
        <v>4206705.25486241</v>
      </c>
      <c r="N17" s="81">
        <f t="shared" si="1"/>
        <v>9144235.672331363</v>
      </c>
      <c r="O17" s="82">
        <f>'A2-FinPerf SC'!I17</f>
        <v>152300391</v>
      </c>
      <c r="P17" s="84">
        <f>'A2-FinPerf SC'!J17</f>
        <v>163306734.986</v>
      </c>
      <c r="Q17" s="139">
        <f>'A2-FinPerf SC'!K17</f>
        <v>172208248.79535601</v>
      </c>
      <c r="R17" s="240"/>
    </row>
    <row r="18" spans="1:18" ht="11.25" customHeight="1">
      <c r="A18" s="1102" t="str">
        <f>'A2-FinPerf SC'!A18</f>
        <v>Environmental protection</v>
      </c>
      <c r="B18" s="726"/>
      <c r="C18" s="1961"/>
      <c r="D18" s="1951"/>
      <c r="E18" s="1951"/>
      <c r="F18" s="1951"/>
      <c r="G18" s="1951"/>
      <c r="H18" s="1951"/>
      <c r="I18" s="1951"/>
      <c r="J18" s="1951"/>
      <c r="K18" s="1951"/>
      <c r="L18" s="1951"/>
      <c r="M18" s="1951"/>
      <c r="N18" s="81">
        <f t="shared" si="1"/>
        <v>0</v>
      </c>
      <c r="O18" s="82">
        <f>'A2-FinPerf SC'!I18</f>
        <v>0</v>
      </c>
      <c r="P18" s="84">
        <f>'A2-FinPerf SC'!J18</f>
        <v>0</v>
      </c>
      <c r="Q18" s="139">
        <f>'A2-FinPerf SC'!K18</f>
        <v>0</v>
      </c>
      <c r="R18" s="240"/>
    </row>
    <row r="19" spans="1:18" ht="11.25" customHeight="1">
      <c r="A19" s="1101" t="str">
        <f>'A2-FinPerf SC'!A19</f>
        <v>Trading services</v>
      </c>
      <c r="B19" s="726"/>
      <c r="C19" s="965">
        <f>SUM(C20:C23)</f>
        <v>59912607.426324256</v>
      </c>
      <c r="D19" s="963">
        <f t="shared" ref="D19:M19" si="4">SUM(D20:D23)</f>
        <v>70275479.897206545</v>
      </c>
      <c r="E19" s="963">
        <f t="shared" si="4"/>
        <v>67614932.282876462</v>
      </c>
      <c r="F19" s="963">
        <f t="shared" si="4"/>
        <v>45323478.283620365</v>
      </c>
      <c r="G19" s="963">
        <f t="shared" si="4"/>
        <v>50707954.224208623</v>
      </c>
      <c r="H19" s="963">
        <f t="shared" si="4"/>
        <v>37072123.255824573</v>
      </c>
      <c r="I19" s="963">
        <f t="shared" si="4"/>
        <v>45749071.203957751</v>
      </c>
      <c r="J19" s="963">
        <f t="shared" si="4"/>
        <v>43035098.327100858</v>
      </c>
      <c r="K19" s="963">
        <f t="shared" si="4"/>
        <v>73241919.878431603</v>
      </c>
      <c r="L19" s="963">
        <f t="shared" si="4"/>
        <v>51699675.254059218</v>
      </c>
      <c r="M19" s="963">
        <f t="shared" si="4"/>
        <v>45946908.150234371</v>
      </c>
      <c r="N19" s="96">
        <f>O19-SUM(C19:M19)</f>
        <v>69162258.816155434</v>
      </c>
      <c r="O19" s="97">
        <f>'A2-FinPerf SC'!I19</f>
        <v>659741507</v>
      </c>
      <c r="P19" s="264">
        <f>'A2-FinPerf SC'!J19</f>
        <v>682976641.07200003</v>
      </c>
      <c r="Q19" s="218">
        <f>'A2-FinPerf SC'!K19</f>
        <v>713720291.74531198</v>
      </c>
      <c r="R19" s="240"/>
    </row>
    <row r="20" spans="1:18" ht="11.25" customHeight="1">
      <c r="A20" s="1102" t="str">
        <f>'A2-FinPerf SC'!A20</f>
        <v>Energy sources</v>
      </c>
      <c r="B20" s="726"/>
      <c r="C20" s="1961">
        <v>57283347.657816596</v>
      </c>
      <c r="D20" s="1951">
        <v>65656213.974506997</v>
      </c>
      <c r="E20" s="1951">
        <v>64803744.7917777</v>
      </c>
      <c r="F20" s="1951">
        <v>42435274.660464503</v>
      </c>
      <c r="G20" s="1951">
        <v>44622035.074678697</v>
      </c>
      <c r="H20" s="1951">
        <v>34133249.859008901</v>
      </c>
      <c r="I20" s="1951">
        <v>43022904.8980994</v>
      </c>
      <c r="J20" s="1951">
        <v>37599495.017545998</v>
      </c>
      <c r="K20" s="1951">
        <v>39268806.711834803</v>
      </c>
      <c r="L20" s="1951">
        <v>48543409.432099298</v>
      </c>
      <c r="M20" s="1951">
        <v>42952178.211695999</v>
      </c>
      <c r="N20" s="81">
        <f t="shared" si="1"/>
        <v>65880339.710471153</v>
      </c>
      <c r="O20" s="82">
        <f>'A2-FinPerf SC'!I20</f>
        <v>586201000</v>
      </c>
      <c r="P20" s="84">
        <f>'A2-FinPerf SC'!J20</f>
        <v>612492242</v>
      </c>
      <c r="Q20" s="139">
        <f>'A2-FinPerf SC'!K20</f>
        <v>639993610.31599998</v>
      </c>
      <c r="R20" s="240"/>
    </row>
    <row r="21" spans="1:18" ht="11.25" customHeight="1">
      <c r="A21" s="1102" t="str">
        <f>'A2-FinPerf SC'!A21</f>
        <v>Water management</v>
      </c>
      <c r="B21" s="726"/>
      <c r="C21" s="1961"/>
      <c r="D21" s="1951"/>
      <c r="E21" s="1951"/>
      <c r="F21" s="1951"/>
      <c r="G21" s="1951"/>
      <c r="H21" s="1951"/>
      <c r="I21" s="1951"/>
      <c r="J21" s="1951"/>
      <c r="K21" s="1951"/>
      <c r="L21" s="1951"/>
      <c r="M21" s="1951"/>
      <c r="N21" s="81">
        <f t="shared" si="1"/>
        <v>0</v>
      </c>
      <c r="O21" s="82">
        <f>'A2-FinPerf SC'!I21</f>
        <v>0</v>
      </c>
      <c r="P21" s="84">
        <f>'A2-FinPerf SC'!J21</f>
        <v>0</v>
      </c>
      <c r="Q21" s="139">
        <f>'A2-FinPerf SC'!K21</f>
        <v>0</v>
      </c>
      <c r="R21" s="240"/>
    </row>
    <row r="22" spans="1:18" ht="11.25" customHeight="1">
      <c r="A22" s="1102" t="str">
        <f>'A2-FinPerf SC'!A22</f>
        <v>Waste water management</v>
      </c>
      <c r="B22" s="726"/>
      <c r="C22" s="1961"/>
      <c r="D22" s="1951"/>
      <c r="E22" s="1951"/>
      <c r="F22" s="1951"/>
      <c r="G22" s="1951"/>
      <c r="H22" s="1951"/>
      <c r="I22" s="1951"/>
      <c r="J22" s="1951"/>
      <c r="K22" s="1951"/>
      <c r="L22" s="1951"/>
      <c r="M22" s="1951"/>
      <c r="N22" s="81">
        <f t="shared" si="1"/>
        <v>0</v>
      </c>
      <c r="O22" s="82">
        <f>'A2-FinPerf SC'!I22</f>
        <v>0</v>
      </c>
      <c r="P22" s="84">
        <f>'A2-FinPerf SC'!J22</f>
        <v>0</v>
      </c>
      <c r="Q22" s="139">
        <f>'A2-FinPerf SC'!K22</f>
        <v>0</v>
      </c>
      <c r="R22" s="240"/>
    </row>
    <row r="23" spans="1:18" ht="11.25" customHeight="1">
      <c r="A23" s="1102" t="str">
        <f>'A2-FinPerf SC'!A23</f>
        <v>Waste management</v>
      </c>
      <c r="B23" s="726"/>
      <c r="C23" s="1961">
        <v>2629259.7685076599</v>
      </c>
      <c r="D23" s="1951">
        <v>4619265.9226995502</v>
      </c>
      <c r="E23" s="1951">
        <v>2811187.4910987602</v>
      </c>
      <c r="F23" s="1951">
        <v>2888203.6231558602</v>
      </c>
      <c r="G23" s="1951">
        <v>6085919.1495299302</v>
      </c>
      <c r="H23" s="1951">
        <v>2938873.3968156702</v>
      </c>
      <c r="I23" s="1951">
        <v>2726166.3058583499</v>
      </c>
      <c r="J23" s="1951">
        <v>5435603.30955486</v>
      </c>
      <c r="K23" s="1951">
        <v>33973113.1665968</v>
      </c>
      <c r="L23" s="1951">
        <v>3156265.8219599202</v>
      </c>
      <c r="M23" s="1951">
        <v>2994729.9385383702</v>
      </c>
      <c r="N23" s="81">
        <f t="shared" si="1"/>
        <v>3281919.1056842804</v>
      </c>
      <c r="O23" s="82">
        <f>'A2-FinPerf SC'!I23</f>
        <v>73540507</v>
      </c>
      <c r="P23" s="84">
        <f>'A2-FinPerf SC'!J23</f>
        <v>70484399.071999997</v>
      </c>
      <c r="Q23" s="139">
        <f>'A2-FinPerf SC'!K23</f>
        <v>73726681.429312006</v>
      </c>
      <c r="R23" s="240"/>
    </row>
    <row r="24" spans="1:18" ht="11.25" customHeight="1">
      <c r="A24" s="1101" t="str">
        <f>'A2-FinPerf SC'!A24</f>
        <v>Other</v>
      </c>
      <c r="B24" s="726"/>
      <c r="C24" s="1977"/>
      <c r="D24" s="1975"/>
      <c r="E24" s="1975"/>
      <c r="F24" s="1975"/>
      <c r="G24" s="1975"/>
      <c r="H24" s="1975"/>
      <c r="I24" s="1975"/>
      <c r="J24" s="1975"/>
      <c r="K24" s="1975"/>
      <c r="L24" s="1975"/>
      <c r="M24" s="1975"/>
      <c r="N24" s="96">
        <f t="shared" si="1"/>
        <v>0</v>
      </c>
      <c r="O24" s="97">
        <f>'A2-FinPerf SC'!I24</f>
        <v>0</v>
      </c>
      <c r="P24" s="264">
        <f>'A2-FinPerf SC'!J24</f>
        <v>0</v>
      </c>
      <c r="Q24" s="218">
        <f>'A2-FinPerf SC'!K24</f>
        <v>0</v>
      </c>
      <c r="R24" s="240"/>
    </row>
    <row r="25" spans="1:18">
      <c r="A25" s="140" t="str">
        <f>'A2-FinPerf SC'!A25</f>
        <v>Total Revenue - Functional</v>
      </c>
      <c r="B25" s="727"/>
      <c r="C25" s="144">
        <f t="shared" ref="C25:Q25" si="5">C5+C9+C15+C19+C24</f>
        <v>274660719.2940408</v>
      </c>
      <c r="D25" s="142">
        <f t="shared" si="5"/>
        <v>88114991.01253064</v>
      </c>
      <c r="E25" s="142">
        <f t="shared" si="5"/>
        <v>85489750.193011656</v>
      </c>
      <c r="F25" s="142">
        <f t="shared" si="5"/>
        <v>63943130.087381691</v>
      </c>
      <c r="G25" s="142">
        <f t="shared" si="5"/>
        <v>70320570.974172875</v>
      </c>
      <c r="H25" s="142">
        <f t="shared" si="5"/>
        <v>206862115.998658</v>
      </c>
      <c r="I25" s="142">
        <f t="shared" si="5"/>
        <v>68834541.124221697</v>
      </c>
      <c r="J25" s="142">
        <f t="shared" si="5"/>
        <v>65294707.021969706</v>
      </c>
      <c r="K25" s="142">
        <f t="shared" si="5"/>
        <v>219758492.33222467</v>
      </c>
      <c r="L25" s="142">
        <f t="shared" si="5"/>
        <v>71553232.999073654</v>
      </c>
      <c r="M25" s="142">
        <f t="shared" si="5"/>
        <v>64718586.125085667</v>
      </c>
      <c r="N25" s="142">
        <f t="shared" si="5"/>
        <v>126094394.83762898</v>
      </c>
      <c r="O25" s="92">
        <f t="shared" si="5"/>
        <v>1405645232</v>
      </c>
      <c r="P25" s="90">
        <f t="shared" si="5"/>
        <v>1479924620.658</v>
      </c>
      <c r="Q25" s="91">
        <f t="shared" si="5"/>
        <v>1556917776.7842679</v>
      </c>
      <c r="R25" s="240"/>
    </row>
    <row r="26" spans="1:18" ht="4.9000000000000004" customHeight="1">
      <c r="A26" s="148"/>
      <c r="B26" s="726"/>
      <c r="C26" s="82"/>
      <c r="D26" s="80">
        <f t="shared" ref="D26:L26" si="6">D6+D10+D16+D20+D25</f>
        <v>153778919.63345742</v>
      </c>
      <c r="E26" s="80">
        <f t="shared" si="6"/>
        <v>150312041.85393265</v>
      </c>
      <c r="F26" s="80">
        <f t="shared" si="6"/>
        <v>106400383.93033463</v>
      </c>
      <c r="G26" s="80">
        <f t="shared" si="6"/>
        <v>114971703.54454863</v>
      </c>
      <c r="H26" s="80">
        <f t="shared" si="6"/>
        <v>241009901.02796358</v>
      </c>
      <c r="I26" s="80">
        <f t="shared" si="6"/>
        <v>111875396.71971229</v>
      </c>
      <c r="J26" s="80">
        <f t="shared" si="6"/>
        <v>102918842.65704779</v>
      </c>
      <c r="K26" s="80">
        <f t="shared" si="6"/>
        <v>259074171.5899905</v>
      </c>
      <c r="L26" s="80">
        <f t="shared" si="6"/>
        <v>120107154.13528903</v>
      </c>
      <c r="M26" s="80">
        <f>M6+M10+M16+M20+M25</f>
        <v>107698328.34270756</v>
      </c>
      <c r="N26" s="81"/>
      <c r="O26" s="82"/>
      <c r="P26" s="80"/>
      <c r="Q26" s="81"/>
      <c r="R26" s="240"/>
    </row>
    <row r="27" spans="1:18">
      <c r="A27" s="126" t="str">
        <f>'A2-FinPerf SC'!A27</f>
        <v>Expenditure - Functional</v>
      </c>
      <c r="B27" s="729"/>
      <c r="C27" s="82"/>
      <c r="D27" s="80"/>
      <c r="E27" s="80"/>
      <c r="F27" s="80"/>
      <c r="G27" s="80"/>
      <c r="H27" s="80"/>
      <c r="I27" s="80"/>
      <c r="J27" s="80"/>
      <c r="K27" s="80"/>
      <c r="L27" s="80"/>
      <c r="M27" s="80"/>
      <c r="N27" s="81"/>
      <c r="O27" s="82"/>
      <c r="P27" s="80"/>
      <c r="Q27" s="81"/>
      <c r="R27" s="240"/>
    </row>
    <row r="28" spans="1:18" ht="11.25" customHeight="1">
      <c r="A28" s="1101" t="str">
        <f>'A2-FinPerf SC'!A28</f>
        <v>Governance and administration</v>
      </c>
      <c r="B28" s="726"/>
      <c r="C28" s="965">
        <f>SUM(C29:C31)</f>
        <v>18362652.797986191</v>
      </c>
      <c r="D28" s="963">
        <f>SUM(D29:D31)</f>
        <v>23910883.077094939</v>
      </c>
      <c r="E28" s="963">
        <f t="shared" ref="E28:M28" si="7">SUM(E29:E31)</f>
        <v>20968493.175633773</v>
      </c>
      <c r="F28" s="963">
        <f t="shared" si="7"/>
        <v>23451314.766058292</v>
      </c>
      <c r="G28" s="963">
        <f t="shared" si="7"/>
        <v>18414928.822457258</v>
      </c>
      <c r="H28" s="963">
        <f t="shared" si="7"/>
        <v>24177929.829164509</v>
      </c>
      <c r="I28" s="963">
        <f t="shared" si="7"/>
        <v>26066906.49878864</v>
      </c>
      <c r="J28" s="963">
        <f t="shared" si="7"/>
        <v>19275667.481295262</v>
      </c>
      <c r="K28" s="963">
        <f t="shared" si="7"/>
        <v>20540078.115070913</v>
      </c>
      <c r="L28" s="963">
        <f t="shared" si="7"/>
        <v>21284167.922236357</v>
      </c>
      <c r="M28" s="963">
        <f t="shared" si="7"/>
        <v>16673668.019953439</v>
      </c>
      <c r="N28" s="96">
        <f t="shared" ref="N28:N37" si="8">O28-SUM(C28:M28)</f>
        <v>55027698.49426046</v>
      </c>
      <c r="O28" s="97">
        <f>'A2-FinPerf SC'!I28</f>
        <v>288154389</v>
      </c>
      <c r="P28" s="95">
        <f>'A2-FinPerf SC'!J28</f>
        <v>297917120</v>
      </c>
      <c r="Q28" s="96">
        <f>'A2-FinPerf SC'!K28</f>
        <v>311538525</v>
      </c>
      <c r="R28" s="240"/>
    </row>
    <row r="29" spans="1:18" ht="11.25" customHeight="1">
      <c r="A29" s="1102" t="str">
        <f>'A2-FinPerf SC'!A29</f>
        <v>Executive and council</v>
      </c>
      <c r="B29" s="726"/>
      <c r="C29" s="1961">
        <v>3341704.5028622802</v>
      </c>
      <c r="D29" s="1951">
        <v>3376017.9623191445</v>
      </c>
      <c r="E29" s="1951">
        <v>3693456.0086362837</v>
      </c>
      <c r="F29" s="1951">
        <v>3095267.6945093675</v>
      </c>
      <c r="G29" s="1951">
        <v>3204394.3406843962</v>
      </c>
      <c r="H29" s="1951">
        <v>3925716.732334679</v>
      </c>
      <c r="I29" s="1951">
        <v>3901137.1412380263</v>
      </c>
      <c r="J29" s="1951">
        <v>3127287.5028126263</v>
      </c>
      <c r="K29" s="1951">
        <v>3755080.5026108939</v>
      </c>
      <c r="L29" s="1951">
        <v>3875004.8675368717</v>
      </c>
      <c r="M29" s="1951">
        <v>3537346.2291290346</v>
      </c>
      <c r="N29" s="81">
        <f t="shared" si="8"/>
        <v>5842310.5153263956</v>
      </c>
      <c r="O29" s="82">
        <f>'A2-FinPerf SC'!I29</f>
        <v>44674724</v>
      </c>
      <c r="P29" s="80">
        <f>'A2-FinPerf SC'!J29</f>
        <v>45828093</v>
      </c>
      <c r="Q29" s="81">
        <f>'A2-FinPerf SC'!K29</f>
        <v>47974905</v>
      </c>
      <c r="R29" s="240"/>
    </row>
    <row r="30" spans="1:18" ht="11.25" customHeight="1">
      <c r="A30" s="1102" t="str">
        <f>'A2-FinPerf SC'!A30</f>
        <v>Finance and administration</v>
      </c>
      <c r="B30" s="726"/>
      <c r="C30" s="1968">
        <v>14474152.587826813</v>
      </c>
      <c r="D30" s="1964">
        <v>20218661.224776093</v>
      </c>
      <c r="E30" s="1964">
        <v>16965644.442012526</v>
      </c>
      <c r="F30" s="1964">
        <v>19993688.653515838</v>
      </c>
      <c r="G30" s="1964">
        <v>14808074.578215852</v>
      </c>
      <c r="H30" s="1964">
        <v>19948921.511493903</v>
      </c>
      <c r="I30" s="1964">
        <v>21787323.525578361</v>
      </c>
      <c r="J30" s="1964">
        <v>15831915.278477604</v>
      </c>
      <c r="K30" s="1964">
        <v>16440290.631495107</v>
      </c>
      <c r="L30" s="1964">
        <v>17093166.232881315</v>
      </c>
      <c r="M30" s="1964">
        <v>12836732.067445969</v>
      </c>
      <c r="N30" s="81">
        <f t="shared" si="8"/>
        <v>47210639.266280621</v>
      </c>
      <c r="O30" s="82">
        <f>'A2-FinPerf SC'!I30</f>
        <v>237609210</v>
      </c>
      <c r="P30" s="80">
        <f>'A2-FinPerf SC'!J30</f>
        <v>245949362</v>
      </c>
      <c r="Q30" s="81">
        <f>'A2-FinPerf SC'!K30</f>
        <v>257141619</v>
      </c>
      <c r="R30" s="240"/>
    </row>
    <row r="31" spans="1:18" ht="11.25" customHeight="1">
      <c r="A31" s="1102" t="str">
        <f>'A2-FinPerf SC'!A31</f>
        <v>Internal audit</v>
      </c>
      <c r="B31" s="726"/>
      <c r="C31" s="1961">
        <v>546795.7072970994</v>
      </c>
      <c r="D31" s="1951">
        <v>316203.88999970088</v>
      </c>
      <c r="E31" s="1951">
        <v>309392.72498496238</v>
      </c>
      <c r="F31" s="1951">
        <v>362358.41803308419</v>
      </c>
      <c r="G31" s="1951">
        <v>402459.90355700935</v>
      </c>
      <c r="H31" s="1951">
        <v>303291.58533592802</v>
      </c>
      <c r="I31" s="1951">
        <v>378445.83197225182</v>
      </c>
      <c r="J31" s="1951">
        <v>316464.70000503055</v>
      </c>
      <c r="K31" s="1951">
        <v>344706.98096491187</v>
      </c>
      <c r="L31" s="1951">
        <v>315996.82181816944</v>
      </c>
      <c r="M31" s="1951">
        <v>299589.72337843402</v>
      </c>
      <c r="N31" s="81">
        <f t="shared" si="8"/>
        <v>1974748.712653419</v>
      </c>
      <c r="O31" s="82">
        <f>'A2-FinPerf SC'!I31</f>
        <v>5870455</v>
      </c>
      <c r="P31" s="80">
        <f>'A2-FinPerf SC'!J31</f>
        <v>6139665</v>
      </c>
      <c r="Q31" s="81">
        <f>'A2-FinPerf SC'!K31</f>
        <v>6422001</v>
      </c>
      <c r="R31" s="240"/>
    </row>
    <row r="32" spans="1:18" ht="11.25" customHeight="1">
      <c r="A32" s="1101" t="str">
        <f>'A2-FinPerf SC'!A32</f>
        <v>Community and public safety</v>
      </c>
      <c r="B32" s="726"/>
      <c r="C32" s="965">
        <f>SUM(C33:C37)</f>
        <v>9247818.3185185641</v>
      </c>
      <c r="D32" s="963">
        <f t="shared" ref="D32:M32" si="9">SUM(D33:D37)</f>
        <v>6574291.1544559514</v>
      </c>
      <c r="E32" s="963">
        <f t="shared" si="9"/>
        <v>7743302.605341102</v>
      </c>
      <c r="F32" s="963">
        <f t="shared" si="9"/>
        <v>7601355.6646244014</v>
      </c>
      <c r="G32" s="963">
        <f t="shared" si="9"/>
        <v>7260720.7358585941</v>
      </c>
      <c r="H32" s="963">
        <f t="shared" si="9"/>
        <v>7273647.6142292768</v>
      </c>
      <c r="I32" s="963">
        <f t="shared" si="9"/>
        <v>7192983.5631658286</v>
      </c>
      <c r="J32" s="963">
        <f t="shared" si="9"/>
        <v>6821641.1615871731</v>
      </c>
      <c r="K32" s="963">
        <f t="shared" si="9"/>
        <v>6915439.0473610675</v>
      </c>
      <c r="L32" s="963">
        <f t="shared" si="9"/>
        <v>7231244.3480086476</v>
      </c>
      <c r="M32" s="963">
        <f t="shared" si="9"/>
        <v>7170582.3475265233</v>
      </c>
      <c r="N32" s="96">
        <f t="shared" si="8"/>
        <v>39210020.439322874</v>
      </c>
      <c r="O32" s="97">
        <f>'A2-FinPerf SC'!I32</f>
        <v>120243047</v>
      </c>
      <c r="P32" s="95">
        <f>'A2-FinPerf SC'!J32</f>
        <v>125347469.428</v>
      </c>
      <c r="Q32" s="96">
        <f>'A2-FinPerf SC'!K32</f>
        <v>131113161.23968799</v>
      </c>
      <c r="R32" s="240"/>
    </row>
    <row r="33" spans="1:18" ht="11.25" customHeight="1">
      <c r="A33" s="1102" t="str">
        <f>'A2-FinPerf SC'!A33</f>
        <v>Community and social services</v>
      </c>
      <c r="B33" s="726"/>
      <c r="C33" s="1961">
        <v>1158791.8604400516</v>
      </c>
      <c r="D33" s="1951">
        <v>812139.94884826941</v>
      </c>
      <c r="E33" s="1951">
        <v>871758.49819429591</v>
      </c>
      <c r="F33" s="1951">
        <v>872573.5921043019</v>
      </c>
      <c r="G33" s="1951">
        <v>777970.7476611624</v>
      </c>
      <c r="H33" s="1951">
        <v>778162.48023069697</v>
      </c>
      <c r="I33" s="1951">
        <v>897084.38858380949</v>
      </c>
      <c r="J33" s="1951">
        <v>860216.19982328941</v>
      </c>
      <c r="K33" s="1951">
        <v>907110.54772569798</v>
      </c>
      <c r="L33" s="1951">
        <v>906124.6236435977</v>
      </c>
      <c r="M33" s="1951">
        <v>763112.29269137874</v>
      </c>
      <c r="N33" s="81">
        <f t="shared" si="8"/>
        <v>3685532.8200534489</v>
      </c>
      <c r="O33" s="82">
        <f>'A2-FinPerf SC'!I33</f>
        <v>13290578</v>
      </c>
      <c r="P33" s="80">
        <f>'A2-FinPerf SC'!J33</f>
        <v>13767240</v>
      </c>
      <c r="Q33" s="81">
        <f>'A2-FinPerf SC'!K33</f>
        <v>14400358</v>
      </c>
      <c r="R33" s="240"/>
    </row>
    <row r="34" spans="1:18" ht="11.25" customHeight="1">
      <c r="A34" s="1102" t="str">
        <f>'A2-FinPerf SC'!A34</f>
        <v>Sport and recreation</v>
      </c>
      <c r="B34" s="726"/>
      <c r="C34" s="1961">
        <v>2296283.4648430441</v>
      </c>
      <c r="D34" s="1951">
        <v>1889551.6025812211</v>
      </c>
      <c r="E34" s="1951">
        <v>2364314.2325123916</v>
      </c>
      <c r="F34" s="1951">
        <v>2183098.4462867342</v>
      </c>
      <c r="G34" s="1951">
        <v>2099236.9061714923</v>
      </c>
      <c r="H34" s="1951">
        <v>2173783.0311939134</v>
      </c>
      <c r="I34" s="1951">
        <v>2086390.9653122369</v>
      </c>
      <c r="J34" s="1951">
        <v>1979675.2858199056</v>
      </c>
      <c r="K34" s="1951">
        <v>1956434.8632100122</v>
      </c>
      <c r="L34" s="1951">
        <v>2123923.6269953884</v>
      </c>
      <c r="M34" s="1951">
        <v>2102248.9785165223</v>
      </c>
      <c r="N34" s="81">
        <f t="shared" si="8"/>
        <v>2346238.5965571366</v>
      </c>
      <c r="O34" s="82">
        <f>'A2-FinPerf SC'!I34</f>
        <v>25601180</v>
      </c>
      <c r="P34" s="80">
        <f>'A2-FinPerf SC'!J34</f>
        <v>26708576</v>
      </c>
      <c r="Q34" s="81">
        <f>'A2-FinPerf SC'!K34</f>
        <v>27937178</v>
      </c>
      <c r="R34" s="240"/>
    </row>
    <row r="35" spans="1:18" ht="11.25" customHeight="1">
      <c r="A35" s="1102" t="str">
        <f>'A2-FinPerf SC'!A35</f>
        <v>Public safety</v>
      </c>
      <c r="B35" s="726"/>
      <c r="C35" s="1961">
        <v>2734364.5033574039</v>
      </c>
      <c r="D35" s="1951">
        <v>1758306.5468357187</v>
      </c>
      <c r="E35" s="1951">
        <v>1804565.274136201</v>
      </c>
      <c r="F35" s="1951">
        <v>1881863.5789643805</v>
      </c>
      <c r="G35" s="1951">
        <v>1806559.804822417</v>
      </c>
      <c r="H35" s="1951">
        <v>1756998.1611356947</v>
      </c>
      <c r="I35" s="1951">
        <v>1800830.1196699673</v>
      </c>
      <c r="J35" s="1951">
        <v>1724073.9109737889</v>
      </c>
      <c r="K35" s="1951">
        <v>1734848.8622792894</v>
      </c>
      <c r="L35" s="1951">
        <v>1865606.0298961313</v>
      </c>
      <c r="M35" s="1951">
        <v>1826116.7335115829</v>
      </c>
      <c r="N35" s="81">
        <f t="shared" si="8"/>
        <v>30338590.474417422</v>
      </c>
      <c r="O35" s="82">
        <f>'A2-FinPerf SC'!I35</f>
        <v>51032724</v>
      </c>
      <c r="P35" s="80">
        <f>'A2-FinPerf SC'!J35</f>
        <v>53303393</v>
      </c>
      <c r="Q35" s="81">
        <f>'A2-FinPerf SC'!K35</f>
        <v>55755299</v>
      </c>
      <c r="R35" s="240"/>
    </row>
    <row r="36" spans="1:18" ht="11.25" customHeight="1">
      <c r="A36" s="1102" t="str">
        <f>'A2-FinPerf SC'!A36</f>
        <v>Housing</v>
      </c>
      <c r="B36" s="726"/>
      <c r="C36" s="1961">
        <v>1792877.3544729983</v>
      </c>
      <c r="D36" s="1951">
        <v>1302181.5747793249</v>
      </c>
      <c r="E36" s="1951">
        <v>1824956.9609899158</v>
      </c>
      <c r="F36" s="1951">
        <v>1744327.8021519943</v>
      </c>
      <c r="G36" s="1951">
        <v>1841430.8371571137</v>
      </c>
      <c r="H36" s="1951">
        <v>1547062.662239745</v>
      </c>
      <c r="I36" s="1951">
        <v>1426687.9866822034</v>
      </c>
      <c r="J36" s="1951">
        <v>1332982.6323009413</v>
      </c>
      <c r="K36" s="1951">
        <v>1455907.938707317</v>
      </c>
      <c r="L36" s="1951">
        <v>1362811.5762468847</v>
      </c>
      <c r="M36" s="1951">
        <v>1361411.3194425455</v>
      </c>
      <c r="N36" s="81">
        <f t="shared" si="8"/>
        <v>1603422.3548290171</v>
      </c>
      <c r="O36" s="82">
        <f>'A2-FinPerf SC'!I36</f>
        <v>18596061</v>
      </c>
      <c r="P36" s="80">
        <f>'A2-FinPerf SC'!J36</f>
        <v>19329047.079999998</v>
      </c>
      <c r="Q36" s="81">
        <f>'A2-FinPerf SC'!K36</f>
        <v>20218091.245679993</v>
      </c>
      <c r="R36" s="240"/>
    </row>
    <row r="37" spans="1:18" ht="11.25" customHeight="1">
      <c r="A37" s="1102" t="str">
        <f>'A2-FinPerf SC'!A37</f>
        <v>Health</v>
      </c>
      <c r="B37" s="726"/>
      <c r="C37" s="1961">
        <v>1265501.1354050655</v>
      </c>
      <c r="D37" s="1951">
        <v>812111.48141141701</v>
      </c>
      <c r="E37" s="1951">
        <v>877707.6395082979</v>
      </c>
      <c r="F37" s="1951">
        <v>919492.24511699134</v>
      </c>
      <c r="G37" s="1951">
        <v>735522.44004640891</v>
      </c>
      <c r="H37" s="1951">
        <v>1017641.2794292262</v>
      </c>
      <c r="I37" s="1951">
        <v>981990.1029176109</v>
      </c>
      <c r="J37" s="1951">
        <v>924693.13266924734</v>
      </c>
      <c r="K37" s="1951">
        <v>861136.83543875045</v>
      </c>
      <c r="L37" s="1951">
        <v>972778.49122664577</v>
      </c>
      <c r="M37" s="1951">
        <v>1117693.0233644925</v>
      </c>
      <c r="N37" s="81">
        <f t="shared" si="8"/>
        <v>1236236.1934658475</v>
      </c>
      <c r="O37" s="82">
        <f>'A2-FinPerf SC'!I37</f>
        <v>11722504</v>
      </c>
      <c r="P37" s="80">
        <f>'A2-FinPerf SC'!J37</f>
        <v>12239213.348000003</v>
      </c>
      <c r="Q37" s="81">
        <f>'A2-FinPerf SC'!K37</f>
        <v>12802234.994008007</v>
      </c>
      <c r="R37" s="240"/>
    </row>
    <row r="38" spans="1:18" ht="11.25" customHeight="1">
      <c r="A38" s="1101" t="str">
        <f>'A2-FinPerf SC'!A38</f>
        <v>Economic and environmental services</v>
      </c>
      <c r="B38" s="726"/>
      <c r="C38" s="965">
        <f>SUM(C39:C41)</f>
        <v>12947010.339559004</v>
      </c>
      <c r="D38" s="963">
        <f t="shared" ref="D38:M38" si="10">SUM(D39:D41)</f>
        <v>16235937.004441615</v>
      </c>
      <c r="E38" s="963">
        <f t="shared" si="10"/>
        <v>18137381.300939061</v>
      </c>
      <c r="F38" s="963">
        <f t="shared" si="10"/>
        <v>18075668.79354199</v>
      </c>
      <c r="G38" s="963">
        <f t="shared" si="10"/>
        <v>17077361.720083825</v>
      </c>
      <c r="H38" s="963">
        <f t="shared" si="10"/>
        <v>23183355.57755243</v>
      </c>
      <c r="I38" s="963">
        <f t="shared" si="10"/>
        <v>16289490.518910129</v>
      </c>
      <c r="J38" s="963">
        <f t="shared" si="10"/>
        <v>17574093.686001677</v>
      </c>
      <c r="K38" s="963">
        <f t="shared" si="10"/>
        <v>21179958.878801644</v>
      </c>
      <c r="L38" s="963">
        <f t="shared" si="10"/>
        <v>16526666.558918707</v>
      </c>
      <c r="M38" s="963">
        <f t="shared" si="10"/>
        <v>18005192.391387001</v>
      </c>
      <c r="N38" s="96">
        <f t="shared" ref="N38:N47" si="11">O38-SUM(C38:M38)</f>
        <v>20010732.229862928</v>
      </c>
      <c r="O38" s="97">
        <f>'A2-FinPerf SC'!I38</f>
        <v>215242849</v>
      </c>
      <c r="P38" s="95">
        <f>'A2-FinPerf SC'!J38</f>
        <v>214729469.09799999</v>
      </c>
      <c r="Q38" s="96">
        <f>'A2-FinPerf SC'!K38</f>
        <v>224443874.964508</v>
      </c>
      <c r="R38" s="240"/>
    </row>
    <row r="39" spans="1:18" ht="11.25" customHeight="1">
      <c r="A39" s="1102" t="str">
        <f>'A2-FinPerf SC'!A39</f>
        <v>Planning and development</v>
      </c>
      <c r="B39" s="726"/>
      <c r="C39" s="1961">
        <v>1690332.3345227884</v>
      </c>
      <c r="D39" s="1951">
        <v>1596687.8797057276</v>
      </c>
      <c r="E39" s="1951">
        <v>1450397.8665322573</v>
      </c>
      <c r="F39" s="1951">
        <v>1458371.2406345336</v>
      </c>
      <c r="G39" s="1951">
        <v>1480994.1525999592</v>
      </c>
      <c r="H39" s="1951">
        <v>4517091.1929109963</v>
      </c>
      <c r="I39" s="1951">
        <v>1632018.1242282137</v>
      </c>
      <c r="J39" s="1951">
        <v>1404055.4275437174</v>
      </c>
      <c r="K39" s="1951">
        <v>6657546.8495868426</v>
      </c>
      <c r="L39" s="1951">
        <v>1846667.7593990888</v>
      </c>
      <c r="M39" s="1951">
        <v>1908949.5567020734</v>
      </c>
      <c r="N39" s="81">
        <f t="shared" si="11"/>
        <v>2605813.6156338006</v>
      </c>
      <c r="O39" s="82">
        <f>'A2-FinPerf SC'!I39</f>
        <v>28248926</v>
      </c>
      <c r="P39" s="80">
        <f>'A2-FinPerf SC'!J39</f>
        <v>29501346</v>
      </c>
      <c r="Q39" s="81">
        <f>'A2-FinPerf SC'!K39</f>
        <v>30817635</v>
      </c>
      <c r="R39" s="240"/>
    </row>
    <row r="40" spans="1:18" ht="11.25" customHeight="1">
      <c r="A40" s="1102" t="str">
        <f>'A2-FinPerf SC'!A40</f>
        <v>Road transport</v>
      </c>
      <c r="B40" s="726"/>
      <c r="C40" s="1961">
        <v>11256678.005036214</v>
      </c>
      <c r="D40" s="1951">
        <v>14639249.124735888</v>
      </c>
      <c r="E40" s="1951">
        <v>16686983.434406802</v>
      </c>
      <c r="F40" s="1951">
        <v>16617297.552907456</v>
      </c>
      <c r="G40" s="1951">
        <v>15596367.567483865</v>
      </c>
      <c r="H40" s="1951">
        <v>18666264.384641435</v>
      </c>
      <c r="I40" s="1951">
        <v>14657472.394681916</v>
      </c>
      <c r="J40" s="1951">
        <v>16170038.258457961</v>
      </c>
      <c r="K40" s="1951">
        <v>14522412.029214799</v>
      </c>
      <c r="L40" s="1951">
        <v>14679998.799519619</v>
      </c>
      <c r="M40" s="1951">
        <v>16096242.834684927</v>
      </c>
      <c r="N40" s="81">
        <f t="shared" si="11"/>
        <v>17404918.614229083</v>
      </c>
      <c r="O40" s="82">
        <f>'A2-FinPerf SC'!I40</f>
        <v>186993923</v>
      </c>
      <c r="P40" s="80">
        <f>'A2-FinPerf SC'!J40</f>
        <v>185228123.09799999</v>
      </c>
      <c r="Q40" s="81">
        <f>'A2-FinPerf SC'!K40</f>
        <v>193626239.964508</v>
      </c>
      <c r="R40" s="240"/>
    </row>
    <row r="41" spans="1:18" ht="11.25" customHeight="1">
      <c r="A41" s="1102" t="str">
        <f>'A2-FinPerf SC'!A41</f>
        <v>Environmental protection</v>
      </c>
      <c r="B41" s="726"/>
      <c r="C41" s="1961"/>
      <c r="D41" s="1951"/>
      <c r="E41" s="1951"/>
      <c r="F41" s="1951"/>
      <c r="G41" s="1951"/>
      <c r="H41" s="1951"/>
      <c r="I41" s="1951"/>
      <c r="J41" s="1951"/>
      <c r="K41" s="1951"/>
      <c r="L41" s="1951"/>
      <c r="M41" s="1951"/>
      <c r="N41" s="81">
        <f t="shared" si="11"/>
        <v>0</v>
      </c>
      <c r="O41" s="82">
        <f>'A2-FinPerf SC'!I41</f>
        <v>0</v>
      </c>
      <c r="P41" s="80">
        <f>'A2-FinPerf SC'!J41</f>
        <v>0</v>
      </c>
      <c r="Q41" s="81">
        <f>'A2-FinPerf SC'!K41</f>
        <v>0</v>
      </c>
      <c r="R41" s="240"/>
    </row>
    <row r="42" spans="1:18" ht="11.25" customHeight="1">
      <c r="A42" s="1101" t="str">
        <f>'A2-FinPerf SC'!A42</f>
        <v>Trading services</v>
      </c>
      <c r="B42" s="726"/>
      <c r="C42" s="965">
        <f>SUM(C43:C46)</f>
        <v>18085900.358128376</v>
      </c>
      <c r="D42" s="963">
        <f t="shared" ref="D42:M42" si="12">SUM(D43:D46)</f>
        <v>64331692.830544949</v>
      </c>
      <c r="E42" s="963">
        <f t="shared" si="12"/>
        <v>69380097.529905915</v>
      </c>
      <c r="F42" s="963">
        <f t="shared" si="12"/>
        <v>50400835.535209611</v>
      </c>
      <c r="G42" s="963">
        <f t="shared" si="12"/>
        <v>51240514.187747397</v>
      </c>
      <c r="H42" s="963">
        <f t="shared" si="12"/>
        <v>50507527.040144086</v>
      </c>
      <c r="I42" s="963">
        <f t="shared" si="12"/>
        <v>37685146.400177099</v>
      </c>
      <c r="J42" s="963">
        <f t="shared" si="12"/>
        <v>55854502.207867958</v>
      </c>
      <c r="K42" s="963">
        <f t="shared" si="12"/>
        <v>43667635.871777892</v>
      </c>
      <c r="L42" s="963">
        <f t="shared" si="12"/>
        <v>49149888.112366997</v>
      </c>
      <c r="M42" s="963">
        <f t="shared" si="12"/>
        <v>52438673.598750427</v>
      </c>
      <c r="N42" s="96">
        <f>O42-SUM(C42:M42)</f>
        <v>120972342.32737935</v>
      </c>
      <c r="O42" s="97">
        <f>'A2-FinPerf SC'!I42</f>
        <v>663714756</v>
      </c>
      <c r="P42" s="95">
        <f>'A2-FinPerf SC'!J42</f>
        <v>692228308.10200024</v>
      </c>
      <c r="Q42" s="96">
        <f>'A2-FinPerf SC'!K42</f>
        <v>721971769.97469199</v>
      </c>
      <c r="R42" s="240"/>
    </row>
    <row r="43" spans="1:18" ht="11.25" customHeight="1">
      <c r="A43" s="1102" t="str">
        <f>'A2-FinPerf SC'!A43</f>
        <v>Energy sources</v>
      </c>
      <c r="B43" s="726"/>
      <c r="C43" s="1961">
        <v>11868580.261405479</v>
      </c>
      <c r="D43" s="1951">
        <v>58393750.620284691</v>
      </c>
      <c r="E43" s="1951">
        <v>62123025.1998991</v>
      </c>
      <c r="F43" s="1951">
        <v>43092042.270670481</v>
      </c>
      <c r="G43" s="1951">
        <v>44113695.519028373</v>
      </c>
      <c r="H43" s="1951">
        <v>43451362.658446342</v>
      </c>
      <c r="I43" s="1951">
        <v>30434318.489405762</v>
      </c>
      <c r="J43" s="1951">
        <v>49231621.980625339</v>
      </c>
      <c r="K43" s="1951">
        <v>37871837.350034408</v>
      </c>
      <c r="L43" s="1951">
        <v>42902188.708465427</v>
      </c>
      <c r="M43" s="1951">
        <v>43379798.065910712</v>
      </c>
      <c r="N43" s="81">
        <f t="shared" si="11"/>
        <v>105822700.87582386</v>
      </c>
      <c r="O43" s="82">
        <f>'A2-FinPerf SC'!I43</f>
        <v>572684922</v>
      </c>
      <c r="P43" s="80">
        <f>'A2-FinPerf SC'!J43</f>
        <v>604549039.17400026</v>
      </c>
      <c r="Q43" s="81">
        <f>'A2-FinPerf SC'!K43</f>
        <v>630259437.96200395</v>
      </c>
      <c r="R43" s="240"/>
    </row>
    <row r="44" spans="1:18" ht="11.25" customHeight="1">
      <c r="A44" s="1102" t="str">
        <f>'A2-FinPerf SC'!A44</f>
        <v>Water management</v>
      </c>
      <c r="B44" s="726"/>
      <c r="C44" s="1961"/>
      <c r="D44" s="1951"/>
      <c r="E44" s="1951"/>
      <c r="F44" s="1951"/>
      <c r="G44" s="1951"/>
      <c r="H44" s="1951"/>
      <c r="I44" s="1951"/>
      <c r="J44" s="1951"/>
      <c r="K44" s="1951"/>
      <c r="L44" s="1951"/>
      <c r="M44" s="1951"/>
      <c r="N44" s="81">
        <f t="shared" si="11"/>
        <v>0</v>
      </c>
      <c r="O44" s="82">
        <f>'A2-FinPerf SC'!I44</f>
        <v>0</v>
      </c>
      <c r="P44" s="80">
        <f>'A2-FinPerf SC'!J44</f>
        <v>0</v>
      </c>
      <c r="Q44" s="81">
        <f>'A2-FinPerf SC'!K44</f>
        <v>0</v>
      </c>
      <c r="R44" s="240"/>
    </row>
    <row r="45" spans="1:18" ht="11.25" customHeight="1">
      <c r="A45" s="1102" t="str">
        <f>'A2-FinPerf SC'!A45</f>
        <v>Waste water management</v>
      </c>
      <c r="B45" s="726"/>
      <c r="C45" s="1961">
        <v>415493.72696080647</v>
      </c>
      <c r="D45" s="1951">
        <v>429489.72186167323</v>
      </c>
      <c r="E45" s="1951">
        <v>374398.71262316505</v>
      </c>
      <c r="F45" s="1951">
        <v>394765.65569680207</v>
      </c>
      <c r="G45" s="1951">
        <v>374314.08114696929</v>
      </c>
      <c r="H45" s="1951">
        <v>344330.38387792895</v>
      </c>
      <c r="I45" s="1951">
        <v>394333.7562008911</v>
      </c>
      <c r="J45" s="1951">
        <v>352843.07586846512</v>
      </c>
      <c r="K45" s="1951">
        <v>422394.72369406727</v>
      </c>
      <c r="L45" s="1951">
        <v>456372.96843776101</v>
      </c>
      <c r="M45" s="1951">
        <v>402073.26476037269</v>
      </c>
      <c r="N45" s="81">
        <f t="shared" si="11"/>
        <v>765003.92887109797</v>
      </c>
      <c r="O45" s="82">
        <f>'A2-FinPerf SC'!I45</f>
        <v>5125814</v>
      </c>
      <c r="P45" s="80">
        <f>'A2-FinPerf SC'!J45</f>
        <v>5359439.49</v>
      </c>
      <c r="Q45" s="81">
        <f>'A2-FinPerf SC'!K45</f>
        <v>5605973.7065399997</v>
      </c>
      <c r="R45" s="240"/>
    </row>
    <row r="46" spans="1:18" ht="11.25" customHeight="1">
      <c r="A46" s="1102" t="str">
        <f>'A2-FinPerf SC'!A46</f>
        <v>Waste management</v>
      </c>
      <c r="B46" s="726"/>
      <c r="C46" s="1961">
        <v>5801826.3697620891</v>
      </c>
      <c r="D46" s="1951">
        <v>5508452.4883985836</v>
      </c>
      <c r="E46" s="1951">
        <v>6882673.6173836524</v>
      </c>
      <c r="F46" s="1951">
        <v>6914027.6088423319</v>
      </c>
      <c r="G46" s="1951">
        <v>6752504.587572054</v>
      </c>
      <c r="H46" s="1951">
        <v>6711833.9978198176</v>
      </c>
      <c r="I46" s="1951">
        <v>6856494.1545704436</v>
      </c>
      <c r="J46" s="1951">
        <v>6270037.1513741557</v>
      </c>
      <c r="K46" s="1951">
        <v>5373403.798049421</v>
      </c>
      <c r="L46" s="1951">
        <v>5791326.4354638085</v>
      </c>
      <c r="M46" s="1951">
        <v>8656802.2680793442</v>
      </c>
      <c r="N46" s="81">
        <f t="shared" si="11"/>
        <v>14384637.522684306</v>
      </c>
      <c r="O46" s="82">
        <f>'A2-FinPerf SC'!I46</f>
        <v>85904020</v>
      </c>
      <c r="P46" s="80">
        <f>'A2-FinPerf SC'!J46</f>
        <v>82319829.438000008</v>
      </c>
      <c r="Q46" s="81">
        <f>'A2-FinPerf SC'!K46</f>
        <v>86106358.306148008</v>
      </c>
      <c r="R46" s="240"/>
    </row>
    <row r="47" spans="1:18" ht="11.25" customHeight="1">
      <c r="A47" s="1101" t="str">
        <f>'A2-FinPerf SC'!A47</f>
        <v>Other</v>
      </c>
      <c r="B47" s="726"/>
      <c r="C47" s="1977"/>
      <c r="D47" s="1975"/>
      <c r="E47" s="1975"/>
      <c r="F47" s="1975"/>
      <c r="G47" s="1975"/>
      <c r="H47" s="1975"/>
      <c r="I47" s="1975"/>
      <c r="J47" s="1975"/>
      <c r="K47" s="1975"/>
      <c r="L47" s="1975"/>
      <c r="M47" s="1975"/>
      <c r="N47" s="96">
        <f t="shared" si="11"/>
        <v>0</v>
      </c>
      <c r="O47" s="97">
        <f>'A2-FinPerf SC'!I47</f>
        <v>0</v>
      </c>
      <c r="P47" s="95">
        <f>'A2-FinPerf SC'!J47</f>
        <v>0</v>
      </c>
      <c r="Q47" s="96">
        <f>'A2-FinPerf SC'!K47</f>
        <v>0</v>
      </c>
      <c r="R47" s="240"/>
    </row>
    <row r="48" spans="1:18">
      <c r="A48" s="140" t="str">
        <f>'A2-FinPerf SC'!A48</f>
        <v>Total Expenditure - Functional</v>
      </c>
      <c r="B48" s="727"/>
      <c r="C48" s="144">
        <f>C28+C32+C38+C42+C47</f>
        <v>58643381.814192139</v>
      </c>
      <c r="D48" s="142">
        <f t="shared" ref="D48:P48" si="13">D28+D32+D38+D42+D47</f>
        <v>111052804.06653745</v>
      </c>
      <c r="E48" s="142">
        <f t="shared" si="13"/>
        <v>116229274.61181985</v>
      </c>
      <c r="F48" s="142">
        <f t="shared" si="13"/>
        <v>99529174.759434298</v>
      </c>
      <c r="G48" s="142">
        <f t="shared" si="13"/>
        <v>93993525.466147065</v>
      </c>
      <c r="H48" s="142">
        <f t="shared" si="13"/>
        <v>105142460.06109031</v>
      </c>
      <c r="I48" s="142">
        <f t="shared" si="13"/>
        <v>87234526.9810417</v>
      </c>
      <c r="J48" s="142">
        <f t="shared" si="13"/>
        <v>99525904.536752075</v>
      </c>
      <c r="K48" s="142">
        <f t="shared" si="13"/>
        <v>92303111.913011521</v>
      </c>
      <c r="L48" s="142">
        <f t="shared" si="13"/>
        <v>94191966.941530704</v>
      </c>
      <c r="M48" s="142">
        <f t="shared" si="13"/>
        <v>94288116.357617393</v>
      </c>
      <c r="N48" s="91">
        <f t="shared" si="13"/>
        <v>235220793.49082559</v>
      </c>
      <c r="O48" s="92">
        <f t="shared" si="13"/>
        <v>1287355041</v>
      </c>
      <c r="P48" s="90">
        <f t="shared" si="13"/>
        <v>1330222366.6280003</v>
      </c>
      <c r="Q48" s="91">
        <f>Q28+Q32+Q38+Q42+Q47</f>
        <v>1389067331.1788878</v>
      </c>
      <c r="R48" s="240"/>
    </row>
    <row r="49" spans="1:18" ht="6" customHeight="1">
      <c r="A49" s="148"/>
      <c r="B49" s="726"/>
      <c r="C49" s="82"/>
      <c r="D49" s="80"/>
      <c r="E49" s="80"/>
      <c r="F49" s="80"/>
      <c r="G49" s="80"/>
      <c r="H49" s="80"/>
      <c r="I49" s="80"/>
      <c r="J49" s="80"/>
      <c r="K49" s="80"/>
      <c r="L49" s="80"/>
      <c r="M49" s="80"/>
      <c r="N49" s="81"/>
      <c r="O49" s="82"/>
      <c r="P49" s="80"/>
      <c r="Q49" s="81"/>
      <c r="R49" s="240"/>
    </row>
    <row r="50" spans="1:18">
      <c r="A50" s="730" t="str">
        <f>'A4-FinPerf RE'!A37&amp;" before assoc."</f>
        <v>Surplus/(Deficit) before assoc.</v>
      </c>
      <c r="B50" s="731"/>
      <c r="C50" s="92">
        <f t="shared" ref="C50:Q50" si="14">C25-C48</f>
        <v>216017337.47984865</v>
      </c>
      <c r="D50" s="90">
        <f t="shared" si="14"/>
        <v>-22937813.054006815</v>
      </c>
      <c r="E50" s="90">
        <f t="shared" si="14"/>
        <v>-30739524.418808192</v>
      </c>
      <c r="F50" s="90">
        <f t="shared" si="14"/>
        <v>-35586044.672052607</v>
      </c>
      <c r="G50" s="90">
        <f t="shared" si="14"/>
        <v>-23672954.49197419</v>
      </c>
      <c r="H50" s="90">
        <f t="shared" si="14"/>
        <v>101719655.9375677</v>
      </c>
      <c r="I50" s="90">
        <f t="shared" si="14"/>
        <v>-18399985.856820002</v>
      </c>
      <c r="J50" s="90">
        <f t="shared" si="14"/>
        <v>-34231197.514782369</v>
      </c>
      <c r="K50" s="90">
        <f t="shared" si="14"/>
        <v>127455380.41921315</v>
      </c>
      <c r="L50" s="90">
        <f t="shared" si="14"/>
        <v>-22638733.94245705</v>
      </c>
      <c r="M50" s="90">
        <f t="shared" si="14"/>
        <v>-29569530.232531726</v>
      </c>
      <c r="N50" s="91">
        <f t="shared" si="14"/>
        <v>-109126398.65319662</v>
      </c>
      <c r="O50" s="92">
        <f t="shared" si="14"/>
        <v>118290191</v>
      </c>
      <c r="P50" s="90">
        <f t="shared" si="14"/>
        <v>149702254.02999973</v>
      </c>
      <c r="Q50" s="91">
        <f t="shared" si="14"/>
        <v>167850445.60538006</v>
      </c>
      <c r="R50" s="240"/>
    </row>
    <row r="51" spans="1:18" ht="6" customHeight="1">
      <c r="A51" s="148"/>
      <c r="B51" s="726"/>
      <c r="C51" s="82"/>
      <c r="D51" s="80"/>
      <c r="E51" s="80"/>
      <c r="F51" s="80"/>
      <c r="G51" s="80"/>
      <c r="H51" s="80"/>
      <c r="I51" s="80"/>
      <c r="J51" s="80"/>
      <c r="K51" s="80"/>
      <c r="L51" s="80"/>
      <c r="M51" s="80"/>
      <c r="N51" s="81"/>
      <c r="O51" s="82"/>
      <c r="P51" s="80"/>
      <c r="Q51" s="81"/>
      <c r="R51" s="240"/>
    </row>
    <row r="52" spans="1:18">
      <c r="A52" s="391" t="str">
        <f>'A4-FinPerf RE'!A46</f>
        <v>Share of surplus/ (deficit) of associate</v>
      </c>
      <c r="B52" s="738"/>
      <c r="C52" s="1961"/>
      <c r="D52" s="1951"/>
      <c r="E52" s="1951"/>
      <c r="F52" s="1951"/>
      <c r="G52" s="1951"/>
      <c r="H52" s="1951"/>
      <c r="I52" s="1951"/>
      <c r="J52" s="1951"/>
      <c r="K52" s="1951"/>
      <c r="L52" s="1951"/>
      <c r="M52" s="1951"/>
      <c r="N52" s="81">
        <f>O52-SUM(C52:M52)</f>
        <v>0</v>
      </c>
      <c r="O52" s="82">
        <f>'A4-FinPerf RE'!J46</f>
        <v>0</v>
      </c>
      <c r="P52" s="80">
        <f>'A4-FinPerf RE'!K46</f>
        <v>0</v>
      </c>
      <c r="Q52" s="81">
        <f>'A4-FinPerf RE'!L46</f>
        <v>0</v>
      </c>
      <c r="R52" s="240"/>
    </row>
    <row r="53" spans="1:18">
      <c r="A53" s="711" t="str">
        <f>'A4-FinPerf RE'!A37</f>
        <v>Surplus/(Deficit)</v>
      </c>
      <c r="B53" s="739">
        <v>1</v>
      </c>
      <c r="C53" s="226">
        <f>C50+C52</f>
        <v>216017337.47984865</v>
      </c>
      <c r="D53" s="104">
        <f t="shared" ref="D53:Q53" si="15">D50+D52</f>
        <v>-22937813.054006815</v>
      </c>
      <c r="E53" s="104">
        <f t="shared" si="15"/>
        <v>-30739524.418808192</v>
      </c>
      <c r="F53" s="104">
        <f t="shared" si="15"/>
        <v>-35586044.672052607</v>
      </c>
      <c r="G53" s="104">
        <f t="shared" si="15"/>
        <v>-23672954.49197419</v>
      </c>
      <c r="H53" s="104">
        <f t="shared" si="15"/>
        <v>101719655.9375677</v>
      </c>
      <c r="I53" s="104">
        <f t="shared" si="15"/>
        <v>-18399985.856820002</v>
      </c>
      <c r="J53" s="104">
        <f t="shared" si="15"/>
        <v>-34231197.514782369</v>
      </c>
      <c r="K53" s="104">
        <f t="shared" si="15"/>
        <v>127455380.41921315</v>
      </c>
      <c r="L53" s="104">
        <f t="shared" si="15"/>
        <v>-22638733.94245705</v>
      </c>
      <c r="M53" s="104">
        <f t="shared" si="15"/>
        <v>-29569530.232531726</v>
      </c>
      <c r="N53" s="225">
        <f t="shared" si="15"/>
        <v>-109126398.65319662</v>
      </c>
      <c r="O53" s="226">
        <f t="shared" si="15"/>
        <v>118290191</v>
      </c>
      <c r="P53" s="104">
        <f t="shared" si="15"/>
        <v>149702254.02999973</v>
      </c>
      <c r="Q53" s="225">
        <f t="shared" si="15"/>
        <v>167850445.60538006</v>
      </c>
      <c r="R53" s="240"/>
    </row>
    <row r="54" spans="1:18">
      <c r="A54" s="740" t="str">
        <f>head27a</f>
        <v>References</v>
      </c>
      <c r="B54" s="742"/>
      <c r="C54" s="115"/>
      <c r="D54" s="115"/>
      <c r="E54" s="115"/>
      <c r="F54" s="115"/>
      <c r="G54" s="115"/>
      <c r="H54" s="115"/>
      <c r="I54" s="115"/>
      <c r="J54" s="115"/>
      <c r="K54" s="115"/>
      <c r="L54" s="115"/>
      <c r="M54" s="115"/>
      <c r="N54" s="115"/>
      <c r="O54" s="115"/>
      <c r="P54" s="115"/>
      <c r="Q54" s="115"/>
      <c r="R54" s="240"/>
    </row>
    <row r="55" spans="1:18">
      <c r="A55" s="695" t="s">
        <v>1408</v>
      </c>
    </row>
    <row r="56" spans="1:18">
      <c r="A56" s="305" t="s">
        <v>1338</v>
      </c>
      <c r="B56" s="667"/>
      <c r="O56" s="741">
        <f>O53-'A4-FinPerf RE'!J47</f>
        <v>-0.93000006675720215</v>
      </c>
      <c r="P56" s="741">
        <f>P53-'A4-FinPerf RE'!K47</f>
        <v>-0.36154007911682129</v>
      </c>
      <c r="Q56" s="741">
        <f>Q53-'A4-FinPerf RE'!L47</f>
        <v>0.32786965370178223</v>
      </c>
    </row>
  </sheetData>
  <mergeCells count="2">
    <mergeCell ref="C2:N2"/>
    <mergeCell ref="O2:Q2"/>
  </mergeCells>
  <phoneticPr fontId="5"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40" activePane="bottomRight" state="frozen"/>
      <selection pane="topRight"/>
      <selection pane="bottomLeft"/>
      <selection pane="bottomRight" activeCell="H34" sqref="H34"/>
    </sheetView>
  </sheetViews>
  <sheetFormatPr defaultColWidth="9.140625" defaultRowHeight="12.75"/>
  <cols>
    <col min="1" max="1" width="30.7109375" style="26" customWidth="1"/>
    <col min="2" max="2" width="3" style="124" customWidth="1"/>
    <col min="3" max="14" width="8.28515625" style="26" customWidth="1"/>
    <col min="15" max="17" width="9.28515625" style="26" customWidth="1"/>
    <col min="18" max="16384" width="9.140625" style="26"/>
  </cols>
  <sheetData>
    <row r="1" spans="1:17" ht="13.5" customHeight="1">
      <c r="A1" s="24" t="str">
        <f>muni&amp;" - "&amp; TableA28</f>
        <v>LIM333 Greater Tzaneen - Supporting Table SA28 Consolidated budgeted monthly capital expenditure (municipal vote)</v>
      </c>
      <c r="B1" s="24"/>
      <c r="C1" s="24"/>
      <c r="D1" s="24"/>
      <c r="E1" s="24"/>
      <c r="F1" s="24"/>
      <c r="G1" s="24"/>
      <c r="H1" s="24"/>
      <c r="I1" s="24"/>
      <c r="J1" s="24"/>
      <c r="K1" s="24"/>
      <c r="L1" s="24"/>
      <c r="M1" s="24"/>
      <c r="N1" s="24"/>
      <c r="O1" s="24"/>
      <c r="P1" s="24"/>
      <c r="Q1" s="24"/>
    </row>
    <row r="2" spans="1:17" ht="27" customHeight="1">
      <c r="A2" s="841" t="str">
        <f>desc</f>
        <v>Description</v>
      </c>
      <c r="B2" s="852" t="str">
        <f>head27</f>
        <v>Ref</v>
      </c>
      <c r="C2" s="2842" t="str">
        <f>Head9</f>
        <v>Budget Year 2020/21</v>
      </c>
      <c r="D2" s="2843"/>
      <c r="E2" s="2843"/>
      <c r="F2" s="2843"/>
      <c r="G2" s="2843"/>
      <c r="H2" s="2843"/>
      <c r="I2" s="2843"/>
      <c r="J2" s="2843"/>
      <c r="K2" s="2843"/>
      <c r="L2" s="2843"/>
      <c r="M2" s="2843"/>
      <c r="N2" s="2843"/>
      <c r="O2" s="2839" t="s">
        <v>1560</v>
      </c>
      <c r="P2" s="2840"/>
      <c r="Q2" s="2841"/>
    </row>
    <row r="3" spans="1:17" ht="25.5">
      <c r="A3" s="848" t="s">
        <v>569</v>
      </c>
      <c r="B3" s="853"/>
      <c r="C3" s="172" t="s">
        <v>623</v>
      </c>
      <c r="D3" s="789" t="s">
        <v>1240</v>
      </c>
      <c r="E3" s="789" t="s">
        <v>1241</v>
      </c>
      <c r="F3" s="789" t="s">
        <v>1242</v>
      </c>
      <c r="G3" s="789" t="s">
        <v>359</v>
      </c>
      <c r="H3" s="789" t="s">
        <v>360</v>
      </c>
      <c r="I3" s="789" t="s">
        <v>606</v>
      </c>
      <c r="J3" s="789" t="s">
        <v>361</v>
      </c>
      <c r="K3" s="789" t="s">
        <v>608</v>
      </c>
      <c r="L3" s="789" t="s">
        <v>609</v>
      </c>
      <c r="M3" s="789" t="s">
        <v>610</v>
      </c>
      <c r="N3" s="259" t="s">
        <v>611</v>
      </c>
      <c r="O3" s="172" t="str">
        <f>Head9</f>
        <v>Budget Year 2020/21</v>
      </c>
      <c r="P3" s="260" t="str">
        <f>Head10</f>
        <v>Budget Year +1 2021/22</v>
      </c>
      <c r="Q3" s="261" t="str">
        <f>Head11</f>
        <v>Budget Year +2 2022/23</v>
      </c>
    </row>
    <row r="4" spans="1:17">
      <c r="A4" s="58" t="s">
        <v>301</v>
      </c>
      <c r="B4" s="850">
        <v>1</v>
      </c>
      <c r="C4" s="82"/>
      <c r="D4" s="80"/>
      <c r="E4" s="80"/>
      <c r="F4" s="80"/>
      <c r="G4" s="80"/>
      <c r="H4" s="80"/>
      <c r="I4" s="80"/>
      <c r="J4" s="80"/>
      <c r="K4" s="80"/>
      <c r="L4" s="80"/>
      <c r="M4" s="80"/>
      <c r="N4" s="79"/>
      <c r="O4" s="82"/>
      <c r="P4" s="80"/>
      <c r="Q4" s="81"/>
    </row>
    <row r="5" spans="1:17">
      <c r="A5" s="969" t="str">
        <f>'A5-Capex'!A6</f>
        <v>Vote 1 - Municipal Manager</v>
      </c>
      <c r="B5" s="726"/>
      <c r="C5" s="1961"/>
      <c r="D5" s="1951"/>
      <c r="E5" s="1951"/>
      <c r="F5" s="1951"/>
      <c r="G5" s="1951"/>
      <c r="H5" s="1951"/>
      <c r="I5" s="1951"/>
      <c r="J5" s="1951"/>
      <c r="K5" s="1951"/>
      <c r="L5" s="1951"/>
      <c r="M5" s="1951"/>
      <c r="N5" s="79">
        <f>O5-SUM(C5:M5)</f>
        <v>0</v>
      </c>
      <c r="O5" s="82">
        <f>'A5-Capex'!J6</f>
        <v>0</v>
      </c>
      <c r="P5" s="80">
        <f>'A5-Capex'!K6</f>
        <v>0</v>
      </c>
      <c r="Q5" s="81">
        <f>'A5-Capex'!L6</f>
        <v>0</v>
      </c>
    </row>
    <row r="6" spans="1:17">
      <c r="A6" s="969" t="str">
        <f>'A5-Capex'!A7</f>
        <v>Vote 2 - Planning &amp; Economic Development</v>
      </c>
      <c r="B6" s="726"/>
      <c r="C6" s="1961"/>
      <c r="D6" s="1951"/>
      <c r="E6" s="1951"/>
      <c r="F6" s="1951"/>
      <c r="G6" s="1951"/>
      <c r="H6" s="1951"/>
      <c r="I6" s="1951"/>
      <c r="J6" s="1951"/>
      <c r="K6" s="1951"/>
      <c r="L6" s="1951"/>
      <c r="M6" s="1951"/>
      <c r="N6" s="79">
        <f t="shared" ref="N6:N11" si="0">O6-SUM(C6:M6)</f>
        <v>0</v>
      </c>
      <c r="O6" s="82">
        <f>'A5-Capex'!J7</f>
        <v>0</v>
      </c>
      <c r="P6" s="80">
        <f>'A5-Capex'!K7</f>
        <v>0</v>
      </c>
      <c r="Q6" s="81">
        <f>'A5-Capex'!L7</f>
        <v>0</v>
      </c>
    </row>
    <row r="7" spans="1:17">
      <c r="A7" s="969" t="str">
        <f>'A5-Capex'!A8</f>
        <v>Vote 3 - Financial Services</v>
      </c>
      <c r="B7" s="726"/>
      <c r="C7" s="1961"/>
      <c r="D7" s="1951"/>
      <c r="E7" s="1951"/>
      <c r="F7" s="1951"/>
      <c r="G7" s="1951"/>
      <c r="H7" s="1951"/>
      <c r="I7" s="1951"/>
      <c r="J7" s="1951"/>
      <c r="K7" s="1951"/>
      <c r="L7" s="1951"/>
      <c r="M7" s="1951"/>
      <c r="N7" s="79">
        <f t="shared" si="0"/>
        <v>0</v>
      </c>
      <c r="O7" s="82">
        <f>'A5-Capex'!J8</f>
        <v>0</v>
      </c>
      <c r="P7" s="80">
        <f>'A5-Capex'!K8</f>
        <v>0</v>
      </c>
      <c r="Q7" s="81">
        <f>'A5-Capex'!L8</f>
        <v>0</v>
      </c>
    </row>
    <row r="8" spans="1:17">
      <c r="A8" s="969" t="str">
        <f>'A5-Capex'!A9</f>
        <v>Vote 4 - Corporate Services</v>
      </c>
      <c r="B8" s="726"/>
      <c r="C8" s="1961"/>
      <c r="D8" s="1951"/>
      <c r="E8" s="1951"/>
      <c r="F8" s="1951"/>
      <c r="G8" s="1951"/>
      <c r="H8" s="1951"/>
      <c r="I8" s="1951"/>
      <c r="J8" s="1951"/>
      <c r="K8" s="1951"/>
      <c r="L8" s="1951"/>
      <c r="M8" s="1951"/>
      <c r="N8" s="79">
        <f t="shared" si="0"/>
        <v>0</v>
      </c>
      <c r="O8" s="82">
        <f>'A5-Capex'!J9</f>
        <v>0</v>
      </c>
      <c r="P8" s="80">
        <f>'A5-Capex'!K9</f>
        <v>0</v>
      </c>
      <c r="Q8" s="81">
        <f>'A5-Capex'!L9</f>
        <v>0</v>
      </c>
    </row>
    <row r="9" spans="1:17">
      <c r="A9" s="969" t="str">
        <f>'A5-Capex'!A10</f>
        <v>Vote 5 - Community Services</v>
      </c>
      <c r="B9" s="726"/>
      <c r="C9" s="1961"/>
      <c r="D9" s="1951"/>
      <c r="E9" s="1951"/>
      <c r="F9" s="1951"/>
      <c r="G9" s="1951"/>
      <c r="H9" s="1951"/>
      <c r="I9" s="1951"/>
      <c r="J9" s="1951"/>
      <c r="K9" s="1951"/>
      <c r="L9" s="1951"/>
      <c r="M9" s="1951"/>
      <c r="N9" s="79">
        <f t="shared" si="0"/>
        <v>0</v>
      </c>
      <c r="O9" s="82">
        <f>'A5-Capex'!J10</f>
        <v>0</v>
      </c>
      <c r="P9" s="80">
        <f>'A5-Capex'!K10</f>
        <v>0</v>
      </c>
      <c r="Q9" s="81">
        <f>'A5-Capex'!L10</f>
        <v>0</v>
      </c>
    </row>
    <row r="10" spans="1:17">
      <c r="A10" s="969" t="str">
        <f>'A5-Capex'!A11</f>
        <v>Vote 6 - Community Services</v>
      </c>
      <c r="B10" s="726"/>
      <c r="C10" s="1961"/>
      <c r="D10" s="1951"/>
      <c r="E10" s="1951"/>
      <c r="F10" s="1951"/>
      <c r="G10" s="1951"/>
      <c r="H10" s="1951"/>
      <c r="I10" s="1951"/>
      <c r="J10" s="1951"/>
      <c r="K10" s="1951"/>
      <c r="L10" s="1951"/>
      <c r="M10" s="1951"/>
      <c r="N10" s="79">
        <f t="shared" si="0"/>
        <v>0</v>
      </c>
      <c r="O10" s="82">
        <f>'A5-Capex'!J11</f>
        <v>0</v>
      </c>
      <c r="P10" s="80">
        <f>'A5-Capex'!K11</f>
        <v>0</v>
      </c>
      <c r="Q10" s="81">
        <f>'A5-Capex'!L11</f>
        <v>0</v>
      </c>
    </row>
    <row r="11" spans="1:17">
      <c r="A11" s="969" t="str">
        <f>'A5-Capex'!A12</f>
        <v>Vote 7 - Electrical Engineering Services</v>
      </c>
      <c r="B11" s="726"/>
      <c r="C11" s="1961"/>
      <c r="D11" s="1951"/>
      <c r="E11" s="1951"/>
      <c r="F11" s="1951"/>
      <c r="G11" s="1951"/>
      <c r="H11" s="1951"/>
      <c r="I11" s="1951"/>
      <c r="J11" s="1951"/>
      <c r="K11" s="1951"/>
      <c r="L11" s="1951"/>
      <c r="M11" s="1951"/>
      <c r="N11" s="79">
        <f t="shared" si="0"/>
        <v>0</v>
      </c>
      <c r="O11" s="82">
        <f>'A5-Capex'!J12</f>
        <v>0</v>
      </c>
      <c r="P11" s="80">
        <f>'A5-Capex'!K12</f>
        <v>0</v>
      </c>
      <c r="Q11" s="81">
        <f>'A5-Capex'!L12</f>
        <v>0</v>
      </c>
    </row>
    <row r="12" spans="1:17">
      <c r="A12" s="969" t="str">
        <f>'A5-Capex'!A13</f>
        <v>Vote 8 - Engineering Services</v>
      </c>
      <c r="B12" s="726"/>
      <c r="C12" s="1961"/>
      <c r="D12" s="1951"/>
      <c r="E12" s="1951"/>
      <c r="F12" s="1951"/>
      <c r="G12" s="1951"/>
      <c r="H12" s="1951"/>
      <c r="I12" s="1951"/>
      <c r="J12" s="1951"/>
      <c r="K12" s="1951"/>
      <c r="L12" s="1951"/>
      <c r="M12" s="1951"/>
      <c r="N12" s="79">
        <f>O12-SUM(C12:M12)</f>
        <v>0</v>
      </c>
      <c r="O12" s="82">
        <f>'A5-Capex'!J13</f>
        <v>0</v>
      </c>
      <c r="P12" s="80">
        <f>'A5-Capex'!K13</f>
        <v>0</v>
      </c>
      <c r="Q12" s="81">
        <f>'A5-Capex'!L13</f>
        <v>0</v>
      </c>
    </row>
    <row r="13" spans="1:17">
      <c r="A13" s="969" t="str">
        <f>'A5-Capex'!A14</f>
        <v>Vote 9 - [NAME OF VOTE 9]</v>
      </c>
      <c r="B13" s="726"/>
      <c r="C13" s="1961"/>
      <c r="D13" s="1951"/>
      <c r="E13" s="1951"/>
      <c r="F13" s="1951"/>
      <c r="G13" s="1951"/>
      <c r="H13" s="1951"/>
      <c r="I13" s="1951"/>
      <c r="J13" s="1951"/>
      <c r="K13" s="1951"/>
      <c r="L13" s="1951"/>
      <c r="M13" s="1951"/>
      <c r="N13" s="79">
        <f>O13-SUM(C13:M13)</f>
        <v>0</v>
      </c>
      <c r="O13" s="82">
        <f>'A5-Capex'!J14</f>
        <v>0</v>
      </c>
      <c r="P13" s="80">
        <f>'A5-Capex'!K14</f>
        <v>0</v>
      </c>
      <c r="Q13" s="81">
        <f>'A5-Capex'!L14</f>
        <v>0</v>
      </c>
    </row>
    <row r="14" spans="1:17">
      <c r="A14" s="969" t="str">
        <f>'A5-Capex'!A15</f>
        <v>Vote 10 - [NAME OF VOTE 10]</v>
      </c>
      <c r="B14" s="726"/>
      <c r="C14" s="1961"/>
      <c r="D14" s="1951"/>
      <c r="E14" s="1951"/>
      <c r="F14" s="1951"/>
      <c r="G14" s="1951"/>
      <c r="H14" s="1951"/>
      <c r="I14" s="1951"/>
      <c r="J14" s="1951"/>
      <c r="K14" s="1951"/>
      <c r="L14" s="1951"/>
      <c r="M14" s="1951"/>
      <c r="N14" s="79">
        <f t="shared" ref="N14:N19" si="1">O14-SUM(C14:M14)</f>
        <v>0</v>
      </c>
      <c r="O14" s="82">
        <f>'A5-Capex'!J15</f>
        <v>0</v>
      </c>
      <c r="P14" s="80">
        <f>'A5-Capex'!K15</f>
        <v>0</v>
      </c>
      <c r="Q14" s="81">
        <f>'A5-Capex'!L15</f>
        <v>0</v>
      </c>
    </row>
    <row r="15" spans="1:17">
      <c r="A15" s="969" t="str">
        <f>'A5-Capex'!A16</f>
        <v>Vote 11 - [NAME OF VOTE 11]</v>
      </c>
      <c r="B15" s="726"/>
      <c r="C15" s="1961"/>
      <c r="D15" s="1951"/>
      <c r="E15" s="1951"/>
      <c r="F15" s="1951"/>
      <c r="G15" s="1951"/>
      <c r="H15" s="1951"/>
      <c r="I15" s="1951"/>
      <c r="J15" s="1951"/>
      <c r="K15" s="1951"/>
      <c r="L15" s="1951"/>
      <c r="M15" s="1951"/>
      <c r="N15" s="79">
        <f t="shared" si="1"/>
        <v>0</v>
      </c>
      <c r="O15" s="82">
        <f>'A5-Capex'!J16</f>
        <v>0</v>
      </c>
      <c r="P15" s="80">
        <f>'A5-Capex'!K16</f>
        <v>0</v>
      </c>
      <c r="Q15" s="81">
        <f>'A5-Capex'!L16</f>
        <v>0</v>
      </c>
    </row>
    <row r="16" spans="1:17">
      <c r="A16" s="969" t="str">
        <f>'A5-Capex'!A17</f>
        <v>Vote 12 - [NAME OF VOTE 12]</v>
      </c>
      <c r="B16" s="726"/>
      <c r="C16" s="1961"/>
      <c r="D16" s="1951"/>
      <c r="E16" s="1951"/>
      <c r="F16" s="1951"/>
      <c r="G16" s="1951"/>
      <c r="H16" s="1951"/>
      <c r="I16" s="1951"/>
      <c r="J16" s="1951"/>
      <c r="K16" s="1951"/>
      <c r="L16" s="1951"/>
      <c r="M16" s="1951"/>
      <c r="N16" s="79">
        <f t="shared" si="1"/>
        <v>0</v>
      </c>
      <c r="O16" s="82">
        <f>'A5-Capex'!J17</f>
        <v>0</v>
      </c>
      <c r="P16" s="80">
        <f>'A5-Capex'!K17</f>
        <v>0</v>
      </c>
      <c r="Q16" s="81">
        <f>'A5-Capex'!L17</f>
        <v>0</v>
      </c>
    </row>
    <row r="17" spans="1:17">
      <c r="A17" s="969" t="str">
        <f>'A5-Capex'!A18</f>
        <v>Vote 13 - [NAME OF VOTE 13]</v>
      </c>
      <c r="B17" s="726"/>
      <c r="C17" s="1961"/>
      <c r="D17" s="1951"/>
      <c r="E17" s="1951"/>
      <c r="F17" s="1951"/>
      <c r="G17" s="1951"/>
      <c r="H17" s="1951"/>
      <c r="I17" s="1951"/>
      <c r="J17" s="1951"/>
      <c r="K17" s="1951"/>
      <c r="L17" s="1951"/>
      <c r="M17" s="1951"/>
      <c r="N17" s="79">
        <f t="shared" si="1"/>
        <v>0</v>
      </c>
      <c r="O17" s="82">
        <f>'A5-Capex'!J18</f>
        <v>0</v>
      </c>
      <c r="P17" s="80">
        <f>'A5-Capex'!K18</f>
        <v>0</v>
      </c>
      <c r="Q17" s="81">
        <f>'A5-Capex'!L18</f>
        <v>0</v>
      </c>
    </row>
    <row r="18" spans="1:17">
      <c r="A18" s="969" t="str">
        <f>'A5-Capex'!A19</f>
        <v>Vote 14 - [NAME OF VOTE 14]</v>
      </c>
      <c r="B18" s="726"/>
      <c r="C18" s="1961"/>
      <c r="D18" s="1951"/>
      <c r="E18" s="1951"/>
      <c r="F18" s="1951"/>
      <c r="G18" s="1951"/>
      <c r="H18" s="1951"/>
      <c r="I18" s="1951"/>
      <c r="J18" s="1951"/>
      <c r="K18" s="1951"/>
      <c r="L18" s="1951"/>
      <c r="M18" s="1951"/>
      <c r="N18" s="79">
        <f t="shared" si="1"/>
        <v>0</v>
      </c>
      <c r="O18" s="82">
        <f>'A5-Capex'!J19</f>
        <v>0</v>
      </c>
      <c r="P18" s="80">
        <f>'A5-Capex'!K19</f>
        <v>0</v>
      </c>
      <c r="Q18" s="81">
        <f>'A5-Capex'!L19</f>
        <v>0</v>
      </c>
    </row>
    <row r="19" spans="1:17">
      <c r="A19" s="969" t="str">
        <f>'A5-Capex'!A20</f>
        <v>Vote 15 - [NAME OF VOTE 15]</v>
      </c>
      <c r="B19" s="726"/>
      <c r="C19" s="1961"/>
      <c r="D19" s="1951"/>
      <c r="E19" s="1951"/>
      <c r="F19" s="1951"/>
      <c r="G19" s="1951"/>
      <c r="H19" s="1951"/>
      <c r="I19" s="1951"/>
      <c r="J19" s="1951"/>
      <c r="K19" s="1951"/>
      <c r="L19" s="1951"/>
      <c r="M19" s="1951"/>
      <c r="N19" s="79">
        <f t="shared" si="1"/>
        <v>0</v>
      </c>
      <c r="O19" s="82">
        <f>'A5-Capex'!J20</f>
        <v>0</v>
      </c>
      <c r="P19" s="80">
        <f>'A5-Capex'!K20</f>
        <v>0</v>
      </c>
      <c r="Q19" s="81">
        <f>'A5-Capex'!L20</f>
        <v>0</v>
      </c>
    </row>
    <row r="20" spans="1:17">
      <c r="A20" s="74" t="s">
        <v>168</v>
      </c>
      <c r="B20" s="1118">
        <v>2</v>
      </c>
      <c r="C20" s="144">
        <f>SUM(C5:C19)</f>
        <v>0</v>
      </c>
      <c r="D20" s="142">
        <f t="shared" ref="D20:Q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 t="shared" si="2"/>
        <v>0</v>
      </c>
      <c r="O20" s="144">
        <f t="shared" si="2"/>
        <v>0</v>
      </c>
      <c r="P20" s="142">
        <f t="shared" si="2"/>
        <v>0</v>
      </c>
      <c r="Q20" s="143">
        <f t="shared" si="2"/>
        <v>0</v>
      </c>
    </row>
    <row r="21" spans="1:17" ht="3.75" customHeight="1">
      <c r="A21" s="1116"/>
      <c r="B21" s="1117"/>
      <c r="C21" s="265"/>
      <c r="D21" s="264"/>
      <c r="E21" s="264"/>
      <c r="F21" s="264"/>
      <c r="G21" s="264"/>
      <c r="H21" s="264"/>
      <c r="I21" s="264"/>
      <c r="J21" s="264"/>
      <c r="K21" s="264"/>
      <c r="L21" s="264"/>
      <c r="M21" s="264"/>
      <c r="N21" s="266"/>
      <c r="O21" s="265"/>
      <c r="P21" s="264"/>
      <c r="Q21" s="218"/>
    </row>
    <row r="22" spans="1:17">
      <c r="A22" s="58" t="s">
        <v>801</v>
      </c>
      <c r="B22" s="850"/>
      <c r="C22" s="82"/>
      <c r="D22" s="80"/>
      <c r="E22" s="80"/>
      <c r="F22" s="80"/>
      <c r="G22" s="80"/>
      <c r="H22" s="80"/>
      <c r="I22" s="80"/>
      <c r="J22" s="80"/>
      <c r="K22" s="80"/>
      <c r="L22" s="80"/>
      <c r="M22" s="80"/>
      <c r="N22" s="79"/>
      <c r="O22" s="82"/>
      <c r="P22" s="80"/>
      <c r="Q22" s="81"/>
    </row>
    <row r="23" spans="1:17">
      <c r="A23" s="969" t="str">
        <f>'A5-Capex'!A24</f>
        <v>Vote 1 - Municipal Manager</v>
      </c>
      <c r="B23" s="726"/>
      <c r="C23" s="1961">
        <v>0</v>
      </c>
      <c r="D23" s="1951">
        <v>0</v>
      </c>
      <c r="E23" s="1951">
        <v>0</v>
      </c>
      <c r="F23" s="1951">
        <v>0</v>
      </c>
      <c r="G23" s="1951">
        <v>0</v>
      </c>
      <c r="H23" s="1951">
        <v>0</v>
      </c>
      <c r="I23" s="1951">
        <v>0</v>
      </c>
      <c r="J23" s="1951">
        <v>0</v>
      </c>
      <c r="K23" s="1951">
        <v>0</v>
      </c>
      <c r="L23" s="1951">
        <v>0</v>
      </c>
      <c r="M23" s="1951">
        <v>0</v>
      </c>
      <c r="N23" s="79">
        <f>O23-SUM(C23:M23)</f>
        <v>0</v>
      </c>
      <c r="O23" s="82">
        <f>'A5-Capex'!J24</f>
        <v>0</v>
      </c>
      <c r="P23" s="80">
        <f>'A5-Capex'!K24</f>
        <v>0</v>
      </c>
      <c r="Q23" s="81">
        <f>'A5-Capex'!L24</f>
        <v>0</v>
      </c>
    </row>
    <row r="24" spans="1:17">
      <c r="A24" s="969" t="str">
        <f>'A5-Capex'!A25</f>
        <v>Vote 2 - Planning &amp; Economic Development</v>
      </c>
      <c r="B24" s="726"/>
      <c r="C24" s="1961">
        <v>0</v>
      </c>
      <c r="D24" s="1951">
        <v>701236.8076253006</v>
      </c>
      <c r="E24" s="1951">
        <v>0</v>
      </c>
      <c r="F24" s="1951">
        <v>0</v>
      </c>
      <c r="G24" s="1951">
        <v>298763.19237469946</v>
      </c>
      <c r="H24" s="1951">
        <v>0</v>
      </c>
      <c r="I24" s="1951">
        <v>0</v>
      </c>
      <c r="J24" s="1951">
        <v>0</v>
      </c>
      <c r="K24" s="1951">
        <v>0</v>
      </c>
      <c r="L24" s="1951">
        <v>0</v>
      </c>
      <c r="M24" s="1951">
        <v>0</v>
      </c>
      <c r="N24" s="79">
        <f t="shared" ref="N24:N30" si="3">O24-SUM(C24:M24)</f>
        <v>235000</v>
      </c>
      <c r="O24" s="82">
        <f>'A5-Capex'!J25</f>
        <v>1235000</v>
      </c>
      <c r="P24" s="80">
        <f>'A5-Capex'!K25</f>
        <v>235000</v>
      </c>
      <c r="Q24" s="81">
        <f>'A5-Capex'!L25</f>
        <v>235000</v>
      </c>
    </row>
    <row r="25" spans="1:17">
      <c r="A25" s="969" t="str">
        <f>'A5-Capex'!A26</f>
        <v>Vote 3 - Financial Services</v>
      </c>
      <c r="B25" s="726"/>
      <c r="C25" s="1961">
        <v>273.69650772496902</v>
      </c>
      <c r="D25" s="1951">
        <v>4328.3736252566578</v>
      </c>
      <c r="E25" s="1951">
        <v>2800.8993569829718</v>
      </c>
      <c r="F25" s="1951">
        <v>6031.0914038172814</v>
      </c>
      <c r="G25" s="1951">
        <v>4038.4056681085744</v>
      </c>
      <c r="H25" s="1951">
        <v>350694.86956550705</v>
      </c>
      <c r="I25" s="1951">
        <v>1844.8336906649211</v>
      </c>
      <c r="J25" s="1951">
        <v>1650.7296036180919</v>
      </c>
      <c r="K25" s="1951">
        <v>0</v>
      </c>
      <c r="L25" s="1951">
        <v>0</v>
      </c>
      <c r="M25" s="1951">
        <v>1080.7031808277391</v>
      </c>
      <c r="N25" s="79">
        <f t="shared" si="3"/>
        <v>127256.39739749179</v>
      </c>
      <c r="O25" s="82">
        <f>'A5-Capex'!J26</f>
        <v>500000</v>
      </c>
      <c r="P25" s="80">
        <f>'A5-Capex'!K26</f>
        <v>700000</v>
      </c>
      <c r="Q25" s="81">
        <f>'A5-Capex'!L26</f>
        <v>700000</v>
      </c>
    </row>
    <row r="26" spans="1:17">
      <c r="A26" s="969" t="str">
        <f>'A5-Capex'!A27</f>
        <v>Vote 4 - Corporate Services</v>
      </c>
      <c r="B26" s="726"/>
      <c r="C26" s="1961">
        <v>0</v>
      </c>
      <c r="D26" s="1951">
        <v>0</v>
      </c>
      <c r="E26" s="1951">
        <v>0</v>
      </c>
      <c r="F26" s="1951">
        <v>0</v>
      </c>
      <c r="G26" s="1951">
        <v>0</v>
      </c>
      <c r="H26" s="1951">
        <v>0</v>
      </c>
      <c r="I26" s="1951">
        <v>0</v>
      </c>
      <c r="J26" s="1951">
        <v>0</v>
      </c>
      <c r="K26" s="1951">
        <v>0</v>
      </c>
      <c r="L26" s="1951">
        <v>0</v>
      </c>
      <c r="M26" s="1951">
        <v>0</v>
      </c>
      <c r="N26" s="79">
        <f t="shared" si="3"/>
        <v>0</v>
      </c>
      <c r="O26" s="82">
        <f>'A5-Capex'!J27</f>
        <v>0</v>
      </c>
      <c r="P26" s="80">
        <f>'A5-Capex'!K27</f>
        <v>0</v>
      </c>
      <c r="Q26" s="81">
        <f>'A5-Capex'!L27</f>
        <v>0</v>
      </c>
    </row>
    <row r="27" spans="1:17">
      <c r="A27" s="969" t="str">
        <f>'A5-Capex'!A28</f>
        <v>Vote 5 - Community Services</v>
      </c>
      <c r="B27" s="726"/>
      <c r="C27" s="1961">
        <v>0</v>
      </c>
      <c r="D27" s="1951">
        <v>0</v>
      </c>
      <c r="E27" s="1951">
        <v>13871.241861667511</v>
      </c>
      <c r="F27" s="1951">
        <v>34085.114810545019</v>
      </c>
      <c r="G27" s="1951">
        <v>0</v>
      </c>
      <c r="H27" s="1951">
        <v>0</v>
      </c>
      <c r="I27" s="1951">
        <v>0</v>
      </c>
      <c r="J27" s="1951">
        <v>2252043.6433277875</v>
      </c>
      <c r="K27" s="1951">
        <v>0</v>
      </c>
      <c r="L27" s="1951">
        <v>0</v>
      </c>
      <c r="M27" s="1951">
        <v>0</v>
      </c>
      <c r="N27" s="79">
        <f t="shared" si="3"/>
        <v>0</v>
      </c>
      <c r="O27" s="82">
        <f>'A5-Capex'!J28</f>
        <v>2300000</v>
      </c>
      <c r="P27" s="80">
        <f>'A5-Capex'!K28</f>
        <v>0</v>
      </c>
      <c r="Q27" s="81">
        <f>'A5-Capex'!L28</f>
        <v>0</v>
      </c>
    </row>
    <row r="28" spans="1:17">
      <c r="A28" s="969" t="str">
        <f>'A5-Capex'!A29</f>
        <v>Vote 6 - Community Services</v>
      </c>
      <c r="B28" s="726"/>
      <c r="C28" s="1961"/>
      <c r="D28" s="1951"/>
      <c r="E28" s="1951"/>
      <c r="F28" s="1951"/>
      <c r="G28" s="1951"/>
      <c r="H28" s="1951"/>
      <c r="I28" s="1951"/>
      <c r="J28" s="1951"/>
      <c r="K28" s="1951"/>
      <c r="L28" s="1951"/>
      <c r="M28" s="1951"/>
      <c r="N28" s="79">
        <f t="shared" si="3"/>
        <v>0</v>
      </c>
      <c r="O28" s="82">
        <f>'A5-Capex'!J29</f>
        <v>0</v>
      </c>
      <c r="P28" s="80">
        <f>'A5-Capex'!K29</f>
        <v>0</v>
      </c>
      <c r="Q28" s="81">
        <f>'A5-Capex'!L29</f>
        <v>0</v>
      </c>
    </row>
    <row r="29" spans="1:17">
      <c r="A29" s="969" t="str">
        <f>'A5-Capex'!A30</f>
        <v>Vote 7 - Electrical Engineering Services</v>
      </c>
      <c r="B29" s="726"/>
      <c r="C29" s="1961">
        <v>170776.99949556997</v>
      </c>
      <c r="D29" s="1951">
        <v>236434.29237029742</v>
      </c>
      <c r="E29" s="1951">
        <v>704109.87917249091</v>
      </c>
      <c r="F29" s="1951">
        <v>628322.75396861928</v>
      </c>
      <c r="G29" s="1951">
        <v>974240.65271152987</v>
      </c>
      <c r="H29" s="1951">
        <v>1704687.3104872322</v>
      </c>
      <c r="I29" s="1951">
        <v>744633.59353098564</v>
      </c>
      <c r="J29" s="1951">
        <v>3653383.2540747314</v>
      </c>
      <c r="K29" s="1951">
        <v>2360408.5653100885</v>
      </c>
      <c r="L29" s="1951">
        <v>2397647.3532118681</v>
      </c>
      <c r="M29" s="1951">
        <v>7242550.8821330592</v>
      </c>
      <c r="N29" s="79">
        <f t="shared" si="3"/>
        <v>9182804.4635335281</v>
      </c>
      <c r="O29" s="82">
        <f>'A5-Capex'!J30</f>
        <v>30000000</v>
      </c>
      <c r="P29" s="80">
        <f>'A5-Capex'!K30</f>
        <v>8384000</v>
      </c>
      <c r="Q29" s="81">
        <f>'A5-Capex'!L30</f>
        <v>8786432</v>
      </c>
    </row>
    <row r="30" spans="1:17">
      <c r="A30" s="969" t="str">
        <f>'A5-Capex'!A31</f>
        <v>Vote 8 - Engineering Services</v>
      </c>
      <c r="B30" s="726"/>
      <c r="C30" s="1961">
        <v>22153723.622096121</v>
      </c>
      <c r="D30" s="1951">
        <v>8330427.4665643154</v>
      </c>
      <c r="E30" s="1951">
        <v>5808268.8681456866</v>
      </c>
      <c r="F30" s="1951">
        <v>6165267.7544362405</v>
      </c>
      <c r="G30" s="1951">
        <v>3887995.6479408317</v>
      </c>
      <c r="H30" s="1951">
        <v>4616373.0557310162</v>
      </c>
      <c r="I30" s="1951">
        <v>2268540.4422856029</v>
      </c>
      <c r="J30" s="1951">
        <v>8788190.414518822</v>
      </c>
      <c r="K30" s="1951">
        <v>4165504.3136724806</v>
      </c>
      <c r="L30" s="1951">
        <v>7734651.002381051</v>
      </c>
      <c r="M30" s="1951">
        <v>13645208.056020968</v>
      </c>
      <c r="N30" s="79">
        <f t="shared" si="3"/>
        <v>9373899.3562068641</v>
      </c>
      <c r="O30" s="82">
        <f>'A5-Capex'!J31</f>
        <v>96938050</v>
      </c>
      <c r="P30" s="80">
        <f>'A5-Capex'!K31</f>
        <v>96829700</v>
      </c>
      <c r="Q30" s="81">
        <f>'A5-Capex'!L31</f>
        <v>102603800</v>
      </c>
    </row>
    <row r="31" spans="1:17">
      <c r="A31" s="969" t="str">
        <f>'A5-Capex'!A32</f>
        <v>Vote 9 - [NAME OF VOTE 9]</v>
      </c>
      <c r="B31" s="726"/>
      <c r="C31" s="1961"/>
      <c r="D31" s="1951"/>
      <c r="E31" s="1951"/>
      <c r="F31" s="1951"/>
      <c r="G31" s="1951"/>
      <c r="H31" s="1951"/>
      <c r="I31" s="1951"/>
      <c r="J31" s="1951"/>
      <c r="K31" s="1951"/>
      <c r="L31" s="1951"/>
      <c r="M31" s="1951"/>
      <c r="N31" s="79">
        <f>O31-SUM(C31:M31)</f>
        <v>0</v>
      </c>
      <c r="O31" s="82">
        <f>'A5-Capex'!J32</f>
        <v>0</v>
      </c>
      <c r="P31" s="80">
        <f>'A5-Capex'!K32</f>
        <v>0</v>
      </c>
      <c r="Q31" s="81">
        <f>'A5-Capex'!L32</f>
        <v>0</v>
      </c>
    </row>
    <row r="32" spans="1:17">
      <c r="A32" s="969" t="str">
        <f>'A5-Capex'!A33</f>
        <v>Vote 10 - [NAME OF VOTE 10]</v>
      </c>
      <c r="B32" s="726"/>
      <c r="C32" s="1961"/>
      <c r="D32" s="1951"/>
      <c r="E32" s="1951"/>
      <c r="F32" s="1951"/>
      <c r="G32" s="1951"/>
      <c r="H32" s="1951"/>
      <c r="I32" s="1951"/>
      <c r="J32" s="1951"/>
      <c r="K32" s="1951"/>
      <c r="L32" s="1951"/>
      <c r="M32" s="1951"/>
      <c r="N32" s="79">
        <f t="shared" ref="N32:N37" si="4">O32-SUM(C32:M32)</f>
        <v>0</v>
      </c>
      <c r="O32" s="82">
        <f>'A5-Capex'!J33</f>
        <v>0</v>
      </c>
      <c r="P32" s="80">
        <f>'A5-Capex'!K33</f>
        <v>0</v>
      </c>
      <c r="Q32" s="81">
        <f>'A5-Capex'!L33</f>
        <v>0</v>
      </c>
    </row>
    <row r="33" spans="1:20">
      <c r="A33" s="969" t="str">
        <f>'A5-Capex'!A34</f>
        <v>Vote 11 - [NAME OF VOTE 11]</v>
      </c>
      <c r="B33" s="726"/>
      <c r="C33" s="1961"/>
      <c r="D33" s="1951"/>
      <c r="E33" s="1951"/>
      <c r="F33" s="1951"/>
      <c r="G33" s="1951"/>
      <c r="H33" s="1951"/>
      <c r="I33" s="1951"/>
      <c r="J33" s="1951"/>
      <c r="K33" s="1951"/>
      <c r="L33" s="1951"/>
      <c r="M33" s="1951"/>
      <c r="N33" s="79">
        <f t="shared" si="4"/>
        <v>0</v>
      </c>
      <c r="O33" s="82">
        <f>'A5-Capex'!J34</f>
        <v>0</v>
      </c>
      <c r="P33" s="80">
        <f>'A5-Capex'!K34</f>
        <v>0</v>
      </c>
      <c r="Q33" s="81">
        <f>'A5-Capex'!L34</f>
        <v>0</v>
      </c>
    </row>
    <row r="34" spans="1:20">
      <c r="A34" s="969" t="str">
        <f>'A5-Capex'!A35</f>
        <v>Vote 12 - [NAME OF VOTE 12]</v>
      </c>
      <c r="B34" s="726"/>
      <c r="C34" s="1961"/>
      <c r="D34" s="1951"/>
      <c r="E34" s="1951"/>
      <c r="F34" s="1951"/>
      <c r="G34" s="1951"/>
      <c r="H34" s="1951"/>
      <c r="I34" s="1951"/>
      <c r="J34" s="1951"/>
      <c r="K34" s="1951"/>
      <c r="L34" s="1951"/>
      <c r="M34" s="1951"/>
      <c r="N34" s="79">
        <f t="shared" si="4"/>
        <v>0</v>
      </c>
      <c r="O34" s="82">
        <f>'A5-Capex'!J35</f>
        <v>0</v>
      </c>
      <c r="P34" s="80">
        <f>'A5-Capex'!K35</f>
        <v>0</v>
      </c>
      <c r="Q34" s="81">
        <f>'A5-Capex'!L35</f>
        <v>0</v>
      </c>
    </row>
    <row r="35" spans="1:20">
      <c r="A35" s="969" t="str">
        <f>'A5-Capex'!A36</f>
        <v>Vote 13 - [NAME OF VOTE 13]</v>
      </c>
      <c r="B35" s="726"/>
      <c r="C35" s="1961"/>
      <c r="D35" s="1951"/>
      <c r="E35" s="1951"/>
      <c r="F35" s="1951"/>
      <c r="G35" s="1951"/>
      <c r="H35" s="1951"/>
      <c r="I35" s="1951"/>
      <c r="J35" s="1951"/>
      <c r="K35" s="1951"/>
      <c r="L35" s="1951"/>
      <c r="M35" s="1951"/>
      <c r="N35" s="79">
        <f t="shared" si="4"/>
        <v>0</v>
      </c>
      <c r="O35" s="82">
        <f>'A5-Capex'!J36</f>
        <v>0</v>
      </c>
      <c r="P35" s="80">
        <f>'A5-Capex'!K36</f>
        <v>0</v>
      </c>
      <c r="Q35" s="81">
        <f>'A5-Capex'!L36</f>
        <v>0</v>
      </c>
    </row>
    <row r="36" spans="1:20">
      <c r="A36" s="969" t="str">
        <f>'A5-Capex'!A37</f>
        <v>Vote 14 - [NAME OF VOTE 14]</v>
      </c>
      <c r="B36" s="726"/>
      <c r="C36" s="1961"/>
      <c r="D36" s="1951"/>
      <c r="E36" s="1951"/>
      <c r="F36" s="1951"/>
      <c r="G36" s="1951"/>
      <c r="H36" s="1951"/>
      <c r="I36" s="1951"/>
      <c r="J36" s="1951"/>
      <c r="K36" s="1951"/>
      <c r="L36" s="1951"/>
      <c r="M36" s="1951"/>
      <c r="N36" s="79">
        <f t="shared" si="4"/>
        <v>0</v>
      </c>
      <c r="O36" s="82">
        <f>'A5-Capex'!J37</f>
        <v>0</v>
      </c>
      <c r="P36" s="80">
        <f>'A5-Capex'!K37</f>
        <v>0</v>
      </c>
      <c r="Q36" s="81">
        <f>'A5-Capex'!L37</f>
        <v>0</v>
      </c>
    </row>
    <row r="37" spans="1:20">
      <c r="A37" s="969" t="str">
        <f>'A5-Capex'!A38</f>
        <v>Vote 15 - [NAME OF VOTE 15]</v>
      </c>
      <c r="B37" s="726"/>
      <c r="C37" s="1961"/>
      <c r="D37" s="1951"/>
      <c r="E37" s="1951"/>
      <c r="F37" s="1951"/>
      <c r="G37" s="1951"/>
      <c r="H37" s="1951"/>
      <c r="I37" s="1951"/>
      <c r="J37" s="1951"/>
      <c r="K37" s="1951"/>
      <c r="L37" s="1951"/>
      <c r="M37" s="1951"/>
      <c r="N37" s="79">
        <f t="shared" si="4"/>
        <v>0</v>
      </c>
      <c r="O37" s="82">
        <f>'A5-Capex'!J38</f>
        <v>0</v>
      </c>
      <c r="P37" s="80">
        <f>'A5-Capex'!K38</f>
        <v>0</v>
      </c>
      <c r="Q37" s="81">
        <f>'A5-Capex'!L38</f>
        <v>0</v>
      </c>
    </row>
    <row r="38" spans="1:20">
      <c r="A38" s="74" t="s">
        <v>1165</v>
      </c>
      <c r="B38" s="1118">
        <v>2</v>
      </c>
      <c r="C38" s="144">
        <f t="shared" ref="C38:Q38" si="5">SUM(C23:C37)</f>
        <v>22324774.318099417</v>
      </c>
      <c r="D38" s="142">
        <f t="shared" si="5"/>
        <v>9272426.9401851706</v>
      </c>
      <c r="E38" s="142">
        <f t="shared" si="5"/>
        <v>6529050.8885368276</v>
      </c>
      <c r="F38" s="142">
        <f t="shared" si="5"/>
        <v>6833706.7146192221</v>
      </c>
      <c r="G38" s="142">
        <f t="shared" si="5"/>
        <v>5165037.898695169</v>
      </c>
      <c r="H38" s="142">
        <f t="shared" si="5"/>
        <v>6671755.2357837558</v>
      </c>
      <c r="I38" s="142">
        <f t="shared" si="5"/>
        <v>3015018.8695072536</v>
      </c>
      <c r="J38" s="142">
        <f t="shared" si="5"/>
        <v>14695268.041524958</v>
      </c>
      <c r="K38" s="142">
        <f t="shared" si="5"/>
        <v>6525912.8789825691</v>
      </c>
      <c r="L38" s="142">
        <f t="shared" si="5"/>
        <v>10132298.35559292</v>
      </c>
      <c r="M38" s="142">
        <f t="shared" si="5"/>
        <v>20888839.641334854</v>
      </c>
      <c r="N38" s="141">
        <f t="shared" si="5"/>
        <v>18918960.217137884</v>
      </c>
      <c r="O38" s="144">
        <f t="shared" si="5"/>
        <v>130973050</v>
      </c>
      <c r="P38" s="142">
        <f t="shared" si="5"/>
        <v>106148700</v>
      </c>
      <c r="Q38" s="143">
        <f t="shared" si="5"/>
        <v>112325232</v>
      </c>
    </row>
    <row r="39" spans="1:20">
      <c r="A39" s="711" t="s">
        <v>524</v>
      </c>
      <c r="B39" s="743">
        <v>2</v>
      </c>
      <c r="C39" s="226">
        <f>C20+C38</f>
        <v>22324774.318099417</v>
      </c>
      <c r="D39" s="104">
        <f t="shared" ref="D39:N39" si="6">D20+D38</f>
        <v>9272426.9401851706</v>
      </c>
      <c r="E39" s="104">
        <f t="shared" si="6"/>
        <v>6529050.8885368276</v>
      </c>
      <c r="F39" s="104">
        <f t="shared" si="6"/>
        <v>6833706.7146192221</v>
      </c>
      <c r="G39" s="104">
        <f t="shared" si="6"/>
        <v>5165037.898695169</v>
      </c>
      <c r="H39" s="104">
        <f t="shared" si="6"/>
        <v>6671755.2357837558</v>
      </c>
      <c r="I39" s="104">
        <f t="shared" si="6"/>
        <v>3015018.8695072536</v>
      </c>
      <c r="J39" s="104">
        <f t="shared" si="6"/>
        <v>14695268.041524958</v>
      </c>
      <c r="K39" s="104">
        <f t="shared" si="6"/>
        <v>6525912.8789825691</v>
      </c>
      <c r="L39" s="104">
        <f t="shared" si="6"/>
        <v>10132298.35559292</v>
      </c>
      <c r="M39" s="104">
        <f t="shared" si="6"/>
        <v>20888839.641334854</v>
      </c>
      <c r="N39" s="103">
        <f t="shared" si="6"/>
        <v>18918960.217137884</v>
      </c>
      <c r="O39" s="226">
        <f>O20+O38</f>
        <v>130973050</v>
      </c>
      <c r="P39" s="104">
        <f>P20+P38</f>
        <v>106148700</v>
      </c>
      <c r="Q39" s="225">
        <f>Q20+Q38</f>
        <v>112325232</v>
      </c>
    </row>
    <row r="40" spans="1:20">
      <c r="A40" s="1114"/>
      <c r="B40" s="1115"/>
      <c r="C40" s="266"/>
      <c r="D40" s="266"/>
      <c r="E40" s="266"/>
      <c r="F40" s="266"/>
      <c r="G40" s="266"/>
      <c r="H40" s="266"/>
      <c r="I40" s="266"/>
      <c r="J40" s="266"/>
      <c r="K40" s="266"/>
      <c r="L40" s="266"/>
      <c r="M40" s="266"/>
      <c r="N40" s="266"/>
      <c r="O40" s="266"/>
      <c r="P40" s="266"/>
      <c r="Q40" s="266"/>
    </row>
    <row r="41" spans="1:20">
      <c r="A41" s="1114"/>
      <c r="B41" s="1115"/>
      <c r="C41" s="266"/>
      <c r="D41" s="266"/>
      <c r="E41" s="266"/>
      <c r="F41" s="266"/>
      <c r="G41" s="266"/>
      <c r="H41" s="266"/>
      <c r="I41" s="266"/>
      <c r="J41" s="266"/>
      <c r="K41" s="266"/>
      <c r="L41" s="266"/>
      <c r="M41" s="266"/>
      <c r="N41" s="266"/>
      <c r="O41" s="266"/>
      <c r="P41" s="266"/>
      <c r="Q41" s="266"/>
    </row>
    <row r="42" spans="1:20" s="576" customFormat="1">
      <c r="A42" s="1241" t="str">
        <f>head27a</f>
        <v>References</v>
      </c>
      <c r="B42" s="922"/>
      <c r="C42" s="876"/>
      <c r="D42" s="876"/>
      <c r="E42" s="876"/>
      <c r="F42" s="876"/>
      <c r="G42" s="876"/>
      <c r="H42" s="876"/>
      <c r="I42" s="876"/>
      <c r="J42" s="876"/>
      <c r="K42" s="876"/>
      <c r="L42" s="876"/>
      <c r="M42" s="876"/>
      <c r="N42" s="876"/>
      <c r="O42" s="876"/>
      <c r="P42" s="876"/>
      <c r="Q42" s="876"/>
      <c r="R42" s="26"/>
      <c r="S42" s="923"/>
      <c r="T42" s="923"/>
    </row>
    <row r="43" spans="1:20" s="576" customFormat="1">
      <c r="A43" s="1235" t="s">
        <v>682</v>
      </c>
      <c r="B43" s="884"/>
      <c r="C43" s="876"/>
      <c r="D43" s="876"/>
      <c r="E43" s="876"/>
      <c r="F43" s="876"/>
      <c r="G43" s="876"/>
      <c r="H43" s="876"/>
      <c r="I43" s="876"/>
      <c r="J43" s="876"/>
      <c r="K43" s="876"/>
      <c r="L43" s="876"/>
      <c r="M43" s="876"/>
      <c r="N43" s="876"/>
      <c r="O43" s="876"/>
      <c r="P43" s="876"/>
      <c r="Q43" s="876"/>
      <c r="R43" s="923"/>
      <c r="S43" s="923"/>
      <c r="T43" s="923"/>
    </row>
    <row r="44" spans="1:20" s="576" customFormat="1">
      <c r="A44" s="1235" t="s">
        <v>147</v>
      </c>
      <c r="B44" s="884"/>
    </row>
    <row r="45" spans="1:20">
      <c r="A45" s="305" t="s">
        <v>1338</v>
      </c>
      <c r="B45" s="667"/>
      <c r="O45" s="669">
        <f>O20-'A5-Capex'!J21</f>
        <v>0</v>
      </c>
      <c r="P45" s="669">
        <f>P20-'A5-Capex'!K21</f>
        <v>0</v>
      </c>
      <c r="Q45" s="669">
        <f>Q20-'A5-Capex'!L21</f>
        <v>0</v>
      </c>
    </row>
    <row r="47" spans="1:20">
      <c r="E47" s="26" t="s">
        <v>169</v>
      </c>
    </row>
  </sheetData>
  <mergeCells count="2">
    <mergeCell ref="C2:N2"/>
    <mergeCell ref="O2:Q2"/>
  </mergeCells>
  <phoneticPr fontId="5"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34" activePane="bottomRight" state="frozen"/>
      <selection pane="topRight"/>
      <selection pane="bottomLeft"/>
      <selection pane="bottomRight" activeCell="G35" sqref="G35"/>
    </sheetView>
  </sheetViews>
  <sheetFormatPr defaultColWidth="9.140625" defaultRowHeight="12.7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c r="A1" s="24" t="str">
        <f>muni&amp;" - "&amp; TableA29</f>
        <v>LIM333 Greater Tzaneen - Supporting Table SA29 Consolidated budgeted monthly capital expenditure (functional classification)</v>
      </c>
      <c r="B1" s="24"/>
      <c r="C1" s="24"/>
      <c r="D1" s="24"/>
      <c r="E1" s="24"/>
      <c r="F1" s="24"/>
      <c r="G1" s="24"/>
      <c r="H1" s="24"/>
      <c r="I1" s="24"/>
      <c r="J1" s="24"/>
      <c r="K1" s="24"/>
      <c r="L1" s="24"/>
      <c r="M1" s="24"/>
      <c r="N1" s="24"/>
      <c r="O1" s="24"/>
      <c r="P1" s="24"/>
      <c r="Q1" s="24"/>
    </row>
    <row r="2" spans="1:18" ht="27" customHeight="1">
      <c r="A2" s="841" t="str">
        <f>desc</f>
        <v>Description</v>
      </c>
      <c r="B2" s="852" t="str">
        <f>head27</f>
        <v>Ref</v>
      </c>
      <c r="C2" s="2842" t="str">
        <f>Head9</f>
        <v>Budget Year 2020/21</v>
      </c>
      <c r="D2" s="2843"/>
      <c r="E2" s="2843"/>
      <c r="F2" s="2843"/>
      <c r="G2" s="2843"/>
      <c r="H2" s="2843"/>
      <c r="I2" s="2843"/>
      <c r="J2" s="2843"/>
      <c r="K2" s="2843"/>
      <c r="L2" s="2843"/>
      <c r="M2" s="2843"/>
      <c r="N2" s="2843"/>
      <c r="O2" s="2839" t="s">
        <v>1560</v>
      </c>
      <c r="P2" s="2840"/>
      <c r="Q2" s="2841"/>
    </row>
    <row r="3" spans="1:18" ht="25.5">
      <c r="A3" s="57" t="s">
        <v>569</v>
      </c>
      <c r="B3" s="853"/>
      <c r="C3" s="172" t="s">
        <v>623</v>
      </c>
      <c r="D3" s="789" t="s">
        <v>1240</v>
      </c>
      <c r="E3" s="789" t="s">
        <v>1241</v>
      </c>
      <c r="F3" s="789" t="s">
        <v>1242</v>
      </c>
      <c r="G3" s="789" t="s">
        <v>359</v>
      </c>
      <c r="H3" s="789" t="s">
        <v>360</v>
      </c>
      <c r="I3" s="789" t="s">
        <v>606</v>
      </c>
      <c r="J3" s="789" t="s">
        <v>361</v>
      </c>
      <c r="K3" s="789" t="s">
        <v>608</v>
      </c>
      <c r="L3" s="789" t="s">
        <v>609</v>
      </c>
      <c r="M3" s="789" t="s">
        <v>610</v>
      </c>
      <c r="N3" s="259" t="s">
        <v>611</v>
      </c>
      <c r="O3" s="172" t="str">
        <f>Head9</f>
        <v>Budget Year 2020/21</v>
      </c>
      <c r="P3" s="260" t="str">
        <f>Head10</f>
        <v>Budget Year +1 2021/22</v>
      </c>
      <c r="Q3" s="261" t="str">
        <f>Head11</f>
        <v>Budget Year +2 2022/23</v>
      </c>
    </row>
    <row r="4" spans="1:18">
      <c r="A4" s="126" t="str">
        <f>'A5-Capex'!A42</f>
        <v>Capital Expenditure - Functional</v>
      </c>
      <c r="B4" s="850">
        <v>1</v>
      </c>
      <c r="C4" s="82"/>
      <c r="D4" s="80"/>
      <c r="E4" s="80"/>
      <c r="F4" s="80"/>
      <c r="G4" s="80"/>
      <c r="H4" s="80"/>
      <c r="I4" s="80"/>
      <c r="J4" s="80"/>
      <c r="K4" s="80"/>
      <c r="L4" s="80"/>
      <c r="M4" s="80"/>
      <c r="N4" s="79"/>
      <c r="O4" s="82"/>
      <c r="P4" s="80"/>
      <c r="Q4" s="81"/>
    </row>
    <row r="5" spans="1:18">
      <c r="A5" s="1101" t="str">
        <f>'A5-Capex'!A43</f>
        <v>Governance and administration</v>
      </c>
      <c r="B5" s="726"/>
      <c r="C5" s="965">
        <f>SUM(C6:C8)</f>
        <v>273.69650772496902</v>
      </c>
      <c r="D5" s="963">
        <f>SUM(D6:D8)</f>
        <v>4328.3736252566578</v>
      </c>
      <c r="E5" s="963">
        <f t="shared" ref="E5:M5" si="0">SUM(E6:E8)</f>
        <v>2800.8993569829718</v>
      </c>
      <c r="F5" s="963">
        <f t="shared" si="0"/>
        <v>6031.0914038172814</v>
      </c>
      <c r="G5" s="963">
        <f t="shared" si="0"/>
        <v>4038.4056681085744</v>
      </c>
      <c r="H5" s="963">
        <f t="shared" si="0"/>
        <v>350694.86956550705</v>
      </c>
      <c r="I5" s="963">
        <f t="shared" si="0"/>
        <v>1844.8336906649211</v>
      </c>
      <c r="J5" s="963">
        <f t="shared" si="0"/>
        <v>1650.7296036180919</v>
      </c>
      <c r="K5" s="963">
        <f t="shared" si="0"/>
        <v>0</v>
      </c>
      <c r="L5" s="963">
        <f t="shared" si="0"/>
        <v>0</v>
      </c>
      <c r="M5" s="963">
        <f t="shared" si="0"/>
        <v>1080.7031808277391</v>
      </c>
      <c r="N5" s="94">
        <f>O5-SUM(C5:M5)</f>
        <v>127256.39739749179</v>
      </c>
      <c r="O5" s="97">
        <f>'A5-Capex'!J43</f>
        <v>500000</v>
      </c>
      <c r="P5" s="95">
        <f>'A5-Capex'!K43</f>
        <v>700000</v>
      </c>
      <c r="Q5" s="218">
        <f>'A5-Capex'!L43</f>
        <v>700000</v>
      </c>
      <c r="R5" s="240"/>
    </row>
    <row r="6" spans="1:18">
      <c r="A6" s="1102" t="str">
        <f>'A5-Capex'!A44</f>
        <v>Executive and council</v>
      </c>
      <c r="B6" s="726"/>
      <c r="C6" s="1961">
        <v>0</v>
      </c>
      <c r="D6" s="1951">
        <v>0</v>
      </c>
      <c r="E6" s="1951">
        <v>0</v>
      </c>
      <c r="F6" s="1951">
        <v>0</v>
      </c>
      <c r="G6" s="1951">
        <v>0</v>
      </c>
      <c r="H6" s="1951">
        <v>0</v>
      </c>
      <c r="I6" s="1951">
        <v>0</v>
      </c>
      <c r="J6" s="1951">
        <v>0</v>
      </c>
      <c r="K6" s="1951">
        <v>0</v>
      </c>
      <c r="L6" s="1951">
        <v>0</v>
      </c>
      <c r="M6" s="1951">
        <v>0</v>
      </c>
      <c r="N6" s="79">
        <f t="shared" ref="N6:N23" si="1">O6-SUM(C6:M6)</f>
        <v>0</v>
      </c>
      <c r="O6" s="82">
        <f>'A5-Capex'!J44</f>
        <v>0</v>
      </c>
      <c r="P6" s="80">
        <f>'A5-Capex'!K44</f>
        <v>0</v>
      </c>
      <c r="Q6" s="139">
        <f>'A5-Capex'!L44</f>
        <v>0</v>
      </c>
      <c r="R6" s="240"/>
    </row>
    <row r="7" spans="1:18">
      <c r="A7" s="1102" t="str">
        <f>'A5-Capex'!A45</f>
        <v>Finance and administration</v>
      </c>
      <c r="B7" s="726"/>
      <c r="C7" s="1968">
        <v>273.69650772496902</v>
      </c>
      <c r="D7" s="1964">
        <v>4328.3736252566578</v>
      </c>
      <c r="E7" s="1964">
        <v>2800.8993569829718</v>
      </c>
      <c r="F7" s="1964">
        <v>6031.0914038172814</v>
      </c>
      <c r="G7" s="1964">
        <v>4038.4056681085744</v>
      </c>
      <c r="H7" s="1964">
        <v>350694.86956550705</v>
      </c>
      <c r="I7" s="1964">
        <v>1844.8336906649211</v>
      </c>
      <c r="J7" s="1964">
        <v>1650.7296036180919</v>
      </c>
      <c r="K7" s="1964">
        <v>0</v>
      </c>
      <c r="L7" s="1964">
        <v>0</v>
      </c>
      <c r="M7" s="1964">
        <v>1080.7031808277391</v>
      </c>
      <c r="N7" s="79">
        <f t="shared" si="1"/>
        <v>127256.39739749179</v>
      </c>
      <c r="O7" s="82">
        <f>'A5-Capex'!J45</f>
        <v>500000</v>
      </c>
      <c r="P7" s="80">
        <f>'A5-Capex'!K45</f>
        <v>700000</v>
      </c>
      <c r="Q7" s="139">
        <f>'A5-Capex'!L45</f>
        <v>700000</v>
      </c>
      <c r="R7" s="240"/>
    </row>
    <row r="8" spans="1:18">
      <c r="A8" s="1102" t="str">
        <f>'A5-Capex'!A46</f>
        <v>Internal audit</v>
      </c>
      <c r="B8" s="726"/>
      <c r="C8" s="1961"/>
      <c r="D8" s="1951"/>
      <c r="E8" s="1951"/>
      <c r="F8" s="1951"/>
      <c r="G8" s="1951"/>
      <c r="H8" s="1951"/>
      <c r="I8" s="1951"/>
      <c r="J8" s="1951"/>
      <c r="K8" s="1951"/>
      <c r="L8" s="1951"/>
      <c r="M8" s="1951"/>
      <c r="N8" s="79">
        <f t="shared" si="1"/>
        <v>0</v>
      </c>
      <c r="O8" s="82">
        <f>'A5-Capex'!J46</f>
        <v>0</v>
      </c>
      <c r="P8" s="80">
        <f>'A5-Capex'!K46</f>
        <v>0</v>
      </c>
      <c r="Q8" s="139">
        <f>'A5-Capex'!L46</f>
        <v>0</v>
      </c>
      <c r="R8" s="240"/>
    </row>
    <row r="9" spans="1:18">
      <c r="A9" s="1101" t="str">
        <f>'A5-Capex'!A47</f>
        <v>Community and public safety</v>
      </c>
      <c r="B9" s="726"/>
      <c r="C9" s="965">
        <f>SUM(C10:C14)</f>
        <v>0</v>
      </c>
      <c r="D9" s="963">
        <f t="shared" ref="D9:M9" si="2">SUM(D10:D14)</f>
        <v>0</v>
      </c>
      <c r="E9" s="963">
        <f t="shared" si="2"/>
        <v>13871.241861667511</v>
      </c>
      <c r="F9" s="963">
        <f t="shared" si="2"/>
        <v>34085.114810545019</v>
      </c>
      <c r="G9" s="963">
        <f t="shared" si="2"/>
        <v>0</v>
      </c>
      <c r="H9" s="963">
        <f t="shared" si="2"/>
        <v>0</v>
      </c>
      <c r="I9" s="963">
        <f t="shared" si="2"/>
        <v>0</v>
      </c>
      <c r="J9" s="963">
        <f t="shared" si="2"/>
        <v>2252043.6433277875</v>
      </c>
      <c r="K9" s="963">
        <f t="shared" si="2"/>
        <v>0</v>
      </c>
      <c r="L9" s="963">
        <f t="shared" si="2"/>
        <v>0</v>
      </c>
      <c r="M9" s="963">
        <f t="shared" si="2"/>
        <v>0</v>
      </c>
      <c r="N9" s="94">
        <f t="shared" si="1"/>
        <v>1500000</v>
      </c>
      <c r="O9" s="97">
        <f>'A5-Capex'!J47</f>
        <v>3800000</v>
      </c>
      <c r="P9" s="95">
        <f>'A5-Capex'!K47</f>
        <v>0</v>
      </c>
      <c r="Q9" s="218">
        <f>'A5-Capex'!L47</f>
        <v>0</v>
      </c>
      <c r="R9" s="240"/>
    </row>
    <row r="10" spans="1:18">
      <c r="A10" s="1102" t="str">
        <f>'A5-Capex'!A48</f>
        <v>Community and social services</v>
      </c>
      <c r="B10" s="726"/>
      <c r="C10" s="1961"/>
      <c r="D10" s="1951"/>
      <c r="E10" s="1951"/>
      <c r="F10" s="1951"/>
      <c r="G10" s="1951"/>
      <c r="H10" s="1951"/>
      <c r="I10" s="1951"/>
      <c r="J10" s="1951"/>
      <c r="K10" s="1951"/>
      <c r="L10" s="1951"/>
      <c r="M10" s="1951"/>
      <c r="N10" s="79">
        <f t="shared" si="1"/>
        <v>0</v>
      </c>
      <c r="O10" s="82">
        <f>'A5-Capex'!J48</f>
        <v>0</v>
      </c>
      <c r="P10" s="80">
        <f>'A5-Capex'!K48</f>
        <v>0</v>
      </c>
      <c r="Q10" s="139">
        <f>'A5-Capex'!L48</f>
        <v>0</v>
      </c>
      <c r="R10" s="240"/>
    </row>
    <row r="11" spans="1:18">
      <c r="A11" s="1102" t="str">
        <f>'A5-Capex'!A49</f>
        <v>Sport and recreation</v>
      </c>
      <c r="B11" s="726"/>
      <c r="C11" s="1961">
        <v>0</v>
      </c>
      <c r="D11" s="1951">
        <v>0</v>
      </c>
      <c r="E11" s="1951">
        <v>13871.241861667511</v>
      </c>
      <c r="F11" s="1951">
        <v>34085.114810545019</v>
      </c>
      <c r="G11" s="1951">
        <v>0</v>
      </c>
      <c r="H11" s="1951">
        <v>0</v>
      </c>
      <c r="I11" s="1951">
        <v>0</v>
      </c>
      <c r="J11" s="1951">
        <v>2252043.6433277875</v>
      </c>
      <c r="K11" s="1951">
        <v>0</v>
      </c>
      <c r="L11" s="1951">
        <v>0</v>
      </c>
      <c r="M11" s="1951">
        <v>0</v>
      </c>
      <c r="N11" s="79">
        <f t="shared" si="1"/>
        <v>0</v>
      </c>
      <c r="O11" s="82">
        <f>'A5-Capex'!J49</f>
        <v>2300000</v>
      </c>
      <c r="P11" s="80">
        <f>'A5-Capex'!K49</f>
        <v>0</v>
      </c>
      <c r="Q11" s="139">
        <f>'A5-Capex'!L49</f>
        <v>0</v>
      </c>
      <c r="R11" s="240"/>
    </row>
    <row r="12" spans="1:18">
      <c r="A12" s="1102" t="str">
        <f>'A5-Capex'!A50</f>
        <v>Public safety</v>
      </c>
      <c r="B12" s="726"/>
      <c r="C12" s="1961"/>
      <c r="D12" s="1951"/>
      <c r="E12" s="1951"/>
      <c r="F12" s="1951"/>
      <c r="G12" s="1951"/>
      <c r="H12" s="1951"/>
      <c r="I12" s="1951"/>
      <c r="J12" s="1951"/>
      <c r="K12" s="1951"/>
      <c r="L12" s="1951"/>
      <c r="M12" s="1951"/>
      <c r="N12" s="79">
        <f t="shared" si="1"/>
        <v>0</v>
      </c>
      <c r="O12" s="82">
        <f>'A5-Capex'!J50</f>
        <v>0</v>
      </c>
      <c r="P12" s="80">
        <f>'A5-Capex'!K50</f>
        <v>0</v>
      </c>
      <c r="Q12" s="139">
        <f>'A5-Capex'!L50</f>
        <v>0</v>
      </c>
      <c r="R12" s="240"/>
    </row>
    <row r="13" spans="1:18">
      <c r="A13" s="1102" t="str">
        <f>'A5-Capex'!A51</f>
        <v>Housing</v>
      </c>
      <c r="B13" s="726"/>
      <c r="C13" s="1961"/>
      <c r="D13" s="1951"/>
      <c r="E13" s="1951"/>
      <c r="F13" s="1951"/>
      <c r="G13" s="1951"/>
      <c r="H13" s="1951"/>
      <c r="I13" s="1951"/>
      <c r="J13" s="1951"/>
      <c r="K13" s="1951"/>
      <c r="L13" s="1951"/>
      <c r="M13" s="1951"/>
      <c r="N13" s="79">
        <f t="shared" si="1"/>
        <v>1500000</v>
      </c>
      <c r="O13" s="82">
        <f>'A5-Capex'!J51</f>
        <v>1500000</v>
      </c>
      <c r="P13" s="80">
        <f>'A5-Capex'!K51</f>
        <v>0</v>
      </c>
      <c r="Q13" s="139">
        <f>'A5-Capex'!L51</f>
        <v>0</v>
      </c>
      <c r="R13" s="240"/>
    </row>
    <row r="14" spans="1:18">
      <c r="A14" s="1102" t="str">
        <f>'A5-Capex'!A52</f>
        <v>Health</v>
      </c>
      <c r="B14" s="726"/>
      <c r="C14" s="1961"/>
      <c r="D14" s="1951"/>
      <c r="E14" s="1951"/>
      <c r="F14" s="1951"/>
      <c r="G14" s="1951"/>
      <c r="H14" s="1951"/>
      <c r="I14" s="1951"/>
      <c r="J14" s="1951"/>
      <c r="K14" s="1951"/>
      <c r="L14" s="1951"/>
      <c r="M14" s="1951"/>
      <c r="N14" s="79">
        <f t="shared" si="1"/>
        <v>0</v>
      </c>
      <c r="O14" s="82">
        <f>'A5-Capex'!J52</f>
        <v>0</v>
      </c>
      <c r="P14" s="80">
        <f>'A5-Capex'!K52</f>
        <v>0</v>
      </c>
      <c r="Q14" s="139">
        <f>'A5-Capex'!L52</f>
        <v>0</v>
      </c>
      <c r="R14" s="240"/>
    </row>
    <row r="15" spans="1:18">
      <c r="A15" s="1101" t="str">
        <f>'A5-Capex'!A53</f>
        <v>Economic and environmental services</v>
      </c>
      <c r="B15" s="726"/>
      <c r="C15" s="965">
        <f>SUM(C16:C18)</f>
        <v>22153723.838761296</v>
      </c>
      <c r="D15" s="963">
        <f t="shared" ref="D15:M15" si="3">SUM(D16:D18)</f>
        <v>9031664.3556618579</v>
      </c>
      <c r="E15" s="963">
        <f t="shared" si="3"/>
        <v>5808268.9249510169</v>
      </c>
      <c r="F15" s="963">
        <f t="shared" si="3"/>
        <v>6165267.8147330489</v>
      </c>
      <c r="G15" s="963">
        <f t="shared" si="3"/>
        <v>4186758.8783404366</v>
      </c>
      <c r="H15" s="963">
        <f t="shared" si="3"/>
        <v>4616373.1008795109</v>
      </c>
      <c r="I15" s="963">
        <f t="shared" si="3"/>
        <v>2268540.4644721085</v>
      </c>
      <c r="J15" s="963">
        <f t="shared" si="3"/>
        <v>8788190.5004680213</v>
      </c>
      <c r="K15" s="963">
        <f t="shared" si="3"/>
        <v>4165503.4259097972</v>
      </c>
      <c r="L15" s="963">
        <f t="shared" si="3"/>
        <v>7734651.0780265508</v>
      </c>
      <c r="M15" s="963">
        <f t="shared" si="3"/>
        <v>13645208.189472185</v>
      </c>
      <c r="N15" s="94">
        <f t="shared" si="1"/>
        <v>8108899.428324163</v>
      </c>
      <c r="O15" s="97">
        <f>'A5-Capex'!J53</f>
        <v>96673050</v>
      </c>
      <c r="P15" s="95">
        <f>'A5-Capex'!K53</f>
        <v>97064700</v>
      </c>
      <c r="Q15" s="218">
        <f>'A5-Capex'!L53</f>
        <v>102838800</v>
      </c>
      <c r="R15" s="240"/>
    </row>
    <row r="16" spans="1:18">
      <c r="A16" s="1102" t="str">
        <f>'A5-Capex'!A54</f>
        <v>Planning and development</v>
      </c>
      <c r="B16" s="726"/>
      <c r="C16" s="1961">
        <v>0</v>
      </c>
      <c r="D16" s="1951">
        <v>701236.8076253006</v>
      </c>
      <c r="E16" s="1951">
        <v>0</v>
      </c>
      <c r="F16" s="1951">
        <v>0</v>
      </c>
      <c r="G16" s="1951">
        <v>298763.19237469946</v>
      </c>
      <c r="H16" s="1951">
        <v>0</v>
      </c>
      <c r="I16" s="1951">
        <v>0</v>
      </c>
      <c r="J16" s="1951">
        <v>0</v>
      </c>
      <c r="K16" s="1951">
        <v>0</v>
      </c>
      <c r="L16" s="1951">
        <v>0</v>
      </c>
      <c r="M16" s="1951">
        <v>0</v>
      </c>
      <c r="N16" s="79">
        <f t="shared" si="1"/>
        <v>235000</v>
      </c>
      <c r="O16" s="82">
        <f>'A5-Capex'!J54</f>
        <v>1235000</v>
      </c>
      <c r="P16" s="80">
        <f>'A5-Capex'!K54</f>
        <v>235000</v>
      </c>
      <c r="Q16" s="139">
        <f>'A5-Capex'!L54</f>
        <v>235000</v>
      </c>
      <c r="R16" s="240"/>
    </row>
    <row r="17" spans="1:20">
      <c r="A17" s="1102" t="str">
        <f>'A5-Capex'!A55</f>
        <v>Road transport</v>
      </c>
      <c r="B17" s="726"/>
      <c r="C17" s="1961">
        <v>22153723.838761296</v>
      </c>
      <c r="D17" s="1951">
        <v>8330427.5480365567</v>
      </c>
      <c r="E17" s="1951">
        <v>5808268.9249510169</v>
      </c>
      <c r="F17" s="1951">
        <v>6165267.8147330489</v>
      </c>
      <c r="G17" s="1951">
        <v>3887995.6859657373</v>
      </c>
      <c r="H17" s="1951">
        <v>4616373.1008795109</v>
      </c>
      <c r="I17" s="1951">
        <v>2268540.4644721085</v>
      </c>
      <c r="J17" s="1951">
        <v>8788190.5004680213</v>
      </c>
      <c r="K17" s="1951">
        <v>4165503.4259097972</v>
      </c>
      <c r="L17" s="1951">
        <v>7734651.0780265508</v>
      </c>
      <c r="M17" s="1951">
        <v>13645208.189472185</v>
      </c>
      <c r="N17" s="79">
        <f t="shared" si="1"/>
        <v>7873899.428324163</v>
      </c>
      <c r="O17" s="82">
        <f>'A5-Capex'!J55</f>
        <v>95438050</v>
      </c>
      <c r="P17" s="80">
        <f>'A5-Capex'!K55</f>
        <v>96829700</v>
      </c>
      <c r="Q17" s="139">
        <f>'A5-Capex'!L55</f>
        <v>102603800</v>
      </c>
      <c r="R17" s="240"/>
    </row>
    <row r="18" spans="1:20">
      <c r="A18" s="1102" t="str">
        <f>'A5-Capex'!A56</f>
        <v>Environmental protection</v>
      </c>
      <c r="B18" s="726"/>
      <c r="C18" s="1961"/>
      <c r="D18" s="1951"/>
      <c r="E18" s="1951"/>
      <c r="F18" s="1951"/>
      <c r="G18" s="1951"/>
      <c r="H18" s="1951"/>
      <c r="I18" s="1951"/>
      <c r="J18" s="1951"/>
      <c r="K18" s="1951"/>
      <c r="L18" s="1951"/>
      <c r="M18" s="1951"/>
      <c r="N18" s="79">
        <f t="shared" si="1"/>
        <v>0</v>
      </c>
      <c r="O18" s="82">
        <f>'A5-Capex'!J56</f>
        <v>0</v>
      </c>
      <c r="P18" s="80">
        <f>'A5-Capex'!K56</f>
        <v>0</v>
      </c>
      <c r="Q18" s="139">
        <f>'A5-Capex'!L56</f>
        <v>0</v>
      </c>
      <c r="R18" s="240"/>
    </row>
    <row r="19" spans="1:20">
      <c r="A19" s="1101" t="str">
        <f>'A5-Capex'!A57</f>
        <v>Trading services</v>
      </c>
      <c r="B19" s="726"/>
      <c r="C19" s="965">
        <f>SUM(C20:C23)</f>
        <v>170776.99949556997</v>
      </c>
      <c r="D19" s="963">
        <f t="shared" ref="D19:M19" si="4">SUM(D20:D23)</f>
        <v>236434.29237029742</v>
      </c>
      <c r="E19" s="963">
        <f t="shared" si="4"/>
        <v>704109.87917249091</v>
      </c>
      <c r="F19" s="963">
        <f t="shared" si="4"/>
        <v>628322.75396861928</v>
      </c>
      <c r="G19" s="963">
        <f t="shared" si="4"/>
        <v>974240.65271152987</v>
      </c>
      <c r="H19" s="963">
        <f t="shared" si="4"/>
        <v>1704687.3104872322</v>
      </c>
      <c r="I19" s="963">
        <f t="shared" si="4"/>
        <v>744633.59353098564</v>
      </c>
      <c r="J19" s="963">
        <f t="shared" si="4"/>
        <v>3653383.2540747314</v>
      </c>
      <c r="K19" s="963">
        <f t="shared" si="4"/>
        <v>2360408.5653100885</v>
      </c>
      <c r="L19" s="963">
        <f t="shared" si="4"/>
        <v>2397647.3532118681</v>
      </c>
      <c r="M19" s="963">
        <f t="shared" si="4"/>
        <v>7242550.8821330592</v>
      </c>
      <c r="N19" s="94">
        <f>O19-SUM(C19:M19)</f>
        <v>9182804.4635335281</v>
      </c>
      <c r="O19" s="97">
        <f>'A5-Capex'!J57</f>
        <v>30000000</v>
      </c>
      <c r="P19" s="95">
        <f>'A5-Capex'!K57</f>
        <v>8384000</v>
      </c>
      <c r="Q19" s="218">
        <f>'A5-Capex'!L57</f>
        <v>8786432</v>
      </c>
      <c r="R19" s="240"/>
    </row>
    <row r="20" spans="1:20">
      <c r="A20" s="1102" t="str">
        <f>'A5-Capex'!A58</f>
        <v>Energy sources</v>
      </c>
      <c r="B20" s="726"/>
      <c r="C20" s="1961">
        <v>170776.99949556997</v>
      </c>
      <c r="D20" s="1951">
        <v>236434.29237029742</v>
      </c>
      <c r="E20" s="1951">
        <v>704109.87917249091</v>
      </c>
      <c r="F20" s="1951">
        <v>628322.75396861928</v>
      </c>
      <c r="G20" s="1951">
        <v>974240.65271152987</v>
      </c>
      <c r="H20" s="1951">
        <v>1704687.3104872322</v>
      </c>
      <c r="I20" s="1951">
        <v>744633.59353098564</v>
      </c>
      <c r="J20" s="1951">
        <v>3653383.2540747314</v>
      </c>
      <c r="K20" s="1951">
        <v>2360408.5653100885</v>
      </c>
      <c r="L20" s="1951">
        <v>2397647.3532118681</v>
      </c>
      <c r="M20" s="1951">
        <v>7242550.8821330592</v>
      </c>
      <c r="N20" s="79">
        <f t="shared" si="1"/>
        <v>9182804.4635335281</v>
      </c>
      <c r="O20" s="82">
        <f>'A5-Capex'!J58</f>
        <v>30000000</v>
      </c>
      <c r="P20" s="80">
        <f>'A5-Capex'!K58</f>
        <v>8384000</v>
      </c>
      <c r="Q20" s="139">
        <f>'A5-Capex'!L58</f>
        <v>8786432</v>
      </c>
      <c r="R20" s="240"/>
    </row>
    <row r="21" spans="1:20">
      <c r="A21" s="1102" t="str">
        <f>'A5-Capex'!A59</f>
        <v>Water management</v>
      </c>
      <c r="B21" s="726"/>
      <c r="C21" s="1961"/>
      <c r="D21" s="1951"/>
      <c r="E21" s="1951"/>
      <c r="F21" s="1951"/>
      <c r="G21" s="1951"/>
      <c r="H21" s="1951"/>
      <c r="I21" s="1951"/>
      <c r="J21" s="1951"/>
      <c r="K21" s="1951"/>
      <c r="L21" s="1951"/>
      <c r="M21" s="1951"/>
      <c r="N21" s="79">
        <f t="shared" si="1"/>
        <v>0</v>
      </c>
      <c r="O21" s="82">
        <f>'A5-Capex'!J59</f>
        <v>0</v>
      </c>
      <c r="P21" s="80">
        <f>'A5-Capex'!K59</f>
        <v>0</v>
      </c>
      <c r="Q21" s="139">
        <f>'A5-Capex'!L59</f>
        <v>0</v>
      </c>
      <c r="R21" s="240"/>
    </row>
    <row r="22" spans="1:20">
      <c r="A22" s="1102" t="str">
        <f>'A5-Capex'!A60</f>
        <v>Waste water management</v>
      </c>
      <c r="B22" s="726"/>
      <c r="C22" s="1961"/>
      <c r="D22" s="1951"/>
      <c r="E22" s="1951"/>
      <c r="F22" s="1951"/>
      <c r="G22" s="1951"/>
      <c r="H22" s="1951"/>
      <c r="I22" s="1951"/>
      <c r="J22" s="1951"/>
      <c r="K22" s="1951"/>
      <c r="L22" s="1951"/>
      <c r="M22" s="1951"/>
      <c r="N22" s="79">
        <f t="shared" si="1"/>
        <v>0</v>
      </c>
      <c r="O22" s="82">
        <f>'A5-Capex'!J60</f>
        <v>0</v>
      </c>
      <c r="P22" s="80">
        <f>'A5-Capex'!K60</f>
        <v>0</v>
      </c>
      <c r="Q22" s="139">
        <f>'A5-Capex'!L60</f>
        <v>0</v>
      </c>
      <c r="R22" s="240"/>
    </row>
    <row r="23" spans="1:20">
      <c r="A23" s="1102" t="str">
        <f>'A5-Capex'!A61</f>
        <v>Waste management</v>
      </c>
      <c r="B23" s="726"/>
      <c r="C23" s="1961"/>
      <c r="D23" s="1951"/>
      <c r="E23" s="1951"/>
      <c r="F23" s="1951"/>
      <c r="G23" s="1951"/>
      <c r="H23" s="1951"/>
      <c r="I23" s="1951"/>
      <c r="J23" s="1951"/>
      <c r="K23" s="1951"/>
      <c r="L23" s="1951"/>
      <c r="M23" s="1951"/>
      <c r="N23" s="79">
        <f t="shared" si="1"/>
        <v>0</v>
      </c>
      <c r="O23" s="82">
        <f>'A5-Capex'!J61</f>
        <v>0</v>
      </c>
      <c r="P23" s="80">
        <f>'A5-Capex'!K61</f>
        <v>0</v>
      </c>
      <c r="Q23" s="139">
        <f>'A5-Capex'!L61</f>
        <v>0</v>
      </c>
      <c r="R23" s="240"/>
    </row>
    <row r="24" spans="1:20">
      <c r="A24" s="1101" t="str">
        <f>'A5-Capex'!A62</f>
        <v>Other</v>
      </c>
      <c r="B24" s="726"/>
      <c r="C24" s="1977"/>
      <c r="D24" s="1975"/>
      <c r="E24" s="1975"/>
      <c r="F24" s="1975"/>
      <c r="G24" s="1975"/>
      <c r="H24" s="1975"/>
      <c r="I24" s="1975"/>
      <c r="J24" s="1975"/>
      <c r="K24" s="1975"/>
      <c r="L24" s="1975"/>
      <c r="M24" s="1975"/>
      <c r="N24" s="94">
        <f>O24-SUM(C24:M24)</f>
        <v>0</v>
      </c>
      <c r="O24" s="97">
        <f>'A5-Capex'!J62</f>
        <v>0</v>
      </c>
      <c r="P24" s="95">
        <f>'A5-Capex'!K62</f>
        <v>0</v>
      </c>
      <c r="Q24" s="218">
        <f>'A5-Capex'!L62</f>
        <v>0</v>
      </c>
      <c r="R24" s="240"/>
    </row>
    <row r="25" spans="1:20">
      <c r="A25" s="711" t="str">
        <f>'A5-Capex'!A63</f>
        <v>Total Capital Expenditure - Functional</v>
      </c>
      <c r="B25" s="743">
        <v>2</v>
      </c>
      <c r="C25" s="227">
        <f>C5+C9+C15+C19+C24</f>
        <v>22324774.534764592</v>
      </c>
      <c r="D25" s="104">
        <f t="shared" ref="D25:Q25" si="5">D5+D9+D15+D19+D24</f>
        <v>9272427.021657411</v>
      </c>
      <c r="E25" s="104">
        <f t="shared" si="5"/>
        <v>6529050.945342158</v>
      </c>
      <c r="F25" s="104">
        <f t="shared" si="5"/>
        <v>6833706.7749160305</v>
      </c>
      <c r="G25" s="104">
        <f t="shared" si="5"/>
        <v>5165037.9367200751</v>
      </c>
      <c r="H25" s="104">
        <f t="shared" si="5"/>
        <v>6671755.2809322504</v>
      </c>
      <c r="I25" s="104">
        <f t="shared" si="5"/>
        <v>3015018.8916937588</v>
      </c>
      <c r="J25" s="104">
        <f t="shared" si="5"/>
        <v>14695268.127474159</v>
      </c>
      <c r="K25" s="104">
        <f t="shared" si="5"/>
        <v>6525911.9912198856</v>
      </c>
      <c r="L25" s="104">
        <f t="shared" si="5"/>
        <v>10132298.431238418</v>
      </c>
      <c r="M25" s="104">
        <f t="shared" si="5"/>
        <v>20888839.77478607</v>
      </c>
      <c r="N25" s="1598">
        <f>N5+N9+N15+N19+N24</f>
        <v>18918960.289255183</v>
      </c>
      <c r="O25" s="227">
        <f t="shared" si="5"/>
        <v>130973050</v>
      </c>
      <c r="P25" s="104">
        <f t="shared" si="5"/>
        <v>106148700</v>
      </c>
      <c r="Q25" s="681">
        <f t="shared" si="5"/>
        <v>112325232</v>
      </c>
      <c r="R25" s="240"/>
    </row>
    <row r="26" spans="1:20" ht="7.5" customHeight="1">
      <c r="A26" s="1116"/>
      <c r="B26" s="1896"/>
      <c r="C26" s="1897"/>
      <c r="D26" s="264"/>
      <c r="E26" s="264"/>
      <c r="F26" s="264"/>
      <c r="G26" s="264"/>
      <c r="H26" s="264"/>
      <c r="I26" s="264"/>
      <c r="J26" s="264"/>
      <c r="K26" s="264"/>
      <c r="L26" s="264"/>
      <c r="M26" s="264"/>
      <c r="N26" s="1597"/>
      <c r="O26" s="1284"/>
      <c r="P26" s="264"/>
      <c r="Q26" s="491"/>
      <c r="R26" s="240"/>
    </row>
    <row r="27" spans="1:20" s="576" customFormat="1">
      <c r="A27" s="58" t="s">
        <v>422</v>
      </c>
      <c r="B27" s="167"/>
      <c r="C27" s="80"/>
      <c r="D27" s="80"/>
      <c r="E27" s="80"/>
      <c r="F27" s="80"/>
      <c r="G27" s="80"/>
      <c r="H27" s="80"/>
      <c r="I27" s="80"/>
      <c r="J27" s="80"/>
      <c r="K27" s="80"/>
      <c r="L27" s="80"/>
      <c r="M27" s="1898"/>
      <c r="N27" s="1900"/>
      <c r="O27" s="1901"/>
      <c r="P27" s="1898"/>
      <c r="Q27" s="1899"/>
      <c r="R27" s="923"/>
      <c r="S27" s="923"/>
      <c r="T27" s="923"/>
    </row>
    <row r="28" spans="1:20" s="576" customFormat="1">
      <c r="A28" s="287" t="s">
        <v>1363</v>
      </c>
      <c r="B28" s="167"/>
      <c r="C28" s="1951">
        <f>22236560.4388982-169846-2000</f>
        <v>22064714.438898198</v>
      </c>
      <c r="D28" s="1951">
        <f>6984541.37936492+606739</f>
        <v>7591280.3793649198</v>
      </c>
      <c r="E28" s="1951">
        <v>5829987.0457475623</v>
      </c>
      <c r="F28" s="1951">
        <f>2935783.96382712-58000</f>
        <v>2877783.9638271201</v>
      </c>
      <c r="G28" s="1951">
        <v>3418657.1513783252</v>
      </c>
      <c r="H28" s="1951">
        <v>4633634.5173087902</v>
      </c>
      <c r="I28" s="1951">
        <v>2277022.9291230841</v>
      </c>
      <c r="J28" s="1951">
        <v>8821051.062769521</v>
      </c>
      <c r="K28" s="1951">
        <v>2658559.9148497852</v>
      </c>
      <c r="L28" s="1951">
        <v>7763572.2744453494</v>
      </c>
      <c r="M28" s="1951">
        <v>13696229.979885491</v>
      </c>
      <c r="N28" s="1230">
        <f>O28-SUM(C28:M28)</f>
        <v>7305556.3424018472</v>
      </c>
      <c r="O28" s="967">
        <f>'A5-Capex'!J66</f>
        <v>88938050</v>
      </c>
      <c r="P28" s="963">
        <f>'A5-Capex'!K66</f>
        <v>96829700</v>
      </c>
      <c r="Q28" s="1231">
        <f>'A5-Capex'!L66</f>
        <v>102603800</v>
      </c>
      <c r="R28" s="923"/>
      <c r="S28" s="923"/>
      <c r="T28" s="923"/>
    </row>
    <row r="29" spans="1:20" s="576" customFormat="1">
      <c r="A29" s="287" t="s">
        <v>470</v>
      </c>
      <c r="B29" s="167"/>
      <c r="C29" s="1964"/>
      <c r="D29" s="1951"/>
      <c r="E29" s="1951"/>
      <c r="F29" s="1951"/>
      <c r="G29" s="1951"/>
      <c r="H29" s="1951"/>
      <c r="I29" s="1951"/>
      <c r="J29" s="1951"/>
      <c r="K29" s="1951"/>
      <c r="L29" s="1951"/>
      <c r="M29" s="1951"/>
      <c r="N29" s="1903">
        <f t="shared" ref="N29:N35" si="6">O29-SUM(C29:M29)</f>
        <v>0</v>
      </c>
      <c r="O29" s="1056">
        <f>'A5-Capex'!J67</f>
        <v>0</v>
      </c>
      <c r="P29" s="1052">
        <f>'A5-Capex'!K67</f>
        <v>0</v>
      </c>
      <c r="Q29" s="1565">
        <f>'A5-Capex'!L67</f>
        <v>0</v>
      </c>
    </row>
    <row r="30" spans="1:20">
      <c r="A30" s="287" t="s">
        <v>471</v>
      </c>
      <c r="B30" s="167"/>
      <c r="C30" s="1964"/>
      <c r="D30" s="1964"/>
      <c r="E30" s="1964"/>
      <c r="F30" s="1964"/>
      <c r="G30" s="1964"/>
      <c r="H30" s="1964"/>
      <c r="I30" s="1951"/>
      <c r="J30" s="1964"/>
      <c r="K30" s="1964"/>
      <c r="L30" s="1964"/>
      <c r="M30" s="1951"/>
      <c r="N30" s="1903">
        <f t="shared" si="6"/>
        <v>0</v>
      </c>
      <c r="O30" s="1904">
        <f>'A5-Capex'!J68</f>
        <v>0</v>
      </c>
      <c r="P30" s="1905">
        <f>'A5-Capex'!K68</f>
        <v>0</v>
      </c>
      <c r="Q30" s="1906">
        <f>'A5-Capex'!L68</f>
        <v>0</v>
      </c>
    </row>
    <row r="31" spans="1:20" ht="49.15" customHeight="1">
      <c r="A31" s="2596" t="str">
        <f>'A5-Capex'!A69</f>
        <v>Transfers and subsidies - capital (monetary allocations) (National / Provincial Departmental Agencies, Households, Non-profit Institutions, Private Enterprises, Public Corporatons, Higher Educational Institutions)</v>
      </c>
      <c r="B31" s="167"/>
      <c r="C31" s="1964"/>
      <c r="D31" s="1964"/>
      <c r="E31" s="1964"/>
      <c r="F31" s="1964"/>
      <c r="G31" s="1964"/>
      <c r="H31" s="1964">
        <f>G25-G36</f>
        <v>318183.63559532352</v>
      </c>
      <c r="I31" s="1951"/>
      <c r="J31" s="1964"/>
      <c r="K31" s="1964"/>
      <c r="L31" s="1964"/>
      <c r="M31" s="1951"/>
      <c r="N31" s="1903">
        <f>O31-SUM(C31:M31)</f>
        <v>-318183.63559532352</v>
      </c>
      <c r="O31" s="1056">
        <f>'A5-Capex'!J69</f>
        <v>0</v>
      </c>
      <c r="P31" s="1052">
        <f>'A5-Capex'!K69</f>
        <v>0</v>
      </c>
      <c r="Q31" s="1565">
        <f>'A5-Capex'!L69</f>
        <v>0</v>
      </c>
    </row>
    <row r="32" spans="1:20">
      <c r="A32" s="1351" t="s">
        <v>1180</v>
      </c>
      <c r="B32" s="167"/>
      <c r="C32" s="90">
        <f t="shared" ref="C32:Q32" si="7">SUM(C28:C31)</f>
        <v>22064714.438898198</v>
      </c>
      <c r="D32" s="90">
        <f t="shared" si="7"/>
        <v>7591280.3793649198</v>
      </c>
      <c r="E32" s="90">
        <f t="shared" si="7"/>
        <v>5829987.0457475623</v>
      </c>
      <c r="F32" s="90">
        <f t="shared" si="7"/>
        <v>2877783.9638271201</v>
      </c>
      <c r="G32" s="90">
        <f t="shared" si="7"/>
        <v>3418657.1513783252</v>
      </c>
      <c r="H32" s="90">
        <f t="shared" si="7"/>
        <v>4951818.1529041138</v>
      </c>
      <c r="I32" s="90">
        <f t="shared" si="7"/>
        <v>2277022.9291230841</v>
      </c>
      <c r="J32" s="90">
        <f t="shared" si="7"/>
        <v>8821051.062769521</v>
      </c>
      <c r="K32" s="90">
        <f t="shared" si="7"/>
        <v>2658559.9148497852</v>
      </c>
      <c r="L32" s="90">
        <f t="shared" si="7"/>
        <v>7763572.2744453494</v>
      </c>
      <c r="M32" s="90">
        <f t="shared" si="7"/>
        <v>13696229.979885491</v>
      </c>
      <c r="N32" s="1907">
        <f>SUM(N28:N31)</f>
        <v>6987372.7068065237</v>
      </c>
      <c r="O32" s="1908">
        <f t="shared" si="7"/>
        <v>88938050</v>
      </c>
      <c r="P32" s="1909">
        <f t="shared" si="7"/>
        <v>96829700</v>
      </c>
      <c r="Q32" s="1907">
        <f t="shared" si="7"/>
        <v>102603800</v>
      </c>
    </row>
    <row r="33" spans="1:17" ht="1.9" customHeight="1">
      <c r="A33" s="286"/>
      <c r="B33" s="167"/>
      <c r="C33" s="1279"/>
      <c r="D33" s="900"/>
      <c r="E33" s="900"/>
      <c r="F33" s="900"/>
      <c r="G33" s="900"/>
      <c r="H33" s="900"/>
      <c r="I33" s="900"/>
      <c r="J33" s="900"/>
      <c r="K33" s="900"/>
      <c r="L33" s="900"/>
      <c r="M33" s="900"/>
      <c r="N33" s="1903"/>
      <c r="O33" s="1056"/>
      <c r="P33" s="1052"/>
      <c r="Q33" s="1565"/>
    </row>
    <row r="34" spans="1:17">
      <c r="A34" s="286" t="s">
        <v>1122</v>
      </c>
      <c r="B34" s="167"/>
      <c r="C34" s="1951">
        <v>0</v>
      </c>
      <c r="D34" s="1951">
        <v>0</v>
      </c>
      <c r="E34" s="1951">
        <v>0</v>
      </c>
      <c r="F34" s="1951">
        <v>366781.01142752037</v>
      </c>
      <c r="G34" s="1951">
        <v>1122255.66160851</v>
      </c>
      <c r="H34" s="1951">
        <v>1148285.4758581461</v>
      </c>
      <c r="I34" s="1951">
        <v>104703.08861336237</v>
      </c>
      <c r="J34" s="1951">
        <v>3242005.5953315794</v>
      </c>
      <c r="K34" s="1951">
        <v>890162.37547197554</v>
      </c>
      <c r="L34" s="1951">
        <v>503452.93667221064</v>
      </c>
      <c r="M34" s="1951">
        <v>6251790.3937936453</v>
      </c>
      <c r="N34" s="1903">
        <f t="shared" si="6"/>
        <v>8370563.461223051</v>
      </c>
      <c r="O34" s="1056">
        <f>'A5-Capex'!J72</f>
        <v>22000000</v>
      </c>
      <c r="P34" s="1052">
        <f>'A5-Capex'!K72</f>
        <v>0</v>
      </c>
      <c r="Q34" s="1565">
        <f>'A5-Capex'!L72</f>
        <v>0</v>
      </c>
    </row>
    <row r="35" spans="1:17">
      <c r="A35" s="286" t="s">
        <v>423</v>
      </c>
      <c r="B35" s="167"/>
      <c r="C35" s="1951">
        <v>169846.41178124247</v>
      </c>
      <c r="D35" s="1951">
        <v>1681146.3617609227</v>
      </c>
      <c r="E35" s="1951">
        <v>713885.08463392628</v>
      </c>
      <c r="F35" s="1951">
        <v>3589206.046401097</v>
      </c>
      <c r="G35" s="1951">
        <v>305941.4881379166</v>
      </c>
      <c r="H35" s="1951">
        <v>2798104.899980939</v>
      </c>
      <c r="I35" s="1951">
        <v>635115.6151953931</v>
      </c>
      <c r="J35" s="1951">
        <v>616416.48865692166</v>
      </c>
      <c r="K35" s="1951">
        <v>2938272.6012238949</v>
      </c>
      <c r="L35" s="1951">
        <v>1831250.5546386363</v>
      </c>
      <c r="M35" s="1951">
        <v>578443.96049225621</v>
      </c>
      <c r="N35" s="1903">
        <f t="shared" si="6"/>
        <v>4177370.4870968536</v>
      </c>
      <c r="O35" s="1056">
        <f>'A5-Capex'!J73</f>
        <v>20035000</v>
      </c>
      <c r="P35" s="1052">
        <f>'A5-Capex'!K73</f>
        <v>9319000</v>
      </c>
      <c r="Q35" s="1565">
        <f>'A5-Capex'!L73</f>
        <v>9721432</v>
      </c>
    </row>
    <row r="36" spans="1:17">
      <c r="A36" s="101" t="s">
        <v>670</v>
      </c>
      <c r="B36" s="179"/>
      <c r="C36" s="107">
        <f>+C32+C34+C35</f>
        <v>22234560.850679442</v>
      </c>
      <c r="D36" s="107">
        <f t="shared" ref="D36:Q36" si="8">+D32+D34+D35</f>
        <v>9272426.7411258426</v>
      </c>
      <c r="E36" s="107">
        <f t="shared" si="8"/>
        <v>6543872.1303814882</v>
      </c>
      <c r="F36" s="107">
        <f t="shared" si="8"/>
        <v>6833771.0216557374</v>
      </c>
      <c r="G36" s="107">
        <f t="shared" si="8"/>
        <v>4846854.3011247516</v>
      </c>
      <c r="H36" s="107">
        <f t="shared" si="8"/>
        <v>8898208.5287432</v>
      </c>
      <c r="I36" s="107">
        <f t="shared" si="8"/>
        <v>3016841.6329318397</v>
      </c>
      <c r="J36" s="107">
        <f t="shared" si="8"/>
        <v>12679473.146758022</v>
      </c>
      <c r="K36" s="107">
        <f t="shared" si="8"/>
        <v>6486994.8915456552</v>
      </c>
      <c r="L36" s="107">
        <f t="shared" si="8"/>
        <v>10098275.765756197</v>
      </c>
      <c r="M36" s="1902">
        <f t="shared" si="8"/>
        <v>20526464.334171392</v>
      </c>
      <c r="N36" s="1910">
        <f t="shared" si="8"/>
        <v>19535306.65512643</v>
      </c>
      <c r="O36" s="1911">
        <f t="shared" si="8"/>
        <v>130973050</v>
      </c>
      <c r="P36" s="1912">
        <f t="shared" si="8"/>
        <v>106148700</v>
      </c>
      <c r="Q36" s="1913">
        <f t="shared" si="8"/>
        <v>112325232</v>
      </c>
    </row>
    <row r="37" spans="1:17">
      <c r="A37" s="1242" t="str">
        <f>head27a</f>
        <v>References</v>
      </c>
      <c r="B37" s="924"/>
      <c r="C37" s="876"/>
      <c r="D37" s="876"/>
      <c r="E37" s="876"/>
      <c r="F37" s="876"/>
      <c r="G37" s="876"/>
      <c r="H37" s="876"/>
      <c r="I37" s="876"/>
      <c r="J37" s="876"/>
      <c r="K37" s="876"/>
      <c r="L37" s="876"/>
    </row>
    <row r="38" spans="1:17">
      <c r="A38" s="1238" t="s">
        <v>682</v>
      </c>
      <c r="B38" s="576"/>
      <c r="C38" s="876"/>
      <c r="D38" s="876"/>
      <c r="E38" s="876"/>
      <c r="F38" s="876"/>
      <c r="G38" s="876"/>
      <c r="H38" s="876"/>
      <c r="I38" s="876"/>
      <c r="J38" s="876"/>
      <c r="K38" s="876"/>
      <c r="L38" s="876"/>
    </row>
    <row r="39" spans="1:17">
      <c r="A39" s="1238" t="str">
        <f>'SA28'!A44</f>
        <v>2. Total Capital Expenditure must reconcile to Budgeted Capital Expenditure</v>
      </c>
      <c r="B39" s="576"/>
      <c r="C39" s="576"/>
      <c r="D39" s="576"/>
      <c r="E39" s="576"/>
      <c r="F39" s="576"/>
      <c r="G39" s="576"/>
      <c r="H39" s="576"/>
      <c r="I39" s="576"/>
      <c r="J39" s="576"/>
      <c r="K39" s="576"/>
      <c r="L39" s="576"/>
    </row>
    <row r="40" spans="1:17">
      <c r="A40" s="305" t="s">
        <v>1338</v>
      </c>
      <c r="B40" s="305"/>
    </row>
  </sheetData>
  <mergeCells count="2">
    <mergeCell ref="C2:N2"/>
    <mergeCell ref="O2:Q2"/>
  </mergeCells>
  <phoneticPr fontId="5"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R190"/>
  <sheetViews>
    <sheetView showGridLines="0" zoomScaleNormal="100" workbookViewId="0">
      <pane xSplit="1" ySplit="3" topLeftCell="B43" activePane="bottomRight" state="frozen"/>
      <selection pane="topRight"/>
      <selection pane="bottomLeft"/>
      <selection pane="bottomRight" activeCell="N35" sqref="N35"/>
    </sheetView>
  </sheetViews>
  <sheetFormatPr defaultColWidth="9.140625" defaultRowHeight="12.75"/>
  <cols>
    <col min="1" max="1" width="40.5703125" style="26" customWidth="1"/>
    <col min="2" max="2" width="9.140625" style="26" customWidth="1"/>
    <col min="3" max="13" width="8.28515625" style="26" customWidth="1"/>
    <col min="14" max="16" width="9.28515625" style="26" customWidth="1"/>
    <col min="17" max="17" width="9.7109375" style="26" hidden="1" customWidth="1"/>
    <col min="18" max="18" width="9.42578125" style="26" hidden="1" customWidth="1"/>
    <col min="19" max="19" width="9.7109375" style="26" hidden="1" customWidth="1"/>
    <col min="20" max="20" width="11.28515625" style="26" customWidth="1"/>
    <col min="21" max="21" width="9.42578125" style="26" bestFit="1" customWidth="1"/>
    <col min="22" max="25" width="9.7109375" style="26" bestFit="1" customWidth="1"/>
    <col min="26" max="27" width="9.42578125" style="26" bestFit="1" customWidth="1"/>
    <col min="28" max="28" width="9.7109375" style="26" bestFit="1" customWidth="1"/>
    <col min="29" max="16384" width="9.140625" style="26"/>
  </cols>
  <sheetData>
    <row r="1" spans="1:22" ht="13.5" customHeight="1">
      <c r="A1" s="24" t="str">
        <f>muni&amp;" - "&amp; TableA30</f>
        <v>LIM333 Greater Tzaneen - Supporting Table SA30 Consolidated budgeted monthly cash flow</v>
      </c>
      <c r="B1" s="24"/>
      <c r="C1" s="24"/>
      <c r="D1" s="24"/>
      <c r="E1" s="24"/>
      <c r="F1" s="24"/>
      <c r="G1" s="24"/>
      <c r="H1" s="24"/>
      <c r="I1" s="24"/>
      <c r="J1" s="24"/>
      <c r="K1" s="24"/>
      <c r="L1" s="24"/>
      <c r="M1" s="24"/>
      <c r="N1" s="24"/>
      <c r="O1" s="24"/>
      <c r="P1" s="24"/>
      <c r="Q1" s="24"/>
    </row>
    <row r="2" spans="1:22" ht="28.5" customHeight="1">
      <c r="A2" s="856" t="s">
        <v>357</v>
      </c>
      <c r="B2" s="2842" t="str">
        <f>Head9</f>
        <v>Budget Year 2020/21</v>
      </c>
      <c r="C2" s="2843"/>
      <c r="D2" s="2843"/>
      <c r="E2" s="2843"/>
      <c r="F2" s="2843"/>
      <c r="G2" s="2843"/>
      <c r="H2" s="2843"/>
      <c r="I2" s="2843"/>
      <c r="J2" s="2843"/>
      <c r="K2" s="2843"/>
      <c r="L2" s="2843"/>
      <c r="M2" s="2843"/>
      <c r="N2" s="2839" t="s">
        <v>1560</v>
      </c>
      <c r="O2" s="2840"/>
      <c r="P2" s="2841"/>
    </row>
    <row r="3" spans="1:22" ht="25.5">
      <c r="A3" s="57" t="s">
        <v>569</v>
      </c>
      <c r="B3" s="1920" t="s">
        <v>623</v>
      </c>
      <c r="C3" s="789" t="s">
        <v>1240</v>
      </c>
      <c r="D3" s="789" t="s">
        <v>1241</v>
      </c>
      <c r="E3" s="789" t="s">
        <v>1242</v>
      </c>
      <c r="F3" s="789" t="s">
        <v>604</v>
      </c>
      <c r="G3" s="789" t="s">
        <v>605</v>
      </c>
      <c r="H3" s="789" t="s">
        <v>606</v>
      </c>
      <c r="I3" s="789" t="s">
        <v>607</v>
      </c>
      <c r="J3" s="789" t="s">
        <v>608</v>
      </c>
      <c r="K3" s="789" t="s">
        <v>609</v>
      </c>
      <c r="L3" s="789" t="s">
        <v>610</v>
      </c>
      <c r="M3" s="261" t="s">
        <v>611</v>
      </c>
      <c r="N3" s="1920" t="str">
        <f>Head9</f>
        <v>Budget Year 2020/21</v>
      </c>
      <c r="O3" s="789" t="str">
        <f>Head10</f>
        <v>Budget Year +1 2021/22</v>
      </c>
      <c r="P3" s="790" t="str">
        <f>Head11</f>
        <v>Budget Year +2 2022/23</v>
      </c>
    </row>
    <row r="4" spans="1:22">
      <c r="A4" s="126" t="s">
        <v>786</v>
      </c>
      <c r="B4" s="214"/>
      <c r="C4" s="184"/>
      <c r="D4" s="184"/>
      <c r="E4" s="184"/>
      <c r="F4" s="184"/>
      <c r="G4" s="184"/>
      <c r="H4" s="184"/>
      <c r="I4" s="184"/>
      <c r="J4" s="184"/>
      <c r="K4" s="184"/>
      <c r="L4" s="184"/>
      <c r="M4" s="187"/>
      <c r="N4" s="1590">
        <v>1</v>
      </c>
      <c r="O4" s="184"/>
      <c r="P4" s="725"/>
      <c r="T4" s="240"/>
    </row>
    <row r="5" spans="1:22">
      <c r="A5" s="127" t="str">
        <f>'A4-FinPerf RE'!A5</f>
        <v>Property rates</v>
      </c>
      <c r="B5" s="1953">
        <v>8322460.462120723</v>
      </c>
      <c r="C5" s="1951">
        <v>9510368.2331878785</v>
      </c>
      <c r="D5" s="1951">
        <v>8768128.6289331391</v>
      </c>
      <c r="E5" s="1951">
        <v>9750928.0784160774</v>
      </c>
      <c r="F5" s="1951">
        <v>9679274.4754698463</v>
      </c>
      <c r="G5" s="1951">
        <v>9548083.4644823261</v>
      </c>
      <c r="H5" s="1951">
        <v>9382569.4839904811</v>
      </c>
      <c r="I5" s="1951">
        <v>10467894.689052125</v>
      </c>
      <c r="J5" s="1951">
        <v>11484937.963986782</v>
      </c>
      <c r="K5" s="1951">
        <v>11222221.326071916</v>
      </c>
      <c r="L5" s="1951">
        <v>9967775.1165297609</v>
      </c>
      <c r="M5" s="81">
        <f t="shared" ref="M5:M19" si="0">N5-SUM(B5:L5)</f>
        <v>11145358.077758938</v>
      </c>
      <c r="N5" s="1953">
        <v>119250000</v>
      </c>
      <c r="O5" s="1951">
        <v>124735500</v>
      </c>
      <c r="P5" s="1954">
        <v>130473333</v>
      </c>
      <c r="Q5" s="1962">
        <v>100001</v>
      </c>
      <c r="R5" s="1961">
        <v>100001</v>
      </c>
      <c r="S5" s="1961">
        <v>100001</v>
      </c>
      <c r="T5" s="240"/>
      <c r="U5" s="240"/>
      <c r="V5" s="240"/>
    </row>
    <row r="6" spans="1:22">
      <c r="A6" s="127" t="str">
        <f>'A4-FinPerf RE'!A6</f>
        <v>Service charges - electricity revenue</v>
      </c>
      <c r="B6" s="1953">
        <v>37498652.862560637</v>
      </c>
      <c r="C6" s="1951">
        <v>38202420.238356732</v>
      </c>
      <c r="D6" s="1951">
        <v>45501200.870565347</v>
      </c>
      <c r="E6" s="1951">
        <v>47243307.938458271</v>
      </c>
      <c r="F6" s="1951">
        <v>50583403.785646453</v>
      </c>
      <c r="G6" s="1951">
        <v>39854926.529345803</v>
      </c>
      <c r="H6" s="1951">
        <v>42587171.595205463</v>
      </c>
      <c r="I6" s="1951">
        <v>42884727.900013223</v>
      </c>
      <c r="J6" s="1951">
        <v>40140269.340300694</v>
      </c>
      <c r="K6" s="1951">
        <v>36869123.43436303</v>
      </c>
      <c r="L6" s="1951">
        <v>49790973.576565951</v>
      </c>
      <c r="M6" s="81">
        <f t="shared" si="0"/>
        <v>42924721.928618431</v>
      </c>
      <c r="N6" s="1953">
        <v>514080900</v>
      </c>
      <c r="O6" s="1951">
        <v>537743021.39999998</v>
      </c>
      <c r="P6" s="1954">
        <v>562494291.30000007</v>
      </c>
      <c r="T6" s="240"/>
      <c r="U6" s="240"/>
      <c r="V6" s="240"/>
    </row>
    <row r="7" spans="1:22">
      <c r="A7" s="127" t="str">
        <f>'A4-FinPerf RE'!A7</f>
        <v>Service charges - water revenue</v>
      </c>
      <c r="B7" s="1953"/>
      <c r="C7" s="1951"/>
      <c r="D7" s="1951"/>
      <c r="E7" s="1951"/>
      <c r="F7" s="1951"/>
      <c r="G7" s="1951"/>
      <c r="H7" s="1951"/>
      <c r="I7" s="1951"/>
      <c r="J7" s="1951"/>
      <c r="K7" s="1951"/>
      <c r="L7" s="1951"/>
      <c r="M7" s="81">
        <f t="shared" si="0"/>
        <v>0</v>
      </c>
      <c r="N7" s="1953">
        <v>0</v>
      </c>
      <c r="O7" s="1951">
        <v>0</v>
      </c>
      <c r="P7" s="1954">
        <v>0</v>
      </c>
      <c r="T7" s="240"/>
      <c r="U7" s="240"/>
      <c r="V7" s="240"/>
    </row>
    <row r="8" spans="1:22">
      <c r="A8" s="127" t="str">
        <f>'A4-FinPerf RE'!A8</f>
        <v>Service charges - sanitation revenue</v>
      </c>
      <c r="B8" s="1953"/>
      <c r="C8" s="1951"/>
      <c r="D8" s="1951"/>
      <c r="E8" s="1951"/>
      <c r="F8" s="1951"/>
      <c r="G8" s="1951"/>
      <c r="H8" s="1951"/>
      <c r="I8" s="1951"/>
      <c r="J8" s="1951"/>
      <c r="K8" s="1951"/>
      <c r="L8" s="1951"/>
      <c r="M8" s="81">
        <f t="shared" si="0"/>
        <v>0</v>
      </c>
      <c r="N8" s="1953">
        <v>0</v>
      </c>
      <c r="O8" s="1951">
        <v>0</v>
      </c>
      <c r="P8" s="1954">
        <v>0</v>
      </c>
      <c r="T8" s="240"/>
      <c r="U8" s="240"/>
      <c r="V8" s="240"/>
    </row>
    <row r="9" spans="1:22">
      <c r="A9" s="127" t="str">
        <f>'A4-FinPerf RE'!A9</f>
        <v>Service charges - refuse revenue</v>
      </c>
      <c r="B9" s="1953">
        <v>2207320.5511300531</v>
      </c>
      <c r="C9" s="1951">
        <v>2740066.2157951179</v>
      </c>
      <c r="D9" s="1951">
        <v>2828545.5010919333</v>
      </c>
      <c r="E9" s="1951">
        <v>2735311.2307494227</v>
      </c>
      <c r="F9" s="1951">
        <v>3069478.3207776062</v>
      </c>
      <c r="G9" s="1951">
        <v>2596717.6150084944</v>
      </c>
      <c r="H9" s="1951">
        <v>2494600.0826332755</v>
      </c>
      <c r="I9" s="1951">
        <v>2449700.9490701957</v>
      </c>
      <c r="J9" s="1951">
        <v>2475917.7667469829</v>
      </c>
      <c r="K9" s="1951">
        <v>2870136.695826984</v>
      </c>
      <c r="L9" s="1951">
        <v>2527296.8738590116</v>
      </c>
      <c r="M9" s="81">
        <f t="shared" si="0"/>
        <v>2879426.9973109215</v>
      </c>
      <c r="N9" s="1953">
        <v>31874518.800000001</v>
      </c>
      <c r="O9" s="1951">
        <v>33340746.600000001</v>
      </c>
      <c r="P9" s="1954">
        <v>34874421.300000004</v>
      </c>
      <c r="T9" s="240"/>
      <c r="U9" s="240"/>
      <c r="V9" s="240"/>
    </row>
    <row r="10" spans="1:22" ht="1.9" customHeight="1">
      <c r="A10" s="127"/>
      <c r="B10" s="904"/>
      <c r="C10" s="900"/>
      <c r="D10" s="900"/>
      <c r="E10" s="900"/>
      <c r="F10" s="900"/>
      <c r="G10" s="900"/>
      <c r="H10" s="900"/>
      <c r="I10" s="900"/>
      <c r="J10" s="900"/>
      <c r="K10" s="900"/>
      <c r="L10" s="900"/>
      <c r="M10" s="901"/>
      <c r="N10" s="904">
        <v>2475000</v>
      </c>
      <c r="O10" s="900">
        <v>2588850</v>
      </c>
      <c r="P10" s="982">
        <v>2707937.1</v>
      </c>
      <c r="T10" s="240"/>
      <c r="U10" s="240"/>
      <c r="V10" s="240"/>
    </row>
    <row r="11" spans="1:22">
      <c r="A11" s="127" t="str">
        <f>'A4-FinPerf RE'!A11</f>
        <v>Rental of facilities and equipment</v>
      </c>
      <c r="B11" s="1953">
        <v>97611.742618171629</v>
      </c>
      <c r="C11" s="1951">
        <v>98684.550272704277</v>
      </c>
      <c r="D11" s="1951">
        <v>93801.900050152864</v>
      </c>
      <c r="E11" s="1951">
        <v>94976.486892422472</v>
      </c>
      <c r="F11" s="1951">
        <v>98808.33577130409</v>
      </c>
      <c r="G11" s="1951">
        <v>94957.231370418289</v>
      </c>
      <c r="H11" s="1951">
        <v>96470.165242195013</v>
      </c>
      <c r="I11" s="1951">
        <v>91491.23740962072</v>
      </c>
      <c r="J11" s="1951">
        <v>96126.316634973147</v>
      </c>
      <c r="K11" s="1951">
        <v>91491.23740962072</v>
      </c>
      <c r="L11" s="1951">
        <v>95699.944362017864</v>
      </c>
      <c r="M11" s="81">
        <f t="shared" si="0"/>
        <v>2970.851966399001</v>
      </c>
      <c r="N11" s="1953">
        <v>1053090</v>
      </c>
      <c r="O11" s="1951">
        <v>1101532.5</v>
      </c>
      <c r="P11" s="1954">
        <v>1152202.5</v>
      </c>
      <c r="T11" s="240"/>
      <c r="U11" s="240"/>
      <c r="V11" s="240"/>
    </row>
    <row r="12" spans="1:22">
      <c r="A12" s="127" t="str">
        <f>'A4-FinPerf RE'!A12</f>
        <v>Interest earned - external investments</v>
      </c>
      <c r="B12" s="1953">
        <v>0</v>
      </c>
      <c r="C12" s="1951">
        <v>0</v>
      </c>
      <c r="D12" s="1951">
        <v>110106.34753955895</v>
      </c>
      <c r="E12" s="1951">
        <v>0</v>
      </c>
      <c r="F12" s="1951">
        <v>683509.03033713985</v>
      </c>
      <c r="G12" s="1951">
        <v>84010.677395225372</v>
      </c>
      <c r="H12" s="1951">
        <v>186843.06202505692</v>
      </c>
      <c r="I12" s="1951">
        <v>120736.4093614265</v>
      </c>
      <c r="J12" s="1951">
        <v>108801.50995525815</v>
      </c>
      <c r="K12" s="1951">
        <v>1092501.2991047329</v>
      </c>
      <c r="L12" s="1951">
        <v>42189.936425698615</v>
      </c>
      <c r="M12" s="81">
        <f t="shared" si="0"/>
        <v>582001.72785590263</v>
      </c>
      <c r="N12" s="1953">
        <v>3010700</v>
      </c>
      <c r="O12" s="1951">
        <v>3149192.1999999997</v>
      </c>
      <c r="P12" s="1954">
        <v>3294055.0999999996</v>
      </c>
      <c r="T12" s="240"/>
      <c r="U12" s="240"/>
      <c r="V12" s="240"/>
    </row>
    <row r="13" spans="1:22">
      <c r="A13" s="127" t="str">
        <f>'A4-FinPerf RE'!A13</f>
        <v>Interest earned - outstanding debtors</v>
      </c>
      <c r="B13" s="1953">
        <v>1296135.7295260332</v>
      </c>
      <c r="C13" s="1951">
        <v>1347699.1426353748</v>
      </c>
      <c r="D13" s="1951">
        <v>1292232.5285336934</v>
      </c>
      <c r="E13" s="1951">
        <v>1447800.5680848914</v>
      </c>
      <c r="F13" s="1951">
        <v>1417249.7603177286</v>
      </c>
      <c r="G13" s="1951">
        <v>1415907.1599763951</v>
      </c>
      <c r="H13" s="1951">
        <v>1453029.5694143032</v>
      </c>
      <c r="I13" s="1951">
        <v>1385027.3521255974</v>
      </c>
      <c r="J13" s="1951">
        <v>1463987.3722001798</v>
      </c>
      <c r="K13" s="1951">
        <v>1518238.7859929155</v>
      </c>
      <c r="L13" s="1951">
        <v>1216012.3091556714</v>
      </c>
      <c r="M13" s="81">
        <f t="shared" si="0"/>
        <v>1266679.7220372148</v>
      </c>
      <c r="N13" s="1953">
        <v>16519999.999999998</v>
      </c>
      <c r="O13" s="1951">
        <v>17279920</v>
      </c>
      <c r="P13" s="1954">
        <v>18074796.599999998</v>
      </c>
      <c r="T13" s="240"/>
      <c r="U13" s="240"/>
      <c r="V13" s="240"/>
    </row>
    <row r="14" spans="1:22">
      <c r="A14" s="127" t="str">
        <f>'A4-FinPerf RE'!A14</f>
        <v>Dividends received</v>
      </c>
      <c r="B14" s="1953"/>
      <c r="C14" s="1951"/>
      <c r="D14" s="1951"/>
      <c r="E14" s="1951"/>
      <c r="F14" s="1951"/>
      <c r="G14" s="1951"/>
      <c r="H14" s="1951"/>
      <c r="I14" s="1951"/>
      <c r="J14" s="1951"/>
      <c r="K14" s="1951"/>
      <c r="L14" s="1951"/>
      <c r="M14" s="81">
        <f t="shared" si="0"/>
        <v>0</v>
      </c>
      <c r="N14" s="1953"/>
      <c r="O14" s="1951"/>
      <c r="P14" s="1954"/>
      <c r="T14" s="240"/>
      <c r="U14" s="240"/>
      <c r="V14" s="240"/>
    </row>
    <row r="15" spans="1:22">
      <c r="A15" s="127" t="str">
        <f>'A4-FinPerf RE'!A15</f>
        <v>Fines, penalties and forfeits</v>
      </c>
      <c r="B15" s="1953">
        <v>258932.733714937</v>
      </c>
      <c r="C15" s="1951">
        <v>297515.52193337702</v>
      </c>
      <c r="D15" s="1951">
        <v>410919.187808363</v>
      </c>
      <c r="E15" s="1951">
        <v>316416.974210991</v>
      </c>
      <c r="F15" s="1951">
        <v>269698.40933119599</v>
      </c>
      <c r="G15" s="1951">
        <v>654559.63959646598</v>
      </c>
      <c r="H15" s="1951">
        <v>271380.58558210201</v>
      </c>
      <c r="I15" s="1951">
        <v>204106.155022639</v>
      </c>
      <c r="J15" s="1951">
        <v>404257.36603152199</v>
      </c>
      <c r="K15" s="1951">
        <v>455359.93713460601</v>
      </c>
      <c r="L15" s="1951">
        <v>253083.60624085899</v>
      </c>
      <c r="M15" s="81">
        <f t="shared" si="0"/>
        <v>254792.28339294204</v>
      </c>
      <c r="N15" s="1953">
        <v>4051022.4</v>
      </c>
      <c r="O15" s="1951">
        <v>4269777.3</v>
      </c>
      <c r="P15" s="1954">
        <v>4500345.6000000006</v>
      </c>
      <c r="T15" s="240"/>
      <c r="U15" s="240"/>
      <c r="V15" s="240"/>
    </row>
    <row r="16" spans="1:22">
      <c r="A16" s="127" t="str">
        <f>'A4-FinPerf RE'!A16</f>
        <v>Licences and permits</v>
      </c>
      <c r="B16" s="1953">
        <v>71075.973024653053</v>
      </c>
      <c r="C16" s="1951">
        <v>69294.293402212716</v>
      </c>
      <c r="D16" s="1951">
        <v>51404.866311337901</v>
      </c>
      <c r="E16" s="1951">
        <v>119119.11227001279</v>
      </c>
      <c r="F16" s="1951">
        <v>55811.632964844539</v>
      </c>
      <c r="G16" s="1951">
        <v>25552.591231349052</v>
      </c>
      <c r="H16" s="1951">
        <v>49864.795489611315</v>
      </c>
      <c r="I16" s="1951">
        <v>59117.078520619652</v>
      </c>
      <c r="J16" s="1951">
        <v>60919.509819194849</v>
      </c>
      <c r="K16" s="1951">
        <v>74535.573888858984</v>
      </c>
      <c r="L16" s="1951">
        <v>83122.321020969102</v>
      </c>
      <c r="M16" s="81">
        <f t="shared" si="0"/>
        <v>105482.25205633603</v>
      </c>
      <c r="N16" s="1953">
        <v>825300</v>
      </c>
      <c r="O16" s="1951">
        <v>863263.8</v>
      </c>
      <c r="P16" s="1954">
        <v>902973.6</v>
      </c>
      <c r="T16" s="240"/>
      <c r="U16" s="240"/>
      <c r="V16" s="240"/>
    </row>
    <row r="17" spans="1:23">
      <c r="A17" s="127" t="str">
        <f>'A4-FinPerf RE'!A17</f>
        <v>Agency services</v>
      </c>
      <c r="B17" s="1953">
        <v>4203268.2293629358</v>
      </c>
      <c r="C17" s="1951">
        <v>3768997.1344091282</v>
      </c>
      <c r="D17" s="1951">
        <v>5349758.7012814386</v>
      </c>
      <c r="E17" s="1951">
        <v>4429927.5569574144</v>
      </c>
      <c r="F17" s="1951">
        <v>4066137.4162616557</v>
      </c>
      <c r="G17" s="1951">
        <v>3731063.6986433864</v>
      </c>
      <c r="H17" s="1951">
        <v>4601518.5064972425</v>
      </c>
      <c r="I17" s="1951">
        <v>4782939.9083071947</v>
      </c>
      <c r="J17" s="1951">
        <v>3313799.9386041104</v>
      </c>
      <c r="K17" s="1951">
        <v>5120211.6324445037</v>
      </c>
      <c r="L17" s="1951">
        <v>5120211.6324445037</v>
      </c>
      <c r="M17" s="81">
        <f t="shared" si="0"/>
        <v>4310027.544786498</v>
      </c>
      <c r="N17" s="1953">
        <v>52797861.899999999</v>
      </c>
      <c r="O17" s="1951">
        <v>55226563.200000003</v>
      </c>
      <c r="P17" s="1954">
        <v>57766985.100000001</v>
      </c>
      <c r="T17" s="240"/>
      <c r="U17" s="240"/>
      <c r="V17" s="240"/>
    </row>
    <row r="18" spans="1:23">
      <c r="A18" s="2597" t="s">
        <v>2544</v>
      </c>
      <c r="B18" s="1953">
        <v>170957759.13537475</v>
      </c>
      <c r="C18" s="1951">
        <v>3647146.9252709732</v>
      </c>
      <c r="D18" s="1951">
        <v>610211.64285576239</v>
      </c>
      <c r="E18" s="1951">
        <v>1369363.8838464206</v>
      </c>
      <c r="F18" s="1951">
        <v>135862279.10099599</v>
      </c>
      <c r="G18" s="1951">
        <v>505436.67215544597</v>
      </c>
      <c r="H18" s="1951">
        <v>342494.9914880718</v>
      </c>
      <c r="I18" s="1951">
        <v>1298971.8224528038</v>
      </c>
      <c r="J18" s="1951">
        <v>129370285.82556093</v>
      </c>
      <c r="K18" s="1951">
        <v>0</v>
      </c>
      <c r="L18" s="1951">
        <v>0</v>
      </c>
      <c r="M18" s="81">
        <f t="shared" si="0"/>
        <v>-1.1324882507324219E-6</v>
      </c>
      <c r="N18" s="1953">
        <v>443963950</v>
      </c>
      <c r="O18" s="1951">
        <v>470189500</v>
      </c>
      <c r="P18" s="1954">
        <v>499398139</v>
      </c>
      <c r="T18" s="240"/>
      <c r="U18" s="240"/>
      <c r="V18" s="240"/>
    </row>
    <row r="19" spans="1:23">
      <c r="A19" s="127" t="str">
        <f>'A4-FinPerf RE'!A19</f>
        <v>Other revenue</v>
      </c>
      <c r="B19" s="1953">
        <v>315115.95262099127</v>
      </c>
      <c r="C19" s="1951">
        <v>239187.10048251835</v>
      </c>
      <c r="D19" s="1951">
        <v>281731.93150196288</v>
      </c>
      <c r="E19" s="1951">
        <v>267522.31036312011</v>
      </c>
      <c r="F19" s="1951">
        <v>336705.4459025886</v>
      </c>
      <c r="G19" s="1951">
        <v>220486.65305873231</v>
      </c>
      <c r="H19" s="1951">
        <v>327596.38193954818</v>
      </c>
      <c r="I19" s="1951">
        <v>274627.84943055984</v>
      </c>
      <c r="J19" s="1951">
        <v>288405.55806080002</v>
      </c>
      <c r="K19" s="1951">
        <v>224782.00964801662</v>
      </c>
      <c r="L19" s="1951">
        <v>264798.46832821774</v>
      </c>
      <c r="M19" s="81">
        <f t="shared" si="0"/>
        <v>1434356.038662944</v>
      </c>
      <c r="N19" s="1953">
        <v>4475315.7</v>
      </c>
      <c r="O19" s="1951">
        <v>4681179.9000000004</v>
      </c>
      <c r="P19" s="1954">
        <v>4896514.8000000007</v>
      </c>
      <c r="T19" s="240"/>
      <c r="U19" s="240"/>
      <c r="V19" s="240"/>
    </row>
    <row r="20" spans="1:23">
      <c r="A20" s="517" t="s">
        <v>1412</v>
      </c>
      <c r="B20" s="145">
        <f>SUM(B5:B9)+SUM(B11:B19)</f>
        <v>225228333.37205386</v>
      </c>
      <c r="C20" s="142">
        <f t="shared" ref="C20:P20" si="1">SUM(C5:C9)+SUM(C11:C19)</f>
        <v>59921379.355746008</v>
      </c>
      <c r="D20" s="142">
        <f t="shared" si="1"/>
        <v>65298042.106472693</v>
      </c>
      <c r="E20" s="142">
        <f t="shared" si="1"/>
        <v>67774674.140249044</v>
      </c>
      <c r="F20" s="142">
        <f t="shared" si="1"/>
        <v>206122355.71377635</v>
      </c>
      <c r="G20" s="142">
        <f t="shared" si="1"/>
        <v>58731701.932264045</v>
      </c>
      <c r="H20" s="142">
        <f t="shared" si="1"/>
        <v>61793539.219507352</v>
      </c>
      <c r="I20" s="142">
        <f t="shared" si="1"/>
        <v>64019341.350766003</v>
      </c>
      <c r="J20" s="142">
        <f t="shared" si="1"/>
        <v>189207708.46790141</v>
      </c>
      <c r="K20" s="142">
        <f t="shared" si="1"/>
        <v>59538601.931885183</v>
      </c>
      <c r="L20" s="142">
        <f t="shared" si="1"/>
        <v>69361163.784932658</v>
      </c>
      <c r="M20" s="143">
        <f t="shared" si="1"/>
        <v>64905817.424445391</v>
      </c>
      <c r="N20" s="145">
        <f t="shared" si="1"/>
        <v>1191902658.8</v>
      </c>
      <c r="O20" s="142">
        <f t="shared" si="1"/>
        <v>1252580196.9000001</v>
      </c>
      <c r="P20" s="1326">
        <f t="shared" si="1"/>
        <v>1317828057.9000001</v>
      </c>
      <c r="Q20" s="240"/>
      <c r="R20" s="240"/>
      <c r="S20" s="240"/>
      <c r="T20" s="240"/>
      <c r="U20" s="240"/>
      <c r="V20" s="240"/>
      <c r="W20" s="240"/>
    </row>
    <row r="21" spans="1:23" ht="4.9000000000000004" customHeight="1">
      <c r="A21" s="679"/>
      <c r="B21" s="88"/>
      <c r="C21" s="84"/>
      <c r="D21" s="84"/>
      <c r="E21" s="84"/>
      <c r="F21" s="84"/>
      <c r="G21" s="84"/>
      <c r="H21" s="84"/>
      <c r="I21" s="84"/>
      <c r="J21" s="84"/>
      <c r="K21" s="84"/>
      <c r="L21" s="84"/>
      <c r="M21" s="139"/>
      <c r="N21" s="88"/>
      <c r="O21" s="84"/>
      <c r="P21" s="426"/>
      <c r="Q21" s="240"/>
      <c r="R21" s="240"/>
      <c r="S21" s="240"/>
      <c r="T21" s="240"/>
      <c r="U21" s="240"/>
      <c r="V21" s="240"/>
      <c r="W21" s="240"/>
    </row>
    <row r="22" spans="1:23" ht="11.25" customHeight="1">
      <c r="A22" s="242" t="s">
        <v>802</v>
      </c>
      <c r="B22" s="88"/>
      <c r="C22" s="84"/>
      <c r="D22" s="84"/>
      <c r="E22" s="84"/>
      <c r="F22" s="84"/>
      <c r="G22" s="84"/>
      <c r="H22" s="84"/>
      <c r="I22" s="84"/>
      <c r="J22" s="84"/>
      <c r="K22" s="84"/>
      <c r="L22" s="84"/>
      <c r="M22" s="139"/>
      <c r="N22" s="88"/>
      <c r="O22" s="84"/>
      <c r="P22" s="426"/>
      <c r="Q22" s="240"/>
      <c r="R22" s="240"/>
      <c r="S22" s="240"/>
      <c r="T22" s="240"/>
      <c r="U22" s="240"/>
      <c r="V22" s="240"/>
      <c r="W22" s="240"/>
    </row>
    <row r="23" spans="1:23" ht="35.25" customHeight="1">
      <c r="A23" s="2610" t="str">
        <f>'A4-FinPerf RE'!A38</f>
        <v>Transfers and subsidies - capital (monetary allocations) (National / Provincial and District)</v>
      </c>
      <c r="B23" s="1953">
        <v>38302751.438442335</v>
      </c>
      <c r="C23" s="1951">
        <v>0</v>
      </c>
      <c r="D23" s="1951">
        <v>0</v>
      </c>
      <c r="E23" s="1951">
        <v>0</v>
      </c>
      <c r="F23" s="1951">
        <v>0</v>
      </c>
      <c r="G23" s="1951">
        <v>29958089.201607991</v>
      </c>
      <c r="H23" s="1951">
        <v>0</v>
      </c>
      <c r="I23" s="1951">
        <v>0</v>
      </c>
      <c r="J23" s="1951">
        <v>20677209.359949678</v>
      </c>
      <c r="K23" s="1951">
        <v>0</v>
      </c>
      <c r="L23" s="1951">
        <v>0</v>
      </c>
      <c r="M23" s="139">
        <f t="shared" ref="M23:M31" si="2">N23-SUM(B23:L23)</f>
        <v>0</v>
      </c>
      <c r="N23" s="1953">
        <v>88938050</v>
      </c>
      <c r="O23" s="1951">
        <v>96829700</v>
      </c>
      <c r="P23" s="1954">
        <v>102603800</v>
      </c>
      <c r="Q23" s="240"/>
      <c r="R23" s="240"/>
      <c r="S23" s="240"/>
      <c r="T23" s="240"/>
      <c r="U23" s="240"/>
      <c r="V23" s="240"/>
      <c r="W23" s="240"/>
    </row>
    <row r="24" spans="1:23" ht="70.5" customHeight="1">
      <c r="A24" s="2610" t="str">
        <f>'A4-FinPerf RE'!A39</f>
        <v>Transfers and subsidies - capital (monetary allocations) (National / Provincial Departmental Agencies, Households, Non-profit Institutions, Private Enterprises, Public Corporatons, Higher Educational Institutions)</v>
      </c>
      <c r="B24" s="1953"/>
      <c r="C24" s="1951"/>
      <c r="D24" s="1951"/>
      <c r="E24" s="1951"/>
      <c r="F24" s="1951"/>
      <c r="G24" s="1951"/>
      <c r="H24" s="1951"/>
      <c r="I24" s="1951"/>
      <c r="J24" s="1951"/>
      <c r="K24" s="1951"/>
      <c r="L24" s="1951"/>
      <c r="M24" s="139">
        <f t="shared" si="2"/>
        <v>0</v>
      </c>
      <c r="N24" s="1953"/>
      <c r="O24" s="1951"/>
      <c r="P24" s="1954"/>
      <c r="Q24" s="240"/>
      <c r="R24" s="240"/>
      <c r="S24" s="240"/>
      <c r="T24" s="240"/>
      <c r="U24" s="240"/>
      <c r="V24" s="240"/>
      <c r="W24" s="240"/>
    </row>
    <row r="25" spans="1:23" ht="11.25" customHeight="1">
      <c r="A25" s="2620" t="s">
        <v>2547</v>
      </c>
      <c r="B25" s="1953"/>
      <c r="C25" s="1951"/>
      <c r="D25" s="1951"/>
      <c r="E25" s="1951"/>
      <c r="F25" s="1951"/>
      <c r="G25" s="1951"/>
      <c r="H25" s="1951"/>
      <c r="I25" s="1951"/>
      <c r="J25" s="1951"/>
      <c r="K25" s="1951"/>
      <c r="L25" s="1951"/>
      <c r="M25" s="139">
        <f t="shared" si="2"/>
        <v>1500000</v>
      </c>
      <c r="N25" s="1953">
        <v>1500000</v>
      </c>
      <c r="O25" s="1951">
        <v>1569000</v>
      </c>
      <c r="P25" s="1954">
        <v>1641174</v>
      </c>
      <c r="Q25" s="240"/>
      <c r="R25" s="240"/>
      <c r="S25" s="240"/>
      <c r="T25" s="240"/>
      <c r="U25" s="240"/>
      <c r="V25" s="240"/>
      <c r="W25" s="240"/>
    </row>
    <row r="26" spans="1:23" ht="11.25" customHeight="1">
      <c r="A26" s="131" t="str">
        <f>'A7-CFlow'!A31</f>
        <v>Short term loans</v>
      </c>
      <c r="B26" s="1953"/>
      <c r="C26" s="1951"/>
      <c r="D26" s="1951"/>
      <c r="E26" s="1951"/>
      <c r="F26" s="1951"/>
      <c r="G26" s="1951"/>
      <c r="H26" s="1951"/>
      <c r="I26" s="1951"/>
      <c r="J26" s="1951"/>
      <c r="K26" s="1951"/>
      <c r="L26" s="1951"/>
      <c r="M26" s="139">
        <f t="shared" si="2"/>
        <v>0</v>
      </c>
      <c r="N26" s="1953"/>
      <c r="O26" s="1951"/>
      <c r="P26" s="1954"/>
      <c r="Q26" s="240"/>
      <c r="R26" s="240"/>
      <c r="S26" s="240"/>
      <c r="T26" s="240"/>
      <c r="U26" s="240"/>
      <c r="V26" s="240"/>
      <c r="W26" s="240"/>
    </row>
    <row r="27" spans="1:23" ht="11.25" customHeight="1">
      <c r="A27" s="131" t="str">
        <f>'A7-CFlow'!A32</f>
        <v>Borrowing long term/refinancing</v>
      </c>
      <c r="B27" s="1953">
        <v>0</v>
      </c>
      <c r="C27" s="1951">
        <v>0</v>
      </c>
      <c r="D27" s="1951">
        <v>0</v>
      </c>
      <c r="E27" s="1951">
        <v>0</v>
      </c>
      <c r="F27" s="1951">
        <v>0</v>
      </c>
      <c r="G27" s="1951">
        <v>30000000</v>
      </c>
      <c r="H27" s="1951">
        <v>0</v>
      </c>
      <c r="I27" s="1951">
        <v>0</v>
      </c>
      <c r="J27" s="1951">
        <v>0</v>
      </c>
      <c r="K27" s="1951">
        <v>0</v>
      </c>
      <c r="L27" s="1951">
        <v>0</v>
      </c>
      <c r="M27" s="139">
        <f t="shared" si="2"/>
        <v>0</v>
      </c>
      <c r="N27" s="1953">
        <v>30000000</v>
      </c>
      <c r="O27" s="1951">
        <v>0</v>
      </c>
      <c r="P27" s="1954">
        <v>0</v>
      </c>
      <c r="Q27" s="240"/>
      <c r="R27" s="240"/>
      <c r="S27" s="240"/>
      <c r="T27" s="240"/>
      <c r="U27" s="240"/>
      <c r="V27" s="240"/>
      <c r="W27" s="240"/>
    </row>
    <row r="28" spans="1:23" ht="11.25" customHeight="1">
      <c r="A28" s="131" t="str">
        <f>'A7-CFlow'!A33</f>
        <v>Increase (decrease) in consumer deposits</v>
      </c>
      <c r="B28" s="1953">
        <v>68464.56055215068</v>
      </c>
      <c r="C28" s="1951">
        <v>54490.810140769863</v>
      </c>
      <c r="D28" s="1951">
        <v>103064.92986345262</v>
      </c>
      <c r="E28" s="1951">
        <v>80979.587749855637</v>
      </c>
      <c r="F28" s="1951">
        <v>36849.802304353499</v>
      </c>
      <c r="G28" s="1951">
        <v>48955.841685139996</v>
      </c>
      <c r="H28" s="1951">
        <v>101865.23226715848</v>
      </c>
      <c r="I28" s="1951">
        <v>49133.069739138002</v>
      </c>
      <c r="J28" s="1951">
        <v>46815.472109933376</v>
      </c>
      <c r="K28" s="1951">
        <v>52173.212511565245</v>
      </c>
      <c r="L28" s="1951">
        <v>47074.497727315073</v>
      </c>
      <c r="M28" s="139">
        <f t="shared" si="2"/>
        <v>188327.98334916763</v>
      </c>
      <c r="N28" s="1953">
        <v>878195</v>
      </c>
      <c r="O28" s="1951">
        <v>918591</v>
      </c>
      <c r="P28" s="1954">
        <v>960842</v>
      </c>
      <c r="Q28" s="240"/>
      <c r="R28" s="240"/>
      <c r="S28" s="240"/>
      <c r="T28" s="240"/>
      <c r="U28" s="240"/>
      <c r="V28" s="240"/>
      <c r="W28" s="240"/>
    </row>
    <row r="29" spans="1:23" ht="1.9" customHeight="1">
      <c r="A29" s="131"/>
      <c r="B29" s="904"/>
      <c r="C29" s="900"/>
      <c r="D29" s="900"/>
      <c r="E29" s="900"/>
      <c r="F29" s="900"/>
      <c r="G29" s="900"/>
      <c r="H29" s="900"/>
      <c r="I29" s="900"/>
      <c r="J29" s="900"/>
      <c r="K29" s="900"/>
      <c r="L29" s="900"/>
      <c r="M29" s="901"/>
      <c r="N29" s="904"/>
      <c r="O29" s="900"/>
      <c r="P29" s="982"/>
      <c r="Q29" s="240"/>
      <c r="R29" s="240"/>
      <c r="S29" s="240"/>
      <c r="T29" s="240"/>
      <c r="U29" s="240"/>
      <c r="V29" s="240"/>
      <c r="W29" s="240"/>
    </row>
    <row r="30" spans="1:23" ht="11.25" customHeight="1">
      <c r="A30" s="131" t="str">
        <f>'A7-CFlow'!A23</f>
        <v>Decrease (increase) in non-current receivables</v>
      </c>
      <c r="B30" s="1953"/>
      <c r="C30" s="1951"/>
      <c r="D30" s="1951"/>
      <c r="E30" s="1951"/>
      <c r="F30" s="1951"/>
      <c r="G30" s="1951"/>
      <c r="H30" s="1951"/>
      <c r="I30" s="1951"/>
      <c r="J30" s="1951"/>
      <c r="K30" s="1951"/>
      <c r="L30" s="1951"/>
      <c r="M30" s="139">
        <f t="shared" si="2"/>
        <v>0</v>
      </c>
      <c r="N30" s="1953"/>
      <c r="O30" s="1951"/>
      <c r="P30" s="1954"/>
      <c r="Q30" s="240"/>
      <c r="R30" s="240"/>
      <c r="S30" s="240"/>
      <c r="T30" s="240"/>
      <c r="U30" s="240"/>
      <c r="V30" s="240"/>
      <c r="W30" s="240"/>
    </row>
    <row r="31" spans="1:23" ht="11.25" customHeight="1">
      <c r="A31" s="131" t="str">
        <f>'A7-CFlow'!A24</f>
        <v>Decrease (increase) in non-current investments</v>
      </c>
      <c r="B31" s="1953"/>
      <c r="C31" s="1951"/>
      <c r="D31" s="1951"/>
      <c r="E31" s="1951"/>
      <c r="F31" s="1951"/>
      <c r="G31" s="1951"/>
      <c r="H31" s="1951"/>
      <c r="I31" s="1951"/>
      <c r="J31" s="1951"/>
      <c r="K31" s="1951"/>
      <c r="L31" s="1951"/>
      <c r="M31" s="139">
        <f t="shared" si="2"/>
        <v>-1262784</v>
      </c>
      <c r="N31" s="1953">
        <v>-1262784</v>
      </c>
      <c r="O31" s="1951">
        <v>-1262784</v>
      </c>
      <c r="P31" s="1954">
        <v>-1262784</v>
      </c>
      <c r="Q31" s="240"/>
      <c r="R31" s="240"/>
      <c r="S31" s="240"/>
      <c r="T31" s="240"/>
      <c r="U31" s="240"/>
      <c r="V31" s="240"/>
      <c r="W31" s="240"/>
    </row>
    <row r="32" spans="1:23" ht="11.25" customHeight="1">
      <c r="A32" s="673" t="s">
        <v>613</v>
      </c>
      <c r="B32" s="940">
        <f>SUM(B20:B28)+SUM(B30:B31)</f>
        <v>263599549.37104836</v>
      </c>
      <c r="C32" s="675">
        <f t="shared" ref="C32:L32" si="3">SUM(C20:C28)+SUM(C30:C31)</f>
        <v>59975870.165886775</v>
      </c>
      <c r="D32" s="675">
        <f t="shared" si="3"/>
        <v>65401107.036336146</v>
      </c>
      <c r="E32" s="675">
        <f t="shared" si="3"/>
        <v>67855653.727998897</v>
      </c>
      <c r="F32" s="675">
        <f t="shared" si="3"/>
        <v>206159205.51608071</v>
      </c>
      <c r="G32" s="675">
        <f t="shared" si="3"/>
        <v>118738746.97555718</v>
      </c>
      <c r="H32" s="675">
        <f t="shared" si="3"/>
        <v>61895404.451774508</v>
      </c>
      <c r="I32" s="675">
        <f t="shared" si="3"/>
        <v>64068474.420505144</v>
      </c>
      <c r="J32" s="675">
        <f t="shared" si="3"/>
        <v>209931733.29996103</v>
      </c>
      <c r="K32" s="675">
        <f t="shared" si="3"/>
        <v>59590775.144396745</v>
      </c>
      <c r="L32" s="675">
        <f t="shared" si="3"/>
        <v>69408238.282659978</v>
      </c>
      <c r="M32" s="940">
        <f>SUM(M20:M28)+SUM(M30:M31)</f>
        <v>65331361.407794558</v>
      </c>
      <c r="N32" s="940">
        <f t="shared" ref="N32:P32" si="4">SUM(N20:N28)+SUM(N30:N31)</f>
        <v>1311956119.8</v>
      </c>
      <c r="O32" s="675">
        <f t="shared" si="4"/>
        <v>1350634703.9000001</v>
      </c>
      <c r="P32" s="1924">
        <f t="shared" si="4"/>
        <v>1421771089.9000001</v>
      </c>
      <c r="Q32" s="240"/>
      <c r="R32" s="240"/>
      <c r="S32" s="240"/>
      <c r="T32" s="240"/>
      <c r="U32" s="240"/>
      <c r="V32" s="240"/>
      <c r="W32" s="240"/>
    </row>
    <row r="33" spans="1:23" ht="4.9000000000000004" customHeight="1">
      <c r="A33" s="744"/>
      <c r="B33" s="88"/>
      <c r="C33" s="84"/>
      <c r="D33" s="84"/>
      <c r="E33" s="84"/>
      <c r="F33" s="84"/>
      <c r="G33" s="84"/>
      <c r="H33" s="84"/>
      <c r="I33" s="84"/>
      <c r="J33" s="84"/>
      <c r="K33" s="84"/>
      <c r="L33" s="84"/>
      <c r="M33" s="139"/>
      <c r="N33" s="88"/>
      <c r="O33" s="84"/>
      <c r="P33" s="426"/>
      <c r="Q33" s="240"/>
      <c r="R33" s="240"/>
      <c r="S33" s="240"/>
      <c r="T33" s="240"/>
      <c r="U33" s="240"/>
      <c r="V33" s="240"/>
      <c r="W33" s="240"/>
    </row>
    <row r="34" spans="1:23">
      <c r="A34" s="672" t="s">
        <v>1413</v>
      </c>
      <c r="B34" s="88"/>
      <c r="C34" s="84"/>
      <c r="D34" s="84"/>
      <c r="E34" s="84"/>
      <c r="F34" s="84"/>
      <c r="G34" s="84"/>
      <c r="H34" s="84"/>
      <c r="I34" s="84"/>
      <c r="J34" s="84"/>
      <c r="K34" s="84"/>
      <c r="L34" s="84"/>
      <c r="M34" s="139"/>
      <c r="N34" s="138"/>
      <c r="O34" s="84"/>
      <c r="P34" s="426"/>
      <c r="Q34" s="240"/>
      <c r="R34" s="240"/>
      <c r="S34" s="240"/>
      <c r="T34" s="240"/>
      <c r="U34" s="240"/>
      <c r="V34" s="240"/>
      <c r="W34" s="240"/>
    </row>
    <row r="35" spans="1:23">
      <c r="A35" s="131" t="s">
        <v>408</v>
      </c>
      <c r="B35" s="1953">
        <v>29054049.095327642</v>
      </c>
      <c r="C35" s="1951">
        <v>25531362.286008738</v>
      </c>
      <c r="D35" s="1951">
        <v>27124756.215885915</v>
      </c>
      <c r="E35" s="1951">
        <v>29753585.403943632</v>
      </c>
      <c r="F35" s="1951">
        <v>26526355.735333364</v>
      </c>
      <c r="G35" s="1951">
        <v>27816638.906731416</v>
      </c>
      <c r="H35" s="1951">
        <v>31654824.092407666</v>
      </c>
      <c r="I35" s="1951">
        <v>27751190.470509429</v>
      </c>
      <c r="J35" s="1951">
        <v>26923235.901926804</v>
      </c>
      <c r="K35" s="1951">
        <v>27688695.680128094</v>
      </c>
      <c r="L35" s="1951">
        <v>26958272.675007042</v>
      </c>
      <c r="M35" s="139">
        <f t="shared" ref="M35:M44" si="5">N35-SUM(B35:L35)</f>
        <v>38781151.536790252</v>
      </c>
      <c r="N35" s="1953">
        <f>341202720+3168647+1192751</f>
        <v>345564118</v>
      </c>
      <c r="O35" s="1951">
        <f>356898045+3485512+1312026</f>
        <v>361695583</v>
      </c>
      <c r="P35" s="1954">
        <f>373315355+3834063+1443229</f>
        <v>378592647</v>
      </c>
      <c r="Q35" s="240"/>
      <c r="R35" s="240"/>
      <c r="S35" s="240"/>
      <c r="T35" s="240"/>
      <c r="U35" s="240"/>
      <c r="V35" s="240"/>
      <c r="W35" s="240"/>
    </row>
    <row r="36" spans="1:23">
      <c r="A36" s="131" t="s">
        <v>459</v>
      </c>
      <c r="B36" s="1953">
        <v>2305853.7388409106</v>
      </c>
      <c r="C36" s="1951">
        <v>2304798.2676632418</v>
      </c>
      <c r="D36" s="1951">
        <v>2314522.0102557358</v>
      </c>
      <c r="E36" s="1951">
        <v>2302741.8917646529</v>
      </c>
      <c r="F36" s="1951">
        <v>2301765.9317096742</v>
      </c>
      <c r="G36" s="1951">
        <v>2304389.7987584425</v>
      </c>
      <c r="H36" s="1951">
        <v>2301460.3595518856</v>
      </c>
      <c r="I36" s="1951">
        <v>2471553.5790662589</v>
      </c>
      <c r="J36" s="1951">
        <v>2433558.7353396975</v>
      </c>
      <c r="K36" s="1951">
        <v>2417952.0118624307</v>
      </c>
      <c r="L36" s="1951">
        <v>2457020.7530115256</v>
      </c>
      <c r="M36" s="139">
        <f t="shared" si="5"/>
        <v>3119365.9221755452</v>
      </c>
      <c r="N36" s="1953">
        <f>28360883+674100</f>
        <v>29034983</v>
      </c>
      <c r="O36" s="1951">
        <f>29665484+741510</f>
        <v>30406994</v>
      </c>
      <c r="P36" s="1954">
        <f>31030096+815661</f>
        <v>31845757</v>
      </c>
      <c r="Q36" s="240"/>
      <c r="R36" s="240"/>
      <c r="S36" s="240"/>
      <c r="T36" s="240"/>
      <c r="U36" s="240"/>
      <c r="V36" s="240"/>
      <c r="W36" s="240"/>
    </row>
    <row r="37" spans="1:23">
      <c r="A37" s="131" t="s">
        <v>1367</v>
      </c>
      <c r="B37" s="1953">
        <v>267515.40185906773</v>
      </c>
      <c r="C37" s="1951">
        <v>266695.23168215418</v>
      </c>
      <c r="D37" s="1951">
        <v>0</v>
      </c>
      <c r="E37" s="1951">
        <v>1734759.5856508254</v>
      </c>
      <c r="F37" s="1951">
        <v>3495384.2578014927</v>
      </c>
      <c r="G37" s="1951">
        <v>1964827.6579970315</v>
      </c>
      <c r="H37" s="1951">
        <v>756800.93660633441</v>
      </c>
      <c r="I37" s="1951">
        <v>235806.7023774914</v>
      </c>
      <c r="J37" s="1951">
        <v>757320.8616493945</v>
      </c>
      <c r="K37" s="1951">
        <v>2611080.0349429864</v>
      </c>
      <c r="L37" s="1951">
        <v>476361.21920930152</v>
      </c>
      <c r="M37" s="139">
        <f t="shared" si="5"/>
        <v>3162256.110223921</v>
      </c>
      <c r="N37" s="1953">
        <f>15724284+4524</f>
        <v>15728808</v>
      </c>
      <c r="O37" s="1951">
        <f>14905971+4976</f>
        <v>14910947</v>
      </c>
      <c r="P37" s="1954">
        <f>13921267+5474</f>
        <v>13926741</v>
      </c>
      <c r="Q37" s="240"/>
      <c r="R37" s="240"/>
      <c r="S37" s="240"/>
      <c r="T37" s="240"/>
      <c r="U37" s="240"/>
      <c r="V37" s="240"/>
      <c r="W37" s="240"/>
    </row>
    <row r="38" spans="1:23">
      <c r="A38" s="131" t="s">
        <v>612</v>
      </c>
      <c r="B38" s="1953">
        <v>52394153.061136998</v>
      </c>
      <c r="C38" s="1951">
        <v>50678618.123292446</v>
      </c>
      <c r="D38" s="1951">
        <v>46731639.292461544</v>
      </c>
      <c r="E38" s="1951">
        <v>30173395.341277435</v>
      </c>
      <c r="F38" s="1951">
        <v>32838717.709728181</v>
      </c>
      <c r="G38" s="1951">
        <v>31780082.988476384</v>
      </c>
      <c r="H38" s="1951">
        <v>26397095.395899504</v>
      </c>
      <c r="I38" s="1951">
        <v>29028367.248884235</v>
      </c>
      <c r="J38" s="1951">
        <v>28780352.34820227</v>
      </c>
      <c r="K38" s="1951">
        <v>27933961.554384772</v>
      </c>
      <c r="L38" s="1951">
        <v>24261853.344278708</v>
      </c>
      <c r="M38" s="139">
        <f t="shared" si="5"/>
        <v>29001763.591977537</v>
      </c>
      <c r="N38" s="1953">
        <v>410000000</v>
      </c>
      <c r="O38" s="1951">
        <v>428860000</v>
      </c>
      <c r="P38" s="1954">
        <v>448587560</v>
      </c>
      <c r="Q38" s="240"/>
      <c r="R38" s="240"/>
      <c r="S38" s="240"/>
      <c r="T38" s="240"/>
      <c r="U38" s="240"/>
      <c r="V38" s="240"/>
      <c r="W38" s="240"/>
    </row>
    <row r="39" spans="1:23">
      <c r="A39" s="131" t="s">
        <v>615</v>
      </c>
      <c r="B39" s="1953">
        <v>0</v>
      </c>
      <c r="C39" s="1951">
        <v>0</v>
      </c>
      <c r="D39" s="1951">
        <v>0</v>
      </c>
      <c r="E39" s="1951">
        <v>0</v>
      </c>
      <c r="F39" s="1951">
        <v>0</v>
      </c>
      <c r="G39" s="1951">
        <v>0</v>
      </c>
      <c r="H39" s="1951">
        <v>0</v>
      </c>
      <c r="I39" s="1951">
        <v>0</v>
      </c>
      <c r="J39" s="1951">
        <v>0</v>
      </c>
      <c r="K39" s="1951">
        <v>0</v>
      </c>
      <c r="L39" s="1951">
        <v>0</v>
      </c>
      <c r="M39" s="139">
        <f t="shared" si="5"/>
        <v>0</v>
      </c>
      <c r="N39" s="1953"/>
      <c r="O39" s="1951"/>
      <c r="P39" s="1954"/>
      <c r="Q39" s="696"/>
      <c r="R39" s="240"/>
      <c r="S39" s="240"/>
      <c r="T39" s="240"/>
      <c r="U39" s="240"/>
      <c r="V39" s="240"/>
      <c r="W39" s="240"/>
    </row>
    <row r="40" spans="1:23">
      <c r="A40" s="131" t="s">
        <v>1342</v>
      </c>
      <c r="B40" s="1953">
        <v>2053167.9378564586</v>
      </c>
      <c r="C40" s="1951">
        <v>5023538.8841050183</v>
      </c>
      <c r="D40" s="1951">
        <v>5633232.1528267162</v>
      </c>
      <c r="E40" s="1951">
        <v>5907436.606074064</v>
      </c>
      <c r="F40" s="1951">
        <v>4108441.4418106144</v>
      </c>
      <c r="G40" s="1951">
        <v>948219.90189656056</v>
      </c>
      <c r="H40" s="1951">
        <v>5712247.3427144876</v>
      </c>
      <c r="I40" s="1951">
        <v>2113733.3815838574</v>
      </c>
      <c r="J40" s="1951">
        <v>9769642.0740770921</v>
      </c>
      <c r="K40" s="1951">
        <v>2715783.9479513704</v>
      </c>
      <c r="L40" s="1951">
        <v>3015840.3315762402</v>
      </c>
      <c r="M40" s="139">
        <f t="shared" si="5"/>
        <v>9239800.9975275174</v>
      </c>
      <c r="N40" s="1953">
        <f>56235585+5500</f>
        <v>56241085</v>
      </c>
      <c r="O40" s="1951">
        <f>58822422+6050</f>
        <v>58828472</v>
      </c>
      <c r="P40" s="1954">
        <f>61528253+6655</f>
        <v>61534908</v>
      </c>
      <c r="Q40" s="696"/>
      <c r="R40" s="240"/>
      <c r="S40" s="240"/>
      <c r="T40" s="240"/>
      <c r="U40" s="240"/>
      <c r="V40" s="240"/>
      <c r="W40" s="240"/>
    </row>
    <row r="41" spans="1:23">
      <c r="A41" s="131" t="s">
        <v>411</v>
      </c>
      <c r="B41" s="1953">
        <v>8943547.9341281839</v>
      </c>
      <c r="C41" s="1951">
        <v>3541983.0205548625</v>
      </c>
      <c r="D41" s="1951">
        <v>6543813.2281503333</v>
      </c>
      <c r="E41" s="1951">
        <v>5272729.0256947922</v>
      </c>
      <c r="F41" s="1951">
        <v>5023433.2685822276</v>
      </c>
      <c r="G41" s="1951">
        <v>11469916.087217474</v>
      </c>
      <c r="H41" s="1951">
        <v>5131309.9515269129</v>
      </c>
      <c r="I41" s="1951">
        <v>2437142.4803705611</v>
      </c>
      <c r="J41" s="1951">
        <v>7705670.469083732</v>
      </c>
      <c r="K41" s="1951">
        <v>2104584.6532008811</v>
      </c>
      <c r="L41" s="1951">
        <v>7141223.3703907868</v>
      </c>
      <c r="M41" s="139">
        <f t="shared" si="5"/>
        <v>5209855.5110992566</v>
      </c>
      <c r="N41" s="1953">
        <f>69630401+894808</f>
        <v>70525209</v>
      </c>
      <c r="O41" s="1951">
        <f>72833399+984289</f>
        <v>73817688</v>
      </c>
      <c r="P41" s="1954">
        <f>76183736+1082718</f>
        <v>77266454</v>
      </c>
      <c r="Q41" s="240"/>
      <c r="R41" s="240"/>
      <c r="S41" s="240"/>
      <c r="T41" s="240"/>
      <c r="U41" s="240"/>
      <c r="V41" s="240"/>
      <c r="W41" s="240"/>
    </row>
    <row r="42" spans="1:23">
      <c r="A42" s="131" t="s">
        <v>1805</v>
      </c>
      <c r="B42" s="1953">
        <v>0</v>
      </c>
      <c r="C42" s="1951">
        <v>0</v>
      </c>
      <c r="D42" s="1951">
        <v>0</v>
      </c>
      <c r="E42" s="1951">
        <v>0</v>
      </c>
      <c r="F42" s="1951">
        <v>0</v>
      </c>
      <c r="G42" s="1951">
        <v>0</v>
      </c>
      <c r="H42" s="1951">
        <v>0</v>
      </c>
      <c r="I42" s="1951">
        <v>0</v>
      </c>
      <c r="J42" s="1951">
        <v>0</v>
      </c>
      <c r="K42" s="1951">
        <v>0</v>
      </c>
      <c r="L42" s="1951">
        <v>0</v>
      </c>
      <c r="M42" s="139">
        <f t="shared" si="5"/>
        <v>0</v>
      </c>
      <c r="N42" s="1953"/>
      <c r="O42" s="1951"/>
      <c r="P42" s="1954"/>
      <c r="Q42" s="240"/>
      <c r="R42" s="240"/>
      <c r="S42" s="240"/>
      <c r="T42" s="240"/>
      <c r="U42" s="240"/>
      <c r="V42" s="240"/>
      <c r="W42" s="240"/>
    </row>
    <row r="43" spans="1:23">
      <c r="A43" s="131" t="s">
        <v>1806</v>
      </c>
      <c r="B43" s="1953">
        <v>144028.50158859853</v>
      </c>
      <c r="C43" s="1951">
        <v>1286818.9869769432</v>
      </c>
      <c r="D43" s="1951">
        <v>4973315.8583459463</v>
      </c>
      <c r="E43" s="1951">
        <v>1636201.5426129792</v>
      </c>
      <c r="F43" s="1951">
        <v>1684660.749364773</v>
      </c>
      <c r="G43" s="1951">
        <v>2989937.7291585244</v>
      </c>
      <c r="H43" s="1951">
        <v>719741.78277522349</v>
      </c>
      <c r="I43" s="1951">
        <v>2914933.6823158027</v>
      </c>
      <c r="J43" s="1951">
        <v>908365.79961239337</v>
      </c>
      <c r="K43" s="1951">
        <v>3185932.7874935465</v>
      </c>
      <c r="L43" s="1951">
        <v>5167381.2539692707</v>
      </c>
      <c r="M43" s="139">
        <f t="shared" si="5"/>
        <v>5307681.325786002</v>
      </c>
      <c r="N43" s="1953">
        <v>30919000</v>
      </c>
      <c r="O43" s="1951">
        <v>24197110</v>
      </c>
      <c r="P43" s="1954">
        <v>24523577</v>
      </c>
      <c r="Q43" s="240"/>
      <c r="R43" s="240"/>
      <c r="S43" s="240"/>
      <c r="T43" s="240"/>
      <c r="U43" s="240"/>
      <c r="V43" s="240"/>
      <c r="W43" s="240"/>
    </row>
    <row r="44" spans="1:23">
      <c r="A44" s="131" t="s">
        <v>829</v>
      </c>
      <c r="B44" s="1953">
        <v>34635318.049876377</v>
      </c>
      <c r="C44" s="1951">
        <v>10628186.409613471</v>
      </c>
      <c r="D44" s="1951">
        <v>16993901.85852465</v>
      </c>
      <c r="E44" s="1951">
        <v>20524753.110094558</v>
      </c>
      <c r="F44" s="1951">
        <v>15653292.856584784</v>
      </c>
      <c r="G44" s="1951">
        <v>20484468.333291892</v>
      </c>
      <c r="H44" s="1951">
        <v>13643107.22830032</v>
      </c>
      <c r="I44" s="1951">
        <v>14575602.3341907</v>
      </c>
      <c r="J44" s="1951">
        <v>11260521.79665607</v>
      </c>
      <c r="K44" s="1951">
        <v>34873510.048663802</v>
      </c>
      <c r="L44" s="1951">
        <v>13891131.903018003</v>
      </c>
      <c r="M44" s="139">
        <f t="shared" si="5"/>
        <v>7731381.2711853683</v>
      </c>
      <c r="N44" s="1953">
        <f>220868055.2-30000-3000-5939880</f>
        <v>214895175.19999999</v>
      </c>
      <c r="O44" s="1951">
        <f>245890568.4-6534427</f>
        <v>239356141.40000001</v>
      </c>
      <c r="P44" s="1954">
        <f>265669689.7-7187741</f>
        <v>258481948.69999999</v>
      </c>
      <c r="Q44" s="240"/>
      <c r="R44" s="240"/>
      <c r="S44" s="240"/>
      <c r="T44" s="240"/>
      <c r="U44" s="240"/>
      <c r="V44" s="240"/>
      <c r="W44" s="240"/>
    </row>
    <row r="45" spans="1:23">
      <c r="A45" s="517" t="s">
        <v>1413</v>
      </c>
      <c r="B45" s="145">
        <f t="shared" ref="B45:O45" si="6">SUM(B35:B44)</f>
        <v>129797633.72061424</v>
      </c>
      <c r="C45" s="142">
        <f t="shared" si="6"/>
        <v>99262001.209896863</v>
      </c>
      <c r="D45" s="142">
        <f t="shared" si="6"/>
        <v>110315180.61645083</v>
      </c>
      <c r="E45" s="142">
        <f t="shared" si="6"/>
        <v>97305602.507112935</v>
      </c>
      <c r="F45" s="142">
        <f t="shared" si="6"/>
        <v>91632051.950915113</v>
      </c>
      <c r="G45" s="142">
        <f t="shared" si="6"/>
        <v>99758481.403527722</v>
      </c>
      <c r="H45" s="142">
        <f t="shared" si="6"/>
        <v>86316587.089782327</v>
      </c>
      <c r="I45" s="142">
        <f t="shared" si="6"/>
        <v>81528329.879298329</v>
      </c>
      <c r="J45" s="142">
        <f t="shared" si="6"/>
        <v>88538667.986547455</v>
      </c>
      <c r="K45" s="142">
        <f t="shared" si="6"/>
        <v>103531500.71862787</v>
      </c>
      <c r="L45" s="142">
        <f t="shared" si="6"/>
        <v>83369084.850460872</v>
      </c>
      <c r="M45" s="143">
        <f t="shared" si="6"/>
        <v>101553256.26676539</v>
      </c>
      <c r="N45" s="145">
        <f>SUM(N35:N44)</f>
        <v>1172908378.2</v>
      </c>
      <c r="O45" s="142">
        <f t="shared" si="6"/>
        <v>1232072935.4000001</v>
      </c>
      <c r="P45" s="1326">
        <f>SUM(P35:P44)</f>
        <v>1294759592.7</v>
      </c>
      <c r="Q45" s="240"/>
      <c r="R45" s="240"/>
      <c r="S45" s="240"/>
      <c r="T45" s="240"/>
      <c r="U45" s="240"/>
      <c r="V45" s="240"/>
      <c r="W45" s="240"/>
    </row>
    <row r="46" spans="1:23" ht="4.9000000000000004" customHeight="1">
      <c r="A46" s="679"/>
      <c r="B46" s="88"/>
      <c r="C46" s="84"/>
      <c r="D46" s="84"/>
      <c r="E46" s="84"/>
      <c r="F46" s="84"/>
      <c r="G46" s="84"/>
      <c r="H46" s="84"/>
      <c r="I46" s="84"/>
      <c r="J46" s="84"/>
      <c r="K46" s="84"/>
      <c r="L46" s="84"/>
      <c r="M46" s="139"/>
      <c r="N46" s="88"/>
      <c r="O46" s="84"/>
      <c r="P46" s="426"/>
      <c r="Q46" s="240"/>
      <c r="R46" s="240"/>
      <c r="S46" s="240"/>
      <c r="T46" s="240"/>
      <c r="U46" s="240"/>
      <c r="V46" s="240"/>
      <c r="W46" s="240"/>
    </row>
    <row r="47" spans="1:23">
      <c r="A47" s="517" t="s">
        <v>256</v>
      </c>
      <c r="B47" s="88"/>
      <c r="C47" s="84"/>
      <c r="D47" s="84"/>
      <c r="E47" s="84"/>
      <c r="F47" s="84"/>
      <c r="G47" s="84"/>
      <c r="H47" s="84"/>
      <c r="I47" s="84"/>
      <c r="J47" s="84"/>
      <c r="K47" s="84"/>
      <c r="L47" s="84"/>
      <c r="M47" s="139"/>
      <c r="N47" s="88"/>
      <c r="O47" s="84"/>
      <c r="P47" s="426"/>
      <c r="Q47" s="240"/>
      <c r="R47" s="240"/>
      <c r="S47" s="240"/>
      <c r="T47" s="240"/>
      <c r="U47" s="240"/>
      <c r="V47" s="240"/>
      <c r="W47" s="240"/>
    </row>
    <row r="48" spans="1:23">
      <c r="A48" s="131" t="str">
        <f>'A7-CFlow'!A26</f>
        <v>Capital assets</v>
      </c>
      <c r="B48" s="1953">
        <v>3595704.1858686511</v>
      </c>
      <c r="C48" s="1951">
        <v>3401336.1991069359</v>
      </c>
      <c r="D48" s="1951">
        <v>8307898.5801987825</v>
      </c>
      <c r="E48" s="1951">
        <v>11871174.635251533</v>
      </c>
      <c r="F48" s="1951">
        <v>14136348.740641283</v>
      </c>
      <c r="G48" s="1951">
        <v>24415563.168234404</v>
      </c>
      <c r="H48" s="1951">
        <v>376050.92060415156</v>
      </c>
      <c r="I48" s="1951">
        <v>13418505.424091944</v>
      </c>
      <c r="J48" s="1951">
        <v>16624297.404920723</v>
      </c>
      <c r="K48" s="1951">
        <v>8785974.8099968545</v>
      </c>
      <c r="L48" s="1951">
        <v>3868104.5813450497</v>
      </c>
      <c r="M48" s="139">
        <f>N48-SUM(B48:L48)</f>
        <v>20137091.349739671</v>
      </c>
      <c r="N48" s="1953">
        <v>128938050</v>
      </c>
      <c r="O48" s="1951">
        <v>105913700</v>
      </c>
      <c r="P48" s="1954">
        <v>112090232</v>
      </c>
      <c r="Q48" s="240"/>
      <c r="R48" s="240"/>
      <c r="S48" s="240"/>
      <c r="T48" s="240"/>
      <c r="U48" s="240"/>
      <c r="V48" s="240"/>
      <c r="W48" s="240"/>
    </row>
    <row r="49" spans="1:23">
      <c r="A49" s="131" t="str">
        <f>'A7-CFlow'!A35</f>
        <v>Repayment of borrowing</v>
      </c>
      <c r="B49" s="1953">
        <v>156401.38</v>
      </c>
      <c r="C49" s="1951">
        <v>157298.01</v>
      </c>
      <c r="D49" s="1951">
        <v>1283212.29</v>
      </c>
      <c r="E49" s="1951">
        <v>164314.46</v>
      </c>
      <c r="F49" s="1951">
        <v>160078.57</v>
      </c>
      <c r="G49" s="1951">
        <v>2217905.1817748384</v>
      </c>
      <c r="H49" s="1951">
        <v>172095.5</v>
      </c>
      <c r="I49" s="1951">
        <v>178074.76</v>
      </c>
      <c r="J49" s="1951">
        <v>1368353.1099999999</v>
      </c>
      <c r="K49" s="1951">
        <v>169803.82</v>
      </c>
      <c r="L49" s="1951">
        <v>165782.37</v>
      </c>
      <c r="M49" s="139">
        <f>N49-SUM(B49:L49)</f>
        <v>2916372.2470715949</v>
      </c>
      <c r="N49" s="1953">
        <v>9109691.6988464333</v>
      </c>
      <c r="O49" s="1951">
        <v>11648068.550696159</v>
      </c>
      <c r="P49" s="1954">
        <v>13921265.210138457</v>
      </c>
      <c r="Q49" s="240"/>
      <c r="R49" s="240"/>
      <c r="S49" s="240"/>
      <c r="T49" s="240"/>
      <c r="U49" s="240"/>
      <c r="V49" s="240"/>
      <c r="W49" s="240"/>
    </row>
    <row r="50" spans="1:23">
      <c r="A50" s="131" t="str">
        <f>LEFT(A47,25)</f>
        <v>Other Cash Flows/Payments</v>
      </c>
      <c r="B50" s="1953"/>
      <c r="C50" s="1951"/>
      <c r="D50" s="1951"/>
      <c r="E50" s="1951"/>
      <c r="F50" s="1951"/>
      <c r="G50" s="1951"/>
      <c r="H50" s="1951"/>
      <c r="I50" s="1951"/>
      <c r="J50" s="1951"/>
      <c r="K50" s="1951"/>
      <c r="L50" s="1951"/>
      <c r="M50" s="139">
        <f>N50-SUM(B50:L50)</f>
        <v>0</v>
      </c>
      <c r="N50" s="1953"/>
      <c r="O50" s="1951"/>
      <c r="P50" s="1954"/>
      <c r="Q50" s="240"/>
      <c r="R50" s="240"/>
      <c r="S50" s="240"/>
      <c r="T50" s="240"/>
      <c r="U50" s="240"/>
      <c r="V50" s="240"/>
      <c r="W50" s="240"/>
    </row>
    <row r="51" spans="1:23">
      <c r="A51" s="673" t="s">
        <v>614</v>
      </c>
      <c r="B51" s="940">
        <f>SUM(B45:B50)</f>
        <v>133549739.28648289</v>
      </c>
      <c r="C51" s="675">
        <f t="shared" ref="C51:P51" si="7">SUM(C45:C50)</f>
        <v>102820635.4190038</v>
      </c>
      <c r="D51" s="675">
        <f t="shared" si="7"/>
        <v>119906291.48664962</v>
      </c>
      <c r="E51" s="675">
        <f t="shared" si="7"/>
        <v>109341091.60236447</v>
      </c>
      <c r="F51" s="675">
        <f t="shared" si="7"/>
        <v>105928479.26155639</v>
      </c>
      <c r="G51" s="675">
        <f t="shared" si="7"/>
        <v>126391949.75353697</v>
      </c>
      <c r="H51" s="675">
        <f t="shared" si="7"/>
        <v>86864733.510386482</v>
      </c>
      <c r="I51" s="675">
        <f t="shared" si="7"/>
        <v>95124910.063390285</v>
      </c>
      <c r="J51" s="675">
        <f t="shared" si="7"/>
        <v>106531318.50146818</v>
      </c>
      <c r="K51" s="675">
        <f t="shared" si="7"/>
        <v>112487279.34862472</v>
      </c>
      <c r="L51" s="675">
        <f t="shared" si="7"/>
        <v>87402971.801805928</v>
      </c>
      <c r="M51" s="676">
        <f t="shared" si="7"/>
        <v>124606719.86357665</v>
      </c>
      <c r="N51" s="940">
        <f t="shared" si="7"/>
        <v>1310956119.8988464</v>
      </c>
      <c r="O51" s="675">
        <f t="shared" si="7"/>
        <v>1349634703.9506962</v>
      </c>
      <c r="P51" s="1924">
        <f t="shared" si="7"/>
        <v>1420771089.9101386</v>
      </c>
      <c r="Q51" s="240"/>
      <c r="R51" s="745" t="s">
        <v>475</v>
      </c>
      <c r="S51" s="240"/>
      <c r="T51" s="240"/>
      <c r="U51" s="240"/>
      <c r="V51" s="240"/>
      <c r="W51" s="240"/>
    </row>
    <row r="52" spans="1:23" ht="4.9000000000000004" customHeight="1">
      <c r="A52" s="679"/>
      <c r="B52" s="88"/>
      <c r="C52" s="84"/>
      <c r="D52" s="84"/>
      <c r="E52" s="84"/>
      <c r="F52" s="84"/>
      <c r="G52" s="84"/>
      <c r="H52" s="84"/>
      <c r="I52" s="84"/>
      <c r="J52" s="84"/>
      <c r="K52" s="84"/>
      <c r="L52" s="84"/>
      <c r="M52" s="139"/>
      <c r="N52" s="88"/>
      <c r="O52" s="84"/>
      <c r="P52" s="426"/>
      <c r="Q52" s="240"/>
      <c r="R52" s="240"/>
      <c r="S52" s="240"/>
      <c r="T52" s="240"/>
      <c r="U52" s="240"/>
      <c r="V52" s="240"/>
      <c r="W52" s="240"/>
    </row>
    <row r="53" spans="1:23" s="631" customFormat="1" ht="13.5" thickBot="1">
      <c r="A53" s="746" t="s">
        <v>337</v>
      </c>
      <c r="B53" s="1925">
        <f t="shared" ref="B53:P53" si="8">B32-B51</f>
        <v>130049810.08456548</v>
      </c>
      <c r="C53" s="747">
        <f t="shared" si="8"/>
        <v>-42844765.253117025</v>
      </c>
      <c r="D53" s="747">
        <f t="shared" si="8"/>
        <v>-54505184.450313471</v>
      </c>
      <c r="E53" s="747">
        <f t="shared" si="8"/>
        <v>-41485437.874365568</v>
      </c>
      <c r="F53" s="747">
        <f t="shared" si="8"/>
        <v>100230726.25452432</v>
      </c>
      <c r="G53" s="747">
        <f t="shared" si="8"/>
        <v>-7653202.7779797912</v>
      </c>
      <c r="H53" s="747">
        <f t="shared" si="8"/>
        <v>-24969329.058611974</v>
      </c>
      <c r="I53" s="747">
        <f t="shared" si="8"/>
        <v>-31056435.642885141</v>
      </c>
      <c r="J53" s="747">
        <f t="shared" si="8"/>
        <v>103400414.79849285</v>
      </c>
      <c r="K53" s="747">
        <f t="shared" si="8"/>
        <v>-52896504.204227977</v>
      </c>
      <c r="L53" s="747">
        <f t="shared" si="8"/>
        <v>-17994733.519145951</v>
      </c>
      <c r="M53" s="748">
        <f t="shared" si="8"/>
        <v>-59275358.455782093</v>
      </c>
      <c r="N53" s="1925">
        <f t="shared" si="8"/>
        <v>999999.90115356445</v>
      </c>
      <c r="O53" s="747">
        <f t="shared" si="8"/>
        <v>999999.94930386543</v>
      </c>
      <c r="P53" s="1926">
        <f t="shared" si="8"/>
        <v>999999.98986148834</v>
      </c>
      <c r="Q53" s="749"/>
      <c r="R53" s="750"/>
      <c r="S53" s="751"/>
      <c r="T53" s="752"/>
      <c r="U53" s="752"/>
      <c r="V53" s="752"/>
      <c r="W53" s="752"/>
    </row>
    <row r="54" spans="1:23" ht="10.5" customHeight="1">
      <c r="A54" s="679" t="s">
        <v>834</v>
      </c>
      <c r="B54" s="2311">
        <v>43000000</v>
      </c>
      <c r="C54" s="237">
        <f>B55</f>
        <v>173049810.08456546</v>
      </c>
      <c r="D54" s="237">
        <f t="shared" ref="D54:M54" si="9">C55</f>
        <v>130205044.83144844</v>
      </c>
      <c r="E54" s="237">
        <f t="shared" si="9"/>
        <v>75699860.381134957</v>
      </c>
      <c r="F54" s="237">
        <f t="shared" si="9"/>
        <v>34214422.506769389</v>
      </c>
      <c r="G54" s="237">
        <f t="shared" si="9"/>
        <v>134445148.76129371</v>
      </c>
      <c r="H54" s="237">
        <f t="shared" si="9"/>
        <v>126791945.98331392</v>
      </c>
      <c r="I54" s="237">
        <f t="shared" si="9"/>
        <v>101822616.92470194</v>
      </c>
      <c r="J54" s="237">
        <f t="shared" si="9"/>
        <v>70766181.28181681</v>
      </c>
      <c r="K54" s="237">
        <f t="shared" si="9"/>
        <v>174166596.08030966</v>
      </c>
      <c r="L54" s="237">
        <f t="shared" si="9"/>
        <v>121270091.87608168</v>
      </c>
      <c r="M54" s="238">
        <f t="shared" si="9"/>
        <v>103275358.35693572</v>
      </c>
      <c r="N54" s="1141">
        <f>B54</f>
        <v>43000000</v>
      </c>
      <c r="O54" s="237">
        <f>N55</f>
        <v>43999999.901153564</v>
      </c>
      <c r="P54" s="1143">
        <f>O55</f>
        <v>44999999.85045743</v>
      </c>
      <c r="Q54" s="240"/>
      <c r="R54" s="240"/>
      <c r="S54" s="240"/>
      <c r="T54" s="240"/>
      <c r="U54" s="240"/>
      <c r="V54" s="240"/>
      <c r="W54" s="240"/>
    </row>
    <row r="55" spans="1:23" ht="10.5" customHeight="1">
      <c r="A55" s="753" t="s">
        <v>833</v>
      </c>
      <c r="B55" s="754">
        <f>B54+B53</f>
        <v>173049810.08456546</v>
      </c>
      <c r="C55" s="755">
        <f>C54+C53</f>
        <v>130205044.83144844</v>
      </c>
      <c r="D55" s="755">
        <f t="shared" ref="D55:P55" si="10">D54+D53</f>
        <v>75699860.381134957</v>
      </c>
      <c r="E55" s="755">
        <f t="shared" si="10"/>
        <v>34214422.506769389</v>
      </c>
      <c r="F55" s="755">
        <f t="shared" si="10"/>
        <v>134445148.76129371</v>
      </c>
      <c r="G55" s="755">
        <f t="shared" si="10"/>
        <v>126791945.98331392</v>
      </c>
      <c r="H55" s="755">
        <f t="shared" si="10"/>
        <v>101822616.92470194</v>
      </c>
      <c r="I55" s="755">
        <f t="shared" si="10"/>
        <v>70766181.28181681</v>
      </c>
      <c r="J55" s="755">
        <f t="shared" si="10"/>
        <v>174166596.08030966</v>
      </c>
      <c r="K55" s="755">
        <f t="shared" si="10"/>
        <v>121270091.87608168</v>
      </c>
      <c r="L55" s="755">
        <f t="shared" si="10"/>
        <v>103275358.35693572</v>
      </c>
      <c r="M55" s="756">
        <f t="shared" si="10"/>
        <v>43999999.901153632</v>
      </c>
      <c r="N55" s="1927">
        <f t="shared" si="10"/>
        <v>43999999.901153564</v>
      </c>
      <c r="O55" s="755">
        <f t="shared" si="10"/>
        <v>44999999.85045743</v>
      </c>
      <c r="P55" s="1928">
        <f t="shared" si="10"/>
        <v>45999999.840318918</v>
      </c>
      <c r="Q55" s="240"/>
      <c r="R55" s="240"/>
      <c r="S55" s="240"/>
      <c r="T55" s="240"/>
      <c r="U55" s="240"/>
      <c r="V55" s="240"/>
      <c r="W55" s="240"/>
    </row>
    <row r="56" spans="1:23" ht="10.5" customHeight="1">
      <c r="A56" s="1023"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c r="A57" s="2863" t="s">
        <v>2017</v>
      </c>
      <c r="B57" s="2863"/>
      <c r="C57" s="2863"/>
      <c r="D57" s="2863"/>
      <c r="E57" s="2863"/>
      <c r="F57" s="2863"/>
      <c r="G57" s="2863"/>
      <c r="H57" s="2863"/>
      <c r="I57" s="2863"/>
      <c r="J57" s="2863"/>
      <c r="K57" s="2863"/>
      <c r="L57" s="2863"/>
      <c r="M57" s="2863"/>
      <c r="N57" s="2863"/>
      <c r="O57" s="2863"/>
      <c r="P57" s="2863"/>
      <c r="Q57" s="240"/>
      <c r="R57" s="240"/>
      <c r="S57" s="240"/>
      <c r="T57" s="240"/>
      <c r="U57" s="240"/>
      <c r="V57" s="240"/>
      <c r="W57" s="240"/>
    </row>
    <row r="58" spans="1:23" ht="10.5" customHeight="1">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c r="A62" s="240"/>
      <c r="B62" s="240"/>
      <c r="C62" s="240"/>
      <c r="D62" s="240"/>
      <c r="E62" s="696">
        <f t="shared" ref="E62:P62" si="11">E45+E61</f>
        <v>97305602.507112935</v>
      </c>
      <c r="F62" s="696">
        <f t="shared" si="11"/>
        <v>91632051.950915113</v>
      </c>
      <c r="G62" s="696">
        <f t="shared" si="11"/>
        <v>99758481.403527722</v>
      </c>
      <c r="H62" s="696">
        <f t="shared" si="11"/>
        <v>86316587.089782327</v>
      </c>
      <c r="I62" s="696">
        <f t="shared" si="11"/>
        <v>81528329.879298329</v>
      </c>
      <c r="J62" s="696">
        <f t="shared" si="11"/>
        <v>88538667.986547455</v>
      </c>
      <c r="K62" s="696">
        <f t="shared" si="11"/>
        <v>103531500.71862787</v>
      </c>
      <c r="L62" s="696">
        <f t="shared" si="11"/>
        <v>83369084.850460872</v>
      </c>
      <c r="M62" s="696">
        <f t="shared" si="11"/>
        <v>101553256.26676539</v>
      </c>
      <c r="N62" s="696">
        <f t="shared" si="11"/>
        <v>1172908378.2</v>
      </c>
      <c r="O62" s="696">
        <f t="shared" si="11"/>
        <v>1232072935.4000001</v>
      </c>
      <c r="P62" s="696">
        <f t="shared" si="11"/>
        <v>1294759592.7</v>
      </c>
      <c r="Q62" s="240"/>
      <c r="R62" s="240"/>
      <c r="S62" s="240"/>
      <c r="T62" s="240"/>
      <c r="U62" s="240"/>
      <c r="V62" s="240"/>
      <c r="W62" s="240"/>
    </row>
    <row r="63" spans="1:23">
      <c r="A63" s="240"/>
      <c r="B63" s="240"/>
      <c r="C63" s="240"/>
      <c r="D63" s="240"/>
      <c r="E63" s="696">
        <f t="shared" ref="E63:P63" si="12">E53-E61</f>
        <v>-41485437.874365568</v>
      </c>
      <c r="F63" s="696">
        <f t="shared" si="12"/>
        <v>100230726.25452432</v>
      </c>
      <c r="G63" s="696">
        <f t="shared" si="12"/>
        <v>-7653202.7779797912</v>
      </c>
      <c r="H63" s="696">
        <f t="shared" si="12"/>
        <v>-24969329.058611974</v>
      </c>
      <c r="I63" s="696">
        <f t="shared" si="12"/>
        <v>-31056435.642885141</v>
      </c>
      <c r="J63" s="696">
        <f t="shared" si="12"/>
        <v>103400414.79849285</v>
      </c>
      <c r="K63" s="696">
        <f t="shared" si="12"/>
        <v>-52896504.204227977</v>
      </c>
      <c r="L63" s="696">
        <f t="shared" si="12"/>
        <v>-17994733.519145951</v>
      </c>
      <c r="M63" s="696">
        <f t="shared" si="12"/>
        <v>-59275358.455782093</v>
      </c>
      <c r="N63" s="696">
        <f t="shared" si="12"/>
        <v>999999.90115356445</v>
      </c>
      <c r="O63" s="696">
        <f t="shared" si="12"/>
        <v>999999.94930386543</v>
      </c>
      <c r="P63" s="696">
        <f t="shared" si="12"/>
        <v>999999.98986148834</v>
      </c>
      <c r="Q63" s="240"/>
      <c r="R63" s="240"/>
      <c r="S63" s="240"/>
      <c r="T63" s="240"/>
      <c r="U63" s="240"/>
      <c r="V63" s="240"/>
      <c r="W63" s="240"/>
    </row>
    <row r="64" spans="1:23">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c r="N189" s="183"/>
      <c r="O189" s="183"/>
      <c r="P189" s="183"/>
      <c r="Q189" s="183"/>
      <c r="R189" s="183"/>
      <c r="S189" s="183"/>
      <c r="AH189" s="183"/>
      <c r="AI189" s="183"/>
      <c r="AJ189" s="183"/>
      <c r="AK189" s="183"/>
      <c r="AL189" s="183"/>
      <c r="AM189" s="183"/>
      <c r="AN189" s="183"/>
      <c r="AO189" s="183"/>
      <c r="AP189" s="183"/>
      <c r="AQ189" s="183"/>
      <c r="AR189" s="183"/>
    </row>
    <row r="190" spans="2:44">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5" type="noConversion"/>
  <printOptions horizontalCentered="1"/>
  <pageMargins left="0" right="0" top="0.19685039370078741" bottom="0.19685039370078741" header="0.51181102362204722" footer="0.51181102362204722"/>
  <pageSetup paperSize="9" scale="75"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34" activePane="bottomRight" state="frozen"/>
      <selection pane="topRight"/>
      <selection pane="bottomLeft"/>
      <selection pane="bottomRight" activeCell="I40" sqref="I40:K40"/>
    </sheetView>
  </sheetViews>
  <sheetFormatPr defaultColWidth="9.140625" defaultRowHeight="12.75"/>
  <cols>
    <col min="1" max="1" width="30.7109375" style="26" customWidth="1"/>
    <col min="2" max="2" width="4.42578125" style="26" customWidth="1"/>
    <col min="3" max="11" width="9.28515625" style="26" customWidth="1"/>
    <col min="12" max="12" width="8.7109375" style="26" customWidth="1"/>
    <col min="13" max="15" width="7.7109375" style="26" customWidth="1"/>
    <col min="16" max="16384" width="9.140625" style="26"/>
  </cols>
  <sheetData>
    <row r="1" spans="1:11" ht="13.5" customHeight="1">
      <c r="A1" s="24" t="str">
        <f>muni&amp;" - "&amp; TableA31</f>
        <v>LIM333 Greater Tzaneen - Supporting Table SA31 Aggregated entity budget</v>
      </c>
      <c r="B1" s="24"/>
      <c r="C1" s="24"/>
      <c r="D1" s="24"/>
      <c r="E1" s="24"/>
      <c r="F1" s="24"/>
      <c r="G1" s="24"/>
      <c r="H1" s="24"/>
      <c r="I1" s="24"/>
      <c r="J1" s="24"/>
      <c r="K1" s="24"/>
    </row>
    <row r="2" spans="1:11" ht="28.5" customHeight="1">
      <c r="A2" s="857" t="str">
        <f>desc</f>
        <v>Description</v>
      </c>
      <c r="B2" s="2925" t="str">
        <f>head27</f>
        <v>Ref</v>
      </c>
      <c r="C2" s="757" t="str">
        <f>head1b</f>
        <v>2016/17</v>
      </c>
      <c r="D2" s="618" t="str">
        <f>head1A</f>
        <v>2017/18</v>
      </c>
      <c r="E2" s="23" t="str">
        <f>Head1</f>
        <v>2018/19</v>
      </c>
      <c r="F2" s="2842" t="str">
        <f>Head2</f>
        <v>Current Year 2019/20</v>
      </c>
      <c r="G2" s="2843"/>
      <c r="H2" s="2847"/>
      <c r="I2" s="2839" t="str">
        <f>Head3</f>
        <v>2020/21 Medium Term Revenue &amp; Expenditure Framework</v>
      </c>
      <c r="J2" s="2840"/>
      <c r="K2" s="2841"/>
    </row>
    <row r="3" spans="1:11" ht="25.5">
      <c r="A3" s="57" t="s">
        <v>568</v>
      </c>
      <c r="B3" s="2926"/>
      <c r="C3" s="844"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2.75" customHeight="1">
      <c r="A4" s="780" t="s">
        <v>1197</v>
      </c>
      <c r="B4" s="126"/>
      <c r="C4" s="759"/>
      <c r="D4" s="40"/>
      <c r="E4" s="41"/>
      <c r="F4" s="39"/>
      <c r="G4" s="40"/>
      <c r="H4" s="478"/>
      <c r="I4" s="759"/>
      <c r="J4" s="40"/>
      <c r="K4" s="41"/>
    </row>
    <row r="5" spans="1:11">
      <c r="A5" s="761" t="str">
        <f>'A1-Sum'!A5</f>
        <v>Property rates</v>
      </c>
      <c r="B5" s="127"/>
      <c r="C5" s="2312"/>
      <c r="D5" s="2200"/>
      <c r="E5" s="2201"/>
      <c r="F5" s="2202"/>
      <c r="G5" s="2200"/>
      <c r="H5" s="2204"/>
      <c r="I5" s="2312"/>
      <c r="J5" s="2200"/>
      <c r="K5" s="2201"/>
    </row>
    <row r="6" spans="1:11">
      <c r="A6" s="761" t="str">
        <f>'A1-Sum'!A6</f>
        <v>Service charges</v>
      </c>
      <c r="B6" s="127"/>
      <c r="C6" s="2312"/>
      <c r="D6" s="2200"/>
      <c r="E6" s="2201"/>
      <c r="F6" s="2202"/>
      <c r="G6" s="2200"/>
      <c r="H6" s="2204"/>
      <c r="I6" s="2312"/>
      <c r="J6" s="2200"/>
      <c r="K6" s="2201"/>
    </row>
    <row r="7" spans="1:11">
      <c r="A7" s="761" t="str">
        <f>'A1-Sum'!A7</f>
        <v>Investment revenue</v>
      </c>
      <c r="B7" s="127"/>
      <c r="C7" s="2312"/>
      <c r="D7" s="2200"/>
      <c r="E7" s="2201"/>
      <c r="F7" s="2202"/>
      <c r="G7" s="2200"/>
      <c r="H7" s="2204"/>
      <c r="I7" s="2312"/>
      <c r="J7" s="2200"/>
      <c r="K7" s="2201"/>
    </row>
    <row r="8" spans="1:11">
      <c r="A8" s="761" t="str">
        <f>'A1-Sum'!A8</f>
        <v>Transfers recognised - operational</v>
      </c>
      <c r="B8" s="127"/>
      <c r="C8" s="2312">
        <v>5625000</v>
      </c>
      <c r="D8" s="2200">
        <v>6305118</v>
      </c>
      <c r="E8" s="2201">
        <v>9753043</v>
      </c>
      <c r="F8" s="2202">
        <v>8646460.3499999996</v>
      </c>
      <c r="G8" s="2200">
        <v>8646460.3499999996</v>
      </c>
      <c r="H8" s="2204">
        <v>8646460.3499999996</v>
      </c>
      <c r="I8" s="2312">
        <v>8961106</v>
      </c>
      <c r="J8" s="2200">
        <v>9857217</v>
      </c>
      <c r="K8" s="2201">
        <v>10842939</v>
      </c>
    </row>
    <row r="9" spans="1:11">
      <c r="A9" s="761" t="str">
        <f>'A1-Sum'!A9</f>
        <v>Other own revenue</v>
      </c>
      <c r="B9" s="127"/>
      <c r="C9" s="2312"/>
      <c r="D9" s="2200"/>
      <c r="E9" s="2201"/>
      <c r="F9" s="2202"/>
      <c r="G9" s="2200"/>
      <c r="H9" s="2204"/>
      <c r="I9" s="2312"/>
      <c r="J9" s="2200"/>
      <c r="K9" s="2201"/>
    </row>
    <row r="10" spans="1:11">
      <c r="A10" s="761" t="str">
        <f>'A1-Sum'!A21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10" s="127"/>
      <c r="C10" s="2312"/>
      <c r="D10" s="2200"/>
      <c r="E10" s="2201"/>
      <c r="F10" s="2202"/>
      <c r="G10" s="2200"/>
      <c r="H10" s="2204"/>
      <c r="I10" s="2312"/>
      <c r="J10" s="2200"/>
      <c r="K10" s="2201"/>
    </row>
    <row r="11" spans="1:11">
      <c r="A11" s="762" t="str">
        <f>'A4-FinPerf RE'!A21</f>
        <v>Total Revenue (excluding capital transfers and contributions)</v>
      </c>
      <c r="B11" s="140"/>
      <c r="C11" s="763">
        <f>SUM(C5:C10)</f>
        <v>5625000</v>
      </c>
      <c r="D11" s="476">
        <f>SUM(D5:D10)</f>
        <v>6305118</v>
      </c>
      <c r="E11" s="477">
        <f t="shared" ref="E11:K11" si="0">SUM(E5:E10)</f>
        <v>9753043</v>
      </c>
      <c r="F11" s="764">
        <f t="shared" si="0"/>
        <v>8646460.3499999996</v>
      </c>
      <c r="G11" s="476">
        <f t="shared" si="0"/>
        <v>8646460.3499999996</v>
      </c>
      <c r="H11" s="765">
        <f t="shared" si="0"/>
        <v>8646460.3499999996</v>
      </c>
      <c r="I11" s="763">
        <f t="shared" si="0"/>
        <v>8961106</v>
      </c>
      <c r="J11" s="763">
        <f t="shared" si="0"/>
        <v>9857217</v>
      </c>
      <c r="K11" s="477">
        <f t="shared" si="0"/>
        <v>10842939</v>
      </c>
    </row>
    <row r="12" spans="1:11">
      <c r="A12" s="761" t="str">
        <f>'A1-Sum'!A11</f>
        <v>Employee costs</v>
      </c>
      <c r="B12" s="127"/>
      <c r="C12" s="2312">
        <v>2654000</v>
      </c>
      <c r="D12" s="2200">
        <v>3040834</v>
      </c>
      <c r="E12" s="2201">
        <v>3791601</v>
      </c>
      <c r="F12" s="2202">
        <v>2941095.68</v>
      </c>
      <c r="G12" s="2200">
        <v>2941095.68</v>
      </c>
      <c r="H12" s="2204">
        <v>2941095.68</v>
      </c>
      <c r="I12" s="2312">
        <v>4361398.03</v>
      </c>
      <c r="J12" s="2200">
        <v>4797537.8329999996</v>
      </c>
      <c r="K12" s="2201">
        <v>5277291.6162999999</v>
      </c>
    </row>
    <row r="13" spans="1:11">
      <c r="A13" s="761" t="s">
        <v>826</v>
      </c>
      <c r="B13" s="127"/>
      <c r="C13" s="2312">
        <v>1005000</v>
      </c>
      <c r="D13" s="2200">
        <v>955556</v>
      </c>
      <c r="E13" s="2201">
        <v>914224</v>
      </c>
      <c r="F13" s="2202">
        <v>701000</v>
      </c>
      <c r="G13" s="2200">
        <v>701000</v>
      </c>
      <c r="H13" s="2204">
        <v>701000</v>
      </c>
      <c r="I13" s="2312">
        <v>674100</v>
      </c>
      <c r="J13" s="2200">
        <v>741510</v>
      </c>
      <c r="K13" s="2201">
        <v>815661</v>
      </c>
    </row>
    <row r="14" spans="1:11">
      <c r="A14" s="761" t="str">
        <f>'A1-Sum'!A13</f>
        <v>Depreciation &amp; asset impairment</v>
      </c>
      <c r="B14" s="127"/>
      <c r="C14" s="2312">
        <v>54000</v>
      </c>
      <c r="D14" s="2200">
        <v>42780</v>
      </c>
      <c r="E14" s="2201">
        <v>69020</v>
      </c>
      <c r="F14" s="2202">
        <v>82595.320000000007</v>
      </c>
      <c r="G14" s="2200">
        <v>82595.320000000007</v>
      </c>
      <c r="H14" s="2204">
        <v>82595.320000000007</v>
      </c>
      <c r="I14" s="2312">
        <v>87555</v>
      </c>
      <c r="J14" s="2200">
        <v>96310</v>
      </c>
      <c r="K14" s="2201">
        <v>105941</v>
      </c>
    </row>
    <row r="15" spans="1:11">
      <c r="A15" s="761" t="str">
        <f>'A1-Sum'!A14</f>
        <v>Finance charges</v>
      </c>
      <c r="B15" s="127"/>
      <c r="C15" s="2312"/>
      <c r="D15" s="2200"/>
      <c r="E15" s="2201"/>
      <c r="F15" s="2202"/>
      <c r="G15" s="2200"/>
      <c r="H15" s="2204"/>
      <c r="I15" s="2312">
        <v>4523</v>
      </c>
      <c r="J15" s="2200">
        <v>4976</v>
      </c>
      <c r="K15" s="2201">
        <v>5474</v>
      </c>
    </row>
    <row r="16" spans="1:11">
      <c r="A16" s="761" t="str">
        <f>'A1-Sum'!A15</f>
        <v>Materials and bulk purchases</v>
      </c>
      <c r="B16" s="127"/>
      <c r="C16" s="2312"/>
      <c r="D16" s="2200"/>
      <c r="E16" s="2201"/>
      <c r="F16" s="2202"/>
      <c r="G16" s="2200"/>
      <c r="H16" s="2204"/>
      <c r="I16" s="2312">
        <v>5500</v>
      </c>
      <c r="J16" s="2200">
        <v>6050</v>
      </c>
      <c r="K16" s="2201">
        <v>6655</v>
      </c>
    </row>
    <row r="17" spans="1:12">
      <c r="A17" s="761" t="str">
        <f>'A1-Sum'!A16</f>
        <v>Transfers and grants</v>
      </c>
      <c r="B17" s="127"/>
      <c r="C17" s="2312"/>
      <c r="D17" s="2200"/>
      <c r="E17" s="2201"/>
      <c r="F17" s="2202"/>
      <c r="G17" s="2200"/>
      <c r="H17" s="2204"/>
      <c r="I17" s="2312"/>
      <c r="J17" s="2200"/>
      <c r="K17" s="2201"/>
    </row>
    <row r="18" spans="1:12">
      <c r="A18" s="761" t="str">
        <f>'A1-Sum'!A17</f>
        <v>Other expenditure</v>
      </c>
      <c r="B18" s="127"/>
      <c r="C18" s="2312">
        <v>1793000</v>
      </c>
      <c r="D18" s="2200">
        <v>3168738</v>
      </c>
      <c r="E18" s="2201">
        <v>5732000</v>
      </c>
      <c r="F18" s="2202">
        <v>4921582.4800000004</v>
      </c>
      <c r="G18" s="2200">
        <v>4921582.4800000004</v>
      </c>
      <c r="H18" s="2204">
        <v>4921582.4800000004</v>
      </c>
      <c r="I18" s="2312">
        <f>894808+2698222</f>
        <v>3593030</v>
      </c>
      <c r="J18" s="2200">
        <f>2968044+984289</f>
        <v>3952333</v>
      </c>
      <c r="K18" s="2201">
        <f>3264848+1082718</f>
        <v>4347566</v>
      </c>
    </row>
    <row r="19" spans="1:12">
      <c r="A19" s="762" t="str">
        <f>'A4-FinPerf RE'!A35</f>
        <v>Total Expenditure</v>
      </c>
      <c r="B19" s="140"/>
      <c r="C19" s="766">
        <f>SUM(C12:C18)</f>
        <v>5506000</v>
      </c>
      <c r="D19" s="767">
        <f t="shared" ref="D19:K19" si="1">SUM(D12:D18)</f>
        <v>7207908</v>
      </c>
      <c r="E19" s="768">
        <f t="shared" si="1"/>
        <v>10506845</v>
      </c>
      <c r="F19" s="769">
        <f t="shared" si="1"/>
        <v>8646273.4800000004</v>
      </c>
      <c r="G19" s="767">
        <f t="shared" si="1"/>
        <v>8646273.4800000004</v>
      </c>
      <c r="H19" s="770">
        <f t="shared" si="1"/>
        <v>8646273.4800000004</v>
      </c>
      <c r="I19" s="766">
        <f t="shared" si="1"/>
        <v>8726106.0300000012</v>
      </c>
      <c r="J19" s="767">
        <f t="shared" si="1"/>
        <v>9598716.8330000006</v>
      </c>
      <c r="K19" s="768">
        <f t="shared" si="1"/>
        <v>10558588.6163</v>
      </c>
    </row>
    <row r="20" spans="1:12">
      <c r="A20" s="762" t="str">
        <f>'A4-FinPerf RE'!A37</f>
        <v>Surplus/(Deficit)</v>
      </c>
      <c r="B20" s="140"/>
      <c r="C20" s="771">
        <f>C11-C19</f>
        <v>119000</v>
      </c>
      <c r="D20" s="479">
        <f t="shared" ref="D20:K20" si="2">D11-D19</f>
        <v>-902790</v>
      </c>
      <c r="E20" s="480">
        <f t="shared" si="2"/>
        <v>-753802</v>
      </c>
      <c r="F20" s="772">
        <f t="shared" si="2"/>
        <v>186.86999999918044</v>
      </c>
      <c r="G20" s="479">
        <f t="shared" si="2"/>
        <v>186.86999999918044</v>
      </c>
      <c r="H20" s="773">
        <f t="shared" si="2"/>
        <v>186.86999999918044</v>
      </c>
      <c r="I20" s="771">
        <f t="shared" si="2"/>
        <v>234999.96999999881</v>
      </c>
      <c r="J20" s="479">
        <f t="shared" si="2"/>
        <v>258500.16699999943</v>
      </c>
      <c r="K20" s="480">
        <f t="shared" si="2"/>
        <v>284350.38370000012</v>
      </c>
    </row>
    <row r="21" spans="1:12" ht="6" customHeight="1">
      <c r="A21" s="774"/>
      <c r="B21" s="251"/>
      <c r="C21" s="775"/>
      <c r="D21" s="776"/>
      <c r="E21" s="777"/>
      <c r="F21" s="778"/>
      <c r="G21" s="776"/>
      <c r="H21" s="779"/>
      <c r="I21" s="775"/>
      <c r="J21" s="776"/>
      <c r="K21" s="777"/>
    </row>
    <row r="22" spans="1:12" ht="12.75" customHeight="1">
      <c r="A22" s="780" t="s">
        <v>930</v>
      </c>
      <c r="B22" s="126"/>
      <c r="C22" s="759"/>
      <c r="D22" s="40"/>
      <c r="E22" s="41"/>
      <c r="F22" s="39"/>
      <c r="G22" s="40"/>
      <c r="H22" s="478"/>
      <c r="I22" s="759"/>
      <c r="J22" s="40"/>
      <c r="K22" s="41"/>
    </row>
    <row r="23" spans="1:12">
      <c r="A23" s="781" t="s">
        <v>1326</v>
      </c>
      <c r="B23" s="244"/>
      <c r="C23" s="2313"/>
      <c r="D23" s="2314"/>
      <c r="E23" s="2315"/>
      <c r="F23" s="2316"/>
      <c r="G23" s="2314"/>
      <c r="H23" s="2317"/>
      <c r="I23" s="2313"/>
      <c r="J23" s="2314"/>
      <c r="K23" s="2315"/>
      <c r="L23" s="123"/>
    </row>
    <row r="24" spans="1:12">
      <c r="A24" s="761" t="str">
        <f>A8</f>
        <v>Transfers recognised - operational</v>
      </c>
      <c r="B24" s="127"/>
      <c r="C24" s="2312"/>
      <c r="D24" s="2200"/>
      <c r="E24" s="2201"/>
      <c r="F24" s="2202"/>
      <c r="G24" s="2200"/>
      <c r="H24" s="2204"/>
      <c r="I24" s="2312">
        <v>235000</v>
      </c>
      <c r="J24" s="2200">
        <v>235000</v>
      </c>
      <c r="K24" s="2201">
        <v>235000</v>
      </c>
      <c r="L24" s="782"/>
    </row>
    <row r="25" spans="1:12" ht="1.9" customHeight="1">
      <c r="A25" s="761"/>
      <c r="B25" s="127"/>
      <c r="C25" s="2582"/>
      <c r="D25" s="2583"/>
      <c r="E25" s="2584"/>
      <c r="F25" s="2585"/>
      <c r="G25" s="2583"/>
      <c r="H25" s="2586"/>
      <c r="I25" s="2582"/>
      <c r="J25" s="2583"/>
      <c r="K25" s="2584"/>
      <c r="L25" s="782"/>
    </row>
    <row r="26" spans="1:12">
      <c r="A26" s="761" t="str">
        <f>'A5-Capex'!A72</f>
        <v>Borrowing</v>
      </c>
      <c r="B26" s="127"/>
      <c r="C26" s="2312"/>
      <c r="D26" s="2200"/>
      <c r="E26" s="2201"/>
      <c r="F26" s="2202"/>
      <c r="G26" s="2200"/>
      <c r="H26" s="2204"/>
      <c r="I26" s="2312"/>
      <c r="J26" s="2200"/>
      <c r="K26" s="2201"/>
      <c r="L26" s="782"/>
    </row>
    <row r="27" spans="1:12">
      <c r="A27" s="761" t="str">
        <f>'A5-Capex'!A73</f>
        <v>Internally generated funds</v>
      </c>
      <c r="B27" s="127"/>
      <c r="C27" s="2312">
        <v>2000</v>
      </c>
      <c r="D27" s="2200">
        <v>2000</v>
      </c>
      <c r="E27" s="2201"/>
      <c r="F27" s="2202">
        <v>235000</v>
      </c>
      <c r="G27" s="2200">
        <v>235000</v>
      </c>
      <c r="H27" s="2204">
        <v>235000</v>
      </c>
      <c r="I27" s="2312"/>
      <c r="J27" s="2200"/>
      <c r="K27" s="2201"/>
      <c r="L27" s="782"/>
    </row>
    <row r="28" spans="1:12">
      <c r="A28" s="50" t="s">
        <v>803</v>
      </c>
      <c r="B28" s="730"/>
      <c r="C28" s="763">
        <f>+C24+C26+C27</f>
        <v>2000</v>
      </c>
      <c r="D28" s="476">
        <f t="shared" ref="D28:K28" si="3">+D24+D26+D27</f>
        <v>2000</v>
      </c>
      <c r="E28" s="477">
        <f t="shared" si="3"/>
        <v>0</v>
      </c>
      <c r="F28" s="764">
        <f t="shared" si="3"/>
        <v>235000</v>
      </c>
      <c r="G28" s="476">
        <f t="shared" si="3"/>
        <v>235000</v>
      </c>
      <c r="H28" s="765">
        <f t="shared" si="3"/>
        <v>235000</v>
      </c>
      <c r="I28" s="763">
        <f t="shared" si="3"/>
        <v>235000</v>
      </c>
      <c r="J28" s="476">
        <f t="shared" si="3"/>
        <v>235000</v>
      </c>
      <c r="K28" s="477">
        <f t="shared" si="3"/>
        <v>235000</v>
      </c>
    </row>
    <row r="29" spans="1:12" ht="6" customHeight="1">
      <c r="A29" s="762"/>
      <c r="B29" s="140"/>
      <c r="C29" s="771"/>
      <c r="D29" s="479"/>
      <c r="E29" s="480"/>
      <c r="F29" s="772"/>
      <c r="G29" s="479"/>
      <c r="H29" s="773"/>
      <c r="I29" s="771"/>
      <c r="J29" s="479"/>
      <c r="K29" s="480"/>
    </row>
    <row r="30" spans="1:12" ht="12.75" customHeight="1">
      <c r="A30" s="758" t="s">
        <v>174</v>
      </c>
      <c r="B30" s="723"/>
      <c r="C30" s="760"/>
      <c r="D30" s="783"/>
      <c r="E30" s="784"/>
      <c r="F30" s="785"/>
      <c r="G30" s="783"/>
      <c r="H30" s="786"/>
      <c r="I30" s="760"/>
      <c r="J30" s="783"/>
      <c r="K30" s="784"/>
    </row>
    <row r="31" spans="1:12">
      <c r="A31" s="761" t="str">
        <f>'A6-FinPos'!A12</f>
        <v>Total current assets</v>
      </c>
      <c r="B31" s="127"/>
      <c r="C31" s="2312">
        <v>1108000</v>
      </c>
      <c r="D31" s="2200">
        <v>439739</v>
      </c>
      <c r="E31" s="2201">
        <v>1143704</v>
      </c>
      <c r="F31" s="2202">
        <v>470152</v>
      </c>
      <c r="G31" s="2200">
        <v>470152</v>
      </c>
      <c r="H31" s="2204">
        <v>470152</v>
      </c>
      <c r="I31" s="2312">
        <v>560000</v>
      </c>
      <c r="J31" s="2200">
        <v>640000</v>
      </c>
      <c r="K31" s="2201">
        <v>820000</v>
      </c>
    </row>
    <row r="32" spans="1:12">
      <c r="A32" s="761" t="str">
        <f>'A6-FinPos'!A24</f>
        <v>Total non current assets</v>
      </c>
      <c r="B32" s="127"/>
      <c r="C32" s="2312">
        <v>87000</v>
      </c>
      <c r="D32" s="2200">
        <v>150101</v>
      </c>
      <c r="E32" s="2201">
        <v>115692</v>
      </c>
      <c r="F32" s="2202">
        <v>235000</v>
      </c>
      <c r="G32" s="2200">
        <v>235000</v>
      </c>
      <c r="H32" s="2204">
        <v>235000</v>
      </c>
      <c r="I32" s="2312">
        <v>235000</v>
      </c>
      <c r="J32" s="2200">
        <v>258500</v>
      </c>
      <c r="K32" s="2201">
        <v>284350</v>
      </c>
    </row>
    <row r="33" spans="1:15">
      <c r="A33" s="761" t="str">
        <f>'A6-FinPos'!A34</f>
        <v>Total current liabilities</v>
      </c>
      <c r="B33" s="127"/>
      <c r="C33" s="2312">
        <v>2060029</v>
      </c>
      <c r="D33" s="2200">
        <v>2441726</v>
      </c>
      <c r="E33" s="2201">
        <v>7526000</v>
      </c>
      <c r="F33" s="2202">
        <v>1643155</v>
      </c>
      <c r="G33" s="2200">
        <v>1643155</v>
      </c>
      <c r="H33" s="2204">
        <v>1643155</v>
      </c>
      <c r="I33" s="2312">
        <v>3000000</v>
      </c>
      <c r="J33" s="2200">
        <v>2500000</v>
      </c>
      <c r="K33" s="2201">
        <v>1800000</v>
      </c>
    </row>
    <row r="34" spans="1:15">
      <c r="A34" s="761" t="str">
        <f>'A6-FinPos'!A39</f>
        <v>Total non current liabilities</v>
      </c>
      <c r="B34" s="127"/>
      <c r="C34" s="2312"/>
      <c r="D34" s="2200"/>
      <c r="E34" s="2201"/>
      <c r="F34" s="2202"/>
      <c r="G34" s="2200"/>
      <c r="H34" s="2204"/>
      <c r="I34" s="2312"/>
      <c r="J34" s="2200"/>
      <c r="K34" s="2201"/>
    </row>
    <row r="35" spans="1:15">
      <c r="A35" s="761" t="s">
        <v>526</v>
      </c>
      <c r="B35" s="127"/>
      <c r="C35" s="2312"/>
      <c r="D35" s="2200"/>
      <c r="E35" s="2201"/>
      <c r="F35" s="2202"/>
      <c r="G35" s="2200"/>
      <c r="H35" s="2204"/>
      <c r="I35" s="2312"/>
      <c r="J35" s="2200"/>
      <c r="K35" s="2201"/>
    </row>
    <row r="36" spans="1:15" ht="6" customHeight="1">
      <c r="A36" s="774"/>
      <c r="B36" s="251"/>
      <c r="C36" s="775"/>
      <c r="D36" s="776"/>
      <c r="E36" s="777"/>
      <c r="F36" s="778"/>
      <c r="G36" s="776"/>
      <c r="H36" s="779"/>
      <c r="I36" s="775"/>
      <c r="J36" s="776"/>
      <c r="K36" s="777"/>
    </row>
    <row r="37" spans="1:15" ht="12.75" customHeight="1">
      <c r="A37" s="780" t="s">
        <v>175</v>
      </c>
      <c r="B37" s="126"/>
      <c r="C37" s="759"/>
      <c r="D37" s="40"/>
      <c r="E37" s="41"/>
      <c r="F37" s="39"/>
      <c r="G37" s="40"/>
      <c r="H37" s="478"/>
      <c r="I37" s="759"/>
      <c r="J37" s="40"/>
      <c r="K37" s="41"/>
      <c r="O37" s="240"/>
    </row>
    <row r="38" spans="1:15">
      <c r="A38" s="761" t="str">
        <f>'A1-Sum'!A42</f>
        <v>Net cash from (used) operating</v>
      </c>
      <c r="B38" s="127"/>
      <c r="C38" s="2312">
        <v>681000</v>
      </c>
      <c r="D38" s="2200">
        <v>-903429</v>
      </c>
      <c r="E38" s="2201">
        <v>607248</v>
      </c>
      <c r="F38" s="2202">
        <v>0</v>
      </c>
      <c r="G38" s="2200">
        <v>0</v>
      </c>
      <c r="H38" s="2204">
        <v>0</v>
      </c>
      <c r="I38" s="2312"/>
      <c r="J38" s="2200"/>
      <c r="K38" s="2201"/>
    </row>
    <row r="39" spans="1:15">
      <c r="A39" s="761" t="str">
        <f>'A1-Sum'!A43</f>
        <v>Net cash from (used) investing</v>
      </c>
      <c r="B39" s="127"/>
      <c r="C39" s="2312">
        <v>0</v>
      </c>
      <c r="D39" s="2200">
        <v>235000</v>
      </c>
      <c r="E39" s="2201">
        <v>-34611</v>
      </c>
      <c r="F39" s="2202">
        <v>235000</v>
      </c>
      <c r="G39" s="2200">
        <v>235000</v>
      </c>
      <c r="H39" s="2204">
        <v>235000</v>
      </c>
      <c r="I39" s="2312">
        <v>-235000</v>
      </c>
      <c r="J39" s="2200">
        <v>-235000</v>
      </c>
      <c r="K39" s="2201">
        <v>-235000</v>
      </c>
    </row>
    <row r="40" spans="1:15">
      <c r="A40" s="761" t="str">
        <f>'A1-Sum'!A44</f>
        <v>Net cash from (used) financing</v>
      </c>
      <c r="B40" s="127"/>
      <c r="C40" s="2312"/>
      <c r="D40" s="2200"/>
      <c r="E40" s="2201"/>
      <c r="F40" s="2202"/>
      <c r="G40" s="2200"/>
      <c r="H40" s="2204"/>
      <c r="I40" s="2312"/>
      <c r="J40" s="2200"/>
      <c r="K40" s="2201"/>
    </row>
    <row r="41" spans="1:15">
      <c r="A41" s="762" t="str">
        <f>'A1-Sum'!A45</f>
        <v>Cash/cash equivalents at the year end</v>
      </c>
      <c r="B41" s="140"/>
      <c r="C41" s="2312">
        <v>1108000</v>
      </c>
      <c r="D41" s="2200">
        <v>439571</v>
      </c>
      <c r="E41" s="2201">
        <v>1144051</v>
      </c>
      <c r="F41" s="2202">
        <v>470000.5</v>
      </c>
      <c r="G41" s="2200">
        <v>470000.5</v>
      </c>
      <c r="H41" s="2204">
        <v>470000.5</v>
      </c>
      <c r="I41" s="2312">
        <v>1933784</v>
      </c>
      <c r="J41" s="2200">
        <v>1698784</v>
      </c>
      <c r="K41" s="2201">
        <v>1463784</v>
      </c>
    </row>
    <row r="42" spans="1:15" ht="6" customHeight="1">
      <c r="A42" s="787"/>
      <c r="B42" s="209"/>
      <c r="C42" s="775"/>
      <c r="D42" s="776"/>
      <c r="E42" s="777"/>
      <c r="F42" s="778"/>
      <c r="G42" s="776"/>
      <c r="H42" s="779"/>
      <c r="I42" s="775"/>
      <c r="J42" s="776"/>
      <c r="K42" s="777"/>
    </row>
  </sheetData>
  <mergeCells count="3">
    <mergeCell ref="F2:H2"/>
    <mergeCell ref="I2:K2"/>
    <mergeCell ref="B2:B3"/>
  </mergeCells>
  <phoneticPr fontId="5"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74"/>
  <sheetViews>
    <sheetView showGridLines="0" zoomScaleNormal="100" workbookViewId="0">
      <pane xSplit="1" ySplit="3" topLeftCell="B22" activePane="bottomRight" state="frozen"/>
      <selection pane="topRight"/>
      <selection pane="bottomLeft"/>
      <selection pane="bottomRight" activeCell="D16" sqref="D16"/>
    </sheetView>
  </sheetViews>
  <sheetFormatPr defaultColWidth="9.140625" defaultRowHeight="12.75"/>
  <cols>
    <col min="1" max="1" width="30.7109375" style="26" customWidth="1"/>
    <col min="2" max="2" width="8.7109375" style="124" customWidth="1"/>
    <col min="3" max="3" width="9.28515625" style="26" customWidth="1"/>
    <col min="4" max="4" width="30.7109375" style="26" customWidth="1"/>
    <col min="5" max="5" width="13" style="26" customWidth="1"/>
    <col min="6" max="6" width="9.28515625" style="26" customWidth="1"/>
    <col min="7" max="7" width="9.7109375" style="26" customWidth="1"/>
    <col min="8" max="8" width="9.7109375" style="26" bestFit="1" customWidth="1"/>
    <col min="9"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6" ht="13.5" customHeight="1">
      <c r="A1" s="24" t="str">
        <f>muni&amp;" - "&amp;TableA32</f>
        <v>LIM333 Greater Tzaneen - Supporting Table SA32 List of external mechanisms</v>
      </c>
      <c r="B1" s="24"/>
      <c r="C1" s="24"/>
      <c r="D1" s="24"/>
      <c r="E1" s="24"/>
      <c r="F1" s="24"/>
    </row>
    <row r="2" spans="1:6" ht="33.75" customHeight="1">
      <c r="A2" s="19" t="s">
        <v>276</v>
      </c>
      <c r="B2" s="2901" t="s">
        <v>1470</v>
      </c>
      <c r="C2" s="499" t="s">
        <v>279</v>
      </c>
      <c r="D2" s="2901" t="s">
        <v>280</v>
      </c>
      <c r="E2" s="2901" t="s">
        <v>278</v>
      </c>
      <c r="F2" s="788" t="s">
        <v>281</v>
      </c>
    </row>
    <row r="3" spans="1:6" ht="24.75" customHeight="1">
      <c r="A3" s="18" t="s">
        <v>277</v>
      </c>
      <c r="B3" s="2902"/>
      <c r="C3" s="789" t="s">
        <v>1471</v>
      </c>
      <c r="D3" s="2902"/>
      <c r="E3" s="2902"/>
      <c r="F3" s="790" t="s">
        <v>569</v>
      </c>
    </row>
    <row r="4" spans="1:6" ht="11.25" customHeight="1">
      <c r="A4" s="2318"/>
      <c r="B4" s="2172"/>
      <c r="C4" s="2172"/>
      <c r="D4" s="2319"/>
      <c r="E4" s="2320"/>
      <c r="F4" s="1960"/>
    </row>
    <row r="5" spans="1:6" ht="11.25" customHeight="1">
      <c r="A5" s="2318" t="s">
        <v>3132</v>
      </c>
      <c r="B5" s="2172" t="s">
        <v>3133</v>
      </c>
      <c r="C5" s="2172" t="s">
        <v>3133</v>
      </c>
      <c r="D5" s="2319" t="s">
        <v>3134</v>
      </c>
      <c r="E5" s="2321" t="s">
        <v>3135</v>
      </c>
      <c r="F5" s="1960" t="s">
        <v>3136</v>
      </c>
    </row>
    <row r="6" spans="1:6" ht="11.25" customHeight="1">
      <c r="A6" s="2318" t="s">
        <v>3137</v>
      </c>
      <c r="B6" s="2172" t="s">
        <v>3138</v>
      </c>
      <c r="C6" s="2172" t="s">
        <v>3133</v>
      </c>
      <c r="D6" s="2319" t="s">
        <v>3139</v>
      </c>
      <c r="E6" s="2320" t="s">
        <v>3135</v>
      </c>
      <c r="F6" s="1960" t="s">
        <v>3140</v>
      </c>
    </row>
    <row r="7" spans="1:6" ht="11.25" customHeight="1">
      <c r="A7" s="2318" t="s">
        <v>3141</v>
      </c>
      <c r="B7" s="2172" t="s">
        <v>3133</v>
      </c>
      <c r="C7" s="2172" t="s">
        <v>3142</v>
      </c>
      <c r="D7" s="2319" t="s">
        <v>3143</v>
      </c>
      <c r="E7" s="2320" t="s">
        <v>3144</v>
      </c>
      <c r="F7" s="1960" t="s">
        <v>3145</v>
      </c>
    </row>
    <row r="8" spans="1:6" ht="11.25" customHeight="1">
      <c r="A8" s="2318" t="s">
        <v>3146</v>
      </c>
      <c r="B8" s="2172" t="s">
        <v>3147</v>
      </c>
      <c r="C8" s="2172" t="s">
        <v>3148</v>
      </c>
      <c r="D8" s="2319" t="s">
        <v>3149</v>
      </c>
      <c r="E8" s="2320" t="s">
        <v>3150</v>
      </c>
      <c r="F8" s="1960" t="s">
        <v>3151</v>
      </c>
    </row>
    <row r="9" spans="1:6" ht="11.25" customHeight="1">
      <c r="A9" s="2318" t="s">
        <v>3152</v>
      </c>
      <c r="B9" s="2172" t="s">
        <v>3148</v>
      </c>
      <c r="C9" s="2172" t="s">
        <v>3142</v>
      </c>
      <c r="D9" s="2319" t="s">
        <v>3153</v>
      </c>
      <c r="E9" s="2320" t="s">
        <v>3154</v>
      </c>
      <c r="F9" s="1960" t="s">
        <v>3155</v>
      </c>
    </row>
    <row r="10" spans="1:6" ht="11.25" customHeight="1">
      <c r="A10" s="2318" t="s">
        <v>3132</v>
      </c>
      <c r="B10" s="2172" t="s">
        <v>3142</v>
      </c>
      <c r="C10" s="2172" t="s">
        <v>3156</v>
      </c>
      <c r="D10" s="2319" t="s">
        <v>3157</v>
      </c>
      <c r="E10" s="2320" t="s">
        <v>3158</v>
      </c>
      <c r="F10" s="1960">
        <v>21613616.800000001</v>
      </c>
    </row>
    <row r="11" spans="1:6" ht="11.25" customHeight="1">
      <c r="A11" s="2318" t="s">
        <v>3159</v>
      </c>
      <c r="B11" s="2172" t="s">
        <v>3142</v>
      </c>
      <c r="C11" s="2172" t="s">
        <v>3142</v>
      </c>
      <c r="D11" s="2319" t="s">
        <v>3160</v>
      </c>
      <c r="E11" s="2320" t="s">
        <v>3161</v>
      </c>
      <c r="F11" s="1960">
        <v>1246884.3700000001</v>
      </c>
    </row>
    <row r="12" spans="1:6" ht="11.25" customHeight="1">
      <c r="A12" s="2318" t="s">
        <v>3162</v>
      </c>
      <c r="B12" s="2172" t="s">
        <v>3156</v>
      </c>
      <c r="C12" s="2172" t="s">
        <v>3156</v>
      </c>
      <c r="D12" s="2319" t="s">
        <v>3163</v>
      </c>
      <c r="E12" s="2320" t="s">
        <v>3161</v>
      </c>
      <c r="F12" s="1960">
        <v>4744578.95</v>
      </c>
    </row>
    <row r="13" spans="1:6" ht="11.25" customHeight="1">
      <c r="A13" s="2318" t="s">
        <v>3164</v>
      </c>
      <c r="B13" s="2172" t="s">
        <v>3142</v>
      </c>
      <c r="C13" s="2172" t="s">
        <v>3142</v>
      </c>
      <c r="D13" s="2319" t="s">
        <v>3165</v>
      </c>
      <c r="E13" s="2320" t="s">
        <v>3166</v>
      </c>
      <c r="F13" s="1960" t="s">
        <v>3167</v>
      </c>
    </row>
    <row r="14" spans="1:6" ht="11.25" customHeight="1">
      <c r="A14" s="2318" t="s">
        <v>3168</v>
      </c>
      <c r="B14" s="2172" t="s">
        <v>3156</v>
      </c>
      <c r="C14" s="2172" t="s">
        <v>3156</v>
      </c>
      <c r="D14" s="2319" t="s">
        <v>3169</v>
      </c>
      <c r="E14" s="2320" t="s">
        <v>3170</v>
      </c>
      <c r="F14" s="1960">
        <v>15024703.960000001</v>
      </c>
    </row>
    <row r="15" spans="1:6" ht="11.25" customHeight="1">
      <c r="A15" s="2318" t="s">
        <v>3141</v>
      </c>
      <c r="B15" s="2172" t="s">
        <v>3156</v>
      </c>
      <c r="C15" s="2172" t="s">
        <v>3156</v>
      </c>
      <c r="D15" s="2319" t="s">
        <v>3171</v>
      </c>
      <c r="E15" s="2320" t="s">
        <v>3170</v>
      </c>
      <c r="F15" s="1960">
        <v>12988090.800000001</v>
      </c>
    </row>
    <row r="16" spans="1:6" ht="11.25" customHeight="1">
      <c r="A16" s="2318" t="s">
        <v>3172</v>
      </c>
      <c r="B16" s="2172" t="s">
        <v>3173</v>
      </c>
      <c r="C16" s="2172" t="s">
        <v>3173</v>
      </c>
      <c r="D16" s="2319" t="s">
        <v>3174</v>
      </c>
      <c r="E16" s="2320"/>
      <c r="F16" s="1960">
        <v>1386383.65</v>
      </c>
    </row>
    <row r="17" spans="1:6" ht="11.25" customHeight="1">
      <c r="A17" s="2318" t="s">
        <v>3175</v>
      </c>
      <c r="B17" s="2172" t="s">
        <v>3176</v>
      </c>
      <c r="C17" s="2172" t="s">
        <v>3176</v>
      </c>
      <c r="D17" s="2319" t="s">
        <v>3177</v>
      </c>
      <c r="E17" s="2320" t="s">
        <v>3178</v>
      </c>
      <c r="F17" s="1960" t="s">
        <v>3179</v>
      </c>
    </row>
    <row r="18" spans="1:6" ht="11.25" customHeight="1">
      <c r="A18" s="2318" t="s">
        <v>3180</v>
      </c>
      <c r="B18" s="2172" t="s">
        <v>3181</v>
      </c>
      <c r="C18" s="2172" t="s">
        <v>3181</v>
      </c>
      <c r="D18" s="2319" t="s">
        <v>3182</v>
      </c>
      <c r="E18" s="2320" t="s">
        <v>3183</v>
      </c>
      <c r="F18" s="1960" t="s">
        <v>3184</v>
      </c>
    </row>
    <row r="19" spans="1:6" ht="11.25" customHeight="1">
      <c r="A19" s="2318" t="s">
        <v>3185</v>
      </c>
      <c r="B19" s="2172" t="s">
        <v>3148</v>
      </c>
      <c r="C19" s="2172" t="s">
        <v>3148</v>
      </c>
      <c r="D19" s="2319" t="s">
        <v>3186</v>
      </c>
      <c r="E19" s="2320" t="s">
        <v>3187</v>
      </c>
      <c r="F19" s="1960" t="s">
        <v>3188</v>
      </c>
    </row>
    <row r="20" spans="1:6" ht="11.25" customHeight="1">
      <c r="A20" s="2318" t="s">
        <v>3189</v>
      </c>
      <c r="B20" s="2172" t="s">
        <v>3190</v>
      </c>
      <c r="C20" s="2172" t="s">
        <v>3190</v>
      </c>
      <c r="D20" s="2319" t="s">
        <v>3191</v>
      </c>
      <c r="E20" s="2320" t="s">
        <v>3192</v>
      </c>
      <c r="F20" s="1960">
        <v>9882608.9700000007</v>
      </c>
    </row>
    <row r="21" spans="1:6" ht="11.25" customHeight="1">
      <c r="A21" s="2318" t="s">
        <v>3193</v>
      </c>
      <c r="B21" s="2172" t="s">
        <v>3156</v>
      </c>
      <c r="C21" s="2172" t="s">
        <v>3156</v>
      </c>
      <c r="D21" s="2319" t="s">
        <v>3194</v>
      </c>
      <c r="E21" s="2320" t="s">
        <v>3195</v>
      </c>
      <c r="F21" s="1960">
        <v>7248895.2000000002</v>
      </c>
    </row>
    <row r="22" spans="1:6" ht="11.25" customHeight="1">
      <c r="A22" s="2318" t="s">
        <v>3196</v>
      </c>
      <c r="B22" s="2172" t="s">
        <v>3197</v>
      </c>
      <c r="C22" s="2172" t="s">
        <v>3198</v>
      </c>
      <c r="D22" s="2319" t="s">
        <v>3199</v>
      </c>
      <c r="E22" s="2320" t="s">
        <v>3200</v>
      </c>
      <c r="F22" s="1960">
        <v>20362842.890000001</v>
      </c>
    </row>
    <row r="23" spans="1:6" ht="11.25" customHeight="1">
      <c r="A23" s="2318" t="s">
        <v>3201</v>
      </c>
      <c r="B23" s="2172" t="s">
        <v>3197</v>
      </c>
      <c r="C23" s="2172" t="s">
        <v>3197</v>
      </c>
      <c r="D23" s="2319" t="s">
        <v>3202</v>
      </c>
      <c r="E23" s="2320" t="s">
        <v>3203</v>
      </c>
      <c r="F23" s="1960">
        <v>32699126.07</v>
      </c>
    </row>
    <row r="24" spans="1:6" ht="11.25" customHeight="1">
      <c r="A24" s="2318" t="s">
        <v>3201</v>
      </c>
      <c r="B24" s="2172" t="s">
        <v>3204</v>
      </c>
      <c r="C24" s="2172" t="s">
        <v>3204</v>
      </c>
      <c r="D24" s="2319" t="s">
        <v>3205</v>
      </c>
      <c r="E24" s="2320" t="s">
        <v>3206</v>
      </c>
      <c r="F24" s="1960">
        <v>34148926.049999997</v>
      </c>
    </row>
    <row r="25" spans="1:6" ht="11.25" customHeight="1">
      <c r="A25" s="2318"/>
      <c r="B25" s="2172"/>
      <c r="C25" s="2172"/>
      <c r="D25" s="2319"/>
      <c r="E25" s="2320"/>
      <c r="F25" s="1960"/>
    </row>
    <row r="26" spans="1:6" ht="11.25" customHeight="1">
      <c r="A26" s="2318"/>
      <c r="B26" s="2172"/>
      <c r="C26" s="2172"/>
      <c r="D26" s="2319"/>
      <c r="E26" s="2320"/>
      <c r="F26" s="1960"/>
    </row>
    <row r="27" spans="1:6" ht="11.25" customHeight="1">
      <c r="A27" s="2318"/>
      <c r="B27" s="2172"/>
      <c r="C27" s="2172"/>
      <c r="D27" s="2319"/>
      <c r="E27" s="2320"/>
      <c r="F27" s="1960"/>
    </row>
    <row r="28" spans="1:6" ht="11.25" customHeight="1">
      <c r="A28" s="2318"/>
      <c r="B28" s="2172"/>
      <c r="C28" s="2172"/>
      <c r="D28" s="2319"/>
      <c r="E28" s="2320"/>
      <c r="F28" s="1960"/>
    </row>
    <row r="29" spans="1:6" ht="11.25" customHeight="1">
      <c r="A29" s="2318"/>
      <c r="B29" s="2172"/>
      <c r="C29" s="2172"/>
      <c r="D29" s="2319"/>
      <c r="E29" s="2320"/>
      <c r="F29" s="1960"/>
    </row>
    <row r="30" spans="1:6" ht="11.25" customHeight="1">
      <c r="A30" s="2318"/>
      <c r="B30" s="2172"/>
      <c r="C30" s="2172"/>
      <c r="D30" s="2319"/>
      <c r="E30" s="2320"/>
      <c r="F30" s="1960"/>
    </row>
    <row r="31" spans="1:6" ht="11.25" customHeight="1">
      <c r="A31" s="2318"/>
      <c r="B31" s="2172"/>
      <c r="C31" s="2172"/>
      <c r="D31" s="2319"/>
      <c r="E31" s="2320"/>
      <c r="F31" s="1960"/>
    </row>
    <row r="32" spans="1:6" ht="11.25" customHeight="1">
      <c r="A32" s="2318"/>
      <c r="B32" s="2172"/>
      <c r="C32" s="2172"/>
      <c r="D32" s="2319"/>
      <c r="E32" s="2320"/>
      <c r="F32" s="1960"/>
    </row>
    <row r="33" spans="1:12" ht="11.25" customHeight="1">
      <c r="A33" s="2318"/>
      <c r="B33" s="2172"/>
      <c r="C33" s="2172"/>
      <c r="D33" s="2319"/>
      <c r="E33" s="2320"/>
      <c r="F33" s="1960"/>
    </row>
    <row r="34" spans="1:12" ht="11.25" customHeight="1">
      <c r="A34" s="2318"/>
      <c r="B34" s="2172"/>
      <c r="C34" s="2172"/>
      <c r="D34" s="2319"/>
      <c r="E34" s="2320"/>
      <c r="F34" s="1960"/>
    </row>
    <row r="35" spans="1:12" ht="11.25" customHeight="1">
      <c r="A35" s="2318"/>
      <c r="B35" s="2172"/>
      <c r="C35" s="2172"/>
      <c r="D35" s="2319"/>
      <c r="E35" s="2320"/>
      <c r="F35" s="1960"/>
    </row>
    <row r="36" spans="1:12">
      <c r="A36" s="2322"/>
      <c r="B36" s="2323"/>
      <c r="C36" s="2323"/>
      <c r="D36" s="2324"/>
      <c r="E36" s="2325"/>
      <c r="F36" s="2326"/>
    </row>
    <row r="37" spans="1:12" ht="6" customHeight="1">
      <c r="A37" s="123"/>
      <c r="B37" s="113"/>
      <c r="C37" s="182"/>
      <c r="D37" s="182"/>
      <c r="E37" s="182"/>
      <c r="F37" s="182"/>
      <c r="J37" s="123"/>
      <c r="K37" s="123"/>
      <c r="L37" s="123"/>
    </row>
    <row r="38" spans="1:12" s="576" customFormat="1">
      <c r="A38" s="1063" t="str">
        <f>head27a</f>
        <v>References</v>
      </c>
      <c r="B38" s="874"/>
      <c r="C38" s="916"/>
      <c r="D38" s="916"/>
      <c r="E38" s="916"/>
      <c r="F38" s="916"/>
      <c r="J38" s="898"/>
      <c r="K38" s="898"/>
      <c r="L38" s="898"/>
    </row>
    <row r="39" spans="1:12" s="576" customFormat="1" ht="11.25" customHeight="1">
      <c r="A39" s="1025" t="s">
        <v>332</v>
      </c>
      <c r="B39" s="874"/>
      <c r="C39" s="878"/>
      <c r="D39" s="877"/>
      <c r="E39" s="878"/>
      <c r="F39" s="878"/>
    </row>
    <row r="40" spans="1:12" s="576" customFormat="1" ht="11.25" customHeight="1">
      <c r="A40" s="1025" t="s">
        <v>282</v>
      </c>
      <c r="B40" s="874"/>
      <c r="C40" s="916"/>
      <c r="D40" s="916"/>
      <c r="E40" s="916"/>
      <c r="F40" s="916"/>
    </row>
    <row r="41" spans="1:12" ht="11.25" customHeight="1"/>
    <row r="42" spans="1:12" ht="11.25" customHeight="1"/>
    <row r="43" spans="1:12" ht="11.25" customHeight="1"/>
    <row r="44" spans="1:12" ht="11.25" customHeight="1"/>
    <row r="45" spans="1:12" ht="11.25" customHeight="1"/>
    <row r="46" spans="1:12" ht="11.25" customHeight="1"/>
    <row r="47" spans="1:12" ht="11.25" customHeight="1"/>
    <row r="48" spans="1:12"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sheetData>
  <mergeCells count="3">
    <mergeCell ref="D2:D3"/>
    <mergeCell ref="E2:E3"/>
    <mergeCell ref="B2:B3"/>
  </mergeCells>
  <phoneticPr fontId="5" type="noConversion"/>
  <dataValidations count="1">
    <dataValidation type="list" allowBlank="1" showInputMessage="1" showErrorMessage="1" promptTitle="Selection" prompt="Select period description" sqref="B4:B36">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31" activePane="bottomRight" state="frozen"/>
      <selection pane="topRight"/>
      <selection pane="bottomLeft"/>
      <selection pane="bottomRight" activeCell="K12" sqref="K12"/>
    </sheetView>
  </sheetViews>
  <sheetFormatPr defaultColWidth="9.140625" defaultRowHeight="12.75"/>
  <cols>
    <col min="1" max="1" width="30.7109375" style="26" customWidth="1"/>
    <col min="2" max="2" width="3" style="124" customWidth="1"/>
    <col min="3" max="7" width="9.28515625" style="26" customWidth="1"/>
    <col min="8" max="15" width="8.28515625" style="26" customWidth="1"/>
    <col min="16" max="17" width="9.42578125" style="26" customWidth="1"/>
    <col min="18" max="19" width="9.7109375" style="26" customWidth="1"/>
    <col min="20" max="16384" width="9.140625" style="26"/>
  </cols>
  <sheetData>
    <row r="1" spans="1:15" ht="13.5" customHeight="1">
      <c r="A1" s="24" t="str">
        <f>muni&amp;" - "&amp; TableA33</f>
        <v>LIM333 Greater Tzaneen - Supporting Table SA33 Contracts having future budgetary implications</v>
      </c>
      <c r="B1" s="24"/>
      <c r="C1" s="24"/>
      <c r="D1" s="24"/>
      <c r="E1" s="24"/>
      <c r="F1" s="24"/>
      <c r="G1" s="24"/>
      <c r="H1" s="24"/>
      <c r="I1" s="24"/>
      <c r="J1" s="24"/>
      <c r="K1" s="24"/>
      <c r="L1" s="24"/>
      <c r="M1" s="24"/>
      <c r="N1" s="24"/>
      <c r="O1" s="24"/>
    </row>
    <row r="2" spans="1:15" ht="36" customHeight="1">
      <c r="A2" s="841" t="str">
        <f>desc</f>
        <v>Description</v>
      </c>
      <c r="B2" s="288" t="str">
        <f>head27</f>
        <v>Ref</v>
      </c>
      <c r="C2" s="27" t="s">
        <v>366</v>
      </c>
      <c r="D2" s="23" t="str">
        <f>Head2</f>
        <v>Current Year 2019/20</v>
      </c>
      <c r="E2" s="2839" t="str">
        <f>Head3</f>
        <v>2020/21 Medium Term Revenue &amp; Expenditure Framework</v>
      </c>
      <c r="F2" s="2840"/>
      <c r="G2" s="2841"/>
      <c r="H2" s="21" t="str">
        <f>Head12</f>
        <v>Forecast 2023/24</v>
      </c>
      <c r="I2" s="27" t="str">
        <f>Head13</f>
        <v>Forecast 2024/25</v>
      </c>
      <c r="J2" s="27" t="str">
        <f>Head14</f>
        <v>Forecast 2025/26</v>
      </c>
      <c r="K2" s="27" t="str">
        <f>Head15</f>
        <v>Forecast 2026/27</v>
      </c>
      <c r="L2" s="27" t="str">
        <f>Head16</f>
        <v>Forecast 2027/28</v>
      </c>
      <c r="M2" s="27" t="str">
        <f>Head17</f>
        <v>Forecast 2028/29</v>
      </c>
      <c r="N2" s="23" t="str">
        <f>Head18</f>
        <v>Forecast 2029/30</v>
      </c>
      <c r="O2" s="791" t="s">
        <v>585</v>
      </c>
    </row>
    <row r="3" spans="1:15" ht="25.5">
      <c r="A3" s="57" t="s">
        <v>569</v>
      </c>
      <c r="B3" s="792" t="s">
        <v>447</v>
      </c>
      <c r="C3" s="260" t="s">
        <v>663</v>
      </c>
      <c r="D3" s="261" t="str">
        <f>Head6</f>
        <v>Original Budget</v>
      </c>
      <c r="E3" s="172" t="str">
        <f>Head9</f>
        <v>Budget Year 2020/21</v>
      </c>
      <c r="F3" s="260" t="str">
        <f>Head10</f>
        <v>Budget Year +1 2021/22</v>
      </c>
      <c r="G3" s="261" t="str">
        <f>Head11</f>
        <v>Budget Year +2 2022/23</v>
      </c>
      <c r="H3" s="172" t="s">
        <v>338</v>
      </c>
      <c r="I3" s="260" t="s">
        <v>338</v>
      </c>
      <c r="J3" s="260" t="s">
        <v>338</v>
      </c>
      <c r="K3" s="260" t="s">
        <v>338</v>
      </c>
      <c r="L3" s="260" t="s">
        <v>338</v>
      </c>
      <c r="M3" s="260" t="s">
        <v>338</v>
      </c>
      <c r="N3" s="261" t="s">
        <v>338</v>
      </c>
      <c r="O3" s="858" t="s">
        <v>338</v>
      </c>
    </row>
    <row r="4" spans="1:15">
      <c r="A4" s="140" t="s">
        <v>857</v>
      </c>
      <c r="B4" s="59"/>
      <c r="C4" s="184"/>
      <c r="D4" s="185"/>
      <c r="E4" s="186"/>
      <c r="F4" s="184"/>
      <c r="G4" s="187"/>
      <c r="H4" s="185"/>
      <c r="I4" s="184"/>
      <c r="J4" s="184"/>
      <c r="K4" s="184"/>
      <c r="L4" s="184"/>
      <c r="M4" s="184"/>
      <c r="N4" s="187"/>
      <c r="O4" s="289"/>
    </row>
    <row r="5" spans="1:15">
      <c r="A5" s="126" t="s">
        <v>1414</v>
      </c>
      <c r="B5" s="59">
        <v>2</v>
      </c>
      <c r="C5" s="188"/>
      <c r="D5" s="189"/>
      <c r="E5" s="190"/>
      <c r="F5" s="188"/>
      <c r="G5" s="191"/>
      <c r="H5" s="189"/>
      <c r="I5" s="188"/>
      <c r="J5" s="188"/>
      <c r="K5" s="188"/>
      <c r="L5" s="188"/>
      <c r="M5" s="188"/>
      <c r="N5" s="191"/>
      <c r="O5" s="793"/>
    </row>
    <row r="6" spans="1:15">
      <c r="A6" s="2292" t="s">
        <v>339</v>
      </c>
      <c r="B6" s="59"/>
      <c r="C6" s="2327"/>
      <c r="D6" s="2328"/>
      <c r="E6" s="2329"/>
      <c r="F6" s="2327"/>
      <c r="G6" s="2330"/>
      <c r="H6" s="2328"/>
      <c r="I6" s="2327"/>
      <c r="J6" s="2327"/>
      <c r="K6" s="2327"/>
      <c r="L6" s="2327"/>
      <c r="M6" s="2327"/>
      <c r="N6" s="2330"/>
      <c r="O6" s="453">
        <f>SUM(C6:N6)</f>
        <v>0</v>
      </c>
    </row>
    <row r="7" spans="1:15">
      <c r="A7" s="2292" t="s">
        <v>340</v>
      </c>
      <c r="B7" s="59"/>
      <c r="C7" s="1975"/>
      <c r="D7" s="1405"/>
      <c r="E7" s="1977"/>
      <c r="F7" s="1975"/>
      <c r="G7" s="1976"/>
      <c r="H7" s="1405"/>
      <c r="I7" s="1975"/>
      <c r="J7" s="1975"/>
      <c r="K7" s="1975"/>
      <c r="L7" s="1975"/>
      <c r="M7" s="1975"/>
      <c r="N7" s="1976"/>
      <c r="O7" s="453">
        <f>SUM(C7:N7)</f>
        <v>0</v>
      </c>
    </row>
    <row r="8" spans="1:15">
      <c r="A8" s="2292" t="s">
        <v>341</v>
      </c>
      <c r="B8" s="59"/>
      <c r="C8" s="1951"/>
      <c r="D8" s="1962"/>
      <c r="E8" s="1961"/>
      <c r="F8" s="1951"/>
      <c r="G8" s="1960"/>
      <c r="H8" s="1962"/>
      <c r="I8" s="1951"/>
      <c r="J8" s="1951"/>
      <c r="K8" s="1951"/>
      <c r="L8" s="1951"/>
      <c r="M8" s="1951"/>
      <c r="N8" s="1960"/>
      <c r="O8" s="453">
        <f>SUM(C8:N8)</f>
        <v>0</v>
      </c>
    </row>
    <row r="9" spans="1:15">
      <c r="A9" s="140" t="s">
        <v>1178</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4">
        <f>SUM(C9:N9)</f>
        <v>0</v>
      </c>
    </row>
    <row r="10" spans="1:15" ht="4.9000000000000004" customHeight="1">
      <c r="A10" s="148"/>
      <c r="B10" s="59"/>
      <c r="C10" s="80"/>
      <c r="D10" s="79"/>
      <c r="E10" s="82"/>
      <c r="F10" s="80"/>
      <c r="G10" s="81"/>
      <c r="H10" s="79"/>
      <c r="I10" s="80"/>
      <c r="J10" s="80"/>
      <c r="K10" s="80"/>
      <c r="L10" s="80"/>
      <c r="M10" s="80"/>
      <c r="N10" s="81"/>
      <c r="O10" s="453"/>
    </row>
    <row r="11" spans="1:15">
      <c r="A11" s="126" t="s">
        <v>858</v>
      </c>
      <c r="B11" s="59">
        <v>2</v>
      </c>
      <c r="C11" s="80"/>
      <c r="D11" s="79"/>
      <c r="E11" s="82"/>
      <c r="F11" s="80"/>
      <c r="G11" s="81"/>
      <c r="H11" s="79"/>
      <c r="I11" s="80"/>
      <c r="J11" s="80"/>
      <c r="K11" s="80"/>
      <c r="L11" s="80"/>
      <c r="M11" s="80"/>
      <c r="N11" s="81"/>
      <c r="O11" s="453"/>
    </row>
    <row r="12" spans="1:15">
      <c r="A12" s="2292" t="s">
        <v>3237</v>
      </c>
      <c r="B12" s="59"/>
      <c r="C12" s="1951">
        <v>1055018.2</v>
      </c>
      <c r="D12" s="1962">
        <v>675000</v>
      </c>
      <c r="E12" s="1961">
        <v>675000</v>
      </c>
      <c r="F12" s="1951">
        <v>675000</v>
      </c>
      <c r="G12" s="1960">
        <v>675000</v>
      </c>
      <c r="H12" s="1962"/>
      <c r="I12" s="1951"/>
      <c r="J12" s="1951"/>
      <c r="K12" s="1951"/>
      <c r="L12" s="1951"/>
      <c r="M12" s="1951"/>
      <c r="N12" s="1960"/>
      <c r="O12" s="453">
        <f>SUM(C12:N12)</f>
        <v>3755018.2</v>
      </c>
    </row>
    <row r="13" spans="1:15">
      <c r="A13" s="2292" t="s">
        <v>3238</v>
      </c>
      <c r="B13" s="59"/>
      <c r="C13" s="1951">
        <v>404988.7</v>
      </c>
      <c r="D13" s="1962">
        <v>175000</v>
      </c>
      <c r="E13" s="1961">
        <v>175000</v>
      </c>
      <c r="F13" s="1951">
        <v>175000</v>
      </c>
      <c r="G13" s="1960">
        <v>175000</v>
      </c>
      <c r="H13" s="1962"/>
      <c r="I13" s="1951"/>
      <c r="J13" s="1951"/>
      <c r="K13" s="1951"/>
      <c r="L13" s="1951"/>
      <c r="M13" s="1951"/>
      <c r="N13" s="1960"/>
      <c r="O13" s="453">
        <f>SUM(C13:N13)</f>
        <v>1104988.7</v>
      </c>
    </row>
    <row r="14" spans="1:15">
      <c r="A14" s="2292" t="s">
        <v>3239</v>
      </c>
      <c r="B14" s="59"/>
      <c r="C14" s="1951">
        <v>640580.35</v>
      </c>
      <c r="D14" s="1962">
        <v>175000</v>
      </c>
      <c r="E14" s="1961">
        <v>175000</v>
      </c>
      <c r="F14" s="1951">
        <v>175000</v>
      </c>
      <c r="G14" s="1960">
        <v>175000</v>
      </c>
      <c r="H14" s="1962"/>
      <c r="I14" s="1951"/>
      <c r="J14" s="1951"/>
      <c r="K14" s="1951"/>
      <c r="L14" s="1951"/>
      <c r="M14" s="1951"/>
      <c r="N14" s="1960"/>
      <c r="O14" s="453">
        <f>SUM(C14:N14)</f>
        <v>1340580.3500000001</v>
      </c>
    </row>
    <row r="15" spans="1:15">
      <c r="A15" s="140" t="s">
        <v>860</v>
      </c>
      <c r="B15" s="59"/>
      <c r="C15" s="279">
        <f t="shared" ref="C15:N15" si="1">SUM(C12:C14)</f>
        <v>2100587.25</v>
      </c>
      <c r="D15" s="282">
        <f t="shared" si="1"/>
        <v>1025000</v>
      </c>
      <c r="E15" s="281">
        <f t="shared" si="1"/>
        <v>1025000</v>
      </c>
      <c r="F15" s="279">
        <f t="shared" si="1"/>
        <v>1025000</v>
      </c>
      <c r="G15" s="280">
        <f t="shared" si="1"/>
        <v>1025000</v>
      </c>
      <c r="H15" s="282">
        <f t="shared" si="1"/>
        <v>0</v>
      </c>
      <c r="I15" s="279">
        <f t="shared" si="1"/>
        <v>0</v>
      </c>
      <c r="J15" s="279">
        <f t="shared" si="1"/>
        <v>0</v>
      </c>
      <c r="K15" s="279">
        <f t="shared" si="1"/>
        <v>0</v>
      </c>
      <c r="L15" s="279">
        <f t="shared" si="1"/>
        <v>0</v>
      </c>
      <c r="M15" s="279">
        <f t="shared" si="1"/>
        <v>0</v>
      </c>
      <c r="N15" s="280">
        <f t="shared" si="1"/>
        <v>0</v>
      </c>
      <c r="O15" s="794">
        <f>SUM(C15:N15)</f>
        <v>6200587.25</v>
      </c>
    </row>
    <row r="16" spans="1:15" ht="4.9000000000000004" customHeight="1">
      <c r="A16" s="148"/>
      <c r="B16" s="59"/>
      <c r="C16" s="80"/>
      <c r="D16" s="79"/>
      <c r="E16" s="82"/>
      <c r="F16" s="80"/>
      <c r="G16" s="81"/>
      <c r="H16" s="79"/>
      <c r="I16" s="80"/>
      <c r="J16" s="80"/>
      <c r="K16" s="80"/>
      <c r="L16" s="80"/>
      <c r="M16" s="80"/>
      <c r="N16" s="81"/>
      <c r="O16" s="453"/>
    </row>
    <row r="17" spans="1:15">
      <c r="A17" s="126" t="s">
        <v>859</v>
      </c>
      <c r="B17" s="59">
        <v>2</v>
      </c>
      <c r="C17" s="95"/>
      <c r="D17" s="94"/>
      <c r="E17" s="97"/>
      <c r="F17" s="95"/>
      <c r="G17" s="96"/>
      <c r="H17" s="94"/>
      <c r="I17" s="95"/>
      <c r="J17" s="95"/>
      <c r="K17" s="95"/>
      <c r="L17" s="95"/>
      <c r="M17" s="95"/>
      <c r="N17" s="96"/>
      <c r="O17" s="453"/>
    </row>
    <row r="18" spans="1:15">
      <c r="A18" s="2292" t="s">
        <v>339</v>
      </c>
      <c r="B18" s="59"/>
      <c r="C18" s="1951"/>
      <c r="D18" s="1962"/>
      <c r="E18" s="1961"/>
      <c r="F18" s="1951"/>
      <c r="G18" s="1960"/>
      <c r="H18" s="1962"/>
      <c r="I18" s="1951"/>
      <c r="J18" s="1951"/>
      <c r="K18" s="1951"/>
      <c r="L18" s="1951"/>
      <c r="M18" s="1951"/>
      <c r="N18" s="1960"/>
      <c r="O18" s="453">
        <f>SUM(C18:N18)</f>
        <v>0</v>
      </c>
    </row>
    <row r="19" spans="1:15">
      <c r="A19" s="2292" t="s">
        <v>340</v>
      </c>
      <c r="B19" s="59"/>
      <c r="C19" s="1951"/>
      <c r="D19" s="1962"/>
      <c r="E19" s="1961"/>
      <c r="F19" s="1951"/>
      <c r="G19" s="1960"/>
      <c r="H19" s="1962"/>
      <c r="I19" s="1951"/>
      <c r="J19" s="1951"/>
      <c r="K19" s="1951"/>
      <c r="L19" s="1951"/>
      <c r="M19" s="1951"/>
      <c r="N19" s="1960"/>
      <c r="O19" s="453">
        <f>SUM(C19:N19)</f>
        <v>0</v>
      </c>
    </row>
    <row r="20" spans="1:15">
      <c r="A20" s="2292" t="s">
        <v>341</v>
      </c>
      <c r="B20" s="59"/>
      <c r="C20" s="1951"/>
      <c r="D20" s="1962"/>
      <c r="E20" s="1961"/>
      <c r="F20" s="1951"/>
      <c r="G20" s="1960"/>
      <c r="H20" s="1962"/>
      <c r="I20" s="1951"/>
      <c r="J20" s="1951"/>
      <c r="K20" s="1951"/>
      <c r="L20" s="1951"/>
      <c r="M20" s="1951"/>
      <c r="N20" s="1960"/>
      <c r="O20" s="453">
        <f>SUM(C20:N20)</f>
        <v>0</v>
      </c>
    </row>
    <row r="21" spans="1:15">
      <c r="A21" s="140" t="s">
        <v>1257</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4">
        <f>SUM(C21:N21)</f>
        <v>0</v>
      </c>
    </row>
    <row r="22" spans="1:15" ht="4.9000000000000004" customHeight="1">
      <c r="A22" s="148"/>
      <c r="B22" s="59"/>
      <c r="C22" s="80"/>
      <c r="D22" s="79"/>
      <c r="E22" s="82"/>
      <c r="F22" s="80"/>
      <c r="G22" s="81"/>
      <c r="H22" s="79"/>
      <c r="I22" s="80"/>
      <c r="J22" s="80"/>
      <c r="K22" s="80"/>
      <c r="L22" s="80"/>
      <c r="M22" s="80"/>
      <c r="N22" s="81"/>
      <c r="O22" s="453"/>
    </row>
    <row r="23" spans="1:15">
      <c r="A23" s="155" t="s">
        <v>15</v>
      </c>
      <c r="B23" s="102"/>
      <c r="C23" s="107">
        <f>C15+C21</f>
        <v>2100587.25</v>
      </c>
      <c r="D23" s="108">
        <f t="shared" ref="D23:O23" si="3">D15+D21</f>
        <v>1025000</v>
      </c>
      <c r="E23" s="106">
        <f t="shared" si="3"/>
        <v>1025000</v>
      </c>
      <c r="F23" s="107">
        <f t="shared" si="3"/>
        <v>1025000</v>
      </c>
      <c r="G23" s="105">
        <f t="shared" si="3"/>
        <v>1025000</v>
      </c>
      <c r="H23" s="108">
        <f t="shared" si="3"/>
        <v>0</v>
      </c>
      <c r="I23" s="107">
        <f t="shared" si="3"/>
        <v>0</v>
      </c>
      <c r="J23" s="107">
        <f t="shared" si="3"/>
        <v>0</v>
      </c>
      <c r="K23" s="107">
        <f t="shared" si="3"/>
        <v>0</v>
      </c>
      <c r="L23" s="107">
        <f t="shared" si="3"/>
        <v>0</v>
      </c>
      <c r="M23" s="107">
        <f t="shared" si="3"/>
        <v>0</v>
      </c>
      <c r="N23" s="105">
        <f t="shared" si="3"/>
        <v>0</v>
      </c>
      <c r="O23" s="795">
        <f t="shared" si="3"/>
        <v>6200587.25</v>
      </c>
    </row>
    <row r="24" spans="1:15" ht="4.5" customHeight="1">
      <c r="A24" s="126"/>
      <c r="B24" s="59"/>
      <c r="C24" s="188"/>
      <c r="D24" s="189"/>
      <c r="E24" s="190"/>
      <c r="F24" s="188"/>
      <c r="G24" s="191"/>
      <c r="H24" s="189"/>
      <c r="I24" s="188"/>
      <c r="J24" s="188"/>
      <c r="K24" s="188"/>
      <c r="L24" s="188"/>
      <c r="M24" s="188"/>
      <c r="N24" s="191"/>
      <c r="O24" s="793"/>
    </row>
    <row r="25" spans="1:15">
      <c r="A25" s="140" t="s">
        <v>16</v>
      </c>
      <c r="B25" s="59"/>
      <c r="C25" s="188"/>
      <c r="D25" s="189"/>
      <c r="E25" s="190"/>
      <c r="F25" s="188"/>
      <c r="G25" s="191"/>
      <c r="H25" s="189"/>
      <c r="I25" s="188"/>
      <c r="J25" s="188"/>
      <c r="K25" s="188"/>
      <c r="L25" s="188"/>
      <c r="M25" s="188"/>
      <c r="N25" s="191"/>
      <c r="O25" s="793"/>
    </row>
    <row r="26" spans="1:15" ht="11.25" customHeight="1">
      <c r="A26" s="126" t="s">
        <v>1414</v>
      </c>
      <c r="B26" s="59">
        <v>2</v>
      </c>
      <c r="C26" s="188"/>
      <c r="D26" s="189"/>
      <c r="E26" s="190"/>
      <c r="F26" s="188"/>
      <c r="G26" s="191"/>
      <c r="H26" s="189"/>
      <c r="I26" s="188"/>
      <c r="J26" s="188"/>
      <c r="K26" s="188"/>
      <c r="L26" s="188"/>
      <c r="M26" s="188"/>
      <c r="N26" s="191"/>
      <c r="O26" s="793"/>
    </row>
    <row r="27" spans="1:15" ht="11.25" customHeight="1">
      <c r="A27" s="2292" t="s">
        <v>339</v>
      </c>
      <c r="B27" s="59"/>
      <c r="C27" s="2327"/>
      <c r="D27" s="2328"/>
      <c r="E27" s="2329"/>
      <c r="F27" s="2327"/>
      <c r="G27" s="2330"/>
      <c r="H27" s="2328"/>
      <c r="I27" s="2327"/>
      <c r="J27" s="2327"/>
      <c r="K27" s="2327"/>
      <c r="L27" s="2327"/>
      <c r="M27" s="2327"/>
      <c r="N27" s="2330"/>
      <c r="O27" s="453">
        <f>SUM(C27:N27)</f>
        <v>0</v>
      </c>
    </row>
    <row r="28" spans="1:15" ht="11.25" customHeight="1">
      <c r="A28" s="2292" t="s">
        <v>340</v>
      </c>
      <c r="B28" s="59"/>
      <c r="C28" s="1975"/>
      <c r="D28" s="1405"/>
      <c r="E28" s="1977"/>
      <c r="F28" s="1975"/>
      <c r="G28" s="1976"/>
      <c r="H28" s="1405"/>
      <c r="I28" s="1975"/>
      <c r="J28" s="1975"/>
      <c r="K28" s="1975"/>
      <c r="L28" s="1975"/>
      <c r="M28" s="1975"/>
      <c r="N28" s="1976"/>
      <c r="O28" s="453">
        <f>SUM(C28:N28)</f>
        <v>0</v>
      </c>
    </row>
    <row r="29" spans="1:15" ht="11.25" customHeight="1">
      <c r="A29" s="2292" t="s">
        <v>341</v>
      </c>
      <c r="B29" s="59"/>
      <c r="C29" s="1951"/>
      <c r="D29" s="1962"/>
      <c r="E29" s="1961"/>
      <c r="F29" s="1951"/>
      <c r="G29" s="1960"/>
      <c r="H29" s="1962"/>
      <c r="I29" s="1951"/>
      <c r="J29" s="1951"/>
      <c r="K29" s="1951"/>
      <c r="L29" s="1951"/>
      <c r="M29" s="1951"/>
      <c r="N29" s="1960"/>
      <c r="O29" s="453">
        <f>SUM(C29:N29)</f>
        <v>0</v>
      </c>
    </row>
    <row r="30" spans="1:15" ht="11.25" customHeight="1">
      <c r="A30" s="140" t="s">
        <v>1178</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4">
        <f>SUM(C30:N30)</f>
        <v>0</v>
      </c>
    </row>
    <row r="31" spans="1:15" ht="4.9000000000000004" customHeight="1">
      <c r="A31" s="148"/>
      <c r="B31" s="59"/>
      <c r="C31" s="80"/>
      <c r="D31" s="79"/>
      <c r="E31" s="82"/>
      <c r="F31" s="80"/>
      <c r="G31" s="81"/>
      <c r="H31" s="79"/>
      <c r="I31" s="80"/>
      <c r="J31" s="80"/>
      <c r="K31" s="80"/>
      <c r="L31" s="80"/>
      <c r="M31" s="80"/>
      <c r="N31" s="81"/>
      <c r="O31" s="453"/>
    </row>
    <row r="32" spans="1:15" ht="11.25" customHeight="1">
      <c r="A32" s="126" t="s">
        <v>858</v>
      </c>
      <c r="B32" s="59">
        <v>2</v>
      </c>
      <c r="C32" s="80"/>
      <c r="D32" s="79"/>
      <c r="E32" s="82"/>
      <c r="F32" s="80"/>
      <c r="G32" s="81"/>
      <c r="H32" s="79"/>
      <c r="I32" s="80"/>
      <c r="J32" s="80"/>
      <c r="K32" s="80"/>
      <c r="L32" s="80"/>
      <c r="M32" s="80"/>
      <c r="N32" s="81"/>
      <c r="O32" s="453"/>
    </row>
    <row r="33" spans="1:15" ht="11.25" customHeight="1">
      <c r="A33" s="2292" t="s">
        <v>339</v>
      </c>
      <c r="B33" s="59"/>
      <c r="C33" s="1951"/>
      <c r="D33" s="1962"/>
      <c r="E33" s="1961"/>
      <c r="F33" s="1951"/>
      <c r="G33" s="1960"/>
      <c r="H33" s="1962"/>
      <c r="I33" s="1951"/>
      <c r="J33" s="1951"/>
      <c r="K33" s="1951"/>
      <c r="L33" s="1951"/>
      <c r="M33" s="1951"/>
      <c r="N33" s="1960"/>
      <c r="O33" s="453">
        <f>SUM(C33:N33)</f>
        <v>0</v>
      </c>
    </row>
    <row r="34" spans="1:15" ht="11.25" customHeight="1">
      <c r="A34" s="2292" t="s">
        <v>340</v>
      </c>
      <c r="B34" s="59"/>
      <c r="C34" s="1951"/>
      <c r="D34" s="1962"/>
      <c r="E34" s="1961"/>
      <c r="F34" s="1951"/>
      <c r="G34" s="1960"/>
      <c r="H34" s="1962"/>
      <c r="I34" s="1951"/>
      <c r="J34" s="1951"/>
      <c r="K34" s="1951"/>
      <c r="L34" s="1951"/>
      <c r="M34" s="1951"/>
      <c r="N34" s="1960"/>
      <c r="O34" s="453">
        <f>SUM(C34:N34)</f>
        <v>0</v>
      </c>
    </row>
    <row r="35" spans="1:15" ht="11.25" customHeight="1">
      <c r="A35" s="2292" t="s">
        <v>341</v>
      </c>
      <c r="B35" s="59"/>
      <c r="C35" s="1951"/>
      <c r="D35" s="1962"/>
      <c r="E35" s="1961"/>
      <c r="F35" s="1951"/>
      <c r="G35" s="1960"/>
      <c r="H35" s="1962"/>
      <c r="I35" s="1951"/>
      <c r="J35" s="1951"/>
      <c r="K35" s="1951"/>
      <c r="L35" s="1951"/>
      <c r="M35" s="1951"/>
      <c r="N35" s="1960"/>
      <c r="O35" s="453">
        <f>SUM(C35:N35)</f>
        <v>0</v>
      </c>
    </row>
    <row r="36" spans="1:15" ht="11.25" customHeight="1">
      <c r="A36" s="140" t="s">
        <v>860</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4">
        <f>SUM(C36:N36)</f>
        <v>0</v>
      </c>
    </row>
    <row r="37" spans="1:15" ht="4.9000000000000004" customHeight="1">
      <c r="A37" s="148"/>
      <c r="B37" s="59"/>
      <c r="C37" s="80"/>
      <c r="D37" s="79"/>
      <c r="E37" s="82"/>
      <c r="F37" s="80"/>
      <c r="G37" s="81"/>
      <c r="H37" s="79"/>
      <c r="I37" s="80"/>
      <c r="J37" s="80"/>
      <c r="K37" s="80"/>
      <c r="L37" s="80"/>
      <c r="M37" s="80"/>
      <c r="N37" s="81"/>
      <c r="O37" s="906"/>
    </row>
    <row r="38" spans="1:15" ht="11.25" customHeight="1">
      <c r="A38" s="126" t="s">
        <v>859</v>
      </c>
      <c r="B38" s="59">
        <v>2</v>
      </c>
      <c r="C38" s="95"/>
      <c r="D38" s="94"/>
      <c r="E38" s="97"/>
      <c r="F38" s="95"/>
      <c r="G38" s="96"/>
      <c r="H38" s="94"/>
      <c r="I38" s="95"/>
      <c r="J38" s="95"/>
      <c r="K38" s="95"/>
      <c r="L38" s="95"/>
      <c r="M38" s="95"/>
      <c r="N38" s="96"/>
      <c r="O38" s="453"/>
    </row>
    <row r="39" spans="1:15" ht="11.25" customHeight="1">
      <c r="A39" s="2292" t="s">
        <v>339</v>
      </c>
      <c r="B39" s="59"/>
      <c r="C39" s="1951"/>
      <c r="D39" s="1962"/>
      <c r="E39" s="1961"/>
      <c r="F39" s="1951"/>
      <c r="G39" s="1960"/>
      <c r="H39" s="1962"/>
      <c r="I39" s="1951"/>
      <c r="J39" s="1951"/>
      <c r="K39" s="1951"/>
      <c r="L39" s="1951"/>
      <c r="M39" s="1951"/>
      <c r="N39" s="1960"/>
      <c r="O39" s="453">
        <f>SUM(C39:N39)</f>
        <v>0</v>
      </c>
    </row>
    <row r="40" spans="1:15" ht="11.25" customHeight="1">
      <c r="A40" s="2292" t="s">
        <v>340</v>
      </c>
      <c r="B40" s="59"/>
      <c r="C40" s="1951"/>
      <c r="D40" s="1962"/>
      <c r="E40" s="1961"/>
      <c r="F40" s="1951"/>
      <c r="G40" s="1960"/>
      <c r="H40" s="1962"/>
      <c r="I40" s="1951"/>
      <c r="J40" s="1951"/>
      <c r="K40" s="1951"/>
      <c r="L40" s="1951"/>
      <c r="M40" s="1951"/>
      <c r="N40" s="1960"/>
      <c r="O40" s="453">
        <f>SUM(C40:N40)</f>
        <v>0</v>
      </c>
    </row>
    <row r="41" spans="1:15" ht="11.25" customHeight="1">
      <c r="A41" s="2292" t="s">
        <v>341</v>
      </c>
      <c r="B41" s="59"/>
      <c r="C41" s="1951"/>
      <c r="D41" s="1962"/>
      <c r="E41" s="1961"/>
      <c r="F41" s="1951"/>
      <c r="G41" s="1960"/>
      <c r="H41" s="1962"/>
      <c r="I41" s="1951"/>
      <c r="J41" s="1951"/>
      <c r="K41" s="1951"/>
      <c r="L41" s="1951"/>
      <c r="M41" s="1951"/>
      <c r="N41" s="1960"/>
      <c r="O41" s="453">
        <f>SUM(C41:N41)</f>
        <v>0</v>
      </c>
    </row>
    <row r="42" spans="1:15" ht="11.25" customHeight="1">
      <c r="A42" s="140" t="s">
        <v>1257</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4">
        <f>SUM(C42:N42)</f>
        <v>0</v>
      </c>
    </row>
    <row r="43" spans="1:15" ht="4.9000000000000004" customHeight="1">
      <c r="A43" s="148"/>
      <c r="B43" s="59"/>
      <c r="C43" s="80"/>
      <c r="D43" s="79"/>
      <c r="E43" s="82"/>
      <c r="F43" s="80"/>
      <c r="G43" s="81"/>
      <c r="H43" s="79"/>
      <c r="I43" s="80"/>
      <c r="J43" s="80"/>
      <c r="K43" s="80"/>
      <c r="L43" s="80"/>
      <c r="M43" s="80"/>
      <c r="N43" s="81"/>
      <c r="O43" s="453"/>
    </row>
    <row r="44" spans="1:15" ht="11.25" customHeight="1">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5">
        <f t="shared" si="7"/>
        <v>0</v>
      </c>
    </row>
    <row r="45" spans="1:15" s="576" customFormat="1">
      <c r="A45" s="1092" t="str">
        <f>head27a</f>
        <v>References</v>
      </c>
      <c r="B45" s="874"/>
      <c r="C45" s="878"/>
      <c r="D45" s="878"/>
      <c r="E45" s="878"/>
      <c r="F45" s="878"/>
      <c r="G45" s="878"/>
      <c r="H45" s="878"/>
      <c r="I45" s="878"/>
      <c r="J45" s="878"/>
      <c r="K45" s="878"/>
      <c r="L45" s="878"/>
      <c r="M45" s="878"/>
      <c r="N45" s="878"/>
      <c r="O45" s="916"/>
    </row>
    <row r="46" spans="1:15" s="576" customFormat="1" ht="11.25" customHeight="1">
      <c r="A46" s="1236" t="s">
        <v>18</v>
      </c>
      <c r="B46" s="874"/>
      <c r="C46" s="877"/>
      <c r="D46" s="878"/>
      <c r="E46" s="878"/>
      <c r="F46" s="878"/>
      <c r="G46" s="878"/>
    </row>
    <row r="47" spans="1:15" s="576" customFormat="1" ht="11.25" customHeight="1">
      <c r="A47" s="1093" t="s">
        <v>1267</v>
      </c>
      <c r="B47" s="874"/>
      <c r="C47" s="877"/>
      <c r="D47" s="878"/>
      <c r="E47" s="878"/>
      <c r="F47" s="878"/>
      <c r="G47" s="878"/>
    </row>
    <row r="48" spans="1:15" ht="24.75" customHeight="1">
      <c r="A48" s="2927" t="s">
        <v>588</v>
      </c>
      <c r="B48" s="2928"/>
      <c r="C48" s="2928"/>
      <c r="D48" s="2928"/>
      <c r="E48" s="2928"/>
      <c r="F48" s="2928"/>
      <c r="G48" s="2928"/>
      <c r="H48" s="2928"/>
      <c r="I48" s="2928"/>
      <c r="J48" s="2928"/>
      <c r="K48" s="2928"/>
      <c r="L48" s="2928"/>
      <c r="M48" s="2928"/>
      <c r="N48" s="2928"/>
    </row>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mergeCells count="2">
    <mergeCell ref="E2:G2"/>
    <mergeCell ref="A48:N48"/>
  </mergeCells>
  <phoneticPr fontId="5"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60" activePane="bottomRight" state="frozen"/>
      <selection pane="topRight"/>
      <selection pane="bottomLeft"/>
      <selection pane="bottomRight" activeCell="D173" sqref="D173"/>
    </sheetView>
  </sheetViews>
  <sheetFormatPr defaultColWidth="9.140625"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"&amp;TableA34a</f>
        <v>LIM333 Greater Tzaneen - Supporting Table SA34a Consolidated capital expenditure on new assets by asset class</v>
      </c>
      <c r="B1" s="24"/>
      <c r="C1" s="24"/>
      <c r="D1" s="24"/>
      <c r="E1" s="24"/>
      <c r="F1" s="24"/>
      <c r="G1" s="24"/>
      <c r="H1" s="24"/>
      <c r="I1" s="24"/>
      <c r="J1" s="24"/>
      <c r="K1" s="24"/>
    </row>
    <row r="2" spans="1:12" ht="28.5" customHeight="1">
      <c r="A2" s="841" t="str">
        <f>desc</f>
        <v>Description</v>
      </c>
      <c r="B2" s="288" t="str">
        <f>head27</f>
        <v>Ref</v>
      </c>
      <c r="C2" s="27" t="str">
        <f>head1b</f>
        <v>2016/17</v>
      </c>
      <c r="D2" s="618" t="str">
        <f>head1A</f>
        <v>2017/18</v>
      </c>
      <c r="E2" s="22" t="str">
        <f>Head1</f>
        <v>2018/19</v>
      </c>
      <c r="F2" s="2842" t="str">
        <f>Head2</f>
        <v>Current Year 2019/20</v>
      </c>
      <c r="G2" s="2843"/>
      <c r="H2" s="2847"/>
      <c r="I2" s="2839" t="str">
        <f>Head3</f>
        <v>2020/21 Medium Term Revenue &amp; Expenditure Framework</v>
      </c>
      <c r="J2" s="2840"/>
      <c r="K2" s="2841"/>
    </row>
    <row r="3" spans="1:12" ht="25.5">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c r="A4" s="723" t="s">
        <v>1078</v>
      </c>
      <c r="B4" s="612"/>
      <c r="C4" s="932"/>
      <c r="D4" s="184"/>
      <c r="E4" s="185"/>
      <c r="F4" s="186"/>
      <c r="G4" s="184"/>
      <c r="H4" s="187"/>
      <c r="I4" s="186"/>
      <c r="J4" s="184"/>
      <c r="K4" s="187"/>
      <c r="L4" s="240"/>
    </row>
    <row r="5" spans="1:12" ht="4.9000000000000004" customHeight="1">
      <c r="A5" s="126"/>
      <c r="B5" s="59"/>
      <c r="C5" s="188"/>
      <c r="D5" s="188"/>
      <c r="E5" s="189"/>
      <c r="F5" s="190"/>
      <c r="G5" s="188"/>
      <c r="H5" s="191"/>
      <c r="I5" s="190"/>
      <c r="J5" s="188"/>
      <c r="K5" s="191"/>
      <c r="L5" s="240"/>
    </row>
    <row r="6" spans="1:12" ht="13.15" customHeight="1">
      <c r="A6" s="126" t="s">
        <v>845</v>
      </c>
      <c r="B6" s="59"/>
      <c r="C6" s="264">
        <f>C7+C12+C16+C26+C37+C44+C52+C62+C68</f>
        <v>49658185</v>
      </c>
      <c r="D6" s="264">
        <f t="shared" ref="D6:K6" si="0">D7+D12+D16+D26+D37+D44+D52+D62+D68</f>
        <v>19095712</v>
      </c>
      <c r="E6" s="266">
        <f t="shared" si="0"/>
        <v>71828647</v>
      </c>
      <c r="F6" s="265">
        <f t="shared" si="0"/>
        <v>72920486</v>
      </c>
      <c r="G6" s="264">
        <f t="shared" si="0"/>
        <v>70973080</v>
      </c>
      <c r="H6" s="218">
        <f t="shared" si="0"/>
        <v>70973080</v>
      </c>
      <c r="I6" s="265">
        <f t="shared" si="0"/>
        <v>13500000</v>
      </c>
      <c r="J6" s="264">
        <f t="shared" si="0"/>
        <v>8384000</v>
      </c>
      <c r="K6" s="218">
        <f t="shared" si="0"/>
        <v>8786438</v>
      </c>
      <c r="L6" s="1360"/>
    </row>
    <row r="7" spans="1:12" s="1340" customFormat="1" ht="13.15" customHeight="1">
      <c r="A7" s="127" t="s">
        <v>2245</v>
      </c>
      <c r="B7" s="59"/>
      <c r="C7" s="943">
        <f t="shared" ref="C7:K7" si="1">SUM(C8:C11)</f>
        <v>39930586</v>
      </c>
      <c r="D7" s="943">
        <f t="shared" si="1"/>
        <v>6981726</v>
      </c>
      <c r="E7" s="1243">
        <f t="shared" si="1"/>
        <v>53816542</v>
      </c>
      <c r="F7" s="944">
        <f t="shared" si="1"/>
        <v>48870486</v>
      </c>
      <c r="G7" s="943">
        <f t="shared" si="1"/>
        <v>42551349</v>
      </c>
      <c r="H7" s="980">
        <f t="shared" si="1"/>
        <v>42551349</v>
      </c>
      <c r="I7" s="944">
        <f t="shared" si="1"/>
        <v>1500000</v>
      </c>
      <c r="J7" s="943">
        <f t="shared" si="1"/>
        <v>0</v>
      </c>
      <c r="K7" s="980">
        <f t="shared" si="1"/>
        <v>0</v>
      </c>
      <c r="L7" s="240"/>
    </row>
    <row r="8" spans="1:12" s="1340" customFormat="1" ht="13.15" customHeight="1">
      <c r="A8" s="1120" t="s">
        <v>632</v>
      </c>
      <c r="B8" s="59"/>
      <c r="C8" s="1951">
        <v>39930586</v>
      </c>
      <c r="D8" s="1951">
        <v>6981726</v>
      </c>
      <c r="E8" s="1952">
        <v>53816542</v>
      </c>
      <c r="F8" s="2728">
        <v>6000000</v>
      </c>
      <c r="G8" s="2727">
        <v>9651022</v>
      </c>
      <c r="H8" s="1954">
        <v>9651022</v>
      </c>
      <c r="I8" s="1953">
        <v>1500000</v>
      </c>
      <c r="J8" s="1951"/>
      <c r="K8" s="1954"/>
      <c r="L8" s="1360"/>
    </row>
    <row r="9" spans="1:12" s="1340" customFormat="1" ht="13.15" customHeight="1">
      <c r="A9" s="1120" t="s">
        <v>2246</v>
      </c>
      <c r="B9" s="59"/>
      <c r="C9" s="1951"/>
      <c r="D9" s="1951"/>
      <c r="E9" s="1952"/>
      <c r="F9" s="2728">
        <v>42870486</v>
      </c>
      <c r="G9" s="2727">
        <v>32851171</v>
      </c>
      <c r="H9" s="1954">
        <v>32851171</v>
      </c>
      <c r="I9" s="1953"/>
      <c r="J9" s="1951"/>
      <c r="K9" s="1954"/>
      <c r="L9" s="1361"/>
    </row>
    <row r="10" spans="1:12" s="1340" customFormat="1" ht="13.15" customHeight="1">
      <c r="A10" s="1120" t="s">
        <v>2247</v>
      </c>
      <c r="B10" s="59"/>
      <c r="C10" s="1951"/>
      <c r="D10" s="1951"/>
      <c r="E10" s="1952"/>
      <c r="F10" s="2728">
        <v>0</v>
      </c>
      <c r="G10" s="2727">
        <v>49156</v>
      </c>
      <c r="H10" s="1954">
        <v>49156</v>
      </c>
      <c r="I10" s="1953"/>
      <c r="J10" s="1951"/>
      <c r="K10" s="1954"/>
      <c r="L10" s="1361"/>
    </row>
    <row r="11" spans="1:12" s="1340" customFormat="1" ht="13.15" customHeight="1">
      <c r="A11" s="1120" t="s">
        <v>2248</v>
      </c>
      <c r="B11" s="59"/>
      <c r="C11" s="1951"/>
      <c r="D11" s="1951"/>
      <c r="E11" s="1952"/>
      <c r="F11" s="1953"/>
      <c r="G11" s="1951"/>
      <c r="H11" s="1954"/>
      <c r="I11" s="1953"/>
      <c r="J11" s="1951"/>
      <c r="K11" s="1954"/>
      <c r="L11" s="1361"/>
    </row>
    <row r="12" spans="1:12" s="1340" customFormat="1" ht="13.15" customHeight="1">
      <c r="A12" s="127" t="s">
        <v>2249</v>
      </c>
      <c r="B12" s="59"/>
      <c r="C12" s="900">
        <f>SUM(C13:C15)</f>
        <v>0</v>
      </c>
      <c r="D12" s="900">
        <f t="shared" ref="D12:K12" si="2">SUM(D13:D15)</f>
        <v>0</v>
      </c>
      <c r="E12" s="1244">
        <f t="shared" si="2"/>
        <v>0</v>
      </c>
      <c r="F12" s="904">
        <f t="shared" si="2"/>
        <v>0</v>
      </c>
      <c r="G12" s="900">
        <f t="shared" si="2"/>
        <v>561967</v>
      </c>
      <c r="H12" s="982">
        <f t="shared" si="2"/>
        <v>561967</v>
      </c>
      <c r="I12" s="904">
        <f t="shared" si="2"/>
        <v>0</v>
      </c>
      <c r="J12" s="900">
        <f t="shared" si="2"/>
        <v>0</v>
      </c>
      <c r="K12" s="982">
        <f t="shared" si="2"/>
        <v>0</v>
      </c>
      <c r="L12" s="1361"/>
    </row>
    <row r="13" spans="1:12" s="1340" customFormat="1" ht="13.15" customHeight="1">
      <c r="A13" s="1120" t="s">
        <v>2250</v>
      </c>
      <c r="B13" s="59"/>
      <c r="C13" s="1951"/>
      <c r="D13" s="1951"/>
      <c r="E13" s="1952"/>
      <c r="F13" s="2730">
        <v>0</v>
      </c>
      <c r="G13" s="2729">
        <v>0</v>
      </c>
      <c r="H13" s="1954"/>
      <c r="I13" s="1953"/>
      <c r="J13" s="1951"/>
      <c r="K13" s="1954"/>
      <c r="L13" s="1361"/>
    </row>
    <row r="14" spans="1:12" s="1340" customFormat="1" ht="13.15" customHeight="1">
      <c r="A14" s="1120" t="s">
        <v>2251</v>
      </c>
      <c r="B14" s="59"/>
      <c r="C14" s="1951"/>
      <c r="D14" s="1951"/>
      <c r="E14" s="1952"/>
      <c r="F14" s="2730">
        <v>0</v>
      </c>
      <c r="G14" s="2729">
        <v>561967</v>
      </c>
      <c r="H14" s="2772">
        <v>561967</v>
      </c>
      <c r="I14" s="1953"/>
      <c r="J14" s="1951"/>
      <c r="K14" s="1954"/>
      <c r="L14" s="1361"/>
    </row>
    <row r="15" spans="1:12" s="1340" customFormat="1" ht="13.15" customHeight="1">
      <c r="A15" s="1120" t="s">
        <v>2252</v>
      </c>
      <c r="B15" s="59"/>
      <c r="C15" s="1951"/>
      <c r="D15" s="1951"/>
      <c r="E15" s="1952"/>
      <c r="F15" s="2730">
        <v>0</v>
      </c>
      <c r="G15" s="2729">
        <v>0</v>
      </c>
      <c r="H15" s="1954"/>
      <c r="I15" s="1953"/>
      <c r="J15" s="1951"/>
      <c r="K15" s="1954"/>
      <c r="L15" s="1361"/>
    </row>
    <row r="16" spans="1:12" s="1340" customFormat="1" ht="13.15" customHeight="1">
      <c r="A16" s="127" t="s">
        <v>2294</v>
      </c>
      <c r="B16" s="59"/>
      <c r="C16" s="900">
        <f t="shared" ref="C16:K16" si="3">SUM(C17:C25)</f>
        <v>9727599</v>
      </c>
      <c r="D16" s="900">
        <f t="shared" si="3"/>
        <v>12113986</v>
      </c>
      <c r="E16" s="1244">
        <f t="shared" si="3"/>
        <v>16764784</v>
      </c>
      <c r="F16" s="904">
        <f t="shared" si="3"/>
        <v>15900000</v>
      </c>
      <c r="G16" s="900">
        <f t="shared" si="3"/>
        <v>19709764</v>
      </c>
      <c r="H16" s="982">
        <f t="shared" si="3"/>
        <v>19709764</v>
      </c>
      <c r="I16" s="904">
        <f t="shared" si="3"/>
        <v>12000000</v>
      </c>
      <c r="J16" s="900">
        <f t="shared" si="3"/>
        <v>8384000</v>
      </c>
      <c r="K16" s="982">
        <f t="shared" si="3"/>
        <v>8786438</v>
      </c>
      <c r="L16" s="1361"/>
    </row>
    <row r="17" spans="1:12" s="1340" customFormat="1" ht="13.15" customHeight="1">
      <c r="A17" s="1120" t="s">
        <v>2253</v>
      </c>
      <c r="B17" s="59"/>
      <c r="C17" s="1951"/>
      <c r="D17" s="1951"/>
      <c r="E17" s="1952"/>
      <c r="F17" s="2732">
        <v>0</v>
      </c>
      <c r="G17" s="2731">
        <v>1520000</v>
      </c>
      <c r="H17" s="2772">
        <v>1520000</v>
      </c>
      <c r="I17" s="1953">
        <v>2000000</v>
      </c>
      <c r="J17" s="1951">
        <v>0</v>
      </c>
      <c r="K17" s="1954">
        <v>1</v>
      </c>
      <c r="L17" s="1361"/>
    </row>
    <row r="18" spans="1:12" s="1340" customFormat="1" ht="13.15" customHeight="1">
      <c r="A18" s="1120" t="s">
        <v>2254</v>
      </c>
      <c r="B18" s="59"/>
      <c r="C18" s="1951"/>
      <c r="D18" s="1951"/>
      <c r="E18" s="1952"/>
      <c r="F18" s="2732">
        <v>0</v>
      </c>
      <c r="G18" s="2731">
        <v>0</v>
      </c>
      <c r="H18" s="2772">
        <v>0</v>
      </c>
      <c r="I18" s="1953">
        <v>0</v>
      </c>
      <c r="J18" s="1951">
        <v>0</v>
      </c>
      <c r="K18" s="1954">
        <v>0</v>
      </c>
      <c r="L18" s="1361"/>
    </row>
    <row r="19" spans="1:12" s="1340" customFormat="1" ht="13.15" customHeight="1">
      <c r="A19" s="1120" t="s">
        <v>2255</v>
      </c>
      <c r="B19" s="59"/>
      <c r="C19" s="1951"/>
      <c r="D19" s="1951"/>
      <c r="E19" s="1952"/>
      <c r="F19" s="2732">
        <v>0</v>
      </c>
      <c r="G19" s="2731">
        <v>0</v>
      </c>
      <c r="H19" s="2772">
        <v>0</v>
      </c>
      <c r="I19" s="1953">
        <v>0</v>
      </c>
      <c r="J19" s="1951">
        <v>0</v>
      </c>
      <c r="K19" s="1954">
        <v>0</v>
      </c>
      <c r="L19" s="1361"/>
    </row>
    <row r="20" spans="1:12" s="1340" customFormat="1" ht="13.15" customHeight="1">
      <c r="A20" s="1120" t="s">
        <v>2256</v>
      </c>
      <c r="B20" s="59"/>
      <c r="C20" s="1951"/>
      <c r="D20" s="1951"/>
      <c r="E20" s="1952"/>
      <c r="F20" s="2732">
        <v>0</v>
      </c>
      <c r="G20" s="2731">
        <v>511349</v>
      </c>
      <c r="H20" s="2772">
        <v>511349</v>
      </c>
      <c r="I20" s="1953">
        <v>1500000</v>
      </c>
      <c r="J20" s="1951">
        <v>0</v>
      </c>
      <c r="K20" s="1954">
        <v>0</v>
      </c>
      <c r="L20" s="1361"/>
    </row>
    <row r="21" spans="1:12" s="1340" customFormat="1" ht="13.15" customHeight="1">
      <c r="A21" s="1120" t="s">
        <v>2257</v>
      </c>
      <c r="B21" s="59"/>
      <c r="C21" s="1951"/>
      <c r="D21" s="1951"/>
      <c r="E21" s="1952"/>
      <c r="F21" s="2732">
        <v>900000</v>
      </c>
      <c r="G21" s="2731">
        <v>4900000</v>
      </c>
      <c r="H21" s="2772">
        <v>4900000</v>
      </c>
      <c r="I21" s="1953">
        <v>0</v>
      </c>
      <c r="J21" s="1951">
        <v>0</v>
      </c>
      <c r="K21" s="1954">
        <v>4</v>
      </c>
      <c r="L21" s="1361"/>
    </row>
    <row r="22" spans="1:12" s="1340" customFormat="1" ht="13.15" customHeight="1">
      <c r="A22" s="1120" t="s">
        <v>2258</v>
      </c>
      <c r="B22" s="59"/>
      <c r="C22" s="1951"/>
      <c r="D22" s="1951"/>
      <c r="E22" s="1952"/>
      <c r="F22" s="2732">
        <v>0</v>
      </c>
      <c r="G22" s="2731">
        <v>0</v>
      </c>
      <c r="H22" s="2772">
        <v>0</v>
      </c>
      <c r="I22" s="1953">
        <v>0</v>
      </c>
      <c r="J22" s="1951">
        <v>0</v>
      </c>
      <c r="K22" s="1954">
        <v>0</v>
      </c>
      <c r="L22" s="1360"/>
    </row>
    <row r="23" spans="1:12" s="1340" customFormat="1" ht="13.15" customHeight="1">
      <c r="A23" s="1120" t="s">
        <v>2259</v>
      </c>
      <c r="B23" s="59"/>
      <c r="C23" s="1951">
        <v>9727599</v>
      </c>
      <c r="D23" s="1951">
        <v>12113986</v>
      </c>
      <c r="E23" s="1952">
        <v>16764784</v>
      </c>
      <c r="F23" s="2732">
        <v>0</v>
      </c>
      <c r="G23" s="2731">
        <v>4778415</v>
      </c>
      <c r="H23" s="2772">
        <v>4778415</v>
      </c>
      <c r="I23" s="1953">
        <v>0</v>
      </c>
      <c r="J23" s="1951">
        <v>0</v>
      </c>
      <c r="K23" s="1954">
        <v>1</v>
      </c>
      <c r="L23" s="1361"/>
    </row>
    <row r="24" spans="1:12" s="1340" customFormat="1" ht="13.15" customHeight="1">
      <c r="A24" s="1120" t="s">
        <v>2260</v>
      </c>
      <c r="B24" s="59"/>
      <c r="C24" s="1951"/>
      <c r="D24" s="1951"/>
      <c r="E24" s="1952"/>
      <c r="F24" s="2732">
        <v>15000000</v>
      </c>
      <c r="G24" s="2731">
        <v>8000000</v>
      </c>
      <c r="H24" s="2772">
        <v>8000000</v>
      </c>
      <c r="I24" s="1953">
        <v>8000000</v>
      </c>
      <c r="J24" s="1951">
        <v>8384000</v>
      </c>
      <c r="K24" s="1954">
        <v>8786432</v>
      </c>
      <c r="L24" s="1361"/>
    </row>
    <row r="25" spans="1:12" s="1340" customFormat="1" ht="13.15" customHeight="1">
      <c r="A25" s="1120" t="s">
        <v>2248</v>
      </c>
      <c r="B25" s="59"/>
      <c r="C25" s="1951"/>
      <c r="D25" s="1951"/>
      <c r="E25" s="1952"/>
      <c r="F25" s="2732">
        <v>0</v>
      </c>
      <c r="G25" s="2731">
        <v>0</v>
      </c>
      <c r="H25" s="1954"/>
      <c r="I25" s="1953">
        <v>500000</v>
      </c>
      <c r="J25" s="1951">
        <v>0</v>
      </c>
      <c r="K25" s="1954">
        <v>0</v>
      </c>
      <c r="L25" s="1361"/>
    </row>
    <row r="26" spans="1:12" ht="13.15" customHeight="1">
      <c r="A26" s="131" t="s">
        <v>2295</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240"/>
    </row>
    <row r="27" spans="1:12" ht="13.15" customHeight="1">
      <c r="A27" s="1120" t="s">
        <v>2261</v>
      </c>
      <c r="B27" s="59"/>
      <c r="C27" s="1951"/>
      <c r="D27" s="1951"/>
      <c r="E27" s="1952"/>
      <c r="F27" s="1953"/>
      <c r="G27" s="1951"/>
      <c r="H27" s="1954"/>
      <c r="I27" s="1953"/>
      <c r="J27" s="1951"/>
      <c r="K27" s="1954"/>
      <c r="L27" s="240"/>
    </row>
    <row r="28" spans="1:12" ht="13.15" customHeight="1">
      <c r="A28" s="1120" t="s">
        <v>2262</v>
      </c>
      <c r="B28" s="59"/>
      <c r="C28" s="1951"/>
      <c r="D28" s="1951"/>
      <c r="E28" s="1952"/>
      <c r="F28" s="1953"/>
      <c r="G28" s="1951"/>
      <c r="H28" s="1954"/>
      <c r="I28" s="1953"/>
      <c r="J28" s="1951"/>
      <c r="K28" s="1954"/>
      <c r="L28" s="1361"/>
    </row>
    <row r="29" spans="1:12" ht="13.15" customHeight="1">
      <c r="A29" s="1120" t="s">
        <v>2263</v>
      </c>
      <c r="B29" s="59"/>
      <c r="C29" s="1951"/>
      <c r="D29" s="1951"/>
      <c r="E29" s="1952"/>
      <c r="F29" s="1953"/>
      <c r="G29" s="1951"/>
      <c r="H29" s="1954"/>
      <c r="I29" s="1953"/>
      <c r="J29" s="1951"/>
      <c r="K29" s="1954"/>
      <c r="L29" s="1361"/>
    </row>
    <row r="30" spans="1:12" ht="13.15" customHeight="1">
      <c r="A30" s="1120" t="s">
        <v>2264</v>
      </c>
      <c r="B30" s="59"/>
      <c r="C30" s="1951"/>
      <c r="D30" s="1951"/>
      <c r="E30" s="1952"/>
      <c r="F30" s="1953"/>
      <c r="G30" s="1951"/>
      <c r="H30" s="1954"/>
      <c r="I30" s="1953"/>
      <c r="J30" s="1951"/>
      <c r="K30" s="1954"/>
      <c r="L30" s="1361"/>
    </row>
    <row r="31" spans="1:12" ht="13.15" customHeight="1">
      <c r="A31" s="1120" t="s">
        <v>2265</v>
      </c>
      <c r="B31" s="59"/>
      <c r="C31" s="1951"/>
      <c r="D31" s="1951"/>
      <c r="E31" s="1952"/>
      <c r="F31" s="1953"/>
      <c r="G31" s="1951"/>
      <c r="H31" s="1954"/>
      <c r="I31" s="1953"/>
      <c r="J31" s="1951"/>
      <c r="K31" s="1954"/>
      <c r="L31" s="1361"/>
    </row>
    <row r="32" spans="1:12" ht="13.15" customHeight="1">
      <c r="A32" s="1120" t="s">
        <v>2266</v>
      </c>
      <c r="B32" s="59"/>
      <c r="C32" s="1951"/>
      <c r="D32" s="1951"/>
      <c r="E32" s="1952"/>
      <c r="F32" s="1953"/>
      <c r="G32" s="1951"/>
      <c r="H32" s="1954"/>
      <c r="I32" s="1953"/>
      <c r="J32" s="1951"/>
      <c r="K32" s="1954"/>
      <c r="L32" s="1361"/>
    </row>
    <row r="33" spans="1:15" ht="13.15" customHeight="1">
      <c r="A33" s="1120" t="s">
        <v>2267</v>
      </c>
      <c r="B33" s="59"/>
      <c r="C33" s="1951"/>
      <c r="D33" s="1951"/>
      <c r="E33" s="1952"/>
      <c r="F33" s="1953"/>
      <c r="G33" s="1951"/>
      <c r="H33" s="1954"/>
      <c r="I33" s="1953"/>
      <c r="J33" s="1951"/>
      <c r="K33" s="1954"/>
      <c r="L33" s="1361"/>
    </row>
    <row r="34" spans="1:15" ht="13.15" customHeight="1">
      <c r="A34" s="1120" t="s">
        <v>2268</v>
      </c>
      <c r="B34" s="59"/>
      <c r="C34" s="1951"/>
      <c r="D34" s="1951"/>
      <c r="E34" s="1952"/>
      <c r="F34" s="1953"/>
      <c r="G34" s="1951"/>
      <c r="H34" s="1954"/>
      <c r="I34" s="1953"/>
      <c r="J34" s="1951"/>
      <c r="K34" s="1954"/>
      <c r="L34" s="1361"/>
    </row>
    <row r="35" spans="1:15" ht="13.15" customHeight="1">
      <c r="A35" s="1120" t="s">
        <v>2269</v>
      </c>
      <c r="B35" s="59"/>
      <c r="C35" s="1951"/>
      <c r="D35" s="1951"/>
      <c r="E35" s="1952"/>
      <c r="F35" s="1953"/>
      <c r="G35" s="1951"/>
      <c r="H35" s="1954"/>
      <c r="I35" s="1953"/>
      <c r="J35" s="1951"/>
      <c r="K35" s="1954"/>
      <c r="L35" s="1361"/>
    </row>
    <row r="36" spans="1:15" ht="13.15" customHeight="1">
      <c r="A36" s="1120" t="s">
        <v>2248</v>
      </c>
      <c r="B36" s="59"/>
      <c r="C36" s="1951"/>
      <c r="D36" s="1951"/>
      <c r="E36" s="1952"/>
      <c r="F36" s="1953"/>
      <c r="G36" s="1951"/>
      <c r="H36" s="1954"/>
      <c r="I36" s="1953"/>
      <c r="J36" s="1951"/>
      <c r="K36" s="1954"/>
      <c r="L36" s="1361"/>
    </row>
    <row r="37" spans="1:15" ht="13.15" customHeight="1">
      <c r="A37" s="131" t="s">
        <v>2296</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c r="O37" s="240"/>
    </row>
    <row r="38" spans="1:15" ht="13.15" customHeight="1">
      <c r="A38" s="1120" t="s">
        <v>2270</v>
      </c>
      <c r="B38" s="59"/>
      <c r="C38" s="1951"/>
      <c r="D38" s="1951"/>
      <c r="E38" s="1952"/>
      <c r="F38" s="1953"/>
      <c r="G38" s="1951"/>
      <c r="H38" s="1954"/>
      <c r="I38" s="1953"/>
      <c r="J38" s="1951"/>
      <c r="K38" s="1954"/>
      <c r="L38" s="1361"/>
    </row>
    <row r="39" spans="1:15" ht="13.15" customHeight="1">
      <c r="A39" s="1120" t="s">
        <v>25</v>
      </c>
      <c r="B39" s="59"/>
      <c r="C39" s="1951"/>
      <c r="D39" s="1951"/>
      <c r="E39" s="1952"/>
      <c r="F39" s="1953"/>
      <c r="G39" s="1951"/>
      <c r="H39" s="1954"/>
      <c r="I39" s="1953"/>
      <c r="J39" s="1951"/>
      <c r="K39" s="1954"/>
      <c r="L39" s="1361"/>
    </row>
    <row r="40" spans="1:15" ht="13.15" customHeight="1">
      <c r="A40" s="1120" t="s">
        <v>2271</v>
      </c>
      <c r="B40" s="59"/>
      <c r="C40" s="1951"/>
      <c r="D40" s="1951"/>
      <c r="E40" s="1952"/>
      <c r="F40" s="1953"/>
      <c r="G40" s="1951"/>
      <c r="H40" s="1954"/>
      <c r="I40" s="1953"/>
      <c r="J40" s="1951"/>
      <c r="K40" s="1954"/>
      <c r="L40" s="240"/>
    </row>
    <row r="41" spans="1:15" ht="13.15" customHeight="1">
      <c r="A41" s="1120" t="s">
        <v>2272</v>
      </c>
      <c r="B41" s="59"/>
      <c r="C41" s="1951"/>
      <c r="D41" s="1951"/>
      <c r="E41" s="1952"/>
      <c r="F41" s="1953"/>
      <c r="G41" s="1951"/>
      <c r="H41" s="1954"/>
      <c r="I41" s="1953"/>
      <c r="J41" s="1951"/>
      <c r="K41" s="1954"/>
      <c r="L41" s="1361"/>
    </row>
    <row r="42" spans="1:15" ht="13.15" customHeight="1">
      <c r="A42" s="1120" t="s">
        <v>2273</v>
      </c>
      <c r="B42" s="59"/>
      <c r="C42" s="1951"/>
      <c r="D42" s="1951"/>
      <c r="E42" s="1952"/>
      <c r="F42" s="1953"/>
      <c r="G42" s="1951"/>
      <c r="H42" s="1954"/>
      <c r="I42" s="1953"/>
      <c r="J42" s="1951"/>
      <c r="K42" s="1954"/>
      <c r="L42" s="240"/>
    </row>
    <row r="43" spans="1:15" ht="13.15" customHeight="1">
      <c r="A43" s="1120" t="s">
        <v>2248</v>
      </c>
      <c r="B43" s="59"/>
      <c r="C43" s="1951"/>
      <c r="D43" s="1951"/>
      <c r="E43" s="1952"/>
      <c r="F43" s="1953"/>
      <c r="G43" s="1951"/>
      <c r="H43" s="1954"/>
      <c r="I43" s="1953"/>
      <c r="J43" s="1951"/>
      <c r="K43" s="1954"/>
      <c r="L43" s="240"/>
    </row>
    <row r="44" spans="1:15" ht="13.15" customHeight="1">
      <c r="A44" s="131" t="s">
        <v>2274</v>
      </c>
      <c r="B44" s="59"/>
      <c r="C44" s="900">
        <f>SUM(C45:C51)</f>
        <v>0</v>
      </c>
      <c r="D44" s="900">
        <f t="shared" ref="D44:K44" si="6">SUM(D45:D51)</f>
        <v>0</v>
      </c>
      <c r="E44" s="1244">
        <f t="shared" si="6"/>
        <v>1247321</v>
      </c>
      <c r="F44" s="904">
        <f t="shared" si="6"/>
        <v>0</v>
      </c>
      <c r="G44" s="900">
        <f t="shared" si="6"/>
        <v>0</v>
      </c>
      <c r="H44" s="982">
        <f t="shared" si="6"/>
        <v>0</v>
      </c>
      <c r="I44" s="904">
        <f t="shared" si="6"/>
        <v>0</v>
      </c>
      <c r="J44" s="900">
        <f t="shared" si="6"/>
        <v>0</v>
      </c>
      <c r="K44" s="982">
        <f t="shared" si="6"/>
        <v>0</v>
      </c>
      <c r="L44" s="240"/>
    </row>
    <row r="45" spans="1:15" ht="13.15" customHeight="1">
      <c r="A45" s="1120" t="s">
        <v>2275</v>
      </c>
      <c r="B45" s="59"/>
      <c r="C45" s="1951"/>
      <c r="D45" s="1951"/>
      <c r="E45" s="1952"/>
      <c r="F45" s="1953"/>
      <c r="G45" s="1951"/>
      <c r="H45" s="1954"/>
      <c r="I45" s="1953"/>
      <c r="J45" s="1951"/>
      <c r="K45" s="1954"/>
      <c r="L45" s="240"/>
    </row>
    <row r="46" spans="1:15" ht="13.15" customHeight="1">
      <c r="A46" s="1120" t="s">
        <v>2276</v>
      </c>
      <c r="B46" s="59"/>
      <c r="C46" s="1951"/>
      <c r="D46" s="1951"/>
      <c r="E46" s="1952"/>
      <c r="F46" s="1953"/>
      <c r="G46" s="1951"/>
      <c r="H46" s="1954"/>
      <c r="I46" s="1953"/>
      <c r="J46" s="1951"/>
      <c r="K46" s="1954"/>
      <c r="L46" s="240"/>
    </row>
    <row r="47" spans="1:15" ht="13.15" customHeight="1">
      <c r="A47" s="1120" t="s">
        <v>2277</v>
      </c>
      <c r="B47" s="59"/>
      <c r="C47" s="1951"/>
      <c r="D47" s="1951"/>
      <c r="E47" s="1952"/>
      <c r="F47" s="1953"/>
      <c r="G47" s="1951"/>
      <c r="H47" s="1954"/>
      <c r="I47" s="1953"/>
      <c r="J47" s="1951"/>
      <c r="K47" s="1954"/>
      <c r="L47" s="240"/>
    </row>
    <row r="48" spans="1:15" ht="13.15" customHeight="1">
      <c r="A48" s="1120" t="s">
        <v>2278</v>
      </c>
      <c r="B48" s="59"/>
      <c r="C48" s="1951"/>
      <c r="D48" s="1951"/>
      <c r="E48" s="1952"/>
      <c r="F48" s="1953"/>
      <c r="G48" s="1951"/>
      <c r="H48" s="1954"/>
      <c r="I48" s="1953"/>
      <c r="J48" s="1951"/>
      <c r="K48" s="1954"/>
      <c r="L48" s="1361"/>
    </row>
    <row r="49" spans="1:12" ht="13.15" customHeight="1">
      <c r="A49" s="1120" t="s">
        <v>2279</v>
      </c>
      <c r="B49" s="59"/>
      <c r="C49" s="1951"/>
      <c r="D49" s="1951"/>
      <c r="E49" s="1952"/>
      <c r="F49" s="1953"/>
      <c r="G49" s="1951"/>
      <c r="H49" s="1954"/>
      <c r="I49" s="1953"/>
      <c r="J49" s="1951"/>
      <c r="K49" s="1954"/>
      <c r="L49" s="240"/>
    </row>
    <row r="50" spans="1:12" ht="13.15" customHeight="1">
      <c r="A50" s="1120" t="s">
        <v>2280</v>
      </c>
      <c r="B50" s="59"/>
      <c r="C50" s="1951"/>
      <c r="D50" s="1951"/>
      <c r="E50" s="1952"/>
      <c r="F50" s="1953"/>
      <c r="G50" s="1951"/>
      <c r="H50" s="1954"/>
      <c r="I50" s="1953"/>
      <c r="J50" s="1951"/>
      <c r="K50" s="1954"/>
      <c r="L50" s="240"/>
    </row>
    <row r="51" spans="1:12" ht="13.15" customHeight="1">
      <c r="A51" s="1120" t="s">
        <v>2248</v>
      </c>
      <c r="B51" s="59"/>
      <c r="C51" s="1951"/>
      <c r="D51" s="1951"/>
      <c r="E51" s="1952">
        <v>1247321</v>
      </c>
      <c r="F51" s="1953"/>
      <c r="G51" s="1951"/>
      <c r="H51" s="1954"/>
      <c r="I51" s="1953"/>
      <c r="J51" s="1951"/>
      <c r="K51" s="1954"/>
      <c r="L51" s="240"/>
    </row>
    <row r="52" spans="1:12" ht="13.15" customHeight="1">
      <c r="A52" s="127" t="s">
        <v>2290</v>
      </c>
      <c r="B52" s="59"/>
      <c r="C52" s="900">
        <f t="shared" ref="C52:K52" si="7">SUM(C53:C61)</f>
        <v>0</v>
      </c>
      <c r="D52" s="900">
        <f t="shared" si="7"/>
        <v>0</v>
      </c>
      <c r="E52" s="1244">
        <f t="shared" si="7"/>
        <v>0</v>
      </c>
      <c r="F52" s="904">
        <f t="shared" si="7"/>
        <v>8150000</v>
      </c>
      <c r="G52" s="900">
        <f t="shared" si="7"/>
        <v>8150000</v>
      </c>
      <c r="H52" s="982">
        <f t="shared" si="7"/>
        <v>8150000</v>
      </c>
      <c r="I52" s="904">
        <f t="shared" si="7"/>
        <v>0</v>
      </c>
      <c r="J52" s="900">
        <f t="shared" si="7"/>
        <v>0</v>
      </c>
      <c r="K52" s="982">
        <f t="shared" si="7"/>
        <v>0</v>
      </c>
      <c r="L52" s="1361"/>
    </row>
    <row r="53" spans="1:12" ht="13.15" customHeight="1">
      <c r="A53" s="1120" t="s">
        <v>2291</v>
      </c>
      <c r="B53" s="59"/>
      <c r="C53" s="1951"/>
      <c r="D53" s="1951"/>
      <c r="E53" s="1952"/>
      <c r="F53" s="2734">
        <v>8150000</v>
      </c>
      <c r="G53" s="2733">
        <v>8150000</v>
      </c>
      <c r="H53" s="2772">
        <v>8150000</v>
      </c>
      <c r="I53" s="1953"/>
      <c r="J53" s="1951"/>
      <c r="K53" s="1954"/>
      <c r="L53" s="240"/>
    </row>
    <row r="54" spans="1:12" ht="13.15" customHeight="1">
      <c r="A54" s="1120" t="s">
        <v>2292</v>
      </c>
      <c r="B54" s="59"/>
      <c r="C54" s="1951"/>
      <c r="D54" s="1951"/>
      <c r="E54" s="1952"/>
      <c r="F54" s="1953"/>
      <c r="G54" s="1951"/>
      <c r="H54" s="1954"/>
      <c r="I54" s="1953"/>
      <c r="J54" s="1951"/>
      <c r="K54" s="1954"/>
      <c r="L54" s="1361"/>
    </row>
    <row r="55" spans="1:12" ht="13.15" customHeight="1">
      <c r="A55" s="1120" t="s">
        <v>2293</v>
      </c>
      <c r="B55" s="59"/>
      <c r="C55" s="1951"/>
      <c r="D55" s="1951"/>
      <c r="E55" s="1952"/>
      <c r="F55" s="1953"/>
      <c r="G55" s="1951"/>
      <c r="H55" s="1954"/>
      <c r="I55" s="1953"/>
      <c r="J55" s="1951"/>
      <c r="K55" s="1954"/>
      <c r="L55" s="1361"/>
    </row>
    <row r="56" spans="1:12" ht="13.15" customHeight="1">
      <c r="A56" s="1120" t="s">
        <v>2250</v>
      </c>
      <c r="B56" s="59"/>
      <c r="C56" s="1951"/>
      <c r="D56" s="1951"/>
      <c r="E56" s="1952"/>
      <c r="F56" s="1953"/>
      <c r="G56" s="1951"/>
      <c r="H56" s="1954"/>
      <c r="I56" s="1953"/>
      <c r="J56" s="1951"/>
      <c r="K56" s="1954"/>
      <c r="L56" s="1361"/>
    </row>
    <row r="57" spans="1:12" ht="13.15" customHeight="1">
      <c r="A57" s="1120" t="s">
        <v>2251</v>
      </c>
      <c r="B57" s="59"/>
      <c r="C57" s="1951"/>
      <c r="D57" s="1951"/>
      <c r="E57" s="1952"/>
      <c r="F57" s="1953"/>
      <c r="G57" s="1951"/>
      <c r="H57" s="1954"/>
      <c r="I57" s="1953"/>
      <c r="J57" s="1951"/>
      <c r="K57" s="1954"/>
      <c r="L57" s="1361"/>
    </row>
    <row r="58" spans="1:12" ht="13.15" customHeight="1">
      <c r="A58" s="1120" t="s">
        <v>2252</v>
      </c>
      <c r="B58" s="59"/>
      <c r="C58" s="1951"/>
      <c r="D58" s="1951"/>
      <c r="E58" s="1952"/>
      <c r="F58" s="1953"/>
      <c r="G58" s="1951"/>
      <c r="H58" s="1954"/>
      <c r="I58" s="1953"/>
      <c r="J58" s="1951"/>
      <c r="K58" s="1954"/>
      <c r="L58" s="1360"/>
    </row>
    <row r="59" spans="1:12" ht="13.15" customHeight="1">
      <c r="A59" s="1120" t="s">
        <v>2257</v>
      </c>
      <c r="B59" s="59"/>
      <c r="C59" s="1951"/>
      <c r="D59" s="1951"/>
      <c r="E59" s="1952"/>
      <c r="F59" s="1953"/>
      <c r="G59" s="1951"/>
      <c r="H59" s="1954"/>
      <c r="I59" s="1953"/>
      <c r="J59" s="1951"/>
      <c r="K59" s="1954"/>
      <c r="L59" s="1361"/>
    </row>
    <row r="60" spans="1:12" ht="13.15" customHeight="1">
      <c r="A60" s="1120" t="s">
        <v>2260</v>
      </c>
      <c r="B60" s="59"/>
      <c r="C60" s="1951"/>
      <c r="D60" s="1951"/>
      <c r="E60" s="1952"/>
      <c r="F60" s="1953"/>
      <c r="G60" s="1951"/>
      <c r="H60" s="1954"/>
      <c r="I60" s="1953"/>
      <c r="J60" s="1951"/>
      <c r="K60" s="1954"/>
      <c r="L60" s="1361"/>
    </row>
    <row r="61" spans="1:12" ht="13.15" customHeight="1">
      <c r="A61" s="1120" t="s">
        <v>2248</v>
      </c>
      <c r="B61" s="59"/>
      <c r="C61" s="1951"/>
      <c r="D61" s="1951"/>
      <c r="E61" s="1952"/>
      <c r="F61" s="1953"/>
      <c r="G61" s="1951"/>
      <c r="H61" s="1954"/>
      <c r="I61" s="1953"/>
      <c r="J61" s="1951"/>
      <c r="K61" s="1954"/>
      <c r="L61" s="1361"/>
    </row>
    <row r="62" spans="1:12" ht="13.15" customHeight="1">
      <c r="A62" s="131" t="s">
        <v>2285</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15" customHeight="1">
      <c r="A63" s="1120" t="s">
        <v>2286</v>
      </c>
      <c r="B63" s="59"/>
      <c r="C63" s="1951"/>
      <c r="D63" s="1951"/>
      <c r="E63" s="1952"/>
      <c r="F63" s="1953"/>
      <c r="G63" s="1951"/>
      <c r="H63" s="1954"/>
      <c r="I63" s="1953"/>
      <c r="J63" s="1951"/>
      <c r="K63" s="1954"/>
      <c r="L63" s="1361"/>
    </row>
    <row r="64" spans="1:12" ht="13.15" customHeight="1">
      <c r="A64" s="1120" t="s">
        <v>2287</v>
      </c>
      <c r="B64" s="59"/>
      <c r="C64" s="1951"/>
      <c r="D64" s="1951"/>
      <c r="E64" s="1952"/>
      <c r="F64" s="1953"/>
      <c r="G64" s="1951"/>
      <c r="H64" s="1954"/>
      <c r="I64" s="1953"/>
      <c r="J64" s="1951"/>
      <c r="K64" s="1954"/>
      <c r="L64" s="240"/>
    </row>
    <row r="65" spans="1:12" ht="13.15" customHeight="1">
      <c r="A65" s="1120" t="s">
        <v>2288</v>
      </c>
      <c r="B65" s="59"/>
      <c r="C65" s="1951"/>
      <c r="D65" s="1951"/>
      <c r="E65" s="1952"/>
      <c r="F65" s="1953"/>
      <c r="G65" s="1951"/>
      <c r="H65" s="1954"/>
      <c r="I65" s="1953"/>
      <c r="J65" s="1951"/>
      <c r="K65" s="1954"/>
      <c r="L65" s="240"/>
    </row>
    <row r="66" spans="1:12" ht="13.15" customHeight="1">
      <c r="A66" s="1120" t="s">
        <v>2289</v>
      </c>
      <c r="B66" s="59"/>
      <c r="C66" s="1951"/>
      <c r="D66" s="1951"/>
      <c r="E66" s="1952"/>
      <c r="F66" s="1953"/>
      <c r="G66" s="1951"/>
      <c r="H66" s="1954"/>
      <c r="I66" s="1953"/>
      <c r="J66" s="1951"/>
      <c r="K66" s="1954"/>
      <c r="L66" s="240"/>
    </row>
    <row r="67" spans="1:12" ht="13.15" customHeight="1">
      <c r="A67" s="1120" t="s">
        <v>2248</v>
      </c>
      <c r="B67" s="59"/>
      <c r="C67" s="1951"/>
      <c r="D67" s="1951"/>
      <c r="E67" s="1952"/>
      <c r="F67" s="1953"/>
      <c r="G67" s="1951"/>
      <c r="H67" s="1954"/>
      <c r="I67" s="1953"/>
      <c r="J67" s="1951"/>
      <c r="K67" s="1954"/>
      <c r="L67" s="240"/>
    </row>
    <row r="68" spans="1:12" ht="13.15" customHeight="1">
      <c r="A68" s="127" t="s">
        <v>2281</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15" customHeight="1">
      <c r="A69" s="1120" t="s">
        <v>2282</v>
      </c>
      <c r="B69" s="59"/>
      <c r="C69" s="1951"/>
      <c r="D69" s="1951"/>
      <c r="E69" s="1952"/>
      <c r="F69" s="1953"/>
      <c r="G69" s="1951"/>
      <c r="H69" s="1954"/>
      <c r="I69" s="1953"/>
      <c r="J69" s="1951"/>
      <c r="K69" s="1954"/>
      <c r="L69" s="240"/>
    </row>
    <row r="70" spans="1:12" ht="13.15" customHeight="1">
      <c r="A70" s="1120" t="s">
        <v>2283</v>
      </c>
      <c r="B70" s="59"/>
      <c r="C70" s="1951"/>
      <c r="D70" s="1951"/>
      <c r="E70" s="1952"/>
      <c r="F70" s="1953"/>
      <c r="G70" s="1951"/>
      <c r="H70" s="1954"/>
      <c r="I70" s="1953"/>
      <c r="J70" s="1951"/>
      <c r="K70" s="1954"/>
      <c r="L70" s="240"/>
    </row>
    <row r="71" spans="1:12" ht="13.15" customHeight="1">
      <c r="A71" s="1120" t="s">
        <v>2284</v>
      </c>
      <c r="B71" s="59"/>
      <c r="C71" s="1951"/>
      <c r="D71" s="1951"/>
      <c r="E71" s="1952"/>
      <c r="F71" s="1953"/>
      <c r="G71" s="1951"/>
      <c r="H71" s="1954"/>
      <c r="I71" s="1953"/>
      <c r="J71" s="1951"/>
      <c r="K71" s="1954"/>
      <c r="L71" s="240"/>
    </row>
    <row r="72" spans="1:12" ht="13.15" customHeight="1">
      <c r="A72" s="1120" t="s">
        <v>2248</v>
      </c>
      <c r="B72" s="59"/>
      <c r="C72" s="1951"/>
      <c r="D72" s="1951"/>
      <c r="E72" s="1952"/>
      <c r="F72" s="1953"/>
      <c r="G72" s="1951"/>
      <c r="H72" s="1954"/>
      <c r="I72" s="1953"/>
      <c r="J72" s="1951"/>
      <c r="K72" s="1954"/>
      <c r="L72" s="240"/>
    </row>
    <row r="73" spans="1:12" ht="4.9000000000000004" customHeight="1">
      <c r="A73" s="148"/>
      <c r="B73" s="59"/>
      <c r="C73" s="80"/>
      <c r="D73" s="80"/>
      <c r="E73" s="79"/>
      <c r="F73" s="82"/>
      <c r="G73" s="80"/>
      <c r="H73" s="81"/>
      <c r="I73" s="82"/>
      <c r="J73" s="80"/>
      <c r="K73" s="81"/>
      <c r="L73" s="240"/>
    </row>
    <row r="74" spans="1:12" ht="13.15" customHeight="1">
      <c r="A74" s="126" t="s">
        <v>2297</v>
      </c>
      <c r="B74" s="59"/>
      <c r="C74" s="264">
        <f>C75+C98</f>
        <v>0</v>
      </c>
      <c r="D74" s="264">
        <f t="shared" ref="D74:K74" si="10">D75+D98</f>
        <v>7522051.5596491229</v>
      </c>
      <c r="E74" s="266">
        <f t="shared" si="10"/>
        <v>0</v>
      </c>
      <c r="F74" s="265">
        <f t="shared" si="10"/>
        <v>8269900</v>
      </c>
      <c r="G74" s="264">
        <f t="shared" si="10"/>
        <v>5269900</v>
      </c>
      <c r="H74" s="218">
        <f t="shared" si="10"/>
        <v>5269900</v>
      </c>
      <c r="I74" s="265">
        <f t="shared" si="10"/>
        <v>0</v>
      </c>
      <c r="J74" s="264">
        <f t="shared" si="10"/>
        <v>0</v>
      </c>
      <c r="K74" s="218">
        <f t="shared" si="10"/>
        <v>0</v>
      </c>
      <c r="L74" s="240"/>
    </row>
    <row r="75" spans="1:12" ht="13.15" customHeight="1">
      <c r="A75" s="127" t="s">
        <v>2298</v>
      </c>
      <c r="B75" s="59"/>
      <c r="C75" s="943">
        <f>SUM(C76:C97)</f>
        <v>0</v>
      </c>
      <c r="D75" s="943">
        <f t="shared" ref="D75:K75" si="11">SUM(D76:D97)</f>
        <v>0</v>
      </c>
      <c r="E75" s="1243">
        <f t="shared" si="11"/>
        <v>0</v>
      </c>
      <c r="F75" s="944">
        <f t="shared" si="11"/>
        <v>8269900</v>
      </c>
      <c r="G75" s="943">
        <f t="shared" si="11"/>
        <v>5269900</v>
      </c>
      <c r="H75" s="980">
        <f t="shared" si="11"/>
        <v>5269900</v>
      </c>
      <c r="I75" s="944">
        <f t="shared" si="11"/>
        <v>0</v>
      </c>
      <c r="J75" s="943">
        <f t="shared" si="11"/>
        <v>0</v>
      </c>
      <c r="K75" s="980">
        <f t="shared" si="11"/>
        <v>0</v>
      </c>
      <c r="L75" s="240"/>
    </row>
    <row r="76" spans="1:12" ht="13.15" customHeight="1">
      <c r="A76" s="1120" t="s">
        <v>2299</v>
      </c>
      <c r="B76" s="59"/>
      <c r="C76" s="1951"/>
      <c r="D76" s="1951"/>
      <c r="E76" s="1952"/>
      <c r="F76" s="1953"/>
      <c r="G76" s="1951"/>
      <c r="H76" s="1954"/>
      <c r="I76" s="1953"/>
      <c r="J76" s="1951"/>
      <c r="K76" s="1954"/>
      <c r="L76" s="240"/>
    </row>
    <row r="77" spans="1:12" ht="13.15" customHeight="1">
      <c r="A77" s="1120" t="s">
        <v>2300</v>
      </c>
      <c r="B77" s="59"/>
      <c r="C77" s="1951"/>
      <c r="D77" s="1951"/>
      <c r="E77" s="1952"/>
      <c r="F77" s="1953"/>
      <c r="G77" s="1951"/>
      <c r="H77" s="1954"/>
      <c r="I77" s="1953"/>
      <c r="J77" s="1951"/>
      <c r="K77" s="1954"/>
      <c r="L77" s="240"/>
    </row>
    <row r="78" spans="1:12" ht="13.15" customHeight="1">
      <c r="A78" s="1120" t="s">
        <v>2301</v>
      </c>
      <c r="B78" s="59"/>
      <c r="C78" s="1951"/>
      <c r="D78" s="1951"/>
      <c r="E78" s="1952"/>
      <c r="F78" s="1953"/>
      <c r="G78" s="1951"/>
      <c r="H78" s="1954"/>
      <c r="I78" s="1953"/>
      <c r="J78" s="1951"/>
      <c r="K78" s="1954"/>
      <c r="L78" s="240"/>
    </row>
    <row r="79" spans="1:12" ht="13.15" customHeight="1">
      <c r="A79" s="1120" t="s">
        <v>2302</v>
      </c>
      <c r="B79" s="59"/>
      <c r="C79" s="1951"/>
      <c r="D79" s="1951"/>
      <c r="E79" s="1952"/>
      <c r="F79" s="1953"/>
      <c r="G79" s="1951"/>
      <c r="H79" s="1954"/>
      <c r="I79" s="1953"/>
      <c r="J79" s="1951"/>
      <c r="K79" s="1954"/>
      <c r="L79" s="240"/>
    </row>
    <row r="80" spans="1:12" ht="13.15" customHeight="1">
      <c r="A80" s="1120" t="s">
        <v>2303</v>
      </c>
      <c r="B80" s="59"/>
      <c r="C80" s="1951"/>
      <c r="D80" s="1951"/>
      <c r="E80" s="1952"/>
      <c r="F80" s="1953"/>
      <c r="G80" s="1951"/>
      <c r="H80" s="1954"/>
      <c r="I80" s="1953"/>
      <c r="J80" s="1951"/>
      <c r="K80" s="1954"/>
      <c r="L80" s="240"/>
    </row>
    <row r="81" spans="1:12" ht="13.15" customHeight="1">
      <c r="A81" s="1120" t="s">
        <v>2304</v>
      </c>
      <c r="B81" s="59"/>
      <c r="C81" s="1951"/>
      <c r="D81" s="1951"/>
      <c r="E81" s="1952"/>
      <c r="F81" s="1953"/>
      <c r="G81" s="1951"/>
      <c r="H81" s="1954"/>
      <c r="I81" s="1953"/>
      <c r="J81" s="1951"/>
      <c r="K81" s="1954"/>
      <c r="L81" s="240"/>
    </row>
    <row r="82" spans="1:12" ht="13.15" customHeight="1">
      <c r="A82" s="1120" t="s">
        <v>2305</v>
      </c>
      <c r="B82" s="59"/>
      <c r="C82" s="1951"/>
      <c r="D82" s="1951"/>
      <c r="E82" s="1952"/>
      <c r="F82" s="1953"/>
      <c r="G82" s="1951"/>
      <c r="H82" s="1954"/>
      <c r="I82" s="1953"/>
      <c r="J82" s="1951"/>
      <c r="K82" s="1954"/>
      <c r="L82" s="240"/>
    </row>
    <row r="83" spans="1:12" ht="13.15" customHeight="1">
      <c r="A83" s="1120" t="s">
        <v>2306</v>
      </c>
      <c r="B83" s="59"/>
      <c r="C83" s="1951"/>
      <c r="D83" s="1951"/>
      <c r="E83" s="1952"/>
      <c r="F83" s="1953"/>
      <c r="G83" s="1951"/>
      <c r="H83" s="1954"/>
      <c r="I83" s="1953"/>
      <c r="J83" s="1951"/>
      <c r="K83" s="1954"/>
      <c r="L83" s="240"/>
    </row>
    <row r="84" spans="1:12" s="576" customFormat="1" ht="13.15" customHeight="1">
      <c r="A84" s="1120" t="s">
        <v>2307</v>
      </c>
      <c r="B84" s="59"/>
      <c r="C84" s="1951"/>
      <c r="D84" s="1951"/>
      <c r="E84" s="1952"/>
      <c r="F84" s="1953"/>
      <c r="G84" s="1951"/>
      <c r="H84" s="1954"/>
      <c r="I84" s="1953"/>
      <c r="J84" s="1951"/>
      <c r="K84" s="1954"/>
      <c r="L84" s="1362"/>
    </row>
    <row r="85" spans="1:12" s="576" customFormat="1" ht="13.15" customHeight="1">
      <c r="A85" s="1120" t="s">
        <v>288</v>
      </c>
      <c r="B85" s="59"/>
      <c r="C85" s="1951"/>
      <c r="D85" s="1951"/>
      <c r="E85" s="1952"/>
      <c r="F85" s="1953"/>
      <c r="G85" s="1951"/>
      <c r="H85" s="1954"/>
      <c r="I85" s="1953"/>
      <c r="J85" s="1951"/>
      <c r="K85" s="1954"/>
    </row>
    <row r="86" spans="1:12" s="576" customFormat="1" ht="13.15" customHeight="1">
      <c r="A86" s="1120" t="s">
        <v>2308</v>
      </c>
      <c r="B86" s="59"/>
      <c r="C86" s="1951"/>
      <c r="D86" s="1951"/>
      <c r="E86" s="1952"/>
      <c r="F86" s="2736">
        <v>150000</v>
      </c>
      <c r="G86" s="2735">
        <v>150000</v>
      </c>
      <c r="H86" s="2772">
        <v>150000</v>
      </c>
      <c r="I86" s="1953"/>
      <c r="J86" s="1951"/>
      <c r="K86" s="1954"/>
    </row>
    <row r="87" spans="1:12" ht="13.15" customHeight="1">
      <c r="A87" s="1120" t="s">
        <v>1452</v>
      </c>
      <c r="B87" s="59"/>
      <c r="C87" s="1951"/>
      <c r="D87" s="1951"/>
      <c r="E87" s="1952"/>
      <c r="F87" s="1953"/>
      <c r="G87" s="1951"/>
      <c r="H87" s="1951"/>
      <c r="I87" s="1953"/>
      <c r="J87" s="1951"/>
      <c r="K87" s="1954"/>
    </row>
    <row r="88" spans="1:12" ht="13.15" customHeight="1">
      <c r="A88" s="1120" t="s">
        <v>2483</v>
      </c>
      <c r="B88" s="59"/>
      <c r="C88" s="1951"/>
      <c r="D88" s="1951"/>
      <c r="E88" s="1952"/>
      <c r="F88" s="1953"/>
      <c r="G88" s="1951"/>
      <c r="H88" s="1951"/>
      <c r="I88" s="1953"/>
      <c r="J88" s="1951"/>
      <c r="K88" s="1954"/>
    </row>
    <row r="89" spans="1:12" ht="13.15" customHeight="1">
      <c r="A89" s="1120" t="s">
        <v>2310</v>
      </c>
      <c r="B89" s="59"/>
      <c r="C89" s="1951"/>
      <c r="D89" s="1951"/>
      <c r="E89" s="1952"/>
      <c r="F89" s="1953"/>
      <c r="G89" s="1951"/>
      <c r="H89" s="1951"/>
      <c r="I89" s="1953"/>
      <c r="J89" s="1951"/>
      <c r="K89" s="1954"/>
    </row>
    <row r="90" spans="1:12" ht="13.15" customHeight="1">
      <c r="A90" s="1120" t="s">
        <v>2311</v>
      </c>
      <c r="B90" s="59"/>
      <c r="C90" s="1951"/>
      <c r="D90" s="1951"/>
      <c r="E90" s="1952"/>
      <c r="F90" s="1953"/>
      <c r="G90" s="1951"/>
      <c r="H90" s="1951"/>
      <c r="I90" s="1953"/>
      <c r="J90" s="1951"/>
      <c r="K90" s="1954"/>
    </row>
    <row r="91" spans="1:12" ht="13.15" customHeight="1">
      <c r="A91" s="1120" t="s">
        <v>2312</v>
      </c>
      <c r="B91" s="59"/>
      <c r="C91" s="1951"/>
      <c r="D91" s="1951"/>
      <c r="E91" s="1952"/>
      <c r="F91" s="1953"/>
      <c r="G91" s="1951"/>
      <c r="H91" s="1951"/>
      <c r="I91" s="1953"/>
      <c r="J91" s="1951"/>
      <c r="K91" s="1954"/>
    </row>
    <row r="92" spans="1:12" ht="13.15" customHeight="1">
      <c r="A92" s="1120" t="s">
        <v>1087</v>
      </c>
      <c r="B92" s="59"/>
      <c r="C92" s="1951"/>
      <c r="D92" s="1951"/>
      <c r="E92" s="1952"/>
      <c r="F92" s="1953"/>
      <c r="G92" s="1951"/>
      <c r="H92" s="1951"/>
      <c r="I92" s="1953"/>
      <c r="J92" s="1951"/>
      <c r="K92" s="1954"/>
    </row>
    <row r="93" spans="1:12" ht="13.15" customHeight="1">
      <c r="A93" s="1120" t="s">
        <v>2313</v>
      </c>
      <c r="B93" s="59"/>
      <c r="C93" s="1951"/>
      <c r="D93" s="1951"/>
      <c r="E93" s="1952"/>
      <c r="F93" s="1953"/>
      <c r="G93" s="1951"/>
      <c r="H93" s="1951"/>
      <c r="I93" s="1953"/>
      <c r="J93" s="1951"/>
      <c r="K93" s="1954"/>
    </row>
    <row r="94" spans="1:12" ht="13.15" customHeight="1">
      <c r="A94" s="1120" t="s">
        <v>1086</v>
      </c>
      <c r="B94" s="59"/>
      <c r="C94" s="1951"/>
      <c r="D94" s="1951"/>
      <c r="E94" s="1952"/>
      <c r="F94" s="1953"/>
      <c r="G94" s="1951"/>
      <c r="H94" s="1951"/>
      <c r="I94" s="1953"/>
      <c r="J94" s="1951"/>
      <c r="K94" s="1954"/>
    </row>
    <row r="95" spans="1:12" ht="13.15" customHeight="1">
      <c r="A95" s="1120" t="s">
        <v>2314</v>
      </c>
      <c r="B95" s="59"/>
      <c r="C95" s="1951"/>
      <c r="D95" s="1951"/>
      <c r="E95" s="1952"/>
      <c r="F95" s="1953"/>
      <c r="G95" s="1951"/>
      <c r="H95" s="1951"/>
      <c r="I95" s="1953"/>
      <c r="J95" s="1951"/>
      <c r="K95" s="1954"/>
    </row>
    <row r="96" spans="1:12" ht="13.15" customHeight="1">
      <c r="A96" s="1120" t="s">
        <v>2315</v>
      </c>
      <c r="B96" s="59"/>
      <c r="C96" s="1951"/>
      <c r="D96" s="1951"/>
      <c r="E96" s="1952"/>
      <c r="F96" s="2738">
        <v>8119900</v>
      </c>
      <c r="G96" s="2737">
        <v>5119900</v>
      </c>
      <c r="H96" s="2772">
        <v>5119900</v>
      </c>
      <c r="I96" s="1953"/>
      <c r="J96" s="1951"/>
      <c r="K96" s="1954"/>
    </row>
    <row r="97" spans="1:11" ht="13.15" customHeight="1">
      <c r="A97" s="1120" t="s">
        <v>2248</v>
      </c>
      <c r="B97" s="59"/>
      <c r="C97" s="1951"/>
      <c r="D97" s="1951"/>
      <c r="E97" s="1952"/>
      <c r="F97" s="1953"/>
      <c r="G97" s="1951"/>
      <c r="H97" s="1951"/>
      <c r="I97" s="1953"/>
      <c r="J97" s="1951"/>
      <c r="K97" s="1954"/>
    </row>
    <row r="98" spans="1:11" ht="13.15" customHeight="1">
      <c r="A98" s="127" t="s">
        <v>2316</v>
      </c>
      <c r="B98" s="59"/>
      <c r="C98" s="900">
        <f>SUM(C99:C101)</f>
        <v>0</v>
      </c>
      <c r="D98" s="900">
        <f t="shared" ref="D98:K98" si="12">SUM(D99:D101)</f>
        <v>7522051.5596491229</v>
      </c>
      <c r="E98" s="1244">
        <f t="shared" si="12"/>
        <v>0</v>
      </c>
      <c r="F98" s="904">
        <f t="shared" si="12"/>
        <v>0</v>
      </c>
      <c r="G98" s="900">
        <f t="shared" si="12"/>
        <v>0</v>
      </c>
      <c r="H98" s="982">
        <f t="shared" si="12"/>
        <v>0</v>
      </c>
      <c r="I98" s="904">
        <f t="shared" si="12"/>
        <v>0</v>
      </c>
      <c r="J98" s="900">
        <f t="shared" si="12"/>
        <v>0</v>
      </c>
      <c r="K98" s="982">
        <f t="shared" si="12"/>
        <v>0</v>
      </c>
    </row>
    <row r="99" spans="1:11" ht="13.15" customHeight="1">
      <c r="A99" s="1120" t="s">
        <v>2317</v>
      </c>
      <c r="B99" s="59"/>
      <c r="C99" s="1951"/>
      <c r="D99" s="1951">
        <v>7522051.5596491229</v>
      </c>
      <c r="E99" s="1952"/>
      <c r="F99" s="1953"/>
      <c r="G99" s="1951"/>
      <c r="H99" s="1954"/>
      <c r="I99" s="1953"/>
      <c r="J99" s="1951"/>
      <c r="K99" s="1954"/>
    </row>
    <row r="100" spans="1:11" ht="13.15" customHeight="1">
      <c r="A100" s="1120" t="s">
        <v>2318</v>
      </c>
      <c r="B100" s="59"/>
      <c r="C100" s="1951"/>
      <c r="D100" s="1951"/>
      <c r="E100" s="1952"/>
      <c r="F100" s="1953"/>
      <c r="G100" s="1951"/>
      <c r="H100" s="1954"/>
      <c r="I100" s="1953"/>
      <c r="J100" s="1951"/>
      <c r="K100" s="1954"/>
    </row>
    <row r="101" spans="1:11" ht="13.15" customHeight="1">
      <c r="A101" s="1120" t="s">
        <v>2248</v>
      </c>
      <c r="B101" s="59"/>
      <c r="C101" s="1951"/>
      <c r="D101" s="1951"/>
      <c r="E101" s="1952"/>
      <c r="F101" s="1953"/>
      <c r="G101" s="1951"/>
      <c r="H101" s="1954"/>
      <c r="I101" s="1953"/>
      <c r="J101" s="1951"/>
      <c r="K101" s="1954"/>
    </row>
    <row r="102" spans="1:11" ht="4.9000000000000004" customHeight="1">
      <c r="A102" s="148"/>
      <c r="B102" s="59"/>
      <c r="C102" s="80"/>
      <c r="D102" s="80"/>
      <c r="E102" s="79"/>
      <c r="F102" s="82"/>
      <c r="G102" s="80"/>
      <c r="H102" s="81"/>
      <c r="I102" s="82"/>
      <c r="J102" s="80"/>
      <c r="K102" s="81"/>
    </row>
    <row r="103" spans="1:11" ht="13.15" customHeight="1">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c r="A104" s="127" t="s">
        <v>2319</v>
      </c>
      <c r="B104" s="59"/>
      <c r="C104" s="1951"/>
      <c r="D104" s="1951"/>
      <c r="E104" s="1952"/>
      <c r="F104" s="1953"/>
      <c r="G104" s="1951"/>
      <c r="H104" s="1954"/>
      <c r="I104" s="1953"/>
      <c r="J104" s="1951"/>
      <c r="K104" s="1954"/>
    </row>
    <row r="105" spans="1:11" ht="13.15" customHeight="1">
      <c r="A105" s="131" t="s">
        <v>2320</v>
      </c>
      <c r="B105" s="59"/>
      <c r="C105" s="1951"/>
      <c r="D105" s="1951"/>
      <c r="E105" s="1952"/>
      <c r="F105" s="1953"/>
      <c r="G105" s="1951"/>
      <c r="H105" s="1954"/>
      <c r="I105" s="1953"/>
      <c r="J105" s="1951"/>
      <c r="K105" s="1954"/>
    </row>
    <row r="106" spans="1:11" ht="13.15" customHeight="1">
      <c r="A106" s="127" t="s">
        <v>2321</v>
      </c>
      <c r="B106" s="59"/>
      <c r="C106" s="1951"/>
      <c r="D106" s="1951"/>
      <c r="E106" s="1952"/>
      <c r="F106" s="1953"/>
      <c r="G106" s="1951"/>
      <c r="H106" s="1954"/>
      <c r="I106" s="1953"/>
      <c r="J106" s="1951"/>
      <c r="K106" s="1954"/>
    </row>
    <row r="107" spans="1:11" ht="13.15" customHeight="1">
      <c r="A107" s="127" t="s">
        <v>2322</v>
      </c>
      <c r="B107" s="59"/>
      <c r="C107" s="1951"/>
      <c r="D107" s="1951"/>
      <c r="E107" s="1952"/>
      <c r="F107" s="1953"/>
      <c r="G107" s="1951"/>
      <c r="H107" s="1954"/>
      <c r="I107" s="1953"/>
      <c r="J107" s="1951"/>
      <c r="K107" s="1954"/>
    </row>
    <row r="108" spans="1:11" ht="13.15" customHeight="1">
      <c r="A108" s="131" t="s">
        <v>2323</v>
      </c>
      <c r="B108" s="59"/>
      <c r="C108" s="1951"/>
      <c r="D108" s="1951"/>
      <c r="E108" s="1952"/>
      <c r="F108" s="1953"/>
      <c r="G108" s="1951"/>
      <c r="H108" s="1954"/>
      <c r="I108" s="1953"/>
      <c r="J108" s="1951"/>
      <c r="K108" s="1954"/>
    </row>
    <row r="109" spans="1:11" ht="4.9000000000000004" customHeight="1">
      <c r="A109" s="679"/>
      <c r="B109" s="59"/>
      <c r="C109" s="80"/>
      <c r="D109" s="80"/>
      <c r="E109" s="79"/>
      <c r="F109" s="82"/>
      <c r="G109" s="80"/>
      <c r="H109" s="81"/>
      <c r="I109" s="82"/>
      <c r="J109" s="80"/>
      <c r="K109" s="81"/>
    </row>
    <row r="110" spans="1:11" ht="13.15" customHeight="1">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c r="A111" s="127" t="s">
        <v>2353</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c r="A112" s="1120" t="s">
        <v>2354</v>
      </c>
      <c r="B112" s="59"/>
      <c r="C112" s="1951"/>
      <c r="D112" s="1951"/>
      <c r="E112" s="1952"/>
      <c r="F112" s="1953"/>
      <c r="G112" s="1951"/>
      <c r="H112" s="1954"/>
      <c r="I112" s="1953"/>
      <c r="J112" s="1951"/>
      <c r="K112" s="1954"/>
    </row>
    <row r="113" spans="1:11" ht="13.15" customHeight="1">
      <c r="A113" s="1120" t="s">
        <v>2355</v>
      </c>
      <c r="B113" s="59"/>
      <c r="C113" s="1951"/>
      <c r="D113" s="1951"/>
      <c r="E113" s="1952"/>
      <c r="F113" s="1953"/>
      <c r="G113" s="1951"/>
      <c r="H113" s="1954"/>
      <c r="I113" s="1953"/>
      <c r="J113" s="1951"/>
      <c r="K113" s="1954"/>
    </row>
    <row r="114" spans="1:11" ht="13.15" customHeight="1">
      <c r="A114" s="127" t="s">
        <v>2356</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c r="A115" s="1120" t="s">
        <v>2354</v>
      </c>
      <c r="B115" s="59"/>
      <c r="C115" s="1951"/>
      <c r="D115" s="1951"/>
      <c r="E115" s="1952"/>
      <c r="F115" s="1953"/>
      <c r="G115" s="1951"/>
      <c r="H115" s="1954"/>
      <c r="I115" s="1953"/>
      <c r="J115" s="1951"/>
      <c r="K115" s="1954"/>
    </row>
    <row r="116" spans="1:11" ht="13.15" customHeight="1">
      <c r="A116" s="1120" t="s">
        <v>2355</v>
      </c>
      <c r="B116" s="59"/>
      <c r="C116" s="1951"/>
      <c r="D116" s="1951"/>
      <c r="E116" s="1952"/>
      <c r="F116" s="1953"/>
      <c r="G116" s="1951"/>
      <c r="H116" s="1954"/>
      <c r="I116" s="1953"/>
      <c r="J116" s="1951"/>
      <c r="K116" s="1954"/>
    </row>
    <row r="117" spans="1:11" ht="4.9000000000000004" customHeight="1">
      <c r="A117" s="679"/>
      <c r="B117" s="59"/>
      <c r="C117" s="80"/>
      <c r="D117" s="80"/>
      <c r="E117" s="79"/>
      <c r="F117" s="82"/>
      <c r="G117" s="80"/>
      <c r="H117" s="81"/>
      <c r="I117" s="82"/>
      <c r="J117" s="80"/>
      <c r="K117" s="81"/>
    </row>
    <row r="118" spans="1:11" ht="13.15" customHeight="1">
      <c r="A118" s="672" t="s">
        <v>837</v>
      </c>
      <c r="B118" s="59"/>
      <c r="C118" s="95">
        <f>+C119+C131</f>
        <v>0</v>
      </c>
      <c r="D118" s="95">
        <f t="shared" ref="D118:K118" si="17">+D119+D131</f>
        <v>0</v>
      </c>
      <c r="E118" s="94">
        <f t="shared" si="17"/>
        <v>0</v>
      </c>
      <c r="F118" s="97">
        <f t="shared" si="17"/>
        <v>0</v>
      </c>
      <c r="G118" s="95">
        <f t="shared" si="17"/>
        <v>0</v>
      </c>
      <c r="H118" s="96">
        <f t="shared" si="17"/>
        <v>0</v>
      </c>
      <c r="I118" s="97">
        <f t="shared" si="17"/>
        <v>3800000</v>
      </c>
      <c r="J118" s="95">
        <f t="shared" si="17"/>
        <v>0</v>
      </c>
      <c r="K118" s="96">
        <f t="shared" si="17"/>
        <v>0</v>
      </c>
    </row>
    <row r="119" spans="1:11" ht="13.15" customHeight="1">
      <c r="A119" s="127" t="s">
        <v>2324</v>
      </c>
      <c r="B119" s="59"/>
      <c r="C119" s="943">
        <f>SUM(C120:C130)</f>
        <v>0</v>
      </c>
      <c r="D119" s="943">
        <f t="shared" ref="D119:K119" si="18">SUM(D120:D130)</f>
        <v>0</v>
      </c>
      <c r="E119" s="1243">
        <f t="shared" si="18"/>
        <v>0</v>
      </c>
      <c r="F119" s="944">
        <f t="shared" si="18"/>
        <v>0</v>
      </c>
      <c r="G119" s="943">
        <f t="shared" si="18"/>
        <v>0</v>
      </c>
      <c r="H119" s="980">
        <f t="shared" si="18"/>
        <v>0</v>
      </c>
      <c r="I119" s="944">
        <f t="shared" si="18"/>
        <v>3800000</v>
      </c>
      <c r="J119" s="943">
        <f t="shared" si="18"/>
        <v>0</v>
      </c>
      <c r="K119" s="980">
        <f t="shared" si="18"/>
        <v>0</v>
      </c>
    </row>
    <row r="120" spans="1:11" ht="13.15" customHeight="1">
      <c r="A120" s="1120" t="s">
        <v>2325</v>
      </c>
      <c r="B120" s="59"/>
      <c r="C120" s="1951"/>
      <c r="D120" s="1951"/>
      <c r="E120" s="1952"/>
      <c r="F120" s="1953"/>
      <c r="G120" s="1951"/>
      <c r="H120" s="1954"/>
      <c r="I120" s="1953">
        <v>0</v>
      </c>
      <c r="J120" s="1951">
        <v>0</v>
      </c>
      <c r="K120" s="1954">
        <v>0</v>
      </c>
    </row>
    <row r="121" spans="1:11" ht="13.15" customHeight="1">
      <c r="A121" s="1120" t="s">
        <v>2326</v>
      </c>
      <c r="B121" s="59"/>
      <c r="C121" s="1951"/>
      <c r="D121" s="1951"/>
      <c r="E121" s="1952"/>
      <c r="F121" s="1953"/>
      <c r="G121" s="1951"/>
      <c r="H121" s="1954"/>
      <c r="I121" s="1953">
        <v>0</v>
      </c>
      <c r="J121" s="1951">
        <v>0</v>
      </c>
      <c r="K121" s="1954">
        <v>0</v>
      </c>
    </row>
    <row r="122" spans="1:11" ht="13.15" customHeight="1">
      <c r="A122" s="1120" t="s">
        <v>2327</v>
      </c>
      <c r="B122" s="59"/>
      <c r="C122" s="1951"/>
      <c r="D122" s="1951"/>
      <c r="E122" s="1952"/>
      <c r="F122" s="1953"/>
      <c r="G122" s="1951"/>
      <c r="H122" s="1954"/>
      <c r="I122" s="1953">
        <v>0</v>
      </c>
      <c r="J122" s="1951">
        <v>0</v>
      </c>
      <c r="K122" s="1954">
        <v>0</v>
      </c>
    </row>
    <row r="123" spans="1:11" ht="13.15" customHeight="1">
      <c r="A123" s="1120" t="s">
        <v>2328</v>
      </c>
      <c r="B123" s="59"/>
      <c r="C123" s="1951"/>
      <c r="D123" s="1951"/>
      <c r="E123" s="1952"/>
      <c r="F123" s="1953"/>
      <c r="G123" s="1951"/>
      <c r="H123" s="1954"/>
      <c r="I123" s="1953">
        <v>0</v>
      </c>
      <c r="J123" s="1951">
        <v>0</v>
      </c>
      <c r="K123" s="1954">
        <v>0</v>
      </c>
    </row>
    <row r="124" spans="1:11" ht="13.15" customHeight="1">
      <c r="A124" s="1120" t="s">
        <v>2329</v>
      </c>
      <c r="B124" s="59"/>
      <c r="C124" s="1951"/>
      <c r="D124" s="1951"/>
      <c r="E124" s="1952"/>
      <c r="F124" s="1953"/>
      <c r="G124" s="1951"/>
      <c r="H124" s="1954"/>
      <c r="I124" s="1953">
        <v>2300000</v>
      </c>
      <c r="J124" s="1951">
        <v>0</v>
      </c>
      <c r="K124" s="1954">
        <v>0</v>
      </c>
    </row>
    <row r="125" spans="1:11" ht="13.15" customHeight="1">
      <c r="A125" s="1120" t="s">
        <v>2330</v>
      </c>
      <c r="B125" s="59"/>
      <c r="C125" s="1951"/>
      <c r="D125" s="1951"/>
      <c r="E125" s="1952"/>
      <c r="F125" s="1953"/>
      <c r="G125" s="1951"/>
      <c r="H125" s="1954"/>
      <c r="I125" s="1953">
        <v>1500000</v>
      </c>
      <c r="J125" s="1951">
        <v>0</v>
      </c>
      <c r="K125" s="1954">
        <v>0</v>
      </c>
    </row>
    <row r="126" spans="1:11" ht="13.15" customHeight="1">
      <c r="A126" s="1120" t="s">
        <v>2331</v>
      </c>
      <c r="B126" s="59"/>
      <c r="C126" s="1951"/>
      <c r="D126" s="1951"/>
      <c r="E126" s="1952"/>
      <c r="F126" s="1953"/>
      <c r="G126" s="1951"/>
      <c r="H126" s="1954"/>
      <c r="I126" s="1953">
        <v>0</v>
      </c>
      <c r="J126" s="1951">
        <v>0</v>
      </c>
      <c r="K126" s="1954">
        <v>0</v>
      </c>
    </row>
    <row r="127" spans="1:11" ht="13.15" customHeight="1">
      <c r="A127" s="1120" t="s">
        <v>2332</v>
      </c>
      <c r="B127" s="59"/>
      <c r="C127" s="1951"/>
      <c r="D127" s="1951"/>
      <c r="E127" s="1952"/>
      <c r="F127" s="1953"/>
      <c r="G127" s="1951"/>
      <c r="H127" s="1954"/>
      <c r="I127" s="1953">
        <v>0</v>
      </c>
      <c r="J127" s="1951">
        <v>0</v>
      </c>
      <c r="K127" s="1954">
        <v>0</v>
      </c>
    </row>
    <row r="128" spans="1:11" ht="13.15" customHeight="1">
      <c r="A128" s="1120" t="s">
        <v>2333</v>
      </c>
      <c r="B128" s="59"/>
      <c r="C128" s="1951"/>
      <c r="D128" s="1951"/>
      <c r="E128" s="1952"/>
      <c r="F128" s="1953"/>
      <c r="G128" s="1951"/>
      <c r="H128" s="1954"/>
      <c r="I128" s="1953">
        <v>0</v>
      </c>
      <c r="J128" s="1951">
        <v>0</v>
      </c>
      <c r="K128" s="1954">
        <v>0</v>
      </c>
    </row>
    <row r="129" spans="1:11" ht="13.15" customHeight="1">
      <c r="A129" s="1120" t="s">
        <v>2334</v>
      </c>
      <c r="B129" s="59"/>
      <c r="C129" s="1951"/>
      <c r="D129" s="1951"/>
      <c r="E129" s="1952"/>
      <c r="F129" s="1953"/>
      <c r="G129" s="1951"/>
      <c r="H129" s="1954"/>
      <c r="I129" s="1953">
        <v>0</v>
      </c>
      <c r="J129" s="1951">
        <v>0</v>
      </c>
      <c r="K129" s="1954">
        <v>0</v>
      </c>
    </row>
    <row r="130" spans="1:11" ht="13.15" customHeight="1">
      <c r="A130" s="1120" t="s">
        <v>2248</v>
      </c>
      <c r="B130" s="59"/>
      <c r="C130" s="1951"/>
      <c r="D130" s="1951"/>
      <c r="E130" s="1952"/>
      <c r="F130" s="1953"/>
      <c r="G130" s="1951"/>
      <c r="H130" s="1954"/>
      <c r="I130" s="1953">
        <v>0</v>
      </c>
      <c r="J130" s="1951">
        <v>0</v>
      </c>
      <c r="K130" s="1954">
        <v>0</v>
      </c>
    </row>
    <row r="131" spans="1:11" ht="13.15" customHeight="1">
      <c r="A131" s="127" t="s">
        <v>1493</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15" customHeight="1">
      <c r="A132" s="1120" t="s">
        <v>2335</v>
      </c>
      <c r="B132" s="59"/>
      <c r="C132" s="1951"/>
      <c r="D132" s="1951"/>
      <c r="E132" s="1952"/>
      <c r="F132" s="1953"/>
      <c r="G132" s="1951"/>
      <c r="H132" s="1954"/>
      <c r="I132" s="1953"/>
      <c r="J132" s="1951"/>
      <c r="K132" s="1954"/>
    </row>
    <row r="133" spans="1:11" ht="13.15" customHeight="1">
      <c r="A133" s="1120" t="s">
        <v>2336</v>
      </c>
      <c r="B133" s="59"/>
      <c r="C133" s="1951"/>
      <c r="D133" s="1951"/>
      <c r="E133" s="1952"/>
      <c r="F133" s="1953"/>
      <c r="G133" s="1951"/>
      <c r="H133" s="1954"/>
      <c r="I133" s="1953"/>
      <c r="J133" s="1951"/>
      <c r="K133" s="1954"/>
    </row>
    <row r="134" spans="1:11" ht="13.15" customHeight="1">
      <c r="A134" s="1120" t="s">
        <v>2248</v>
      </c>
      <c r="B134" s="59"/>
      <c r="C134" s="1951"/>
      <c r="D134" s="1951"/>
      <c r="E134" s="1952"/>
      <c r="F134" s="1953"/>
      <c r="G134" s="1951"/>
      <c r="H134" s="1954"/>
      <c r="I134" s="1953"/>
      <c r="J134" s="1951"/>
      <c r="K134" s="1954"/>
    </row>
    <row r="135" spans="1:11" ht="4.9000000000000004" customHeight="1">
      <c r="A135" s="706"/>
      <c r="B135" s="59"/>
      <c r="C135" s="80"/>
      <c r="D135" s="80"/>
      <c r="E135" s="79"/>
      <c r="F135" s="82"/>
      <c r="G135" s="80"/>
      <c r="H135" s="81"/>
      <c r="I135" s="82"/>
      <c r="J135" s="80"/>
      <c r="K135" s="81"/>
    </row>
    <row r="136" spans="1:11" ht="13.15" customHeight="1">
      <c r="A136" s="126" t="s">
        <v>2337</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c r="A137" s="127" t="s">
        <v>2337</v>
      </c>
      <c r="B137" s="59"/>
      <c r="C137" s="1951"/>
      <c r="D137" s="1951"/>
      <c r="E137" s="1952"/>
      <c r="F137" s="1953"/>
      <c r="G137" s="1951"/>
      <c r="H137" s="1954"/>
      <c r="I137" s="1953"/>
      <c r="J137" s="1951"/>
      <c r="K137" s="1954"/>
    </row>
    <row r="138" spans="1:11" ht="4.9000000000000004" customHeight="1">
      <c r="A138" s="148"/>
      <c r="B138" s="59"/>
      <c r="C138" s="80"/>
      <c r="D138" s="80"/>
      <c r="E138" s="79"/>
      <c r="F138" s="82"/>
      <c r="G138" s="80"/>
      <c r="H138" s="81"/>
      <c r="I138" s="82"/>
      <c r="J138" s="80"/>
      <c r="K138" s="81"/>
    </row>
    <row r="139" spans="1:11" ht="13.15" customHeight="1">
      <c r="A139" s="126" t="s">
        <v>2340</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c r="A140" s="131" t="s">
        <v>2338</v>
      </c>
      <c r="B140" s="59"/>
      <c r="C140" s="1951"/>
      <c r="D140" s="1951"/>
      <c r="E140" s="1952"/>
      <c r="F140" s="1953"/>
      <c r="G140" s="1951"/>
      <c r="H140" s="1954"/>
      <c r="I140" s="1953"/>
      <c r="J140" s="1951"/>
      <c r="K140" s="1954"/>
    </row>
    <row r="141" spans="1:11" ht="13.15" customHeight="1">
      <c r="A141" s="131" t="s">
        <v>2339</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row>
    <row r="142" spans="1:11" ht="13.15" customHeight="1">
      <c r="A142" s="1120" t="s">
        <v>2341</v>
      </c>
      <c r="B142" s="59"/>
      <c r="C142" s="1951"/>
      <c r="D142" s="1951"/>
      <c r="E142" s="1952"/>
      <c r="F142" s="1953"/>
      <c r="G142" s="1951"/>
      <c r="H142" s="1954"/>
      <c r="I142" s="1953"/>
      <c r="J142" s="1951"/>
      <c r="K142" s="1954"/>
    </row>
    <row r="143" spans="1:11" ht="13.15" customHeight="1">
      <c r="A143" s="1120" t="s">
        <v>2342</v>
      </c>
      <c r="B143" s="59"/>
      <c r="C143" s="1951"/>
      <c r="D143" s="1951"/>
      <c r="E143" s="1952"/>
      <c r="F143" s="1953"/>
      <c r="G143" s="1951"/>
      <c r="H143" s="1954"/>
      <c r="I143" s="1953"/>
      <c r="J143" s="1951"/>
      <c r="K143" s="1954"/>
    </row>
    <row r="144" spans="1:11" ht="13.15" customHeight="1">
      <c r="A144" s="1120" t="s">
        <v>2343</v>
      </c>
      <c r="B144" s="59"/>
      <c r="C144" s="1951"/>
      <c r="D144" s="1951"/>
      <c r="E144" s="1952"/>
      <c r="F144" s="1953"/>
      <c r="G144" s="1951"/>
      <c r="H144" s="1954"/>
      <c r="I144" s="1953"/>
      <c r="J144" s="1951"/>
      <c r="K144" s="1954"/>
    </row>
    <row r="145" spans="1:11" ht="13.15" customHeight="1">
      <c r="A145" s="1120" t="s">
        <v>2344</v>
      </c>
      <c r="B145" s="59"/>
      <c r="C145" s="1951"/>
      <c r="D145" s="1951"/>
      <c r="E145" s="1952"/>
      <c r="F145" s="1953"/>
      <c r="G145" s="1953"/>
      <c r="H145" s="1954"/>
      <c r="I145" s="1953"/>
      <c r="J145" s="1951"/>
      <c r="K145" s="1954"/>
    </row>
    <row r="146" spans="1:11" ht="13.15" customHeight="1">
      <c r="A146" s="1120" t="s">
        <v>2345</v>
      </c>
      <c r="B146" s="59"/>
      <c r="C146" s="1951"/>
      <c r="D146" s="1951"/>
      <c r="E146" s="1952"/>
      <c r="F146" s="1953"/>
      <c r="G146" s="1951"/>
      <c r="H146" s="1954"/>
      <c r="I146" s="1953"/>
      <c r="J146" s="1951"/>
      <c r="K146" s="1954"/>
    </row>
    <row r="147" spans="1:11" ht="13.15" customHeight="1">
      <c r="A147" s="1120" t="s">
        <v>2346</v>
      </c>
      <c r="B147" s="59"/>
      <c r="C147" s="1951"/>
      <c r="D147" s="1951"/>
      <c r="E147" s="1952"/>
      <c r="F147" s="1953"/>
      <c r="G147" s="1951"/>
      <c r="H147" s="1954"/>
      <c r="I147" s="1953"/>
      <c r="J147" s="1951"/>
      <c r="K147" s="1954"/>
    </row>
    <row r="148" spans="1:11" ht="4.9000000000000004" customHeight="1">
      <c r="A148" s="148"/>
      <c r="B148" s="59"/>
      <c r="C148" s="95"/>
      <c r="D148" s="95"/>
      <c r="E148" s="94"/>
      <c r="F148" s="97"/>
      <c r="G148" s="95"/>
      <c r="H148" s="96"/>
      <c r="I148" s="97"/>
      <c r="J148" s="95"/>
      <c r="K148" s="96"/>
    </row>
    <row r="149" spans="1:11" ht="13.15" customHeight="1">
      <c r="A149" s="126" t="s">
        <v>2347</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row>
    <row r="150" spans="1:11" ht="13.15" customHeight="1">
      <c r="A150" s="127" t="s">
        <v>2347</v>
      </c>
      <c r="B150" s="59"/>
      <c r="C150" s="1951"/>
      <c r="D150" s="1951"/>
      <c r="E150" s="1952"/>
      <c r="F150" s="1953"/>
      <c r="G150" s="1951"/>
      <c r="H150" s="1954"/>
      <c r="I150" s="1953"/>
      <c r="J150" s="1951"/>
      <c r="K150" s="1954"/>
    </row>
    <row r="151" spans="1:11" ht="4.9000000000000004" customHeight="1">
      <c r="A151" s="148"/>
      <c r="B151" s="59"/>
      <c r="C151" s="80"/>
      <c r="D151" s="80"/>
      <c r="E151" s="79"/>
      <c r="F151" s="82"/>
      <c r="G151" s="80"/>
      <c r="H151" s="81"/>
      <c r="I151" s="82"/>
      <c r="J151" s="80"/>
      <c r="K151" s="81"/>
    </row>
    <row r="152" spans="1:11" ht="13.15" customHeight="1">
      <c r="A152" s="126" t="s">
        <v>2348</v>
      </c>
      <c r="B152" s="59"/>
      <c r="C152" s="80">
        <f t="shared" ref="C152:K152" si="24">SUM(C153:C153)</f>
        <v>0</v>
      </c>
      <c r="D152" s="80">
        <f t="shared" si="24"/>
        <v>549867</v>
      </c>
      <c r="E152" s="79">
        <f t="shared" si="24"/>
        <v>10276400</v>
      </c>
      <c r="F152" s="82">
        <f t="shared" si="24"/>
        <v>235000</v>
      </c>
      <c r="G152" s="80">
        <f t="shared" si="24"/>
        <v>235000</v>
      </c>
      <c r="H152" s="81">
        <f t="shared" si="24"/>
        <v>235000</v>
      </c>
      <c r="I152" s="82">
        <f t="shared" si="24"/>
        <v>735000</v>
      </c>
      <c r="J152" s="80">
        <f t="shared" si="24"/>
        <v>935000</v>
      </c>
      <c r="K152" s="81">
        <f t="shared" si="24"/>
        <v>935000</v>
      </c>
    </row>
    <row r="153" spans="1:11" ht="13.15" customHeight="1">
      <c r="A153" s="127" t="s">
        <v>2348</v>
      </c>
      <c r="B153" s="59"/>
      <c r="C153" s="1951"/>
      <c r="D153" s="1951">
        <v>549867</v>
      </c>
      <c r="E153" s="1952">
        <v>10276400</v>
      </c>
      <c r="F153" s="2740">
        <v>235000</v>
      </c>
      <c r="G153" s="2739">
        <v>235000</v>
      </c>
      <c r="H153" s="2772">
        <v>235000</v>
      </c>
      <c r="I153" s="1953">
        <f>700000+235000-200000</f>
        <v>735000</v>
      </c>
      <c r="J153" s="1951">
        <f>700000+235000</f>
        <v>935000</v>
      </c>
      <c r="K153" s="1954">
        <f>700000+235000</f>
        <v>935000</v>
      </c>
    </row>
    <row r="154" spans="1:11" ht="4.9000000000000004" customHeight="1">
      <c r="A154" s="148"/>
      <c r="B154" s="59"/>
      <c r="C154" s="80"/>
      <c r="D154" s="80"/>
      <c r="E154" s="79"/>
      <c r="F154" s="82"/>
      <c r="G154" s="80"/>
      <c r="H154" s="81"/>
      <c r="I154" s="82"/>
      <c r="J154" s="80"/>
      <c r="K154" s="81"/>
    </row>
    <row r="155" spans="1:11" ht="13.15" customHeight="1">
      <c r="A155" s="126" t="s">
        <v>2349</v>
      </c>
      <c r="B155" s="59"/>
      <c r="C155" s="80">
        <f t="shared" ref="C155:K155" si="25">SUM(C156:C156)</f>
        <v>0</v>
      </c>
      <c r="D155" s="80">
        <f t="shared" si="25"/>
        <v>0</v>
      </c>
      <c r="E155" s="79">
        <f t="shared" si="25"/>
        <v>345882.60869565216</v>
      </c>
      <c r="F155" s="82">
        <f t="shared" si="25"/>
        <v>13985000</v>
      </c>
      <c r="G155" s="80">
        <f t="shared" si="25"/>
        <v>3285001</v>
      </c>
      <c r="H155" s="81">
        <f t="shared" si="25"/>
        <v>3285001</v>
      </c>
      <c r="I155" s="82">
        <f t="shared" si="25"/>
        <v>1000000</v>
      </c>
      <c r="J155" s="80">
        <f t="shared" si="25"/>
        <v>0</v>
      </c>
      <c r="K155" s="81">
        <f t="shared" si="25"/>
        <v>0</v>
      </c>
    </row>
    <row r="156" spans="1:11" ht="13.15" customHeight="1">
      <c r="A156" s="127" t="s">
        <v>2349</v>
      </c>
      <c r="B156" s="59"/>
      <c r="C156" s="1951"/>
      <c r="D156" s="1951"/>
      <c r="E156" s="1952">
        <v>345882.60869565216</v>
      </c>
      <c r="F156" s="2742">
        <v>13985000</v>
      </c>
      <c r="G156" s="2741">
        <v>3285001</v>
      </c>
      <c r="H156" s="2772">
        <v>3285001</v>
      </c>
      <c r="I156" s="1953">
        <v>1000000</v>
      </c>
      <c r="J156" s="1951"/>
      <c r="K156" s="1954"/>
    </row>
    <row r="157" spans="1:11" ht="4.9000000000000004" customHeight="1">
      <c r="A157" s="148"/>
      <c r="B157" s="59"/>
      <c r="C157" s="80"/>
      <c r="D157" s="80"/>
      <c r="E157" s="79"/>
      <c r="F157" s="82"/>
      <c r="G157" s="80"/>
      <c r="H157" s="81"/>
      <c r="I157" s="82"/>
      <c r="J157" s="80"/>
      <c r="K157" s="81"/>
    </row>
    <row r="158" spans="1:11" ht="13.15" customHeight="1">
      <c r="A158" s="126" t="s">
        <v>2350</v>
      </c>
      <c r="B158" s="59"/>
      <c r="C158" s="80">
        <f t="shared" ref="C158:K158" si="26">SUM(C159:C159)</f>
        <v>0</v>
      </c>
      <c r="D158" s="80">
        <f t="shared" si="26"/>
        <v>0</v>
      </c>
      <c r="E158" s="79">
        <f t="shared" si="26"/>
        <v>3499900</v>
      </c>
      <c r="F158" s="82">
        <f t="shared" si="26"/>
        <v>1900000</v>
      </c>
      <c r="G158" s="80">
        <f t="shared" si="26"/>
        <v>0</v>
      </c>
      <c r="H158" s="81">
        <f t="shared" si="26"/>
        <v>0</v>
      </c>
      <c r="I158" s="82">
        <f t="shared" si="26"/>
        <v>5000000</v>
      </c>
      <c r="J158" s="80">
        <f t="shared" si="26"/>
        <v>0</v>
      </c>
      <c r="K158" s="81">
        <f t="shared" si="26"/>
        <v>0</v>
      </c>
    </row>
    <row r="159" spans="1:11" ht="13.15" customHeight="1">
      <c r="A159" s="127" t="s">
        <v>2350</v>
      </c>
      <c r="B159" s="59"/>
      <c r="C159" s="1951"/>
      <c r="D159" s="1951"/>
      <c r="E159" s="1952">
        <v>3499900</v>
      </c>
      <c r="F159" s="1953">
        <v>1900000</v>
      </c>
      <c r="G159" s="1951"/>
      <c r="H159" s="1954"/>
      <c r="I159" s="1953">
        <f>6000000-1000000</f>
        <v>5000000</v>
      </c>
      <c r="J159" s="1951"/>
      <c r="K159" s="1954"/>
    </row>
    <row r="160" spans="1:11" ht="4.9000000000000004" customHeight="1">
      <c r="A160" s="148"/>
      <c r="B160" s="59"/>
      <c r="C160" s="80"/>
      <c r="D160" s="80"/>
      <c r="E160" s="79"/>
      <c r="F160" s="82"/>
      <c r="G160" s="80"/>
      <c r="H160" s="81"/>
      <c r="I160" s="82"/>
      <c r="J160" s="80"/>
      <c r="K160" s="81"/>
    </row>
    <row r="161" spans="1:11" ht="13.15" customHeight="1">
      <c r="A161" s="126" t="s">
        <v>2485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15" customHeight="1">
      <c r="A162" s="127" t="s">
        <v>2485</v>
      </c>
      <c r="B162" s="59"/>
      <c r="C162" s="1951"/>
      <c r="D162" s="1951"/>
      <c r="E162" s="1952"/>
      <c r="F162" s="1953"/>
      <c r="G162" s="1951"/>
      <c r="H162" s="1954"/>
      <c r="I162" s="1953"/>
      <c r="J162" s="1951"/>
      <c r="K162" s="1954"/>
    </row>
    <row r="163" spans="1:11" ht="4.9000000000000004" customHeight="1">
      <c r="A163" s="148"/>
      <c r="B163" s="59"/>
      <c r="C163" s="80"/>
      <c r="D163" s="80"/>
      <c r="E163" s="79"/>
      <c r="F163" s="82"/>
      <c r="G163" s="80"/>
      <c r="H163" s="81"/>
      <c r="I163" s="82"/>
      <c r="J163" s="80"/>
      <c r="K163" s="81"/>
    </row>
    <row r="164" spans="1:11" ht="13.15" customHeight="1">
      <c r="A164" s="126" t="s">
        <v>2351</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15" customHeight="1">
      <c r="A165" s="127" t="s">
        <v>2351</v>
      </c>
      <c r="B165" s="59"/>
      <c r="C165" s="1951"/>
      <c r="D165" s="1951"/>
      <c r="E165" s="1952"/>
      <c r="F165" s="1953"/>
      <c r="G165" s="1951"/>
      <c r="H165" s="1954"/>
      <c r="I165" s="1953"/>
      <c r="J165" s="1951"/>
      <c r="K165" s="1954"/>
    </row>
    <row r="166" spans="1:11" ht="4.9000000000000004" customHeight="1">
      <c r="A166" s="148"/>
      <c r="B166" s="59"/>
      <c r="C166" s="80"/>
      <c r="D166" s="80"/>
      <c r="E166" s="79"/>
      <c r="F166" s="82"/>
      <c r="G166" s="80"/>
      <c r="H166" s="81"/>
      <c r="I166" s="82"/>
      <c r="J166" s="80"/>
      <c r="K166" s="81"/>
    </row>
    <row r="167" spans="1:11" ht="13.15" customHeight="1">
      <c r="A167" s="155" t="s">
        <v>2352</v>
      </c>
      <c r="B167" s="102">
        <v>1</v>
      </c>
      <c r="C167" s="107">
        <f>C6+C74+C103+C110+C118+C136+C139+C149+C152+C155+C158+C161+C164</f>
        <v>49658185</v>
      </c>
      <c r="D167" s="107">
        <f t="shared" ref="D167:K167" si="29">D6+D74+D103+D110+D118+D136+D139+D149+D152+D155+D158+D161+D164</f>
        <v>27167630.559649125</v>
      </c>
      <c r="E167" s="108">
        <f t="shared" si="29"/>
        <v>85950829.608695656</v>
      </c>
      <c r="F167" s="106">
        <f t="shared" si="29"/>
        <v>97310386</v>
      </c>
      <c r="G167" s="107">
        <f t="shared" si="29"/>
        <v>79762981</v>
      </c>
      <c r="H167" s="105">
        <f t="shared" si="29"/>
        <v>79762981</v>
      </c>
      <c r="I167" s="106">
        <f t="shared" si="29"/>
        <v>24035000</v>
      </c>
      <c r="J167" s="107">
        <f t="shared" si="29"/>
        <v>9319000</v>
      </c>
      <c r="K167" s="105">
        <f t="shared" si="29"/>
        <v>9721438</v>
      </c>
    </row>
    <row r="168" spans="1:11">
      <c r="A168" s="198"/>
      <c r="B168" s="298"/>
      <c r="C168" s="1158"/>
      <c r="D168" s="1158"/>
      <c r="E168" s="1158"/>
      <c r="F168" s="1158"/>
      <c r="G168" s="1158"/>
      <c r="H168" s="1158"/>
      <c r="I168" s="1158"/>
      <c r="J168" s="1158"/>
      <c r="K168" s="1158"/>
    </row>
    <row r="169" spans="1:11">
      <c r="A169" s="1092" t="str">
        <f>head27a</f>
        <v>References</v>
      </c>
      <c r="B169" s="874"/>
      <c r="C169" s="878"/>
      <c r="D169" s="878"/>
      <c r="E169" s="878"/>
      <c r="F169" s="878"/>
      <c r="G169" s="878"/>
      <c r="H169" s="878"/>
      <c r="I169" s="878"/>
      <c r="J169" s="878"/>
      <c r="K169" s="878"/>
    </row>
    <row r="170" spans="1:11">
      <c r="A170" s="1093" t="s">
        <v>2368</v>
      </c>
      <c r="B170" s="874"/>
      <c r="C170" s="877"/>
      <c r="D170" s="877"/>
      <c r="E170" s="878"/>
      <c r="F170" s="878"/>
      <c r="G170" s="878"/>
      <c r="H170" s="878"/>
      <c r="I170" s="878"/>
      <c r="J170" s="878"/>
      <c r="K170" s="878"/>
    </row>
    <row r="173" spans="1:11" ht="11.25" customHeight="1">
      <c r="A173" s="162" t="s">
        <v>248</v>
      </c>
      <c r="B173" s="120"/>
      <c r="C173" s="314">
        <f>SUM(C167+SA34b!C167++SA34e!C167)-'A5-Capex'!C40</f>
        <v>0.92701753973960876</v>
      </c>
      <c r="D173" s="314"/>
      <c r="E173" s="314">
        <f>SUM(E167+SA34b!E167++SA34e!E167)-'A5-Capex'!E40</f>
        <v>1.0986956506967545</v>
      </c>
      <c r="F173" s="314">
        <f>SUM(F167+SA34b!F167++SA34e!F167)-'A5-Capex'!F40</f>
        <v>3</v>
      </c>
      <c r="G173" s="314">
        <f>SUM(G167+SA34b!G167++SA34e!G167)-'A5-Capex'!G40</f>
        <v>3</v>
      </c>
      <c r="H173" s="314">
        <f>SUM(H167+SA34b!H167++SA34e!H167)-'A5-Capex'!H40</f>
        <v>3</v>
      </c>
      <c r="I173" s="314">
        <f>SUM(I167+SA34b!I167++SA34e!I167)-'A5-Capex'!J40</f>
        <v>0</v>
      </c>
      <c r="J173" s="314">
        <f>SUM(J167+SA34b!J167++SA34e!J167)-'A5-Capex'!K40</f>
        <v>0</v>
      </c>
      <c r="K173" s="314">
        <f>SUM(K167+SA34b!K167++SA34e!K167)-'A5-Capex'!L40</f>
        <v>0</v>
      </c>
    </row>
  </sheetData>
  <mergeCells count="2">
    <mergeCell ref="F2:H2"/>
    <mergeCell ref="I2:K2"/>
  </mergeCells>
  <phoneticPr fontId="5"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60" activePane="bottomRight" state="frozen"/>
      <selection pane="topRight"/>
      <selection pane="bottomLeft"/>
      <selection pane="bottomRight" activeCell="D175" sqref="D175"/>
    </sheetView>
  </sheetViews>
  <sheetFormatPr defaultColWidth="9.140625" defaultRowHeight="12.75"/>
  <cols>
    <col min="1" max="1" width="31.425781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"&amp;TableA34b</f>
        <v>LIM333 Greater Tzaneen - Supporting Table SA34b Consolidated capital expenditure on the renewal of existing assets by asset class</v>
      </c>
      <c r="B1" s="24"/>
      <c r="C1" s="24"/>
      <c r="D1" s="24"/>
      <c r="E1" s="24"/>
      <c r="F1" s="24"/>
      <c r="G1" s="24"/>
      <c r="H1" s="24"/>
      <c r="I1" s="24"/>
      <c r="J1" s="24"/>
      <c r="K1" s="24"/>
    </row>
    <row r="2" spans="1:12" ht="28.5" customHeight="1">
      <c r="A2" s="841" t="str">
        <f>desc</f>
        <v>Description</v>
      </c>
      <c r="B2" s="288" t="str">
        <f>head27</f>
        <v>Ref</v>
      </c>
      <c r="C2" s="27" t="str">
        <f>head1b</f>
        <v>2016/17</v>
      </c>
      <c r="D2" s="618" t="str">
        <f>head1A</f>
        <v>2017/18</v>
      </c>
      <c r="E2" s="22" t="str">
        <f>Head1</f>
        <v>2018/19</v>
      </c>
      <c r="F2" s="2842" t="str">
        <f>Head2</f>
        <v>Current Year 2019/20</v>
      </c>
      <c r="G2" s="2843"/>
      <c r="H2" s="2847"/>
      <c r="I2" s="2839" t="str">
        <f>Head3</f>
        <v>2020/21 Medium Term Revenue &amp; Expenditure Framework</v>
      </c>
      <c r="J2" s="2840"/>
      <c r="K2" s="2841"/>
    </row>
    <row r="3" spans="1:12" ht="25.5">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c r="A4" s="723" t="s">
        <v>1076</v>
      </c>
      <c r="B4" s="612"/>
      <c r="C4" s="932"/>
      <c r="D4" s="184"/>
      <c r="E4" s="185"/>
      <c r="F4" s="186"/>
      <c r="G4" s="184"/>
      <c r="H4" s="187"/>
      <c r="I4" s="186"/>
      <c r="J4" s="184"/>
      <c r="K4" s="187"/>
    </row>
    <row r="5" spans="1:12" ht="4.9000000000000004" customHeight="1">
      <c r="A5" s="126"/>
      <c r="B5" s="59"/>
      <c r="C5" s="188"/>
      <c r="D5" s="188"/>
      <c r="E5" s="189"/>
      <c r="F5" s="190"/>
      <c r="G5" s="188"/>
      <c r="H5" s="191"/>
      <c r="I5" s="190"/>
      <c r="J5" s="188"/>
      <c r="K5" s="191"/>
    </row>
    <row r="6" spans="1:12" ht="11.25" customHeight="1">
      <c r="A6" s="126" t="s">
        <v>845</v>
      </c>
      <c r="B6" s="59"/>
      <c r="C6" s="264">
        <f>C7+C12+C16+C26+C37+C44+C52+C62+C68</f>
        <v>3110049.12</v>
      </c>
      <c r="D6" s="264">
        <f t="shared" ref="D6:K6" si="0">D7+D12+D16+D26+D37+D44+D52+D62+D68</f>
        <v>0</v>
      </c>
      <c r="E6" s="266">
        <f t="shared" si="0"/>
        <v>0</v>
      </c>
      <c r="F6" s="265">
        <f t="shared" si="0"/>
        <v>3000001</v>
      </c>
      <c r="G6" s="264">
        <f t="shared" si="0"/>
        <v>6404835</v>
      </c>
      <c r="H6" s="218">
        <f t="shared" si="0"/>
        <v>6404835</v>
      </c>
      <c r="I6" s="265">
        <f t="shared" si="0"/>
        <v>600000</v>
      </c>
      <c r="J6" s="264">
        <f t="shared" si="0"/>
        <v>0</v>
      </c>
      <c r="K6" s="218">
        <f t="shared" si="0"/>
        <v>0</v>
      </c>
      <c r="L6" s="1360"/>
    </row>
    <row r="7" spans="1:12" s="1340" customFormat="1" ht="13.5">
      <c r="A7" s="127" t="s">
        <v>2245</v>
      </c>
      <c r="B7" s="59"/>
      <c r="C7" s="943">
        <f t="shared" ref="C7:K7" si="1">SUM(C8:C11)</f>
        <v>468615.23</v>
      </c>
      <c r="D7" s="943">
        <f t="shared" si="1"/>
        <v>0</v>
      </c>
      <c r="E7" s="1243">
        <f t="shared" si="1"/>
        <v>0</v>
      </c>
      <c r="F7" s="944">
        <f t="shared" si="1"/>
        <v>0</v>
      </c>
      <c r="G7" s="943">
        <f t="shared" si="1"/>
        <v>0</v>
      </c>
      <c r="H7" s="980">
        <f t="shared" si="1"/>
        <v>0</v>
      </c>
      <c r="I7" s="944">
        <f t="shared" si="1"/>
        <v>0</v>
      </c>
      <c r="J7" s="943">
        <f t="shared" si="1"/>
        <v>0</v>
      </c>
      <c r="K7" s="980">
        <f t="shared" si="1"/>
        <v>0</v>
      </c>
      <c r="L7" s="240"/>
    </row>
    <row r="8" spans="1:12" s="1340" customFormat="1" ht="13.5">
      <c r="A8" s="1120" t="s">
        <v>632</v>
      </c>
      <c r="B8" s="59"/>
      <c r="C8" s="1951">
        <v>468615.23</v>
      </c>
      <c r="D8" s="1951"/>
      <c r="E8" s="1952"/>
      <c r="F8" s="1953"/>
      <c r="G8" s="1951"/>
      <c r="H8" s="1954"/>
      <c r="I8" s="1953"/>
      <c r="J8" s="1951"/>
      <c r="K8" s="1954"/>
      <c r="L8" s="1360"/>
    </row>
    <row r="9" spans="1:12" s="1340" customFormat="1" ht="13.5">
      <c r="A9" s="1120" t="s">
        <v>2246</v>
      </c>
      <c r="B9" s="59"/>
      <c r="C9" s="1951"/>
      <c r="D9" s="1951"/>
      <c r="E9" s="1952"/>
      <c r="F9" s="1953"/>
      <c r="G9" s="1951"/>
      <c r="H9" s="1954"/>
      <c r="I9" s="1953"/>
      <c r="J9" s="1951"/>
      <c r="K9" s="1954"/>
      <c r="L9" s="1361"/>
    </row>
    <row r="10" spans="1:12" s="1340" customFormat="1" ht="13.5">
      <c r="A10" s="1120" t="s">
        <v>2247</v>
      </c>
      <c r="B10" s="59"/>
      <c r="C10" s="1951"/>
      <c r="D10" s="1951"/>
      <c r="E10" s="1952"/>
      <c r="F10" s="1953"/>
      <c r="G10" s="1951"/>
      <c r="H10" s="1954"/>
      <c r="I10" s="1953"/>
      <c r="J10" s="1951"/>
      <c r="K10" s="1954"/>
      <c r="L10" s="1360"/>
    </row>
    <row r="11" spans="1:12" s="1340" customFormat="1" ht="13.5">
      <c r="A11" s="1120" t="s">
        <v>2248</v>
      </c>
      <c r="B11" s="59"/>
      <c r="C11" s="1951"/>
      <c r="D11" s="1951"/>
      <c r="E11" s="1952"/>
      <c r="F11" s="1953"/>
      <c r="G11" s="1951"/>
      <c r="H11" s="1954"/>
      <c r="I11" s="1953"/>
      <c r="J11" s="1951"/>
      <c r="K11" s="1954"/>
      <c r="L11" s="1361"/>
    </row>
    <row r="12" spans="1:12" s="1340" customFormat="1" ht="13.5">
      <c r="A12" s="127" t="s">
        <v>2249</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5">
      <c r="A13" s="1120" t="s">
        <v>2250</v>
      </c>
      <c r="B13" s="59"/>
      <c r="C13" s="1951"/>
      <c r="D13" s="1951"/>
      <c r="E13" s="1952"/>
      <c r="F13" s="1953"/>
      <c r="G13" s="1951"/>
      <c r="H13" s="1954"/>
      <c r="I13" s="1953"/>
      <c r="J13" s="1951"/>
      <c r="K13" s="1954"/>
      <c r="L13" s="1361"/>
    </row>
    <row r="14" spans="1:12" s="1340" customFormat="1" ht="13.5">
      <c r="A14" s="1120" t="s">
        <v>2251</v>
      </c>
      <c r="B14" s="59"/>
      <c r="C14" s="1951"/>
      <c r="D14" s="1951"/>
      <c r="E14" s="1952"/>
      <c r="F14" s="1953"/>
      <c r="G14" s="1951"/>
      <c r="H14" s="1954"/>
      <c r="I14" s="1953"/>
      <c r="J14" s="1951"/>
      <c r="K14" s="1954"/>
      <c r="L14" s="1361"/>
    </row>
    <row r="15" spans="1:12" s="1340" customFormat="1" ht="13.5">
      <c r="A15" s="1120" t="s">
        <v>2252</v>
      </c>
      <c r="B15" s="59"/>
      <c r="C15" s="1951"/>
      <c r="D15" s="1951"/>
      <c r="E15" s="1952"/>
      <c r="F15" s="1953"/>
      <c r="G15" s="1951"/>
      <c r="H15" s="1954"/>
      <c r="I15" s="1953"/>
      <c r="J15" s="1951"/>
      <c r="K15" s="1954"/>
      <c r="L15" s="1361"/>
    </row>
    <row r="16" spans="1:12" s="1340" customFormat="1" ht="13.5">
      <c r="A16" s="127" t="s">
        <v>2294</v>
      </c>
      <c r="B16" s="59"/>
      <c r="C16" s="900">
        <f t="shared" ref="C16:K16" si="3">SUM(C17:C25)</f>
        <v>2561137</v>
      </c>
      <c r="D16" s="900">
        <f t="shared" si="3"/>
        <v>0</v>
      </c>
      <c r="E16" s="1244">
        <f t="shared" si="3"/>
        <v>0</v>
      </c>
      <c r="F16" s="904">
        <f t="shared" si="3"/>
        <v>3000001</v>
      </c>
      <c r="G16" s="900">
        <f t="shared" si="3"/>
        <v>6404835</v>
      </c>
      <c r="H16" s="982">
        <f t="shared" si="3"/>
        <v>6404835</v>
      </c>
      <c r="I16" s="904">
        <f t="shared" si="3"/>
        <v>600000</v>
      </c>
      <c r="J16" s="900">
        <f t="shared" si="3"/>
        <v>0</v>
      </c>
      <c r="K16" s="982">
        <f t="shared" si="3"/>
        <v>0</v>
      </c>
      <c r="L16" s="1361"/>
    </row>
    <row r="17" spans="1:12" s="1340" customFormat="1" ht="13.5">
      <c r="A17" s="1120" t="s">
        <v>2253</v>
      </c>
      <c r="B17" s="59"/>
      <c r="C17" s="1951"/>
      <c r="D17" s="1951"/>
      <c r="E17" s="1952"/>
      <c r="F17" s="2744">
        <v>1500000</v>
      </c>
      <c r="G17" s="2743">
        <v>4258243</v>
      </c>
      <c r="H17" s="2745">
        <v>4258243</v>
      </c>
      <c r="I17" s="1953">
        <v>0</v>
      </c>
      <c r="J17" s="1951">
        <v>0</v>
      </c>
      <c r="K17" s="1954"/>
      <c r="L17" s="1361"/>
    </row>
    <row r="18" spans="1:12" s="1340" customFormat="1" ht="13.5">
      <c r="A18" s="1120" t="s">
        <v>2254</v>
      </c>
      <c r="B18" s="59"/>
      <c r="C18" s="1951"/>
      <c r="D18" s="1951"/>
      <c r="E18" s="1952"/>
      <c r="F18" s="2744">
        <v>0</v>
      </c>
      <c r="G18" s="2743">
        <v>0</v>
      </c>
      <c r="H18" s="2745">
        <v>0</v>
      </c>
      <c r="I18" s="1953">
        <v>0</v>
      </c>
      <c r="J18" s="1951">
        <v>0</v>
      </c>
      <c r="K18" s="1954"/>
      <c r="L18" s="1361"/>
    </row>
    <row r="19" spans="1:12" s="1340" customFormat="1" ht="13.5">
      <c r="A19" s="1120" t="s">
        <v>2255</v>
      </c>
      <c r="B19" s="59"/>
      <c r="C19" s="1951"/>
      <c r="D19" s="1951"/>
      <c r="E19" s="1952"/>
      <c r="F19" s="2744">
        <v>0</v>
      </c>
      <c r="G19" s="2743">
        <v>0</v>
      </c>
      <c r="H19" s="2745">
        <v>0</v>
      </c>
      <c r="I19" s="1953">
        <v>0</v>
      </c>
      <c r="J19" s="1951">
        <v>0</v>
      </c>
      <c r="K19" s="1954"/>
      <c r="L19" s="1361"/>
    </row>
    <row r="20" spans="1:12" s="1340" customFormat="1" ht="13.5">
      <c r="A20" s="1120" t="s">
        <v>2256</v>
      </c>
      <c r="B20" s="59"/>
      <c r="C20" s="1951"/>
      <c r="D20" s="1951"/>
      <c r="E20" s="1952"/>
      <c r="F20" s="2744">
        <v>0</v>
      </c>
      <c r="G20" s="2743">
        <v>0</v>
      </c>
      <c r="H20" s="2745">
        <v>0</v>
      </c>
      <c r="I20" s="1953">
        <v>0</v>
      </c>
      <c r="J20" s="1951">
        <v>0</v>
      </c>
      <c r="K20" s="1954"/>
      <c r="L20" s="1361"/>
    </row>
    <row r="21" spans="1:12" s="1340" customFormat="1" ht="13.5">
      <c r="A21" s="1120" t="s">
        <v>2257</v>
      </c>
      <c r="B21" s="59"/>
      <c r="C21" s="1951"/>
      <c r="D21" s="1951"/>
      <c r="E21" s="1952"/>
      <c r="F21" s="2744">
        <v>1500001</v>
      </c>
      <c r="G21" s="2743">
        <v>2146592</v>
      </c>
      <c r="H21" s="2745">
        <v>2146592</v>
      </c>
      <c r="I21" s="1953">
        <v>450000</v>
      </c>
      <c r="J21" s="1951">
        <v>0</v>
      </c>
      <c r="K21" s="1954"/>
      <c r="L21" s="1361"/>
    </row>
    <row r="22" spans="1:12" s="1340" customFormat="1" ht="13.5">
      <c r="A22" s="1120" t="s">
        <v>2258</v>
      </c>
      <c r="B22" s="59"/>
      <c r="C22" s="1951"/>
      <c r="D22" s="1951"/>
      <c r="E22" s="1952"/>
      <c r="F22" s="1953"/>
      <c r="G22" s="1951"/>
      <c r="H22" s="1954"/>
      <c r="I22" s="1953">
        <v>0</v>
      </c>
      <c r="J22" s="1951">
        <v>0</v>
      </c>
      <c r="K22" s="1954"/>
      <c r="L22" s="1361"/>
    </row>
    <row r="23" spans="1:12" s="1340" customFormat="1" ht="13.5">
      <c r="A23" s="1120" t="s">
        <v>2259</v>
      </c>
      <c r="B23" s="59"/>
      <c r="C23" s="1951">
        <v>2561137</v>
      </c>
      <c r="D23" s="1951"/>
      <c r="E23" s="1952"/>
      <c r="F23" s="1953"/>
      <c r="G23" s="1951"/>
      <c r="H23" s="1954"/>
      <c r="I23" s="1953">
        <v>0</v>
      </c>
      <c r="J23" s="1951">
        <v>0</v>
      </c>
      <c r="K23" s="1954"/>
      <c r="L23" s="1361"/>
    </row>
    <row r="24" spans="1:12" s="1340" customFormat="1" ht="13.5">
      <c r="A24" s="1120" t="s">
        <v>2260</v>
      </c>
      <c r="B24" s="59"/>
      <c r="C24" s="1951"/>
      <c r="D24" s="1951"/>
      <c r="E24" s="1952"/>
      <c r="F24" s="1953"/>
      <c r="G24" s="1951"/>
      <c r="H24" s="1954"/>
      <c r="I24" s="1953">
        <v>0</v>
      </c>
      <c r="J24" s="1951">
        <v>0</v>
      </c>
      <c r="K24" s="1954"/>
      <c r="L24" s="1361"/>
    </row>
    <row r="25" spans="1:12" s="1340" customFormat="1" ht="13.5">
      <c r="A25" s="1120" t="s">
        <v>2248</v>
      </c>
      <c r="B25" s="59"/>
      <c r="C25" s="1951"/>
      <c r="D25" s="1951"/>
      <c r="E25" s="1952"/>
      <c r="F25" s="1953"/>
      <c r="G25" s="1951"/>
      <c r="H25" s="1954"/>
      <c r="I25" s="1953">
        <v>150000</v>
      </c>
      <c r="J25" s="1951">
        <v>0</v>
      </c>
      <c r="K25" s="1954"/>
      <c r="L25" s="1361"/>
    </row>
    <row r="26" spans="1:12" s="1340" customFormat="1" ht="13.5">
      <c r="A26" s="131" t="s">
        <v>2295</v>
      </c>
      <c r="B26" s="223"/>
      <c r="C26" s="900">
        <f>SUM(C27:C36)</f>
        <v>80296.89</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1361"/>
    </row>
    <row r="27" spans="1:12" s="1340" customFormat="1" ht="13.5">
      <c r="A27" s="1120" t="s">
        <v>2261</v>
      </c>
      <c r="B27" s="59"/>
      <c r="C27" s="1951"/>
      <c r="D27" s="1951"/>
      <c r="E27" s="1952"/>
      <c r="F27" s="1953"/>
      <c r="G27" s="1951"/>
      <c r="H27" s="1954"/>
      <c r="I27" s="1953"/>
      <c r="J27" s="1951"/>
      <c r="K27" s="1954"/>
      <c r="L27" s="1361"/>
    </row>
    <row r="28" spans="1:12" s="1340" customFormat="1" ht="13.5">
      <c r="A28" s="1120" t="s">
        <v>2262</v>
      </c>
      <c r="B28" s="59"/>
      <c r="C28" s="1951"/>
      <c r="D28" s="1951"/>
      <c r="E28" s="1952"/>
      <c r="F28" s="1953"/>
      <c r="G28" s="1951"/>
      <c r="H28" s="1954"/>
      <c r="I28" s="1953"/>
      <c r="J28" s="1951"/>
      <c r="K28" s="1954"/>
      <c r="L28" s="1361"/>
    </row>
    <row r="29" spans="1:12" s="1340" customFormat="1" ht="13.5">
      <c r="A29" s="1120" t="s">
        <v>2263</v>
      </c>
      <c r="B29" s="59"/>
      <c r="C29" s="1951"/>
      <c r="D29" s="1951"/>
      <c r="E29" s="1952"/>
      <c r="F29" s="1953"/>
      <c r="G29" s="1951"/>
      <c r="H29" s="1954"/>
      <c r="I29" s="1953"/>
      <c r="J29" s="1951"/>
      <c r="K29" s="1954"/>
      <c r="L29" s="1361"/>
    </row>
    <row r="30" spans="1:12" s="1340" customFormat="1" ht="13.5">
      <c r="A30" s="1120" t="s">
        <v>2264</v>
      </c>
      <c r="B30" s="59"/>
      <c r="C30" s="1951"/>
      <c r="D30" s="1951"/>
      <c r="E30" s="1952"/>
      <c r="F30" s="1953"/>
      <c r="G30" s="1951"/>
      <c r="H30" s="1954"/>
      <c r="I30" s="1953"/>
      <c r="J30" s="1951"/>
      <c r="K30" s="1954"/>
      <c r="L30" s="1361"/>
    </row>
    <row r="31" spans="1:12" s="1340" customFormat="1" ht="13.5">
      <c r="A31" s="1120" t="s">
        <v>2265</v>
      </c>
      <c r="B31" s="59"/>
      <c r="C31" s="1951"/>
      <c r="D31" s="1951"/>
      <c r="E31" s="1952"/>
      <c r="F31" s="1953"/>
      <c r="G31" s="1951"/>
      <c r="H31" s="1954"/>
      <c r="I31" s="1953"/>
      <c r="J31" s="1951"/>
      <c r="K31" s="1954"/>
      <c r="L31" s="1361"/>
    </row>
    <row r="32" spans="1:12" s="1340" customFormat="1" ht="13.5">
      <c r="A32" s="1120" t="s">
        <v>2266</v>
      </c>
      <c r="B32" s="59"/>
      <c r="C32" s="1951"/>
      <c r="D32" s="1951"/>
      <c r="E32" s="1952"/>
      <c r="F32" s="1953"/>
      <c r="G32" s="1951"/>
      <c r="H32" s="1954"/>
      <c r="I32" s="1953"/>
      <c r="J32" s="1951"/>
      <c r="K32" s="1954"/>
      <c r="L32" s="1361"/>
    </row>
    <row r="33" spans="1:12" s="1340" customFormat="1" ht="13.5">
      <c r="A33" s="1120" t="s">
        <v>2267</v>
      </c>
      <c r="B33" s="59"/>
      <c r="C33" s="1951"/>
      <c r="D33" s="1951"/>
      <c r="E33" s="1952"/>
      <c r="F33" s="1953"/>
      <c r="G33" s="1951"/>
      <c r="H33" s="1954"/>
      <c r="I33" s="1953"/>
      <c r="J33" s="1951"/>
      <c r="K33" s="1954"/>
      <c r="L33" s="1361"/>
    </row>
    <row r="34" spans="1:12" s="1340" customFormat="1" ht="13.5">
      <c r="A34" s="1120" t="s">
        <v>2268</v>
      </c>
      <c r="B34" s="59"/>
      <c r="C34" s="1951"/>
      <c r="D34" s="1951"/>
      <c r="E34" s="1952"/>
      <c r="F34" s="1953"/>
      <c r="G34" s="1951"/>
      <c r="H34" s="1954"/>
      <c r="I34" s="1953"/>
      <c r="J34" s="1951"/>
      <c r="K34" s="1954"/>
      <c r="L34" s="1361"/>
    </row>
    <row r="35" spans="1:12" s="1340" customFormat="1" ht="13.5">
      <c r="A35" s="1120" t="s">
        <v>2269</v>
      </c>
      <c r="B35" s="59"/>
      <c r="C35" s="1951"/>
      <c r="D35" s="1951"/>
      <c r="E35" s="1952"/>
      <c r="F35" s="1953"/>
      <c r="G35" s="1951"/>
      <c r="H35" s="1954"/>
      <c r="I35" s="1953"/>
      <c r="J35" s="1951"/>
      <c r="K35" s="1954"/>
      <c r="L35" s="1361"/>
    </row>
    <row r="36" spans="1:12" s="1340" customFormat="1" ht="13.5">
      <c r="A36" s="1120" t="s">
        <v>2248</v>
      </c>
      <c r="B36" s="59"/>
      <c r="C36" s="1951">
        <v>80296.89</v>
      </c>
      <c r="D36" s="1951"/>
      <c r="E36" s="1952"/>
      <c r="F36" s="1953"/>
      <c r="G36" s="1951"/>
      <c r="H36" s="1954"/>
      <c r="I36" s="1953"/>
      <c r="J36" s="1951"/>
      <c r="K36" s="1954"/>
      <c r="L36" s="1361"/>
    </row>
    <row r="37" spans="1:12" s="1340" customFormat="1" ht="13.5">
      <c r="A37" s="131" t="s">
        <v>2296</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row>
    <row r="38" spans="1:12" s="1340" customFormat="1" ht="13.5">
      <c r="A38" s="1120" t="s">
        <v>2270</v>
      </c>
      <c r="B38" s="59"/>
      <c r="C38" s="1951"/>
      <c r="D38" s="1951"/>
      <c r="E38" s="1952"/>
      <c r="F38" s="1953"/>
      <c r="G38" s="1951"/>
      <c r="H38" s="1954"/>
      <c r="I38" s="1953"/>
      <c r="J38" s="1951"/>
      <c r="K38" s="1954"/>
      <c r="L38" s="1361"/>
    </row>
    <row r="39" spans="1:12" s="1340" customFormat="1" ht="13.5">
      <c r="A39" s="1120" t="s">
        <v>25</v>
      </c>
      <c r="B39" s="59"/>
      <c r="C39" s="1951"/>
      <c r="D39" s="1951"/>
      <c r="E39" s="1952"/>
      <c r="F39" s="1953"/>
      <c r="G39" s="1951"/>
      <c r="H39" s="1954"/>
      <c r="I39" s="1953"/>
      <c r="J39" s="1951"/>
      <c r="K39" s="1954"/>
      <c r="L39" s="1361"/>
    </row>
    <row r="40" spans="1:12" s="1340" customFormat="1" ht="13.5">
      <c r="A40" s="1120" t="s">
        <v>2271</v>
      </c>
      <c r="B40" s="59"/>
      <c r="C40" s="1951"/>
      <c r="D40" s="1951"/>
      <c r="E40" s="1952"/>
      <c r="F40" s="1953"/>
      <c r="G40" s="1951"/>
      <c r="H40" s="1954"/>
      <c r="I40" s="1953"/>
      <c r="J40" s="1951"/>
      <c r="K40" s="1954"/>
      <c r="L40" s="1361"/>
    </row>
    <row r="41" spans="1:12" s="1340" customFormat="1" ht="13.5">
      <c r="A41" s="1120" t="s">
        <v>2272</v>
      </c>
      <c r="B41" s="59"/>
      <c r="C41" s="1951"/>
      <c r="D41" s="1951"/>
      <c r="E41" s="1952"/>
      <c r="F41" s="1953"/>
      <c r="G41" s="1951"/>
      <c r="H41" s="1954"/>
      <c r="I41" s="1953"/>
      <c r="J41" s="1951"/>
      <c r="K41" s="1954"/>
      <c r="L41" s="1361"/>
    </row>
    <row r="42" spans="1:12" s="1340" customFormat="1" ht="13.5">
      <c r="A42" s="1120" t="s">
        <v>2273</v>
      </c>
      <c r="B42" s="59"/>
      <c r="C42" s="1951"/>
      <c r="D42" s="1951"/>
      <c r="E42" s="1952"/>
      <c r="F42" s="1953"/>
      <c r="G42" s="1951"/>
      <c r="H42" s="1954"/>
      <c r="I42" s="1953"/>
      <c r="J42" s="1951"/>
      <c r="K42" s="1954"/>
      <c r="L42" s="1361"/>
    </row>
    <row r="43" spans="1:12" s="1340" customFormat="1" ht="13.5">
      <c r="A43" s="1120" t="s">
        <v>2248</v>
      </c>
      <c r="B43" s="59"/>
      <c r="C43" s="1951"/>
      <c r="D43" s="1951"/>
      <c r="E43" s="1952"/>
      <c r="F43" s="1953"/>
      <c r="G43" s="1951"/>
      <c r="H43" s="1954"/>
      <c r="I43" s="1953"/>
      <c r="J43" s="1951"/>
      <c r="K43" s="1954"/>
      <c r="L43" s="1361"/>
    </row>
    <row r="44" spans="1:12" s="1340" customFormat="1" ht="13.5">
      <c r="A44" s="131" t="s">
        <v>2274</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1361"/>
    </row>
    <row r="45" spans="1:12" s="1340" customFormat="1" ht="13.5">
      <c r="A45" s="1120" t="s">
        <v>2275</v>
      </c>
      <c r="B45" s="59"/>
      <c r="C45" s="1951"/>
      <c r="D45" s="1951"/>
      <c r="E45" s="1952"/>
      <c r="F45" s="1953"/>
      <c r="G45" s="1951"/>
      <c r="H45" s="1954"/>
      <c r="I45" s="1953"/>
      <c r="J45" s="1951"/>
      <c r="K45" s="1954"/>
      <c r="L45" s="1361"/>
    </row>
    <row r="46" spans="1:12" s="1340" customFormat="1" ht="13.5">
      <c r="A46" s="1120" t="s">
        <v>2276</v>
      </c>
      <c r="B46" s="59"/>
      <c r="C46" s="1951"/>
      <c r="D46" s="1951"/>
      <c r="E46" s="1952"/>
      <c r="F46" s="1953"/>
      <c r="G46" s="1951"/>
      <c r="H46" s="1954"/>
      <c r="I46" s="1953"/>
      <c r="J46" s="1951"/>
      <c r="K46" s="1954"/>
      <c r="L46" s="1361"/>
    </row>
    <row r="47" spans="1:12" s="1340" customFormat="1" ht="13.5">
      <c r="A47" s="1120" t="s">
        <v>2277</v>
      </c>
      <c r="B47" s="59"/>
      <c r="C47" s="1951"/>
      <c r="D47" s="1951"/>
      <c r="E47" s="1952"/>
      <c r="F47" s="1953"/>
      <c r="G47" s="1951"/>
      <c r="H47" s="1954"/>
      <c r="I47" s="1953"/>
      <c r="J47" s="1951"/>
      <c r="K47" s="1954"/>
      <c r="L47" s="1361"/>
    </row>
    <row r="48" spans="1:12" s="1340" customFormat="1" ht="13.5">
      <c r="A48" s="1120" t="s">
        <v>2278</v>
      </c>
      <c r="B48" s="59"/>
      <c r="C48" s="1951"/>
      <c r="D48" s="1951"/>
      <c r="E48" s="1952"/>
      <c r="F48" s="1953"/>
      <c r="G48" s="1951"/>
      <c r="H48" s="1954"/>
      <c r="I48" s="1953"/>
      <c r="J48" s="1951"/>
      <c r="K48" s="1954"/>
      <c r="L48" s="1361"/>
    </row>
    <row r="49" spans="1:12" s="1340" customFormat="1" ht="13.5">
      <c r="A49" s="1120" t="s">
        <v>2279</v>
      </c>
      <c r="B49" s="59"/>
      <c r="C49" s="1951"/>
      <c r="D49" s="1951"/>
      <c r="E49" s="1952"/>
      <c r="F49" s="1953"/>
      <c r="G49" s="1951"/>
      <c r="H49" s="1954"/>
      <c r="I49" s="1953"/>
      <c r="J49" s="1951"/>
      <c r="K49" s="1954"/>
      <c r="L49" s="1361"/>
    </row>
    <row r="50" spans="1:12" s="1340" customFormat="1" ht="13.5">
      <c r="A50" s="1120" t="s">
        <v>2280</v>
      </c>
      <c r="B50" s="59"/>
      <c r="C50" s="1951"/>
      <c r="D50" s="1951"/>
      <c r="E50" s="1952"/>
      <c r="F50" s="1953"/>
      <c r="G50" s="1951"/>
      <c r="H50" s="1954"/>
      <c r="I50" s="1953"/>
      <c r="J50" s="1951"/>
      <c r="K50" s="1954"/>
      <c r="L50" s="1361"/>
    </row>
    <row r="51" spans="1:12" s="1340" customFormat="1" ht="13.5">
      <c r="A51" s="1120" t="s">
        <v>2248</v>
      </c>
      <c r="B51" s="59"/>
      <c r="C51" s="1951"/>
      <c r="D51" s="1951"/>
      <c r="E51" s="1952"/>
      <c r="F51" s="1953"/>
      <c r="G51" s="1951"/>
      <c r="H51" s="1954"/>
      <c r="I51" s="1953"/>
      <c r="J51" s="1951"/>
      <c r="K51" s="1954"/>
      <c r="L51" s="1361"/>
    </row>
    <row r="52" spans="1:12" s="1340" customFormat="1" ht="13.5">
      <c r="A52" s="127" t="s">
        <v>2290</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s="1340" customFormat="1" ht="13.5">
      <c r="A53" s="1120" t="s">
        <v>2291</v>
      </c>
      <c r="B53" s="59"/>
      <c r="C53" s="1951"/>
      <c r="D53" s="1951"/>
      <c r="E53" s="1952"/>
      <c r="F53" s="1953"/>
      <c r="G53" s="1951"/>
      <c r="H53" s="1954"/>
      <c r="I53" s="1953"/>
      <c r="J53" s="1951"/>
      <c r="K53" s="1954"/>
      <c r="L53" s="1361"/>
    </row>
    <row r="54" spans="1:12" s="1340" customFormat="1" ht="13.5">
      <c r="A54" s="1120" t="s">
        <v>2292</v>
      </c>
      <c r="B54" s="59"/>
      <c r="C54" s="1951"/>
      <c r="D54" s="1951"/>
      <c r="E54" s="1952"/>
      <c r="F54" s="1953"/>
      <c r="G54" s="1951"/>
      <c r="H54" s="1954"/>
      <c r="I54" s="1953"/>
      <c r="J54" s="1951"/>
      <c r="K54" s="1954"/>
      <c r="L54" s="1361"/>
    </row>
    <row r="55" spans="1:12" s="1340" customFormat="1" ht="13.5">
      <c r="A55" s="1120" t="s">
        <v>2293</v>
      </c>
      <c r="B55" s="59"/>
      <c r="C55" s="1951"/>
      <c r="D55" s="1951"/>
      <c r="E55" s="1952"/>
      <c r="F55" s="1953"/>
      <c r="G55" s="1951"/>
      <c r="H55" s="1954"/>
      <c r="I55" s="1953"/>
      <c r="J55" s="1951"/>
      <c r="K55" s="1954"/>
      <c r="L55" s="1361"/>
    </row>
    <row r="56" spans="1:12" s="1340" customFormat="1" ht="13.5">
      <c r="A56" s="1120" t="s">
        <v>2250</v>
      </c>
      <c r="B56" s="59"/>
      <c r="C56" s="1951"/>
      <c r="D56" s="1951"/>
      <c r="E56" s="1952"/>
      <c r="F56" s="1953"/>
      <c r="G56" s="1951"/>
      <c r="H56" s="1954"/>
      <c r="I56" s="1953"/>
      <c r="J56" s="1951"/>
      <c r="K56" s="1954"/>
      <c r="L56" s="1361"/>
    </row>
    <row r="57" spans="1:12" s="1340" customFormat="1" ht="13.5">
      <c r="A57" s="1120" t="s">
        <v>2251</v>
      </c>
      <c r="B57" s="59"/>
      <c r="C57" s="1951"/>
      <c r="D57" s="1951"/>
      <c r="E57" s="1952"/>
      <c r="F57" s="1953"/>
      <c r="G57" s="1951"/>
      <c r="H57" s="1954"/>
      <c r="I57" s="1953"/>
      <c r="J57" s="1951"/>
      <c r="K57" s="1954"/>
      <c r="L57" s="1361"/>
    </row>
    <row r="58" spans="1:12" s="1340" customFormat="1" ht="13.5">
      <c r="A58" s="1120" t="s">
        <v>2252</v>
      </c>
      <c r="B58" s="59"/>
      <c r="C58" s="1951"/>
      <c r="D58" s="1951"/>
      <c r="E58" s="1952"/>
      <c r="F58" s="1953"/>
      <c r="G58" s="1951"/>
      <c r="H58" s="1954"/>
      <c r="I58" s="1953"/>
      <c r="J58" s="1951"/>
      <c r="K58" s="1954"/>
      <c r="L58" s="1361"/>
    </row>
    <row r="59" spans="1:12" s="1340" customFormat="1" ht="13.5">
      <c r="A59" s="1120" t="s">
        <v>2257</v>
      </c>
      <c r="B59" s="59"/>
      <c r="C59" s="1951"/>
      <c r="D59" s="1951"/>
      <c r="E59" s="1952"/>
      <c r="F59" s="1953"/>
      <c r="G59" s="1951"/>
      <c r="H59" s="1954"/>
      <c r="I59" s="1953"/>
      <c r="J59" s="1951"/>
      <c r="K59" s="1954"/>
      <c r="L59" s="1361"/>
    </row>
    <row r="60" spans="1:12" s="1340" customFormat="1" ht="13.5">
      <c r="A60" s="1120" t="s">
        <v>2260</v>
      </c>
      <c r="B60" s="59"/>
      <c r="C60" s="1951"/>
      <c r="D60" s="1951"/>
      <c r="E60" s="1952"/>
      <c r="F60" s="1953"/>
      <c r="G60" s="1951"/>
      <c r="H60" s="1954"/>
      <c r="I60" s="1953"/>
      <c r="J60" s="1951"/>
      <c r="K60" s="1954"/>
      <c r="L60" s="1361"/>
    </row>
    <row r="61" spans="1:12" s="1340" customFormat="1" ht="13.5">
      <c r="A61" s="1120" t="s">
        <v>2248</v>
      </c>
      <c r="B61" s="59"/>
      <c r="C61" s="1951"/>
      <c r="D61" s="1951"/>
      <c r="E61" s="1952"/>
      <c r="F61" s="1953"/>
      <c r="G61" s="1951"/>
      <c r="H61" s="1954"/>
      <c r="I61" s="1953"/>
      <c r="J61" s="1951"/>
      <c r="K61" s="1954"/>
      <c r="L61" s="1361"/>
    </row>
    <row r="62" spans="1:12" s="1340" customFormat="1" ht="13.5">
      <c r="A62" s="131" t="s">
        <v>2285</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s="1340" customFormat="1" ht="13.5">
      <c r="A63" s="1120" t="s">
        <v>2286</v>
      </c>
      <c r="B63" s="59"/>
      <c r="C63" s="1951"/>
      <c r="D63" s="1951"/>
      <c r="E63" s="1952"/>
      <c r="F63" s="1953"/>
      <c r="G63" s="1951"/>
      <c r="H63" s="1954"/>
      <c r="I63" s="1953"/>
      <c r="J63" s="1951"/>
      <c r="K63" s="1954"/>
      <c r="L63" s="1361"/>
    </row>
    <row r="64" spans="1:12" s="1340" customFormat="1" ht="13.5">
      <c r="A64" s="1120" t="s">
        <v>2287</v>
      </c>
      <c r="B64" s="59"/>
      <c r="C64" s="1951"/>
      <c r="D64" s="1951"/>
      <c r="E64" s="1952"/>
      <c r="F64" s="1953"/>
      <c r="G64" s="1951"/>
      <c r="H64" s="1954"/>
      <c r="I64" s="1953"/>
      <c r="J64" s="1951"/>
      <c r="K64" s="1954"/>
      <c r="L64" s="1361"/>
    </row>
    <row r="65" spans="1:12" s="1340" customFormat="1" ht="13.5">
      <c r="A65" s="1120" t="s">
        <v>2288</v>
      </c>
      <c r="B65" s="59"/>
      <c r="C65" s="1951"/>
      <c r="D65" s="1951"/>
      <c r="E65" s="1952"/>
      <c r="F65" s="1953"/>
      <c r="G65" s="1951"/>
      <c r="H65" s="1954"/>
      <c r="I65" s="1953"/>
      <c r="J65" s="1951"/>
      <c r="K65" s="1954"/>
      <c r="L65" s="1361"/>
    </row>
    <row r="66" spans="1:12" s="1340" customFormat="1" ht="13.5">
      <c r="A66" s="1120" t="s">
        <v>2289</v>
      </c>
      <c r="B66" s="59"/>
      <c r="C66" s="1951"/>
      <c r="D66" s="1951"/>
      <c r="E66" s="1952"/>
      <c r="F66" s="1953"/>
      <c r="G66" s="1951"/>
      <c r="H66" s="1954"/>
      <c r="I66" s="1953"/>
      <c r="J66" s="1951"/>
      <c r="K66" s="1954"/>
      <c r="L66" s="1361"/>
    </row>
    <row r="67" spans="1:12" s="1340" customFormat="1" ht="13.5">
      <c r="A67" s="1120" t="s">
        <v>2248</v>
      </c>
      <c r="B67" s="59"/>
      <c r="C67" s="1951"/>
      <c r="D67" s="1951"/>
      <c r="E67" s="1952"/>
      <c r="F67" s="1953"/>
      <c r="G67" s="1951"/>
      <c r="H67" s="1954"/>
      <c r="I67" s="1953"/>
      <c r="J67" s="1951"/>
      <c r="K67" s="1954"/>
      <c r="L67" s="1361"/>
    </row>
    <row r="68" spans="1:12" s="1340" customFormat="1" ht="13.5">
      <c r="A68" s="127" t="s">
        <v>2281</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61"/>
    </row>
    <row r="69" spans="1:12" s="1340" customFormat="1" ht="13.5">
      <c r="A69" s="1120" t="s">
        <v>2282</v>
      </c>
      <c r="B69" s="59"/>
      <c r="C69" s="1951"/>
      <c r="D69" s="1951"/>
      <c r="E69" s="1952"/>
      <c r="F69" s="1953"/>
      <c r="G69" s="1951"/>
      <c r="H69" s="1954"/>
      <c r="I69" s="1953"/>
      <c r="J69" s="1951"/>
      <c r="K69" s="1954"/>
      <c r="L69" s="1360"/>
    </row>
    <row r="70" spans="1:12" s="1340" customFormat="1" ht="13.5">
      <c r="A70" s="1120" t="s">
        <v>2283</v>
      </c>
      <c r="B70" s="59"/>
      <c r="C70" s="1951"/>
      <c r="D70" s="1951"/>
      <c r="E70" s="1952"/>
      <c r="F70" s="1953"/>
      <c r="G70" s="1951"/>
      <c r="H70" s="1954"/>
      <c r="I70" s="1953"/>
      <c r="J70" s="1951"/>
      <c r="K70" s="1954"/>
      <c r="L70" s="1361"/>
    </row>
    <row r="71" spans="1:12" s="1340" customFormat="1" ht="13.5">
      <c r="A71" s="1120" t="s">
        <v>2284</v>
      </c>
      <c r="B71" s="59"/>
      <c r="C71" s="1951"/>
      <c r="D71" s="1951"/>
      <c r="E71" s="1952"/>
      <c r="F71" s="1953"/>
      <c r="G71" s="1951"/>
      <c r="H71" s="1954"/>
      <c r="I71" s="1953"/>
      <c r="J71" s="1951"/>
      <c r="K71" s="1954"/>
      <c r="L71" s="1361"/>
    </row>
    <row r="72" spans="1:12" s="1340" customFormat="1" ht="13.5">
      <c r="A72" s="1120" t="s">
        <v>2248</v>
      </c>
      <c r="B72" s="59"/>
      <c r="C72" s="1951"/>
      <c r="D72" s="1951"/>
      <c r="E72" s="1952"/>
      <c r="F72" s="1953"/>
      <c r="G72" s="1951"/>
      <c r="H72" s="1954"/>
      <c r="I72" s="1953"/>
      <c r="J72" s="1951"/>
      <c r="K72" s="1954"/>
      <c r="L72" s="1361"/>
    </row>
    <row r="73" spans="1:12" ht="4.9000000000000004" customHeight="1">
      <c r="A73" s="148"/>
      <c r="B73" s="59"/>
      <c r="C73" s="80"/>
      <c r="D73" s="80"/>
      <c r="E73" s="79"/>
      <c r="F73" s="82"/>
      <c r="G73" s="80"/>
      <c r="H73" s="81"/>
      <c r="I73" s="82"/>
      <c r="J73" s="80"/>
      <c r="K73" s="81"/>
      <c r="L73" s="240"/>
    </row>
    <row r="74" spans="1:12" ht="17.25" customHeight="1">
      <c r="A74" s="126" t="s">
        <v>2297</v>
      </c>
      <c r="B74" s="59"/>
      <c r="C74" s="264">
        <f>C75+C98</f>
        <v>5361114.28</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0" customFormat="1" ht="13.5">
      <c r="A75" s="127" t="s">
        <v>2298</v>
      </c>
      <c r="B75" s="59"/>
      <c r="C75" s="943">
        <f>SUM(C76:C97)</f>
        <v>0</v>
      </c>
      <c r="D75" s="943">
        <f t="shared" ref="D75:K75" si="11">SUM(D76:D97)</f>
        <v>0</v>
      </c>
      <c r="E75" s="1243">
        <f t="shared" si="11"/>
        <v>0</v>
      </c>
      <c r="F75" s="944">
        <f t="shared" si="11"/>
        <v>0</v>
      </c>
      <c r="G75" s="943">
        <f t="shared" si="11"/>
        <v>0</v>
      </c>
      <c r="H75" s="980">
        <f t="shared" si="11"/>
        <v>0</v>
      </c>
      <c r="I75" s="944">
        <f t="shared" si="11"/>
        <v>0</v>
      </c>
      <c r="J75" s="943">
        <f t="shared" si="11"/>
        <v>0</v>
      </c>
      <c r="K75" s="980">
        <f t="shared" si="11"/>
        <v>0</v>
      </c>
      <c r="L75" s="1361"/>
    </row>
    <row r="76" spans="1:12" ht="11.25" customHeight="1">
      <c r="A76" s="1120" t="s">
        <v>2299</v>
      </c>
      <c r="B76" s="59"/>
      <c r="C76" s="1951"/>
      <c r="D76" s="1951"/>
      <c r="E76" s="1952"/>
      <c r="F76" s="1953"/>
      <c r="G76" s="1951"/>
      <c r="H76" s="1954"/>
      <c r="I76" s="1953"/>
      <c r="J76" s="1951"/>
      <c r="K76" s="1954"/>
      <c r="L76" s="1361"/>
    </row>
    <row r="77" spans="1:12" ht="11.25" customHeight="1">
      <c r="A77" s="1120" t="s">
        <v>2300</v>
      </c>
      <c r="B77" s="59"/>
      <c r="C77" s="1951"/>
      <c r="D77" s="1951"/>
      <c r="E77" s="1952"/>
      <c r="F77" s="1953"/>
      <c r="G77" s="1951"/>
      <c r="H77" s="1954"/>
      <c r="I77" s="1953"/>
      <c r="J77" s="1951"/>
      <c r="K77" s="1954"/>
      <c r="L77" s="1361"/>
    </row>
    <row r="78" spans="1:12" ht="11.25" customHeight="1">
      <c r="A78" s="1120" t="s">
        <v>2301</v>
      </c>
      <c r="B78" s="59"/>
      <c r="C78" s="1951"/>
      <c r="D78" s="1951"/>
      <c r="E78" s="1952"/>
      <c r="F78" s="1953"/>
      <c r="G78" s="1951"/>
      <c r="H78" s="1954"/>
      <c r="I78" s="1953"/>
      <c r="J78" s="1951"/>
      <c r="K78" s="1954"/>
      <c r="L78" s="1361"/>
    </row>
    <row r="79" spans="1:12" ht="11.25" customHeight="1">
      <c r="A79" s="1120" t="s">
        <v>2302</v>
      </c>
      <c r="B79" s="59"/>
      <c r="C79" s="1951"/>
      <c r="D79" s="1951"/>
      <c r="E79" s="1952"/>
      <c r="F79" s="1953"/>
      <c r="G79" s="1951"/>
      <c r="H79" s="1954"/>
      <c r="I79" s="1953"/>
      <c r="J79" s="1951"/>
      <c r="K79" s="1954"/>
      <c r="L79" s="1361"/>
    </row>
    <row r="80" spans="1:12" ht="11.25" customHeight="1">
      <c r="A80" s="1120" t="s">
        <v>2303</v>
      </c>
      <c r="B80" s="59"/>
      <c r="C80" s="1951"/>
      <c r="D80" s="1951"/>
      <c r="E80" s="1952"/>
      <c r="F80" s="1953"/>
      <c r="G80" s="1951"/>
      <c r="H80" s="1954"/>
      <c r="I80" s="1953"/>
      <c r="J80" s="1951"/>
      <c r="K80" s="1954"/>
      <c r="L80" s="1361"/>
    </row>
    <row r="81" spans="1:15" ht="11.25" customHeight="1">
      <c r="A81" s="1120" t="s">
        <v>2304</v>
      </c>
      <c r="B81" s="59"/>
      <c r="C81" s="1951"/>
      <c r="D81" s="1951"/>
      <c r="E81" s="1952"/>
      <c r="F81" s="1953"/>
      <c r="G81" s="1951"/>
      <c r="H81" s="1954"/>
      <c r="I81" s="1953"/>
      <c r="J81" s="1951"/>
      <c r="K81" s="1954"/>
      <c r="L81" s="1361"/>
    </row>
    <row r="82" spans="1:15" ht="11.25" customHeight="1">
      <c r="A82" s="1120" t="s">
        <v>2305</v>
      </c>
      <c r="B82" s="59"/>
      <c r="C82" s="1951"/>
      <c r="D82" s="1951"/>
      <c r="E82" s="1952"/>
      <c r="F82" s="1953"/>
      <c r="G82" s="1951"/>
      <c r="H82" s="1954"/>
      <c r="I82" s="1953"/>
      <c r="J82" s="1951"/>
      <c r="K82" s="1954"/>
      <c r="L82" s="1361"/>
    </row>
    <row r="83" spans="1:15" ht="11.25" customHeight="1">
      <c r="A83" s="1120" t="s">
        <v>2306</v>
      </c>
      <c r="B83" s="59"/>
      <c r="C83" s="1951"/>
      <c r="D83" s="1951"/>
      <c r="E83" s="1952"/>
      <c r="F83" s="1953"/>
      <c r="G83" s="1951"/>
      <c r="H83" s="1954"/>
      <c r="I83" s="1953"/>
      <c r="J83" s="1951"/>
      <c r="K83" s="1954"/>
      <c r="L83" s="1361"/>
    </row>
    <row r="84" spans="1:15" ht="11.25" customHeight="1">
      <c r="A84" s="1120" t="s">
        <v>2307</v>
      </c>
      <c r="B84" s="59"/>
      <c r="C84" s="1951"/>
      <c r="D84" s="1951"/>
      <c r="E84" s="1952"/>
      <c r="F84" s="1953"/>
      <c r="G84" s="1951"/>
      <c r="H84" s="1954"/>
      <c r="I84" s="1953"/>
      <c r="J84" s="1951"/>
      <c r="K84" s="1954"/>
      <c r="L84" s="1361"/>
    </row>
    <row r="85" spans="1:15" ht="11.25" customHeight="1">
      <c r="A85" s="1120" t="s">
        <v>288</v>
      </c>
      <c r="B85" s="59"/>
      <c r="C85" s="1951"/>
      <c r="D85" s="1951"/>
      <c r="E85" s="1952"/>
      <c r="F85" s="1953"/>
      <c r="G85" s="1951"/>
      <c r="H85" s="1954"/>
      <c r="I85" s="1953"/>
      <c r="J85" s="1951"/>
      <c r="K85" s="1954"/>
      <c r="L85" s="1361"/>
    </row>
    <row r="86" spans="1:15" ht="11.25" customHeight="1">
      <c r="A86" s="1120" t="s">
        <v>2308</v>
      </c>
      <c r="B86" s="59"/>
      <c r="C86" s="1951"/>
      <c r="D86" s="1951"/>
      <c r="E86" s="1952"/>
      <c r="F86" s="1953"/>
      <c r="G86" s="1951"/>
      <c r="H86" s="1954"/>
      <c r="I86" s="1953"/>
      <c r="J86" s="1951"/>
      <c r="K86" s="1954"/>
      <c r="L86" s="1361"/>
    </row>
    <row r="87" spans="1:15" ht="11.25" customHeight="1">
      <c r="A87" s="1120" t="s">
        <v>1452</v>
      </c>
      <c r="B87" s="59"/>
      <c r="C87" s="1951"/>
      <c r="D87" s="1951"/>
      <c r="E87" s="1952"/>
      <c r="F87" s="1953"/>
      <c r="G87" s="1951"/>
      <c r="H87" s="1954"/>
      <c r="I87" s="1953"/>
      <c r="J87" s="1951"/>
      <c r="K87" s="1954"/>
      <c r="L87" s="1361"/>
    </row>
    <row r="88" spans="1:15" ht="11.25" customHeight="1">
      <c r="A88" s="1120" t="s">
        <v>2483</v>
      </c>
      <c r="B88" s="59"/>
      <c r="C88" s="1951"/>
      <c r="D88" s="1951"/>
      <c r="E88" s="1952"/>
      <c r="F88" s="1953"/>
      <c r="G88" s="1951"/>
      <c r="H88" s="1954"/>
      <c r="I88" s="1953"/>
      <c r="J88" s="1951"/>
      <c r="K88" s="1954"/>
      <c r="L88" s="1361"/>
    </row>
    <row r="89" spans="1:15" ht="11.25" customHeight="1">
      <c r="A89" s="1120" t="s">
        <v>2310</v>
      </c>
      <c r="B89" s="59"/>
      <c r="C89" s="1951"/>
      <c r="D89" s="1951"/>
      <c r="E89" s="1952"/>
      <c r="F89" s="1953"/>
      <c r="G89" s="1951"/>
      <c r="H89" s="1954"/>
      <c r="I89" s="1953"/>
      <c r="J89" s="1951"/>
      <c r="K89" s="1954"/>
      <c r="L89" s="1361"/>
    </row>
    <row r="90" spans="1:15" ht="11.25" customHeight="1">
      <c r="A90" s="1120" t="s">
        <v>2311</v>
      </c>
      <c r="B90" s="59"/>
      <c r="C90" s="1951"/>
      <c r="D90" s="1951"/>
      <c r="E90" s="1952"/>
      <c r="F90" s="1953"/>
      <c r="G90" s="1951"/>
      <c r="H90" s="1954"/>
      <c r="I90" s="1953"/>
      <c r="J90" s="1951"/>
      <c r="K90" s="1954"/>
      <c r="L90" s="1361"/>
    </row>
    <row r="91" spans="1:15" ht="11.25" customHeight="1">
      <c r="A91" s="1120" t="s">
        <v>2312</v>
      </c>
      <c r="B91" s="59"/>
      <c r="C91" s="1951"/>
      <c r="D91" s="1951"/>
      <c r="E91" s="1952"/>
      <c r="F91" s="1953"/>
      <c r="G91" s="1951"/>
      <c r="H91" s="1954"/>
      <c r="I91" s="1953"/>
      <c r="J91" s="1951"/>
      <c r="K91" s="1954"/>
      <c r="L91" s="1361"/>
    </row>
    <row r="92" spans="1:15" ht="11.25" customHeight="1">
      <c r="A92" s="1120" t="s">
        <v>1087</v>
      </c>
      <c r="B92" s="59"/>
      <c r="C92" s="1951"/>
      <c r="D92" s="1951"/>
      <c r="E92" s="1952"/>
      <c r="F92" s="1953"/>
      <c r="G92" s="1951"/>
      <c r="H92" s="1954"/>
      <c r="I92" s="1953"/>
      <c r="J92" s="1951"/>
      <c r="K92" s="1954"/>
      <c r="L92" s="1361"/>
    </row>
    <row r="93" spans="1:15" ht="11.25" customHeight="1">
      <c r="A93" s="1120" t="s">
        <v>2313</v>
      </c>
      <c r="B93" s="59"/>
      <c r="C93" s="1951"/>
      <c r="D93" s="1951"/>
      <c r="E93" s="1952"/>
      <c r="F93" s="1953"/>
      <c r="G93" s="1951"/>
      <c r="H93" s="1954"/>
      <c r="I93" s="1953"/>
      <c r="J93" s="1951"/>
      <c r="K93" s="1954"/>
      <c r="L93" s="1361"/>
      <c r="O93" s="240"/>
    </row>
    <row r="94" spans="1:15" ht="11.25" customHeight="1">
      <c r="A94" s="1120" t="s">
        <v>1086</v>
      </c>
      <c r="B94" s="59"/>
      <c r="C94" s="1951"/>
      <c r="D94" s="1951"/>
      <c r="E94" s="1952"/>
      <c r="F94" s="1953"/>
      <c r="G94" s="1951"/>
      <c r="H94" s="1954"/>
      <c r="I94" s="1953"/>
      <c r="J94" s="1951"/>
      <c r="K94" s="1954"/>
      <c r="L94" s="1361"/>
    </row>
    <row r="95" spans="1:15" ht="11.25" customHeight="1">
      <c r="A95" s="1120" t="s">
        <v>2314</v>
      </c>
      <c r="B95" s="59"/>
      <c r="C95" s="1951"/>
      <c r="D95" s="1951"/>
      <c r="E95" s="1952"/>
      <c r="F95" s="1953"/>
      <c r="G95" s="1951"/>
      <c r="H95" s="1954"/>
      <c r="I95" s="1953"/>
      <c r="J95" s="1951"/>
      <c r="K95" s="1954"/>
      <c r="L95" s="1361"/>
    </row>
    <row r="96" spans="1:15" ht="11.25" customHeight="1">
      <c r="A96" s="1120" t="s">
        <v>2315</v>
      </c>
      <c r="B96" s="59"/>
      <c r="C96" s="1951"/>
      <c r="D96" s="1951"/>
      <c r="E96" s="1952"/>
      <c r="F96" s="1953"/>
      <c r="G96" s="1951"/>
      <c r="H96" s="1954"/>
      <c r="I96" s="1953"/>
      <c r="J96" s="1951"/>
      <c r="K96" s="1954"/>
      <c r="L96" s="240"/>
    </row>
    <row r="97" spans="1:12" ht="11.25" customHeight="1">
      <c r="A97" s="1120" t="s">
        <v>2248</v>
      </c>
      <c r="B97" s="59"/>
      <c r="C97" s="1951"/>
      <c r="D97" s="1951"/>
      <c r="E97" s="1952"/>
      <c r="F97" s="1953"/>
      <c r="G97" s="1951"/>
      <c r="H97" s="1954"/>
      <c r="I97" s="1953"/>
      <c r="J97" s="1951"/>
      <c r="K97" s="1954"/>
      <c r="L97" s="1361"/>
    </row>
    <row r="98" spans="1:12" s="1340" customFormat="1" ht="13.5">
      <c r="A98" s="127" t="s">
        <v>2316</v>
      </c>
      <c r="B98" s="59"/>
      <c r="C98" s="900">
        <f>SUM(C99:C101)</f>
        <v>5361114.28</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c r="L98" s="1361"/>
    </row>
    <row r="99" spans="1:12" s="1340" customFormat="1" ht="13.5">
      <c r="A99" s="1120" t="s">
        <v>2317</v>
      </c>
      <c r="B99" s="59"/>
      <c r="C99" s="1951">
        <v>5361114.28</v>
      </c>
      <c r="D99" s="1951"/>
      <c r="E99" s="1952"/>
      <c r="F99" s="1953"/>
      <c r="G99" s="1951"/>
      <c r="H99" s="1954"/>
      <c r="I99" s="1953"/>
      <c r="J99" s="1951"/>
      <c r="K99" s="1954"/>
      <c r="L99" s="1360"/>
    </row>
    <row r="100" spans="1:12" s="1340" customFormat="1" ht="13.5">
      <c r="A100" s="1120" t="s">
        <v>2318</v>
      </c>
      <c r="B100" s="59"/>
      <c r="C100" s="1951"/>
      <c r="D100" s="1951"/>
      <c r="E100" s="1952"/>
      <c r="F100" s="1953"/>
      <c r="G100" s="1951"/>
      <c r="H100" s="1954"/>
      <c r="I100" s="1953"/>
      <c r="J100" s="1951"/>
      <c r="K100" s="1954"/>
      <c r="L100" s="1361"/>
    </row>
    <row r="101" spans="1:12" s="1340" customFormat="1" ht="13.5">
      <c r="A101" s="1120" t="s">
        <v>2248</v>
      </c>
      <c r="B101" s="59"/>
      <c r="C101" s="1951"/>
      <c r="D101" s="1951"/>
      <c r="E101" s="1952"/>
      <c r="F101" s="1953"/>
      <c r="G101" s="1951"/>
      <c r="H101" s="1954"/>
      <c r="I101" s="1953"/>
      <c r="J101" s="1951"/>
      <c r="K101" s="1954"/>
      <c r="L101" s="1361"/>
    </row>
    <row r="102" spans="1:12" ht="4.9000000000000004" customHeight="1">
      <c r="A102" s="148"/>
      <c r="B102" s="59"/>
      <c r="C102" s="80"/>
      <c r="D102" s="80"/>
      <c r="E102" s="79"/>
      <c r="F102" s="82"/>
      <c r="G102" s="80"/>
      <c r="H102" s="81"/>
      <c r="I102" s="82"/>
      <c r="J102" s="80"/>
      <c r="K102" s="81"/>
      <c r="L102" s="240"/>
    </row>
    <row r="103" spans="1:12" ht="17.25" customHeight="1">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c r="A104" s="127" t="s">
        <v>2319</v>
      </c>
      <c r="B104" s="59"/>
      <c r="C104" s="1951"/>
      <c r="D104" s="1951"/>
      <c r="E104" s="1952"/>
      <c r="F104" s="1953"/>
      <c r="G104" s="1951"/>
      <c r="H104" s="1954"/>
      <c r="I104" s="1953"/>
      <c r="J104" s="1951"/>
      <c r="K104" s="1954"/>
      <c r="L104" s="240"/>
    </row>
    <row r="105" spans="1:12" ht="11.25" customHeight="1">
      <c r="A105" s="131" t="s">
        <v>2320</v>
      </c>
      <c r="B105" s="59"/>
      <c r="C105" s="1951"/>
      <c r="D105" s="1951"/>
      <c r="E105" s="1952"/>
      <c r="F105" s="1953"/>
      <c r="G105" s="1951"/>
      <c r="H105" s="1954"/>
      <c r="I105" s="1953"/>
      <c r="J105" s="1951"/>
      <c r="K105" s="1954"/>
      <c r="L105" s="240"/>
    </row>
    <row r="106" spans="1:12" ht="11.25" customHeight="1">
      <c r="A106" s="127" t="s">
        <v>2321</v>
      </c>
      <c r="B106" s="59"/>
      <c r="C106" s="1951"/>
      <c r="D106" s="1951"/>
      <c r="E106" s="1952"/>
      <c r="F106" s="1953"/>
      <c r="G106" s="1951"/>
      <c r="H106" s="1954"/>
      <c r="I106" s="1953"/>
      <c r="J106" s="1951"/>
      <c r="K106" s="1954"/>
      <c r="L106" s="240"/>
    </row>
    <row r="107" spans="1:12" ht="11.25" customHeight="1">
      <c r="A107" s="127" t="s">
        <v>2322</v>
      </c>
      <c r="B107" s="59"/>
      <c r="C107" s="1951"/>
      <c r="D107" s="1951"/>
      <c r="E107" s="1952"/>
      <c r="F107" s="1953"/>
      <c r="G107" s="1951"/>
      <c r="H107" s="1954"/>
      <c r="I107" s="1953"/>
      <c r="J107" s="1951"/>
      <c r="K107" s="1954"/>
      <c r="L107" s="240"/>
    </row>
    <row r="108" spans="1:12" ht="11.25" customHeight="1">
      <c r="A108" s="131" t="s">
        <v>2323</v>
      </c>
      <c r="B108" s="59"/>
      <c r="C108" s="1951"/>
      <c r="D108" s="1951"/>
      <c r="E108" s="1952"/>
      <c r="F108" s="1953"/>
      <c r="G108" s="1951"/>
      <c r="H108" s="1954"/>
      <c r="I108" s="1953"/>
      <c r="J108" s="1951"/>
      <c r="K108" s="1954"/>
      <c r="L108" s="240"/>
    </row>
    <row r="109" spans="1:12" ht="4.9000000000000004" customHeight="1">
      <c r="A109" s="679"/>
      <c r="B109" s="59"/>
      <c r="C109" s="80"/>
      <c r="D109" s="80"/>
      <c r="E109" s="79"/>
      <c r="F109" s="82"/>
      <c r="G109" s="80"/>
      <c r="H109" s="81"/>
      <c r="I109" s="82"/>
      <c r="J109" s="80"/>
      <c r="K109" s="81"/>
      <c r="L109" s="240"/>
    </row>
    <row r="110" spans="1:12" ht="17.25" customHeight="1">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0" customFormat="1" ht="13.5">
      <c r="A111" s="127" t="s">
        <v>2353</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61"/>
    </row>
    <row r="112" spans="1:12" s="1340" customFormat="1" ht="13.5">
      <c r="A112" s="1120" t="s">
        <v>2354</v>
      </c>
      <c r="B112" s="59"/>
      <c r="C112" s="1951"/>
      <c r="D112" s="1951"/>
      <c r="E112" s="1952"/>
      <c r="F112" s="1953"/>
      <c r="G112" s="1951"/>
      <c r="H112" s="1954"/>
      <c r="I112" s="1953"/>
      <c r="J112" s="1951"/>
      <c r="K112" s="1954"/>
      <c r="L112" s="1360"/>
    </row>
    <row r="113" spans="1:12" s="1340" customFormat="1" ht="13.5">
      <c r="A113" s="1120" t="s">
        <v>2355</v>
      </c>
      <c r="B113" s="59"/>
      <c r="C113" s="1951"/>
      <c r="D113" s="1951"/>
      <c r="E113" s="1952"/>
      <c r="F113" s="1953"/>
      <c r="G113" s="1951"/>
      <c r="H113" s="1954"/>
      <c r="I113" s="1953"/>
      <c r="J113" s="1951"/>
      <c r="K113" s="1954"/>
      <c r="L113" s="1361"/>
    </row>
    <row r="114" spans="1:12" s="1340" customFormat="1" ht="13.5">
      <c r="A114" s="127" t="s">
        <v>2356</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61"/>
    </row>
    <row r="115" spans="1:12" s="1340" customFormat="1" ht="13.5">
      <c r="A115" s="1120" t="s">
        <v>2354</v>
      </c>
      <c r="B115" s="59"/>
      <c r="C115" s="1951"/>
      <c r="D115" s="1951"/>
      <c r="E115" s="1952"/>
      <c r="F115" s="1953"/>
      <c r="G115" s="1951"/>
      <c r="H115" s="1954"/>
      <c r="I115" s="1953"/>
      <c r="J115" s="1951"/>
      <c r="K115" s="1954"/>
      <c r="L115" s="1360"/>
    </row>
    <row r="116" spans="1:12" s="1340" customFormat="1" ht="13.5">
      <c r="A116" s="1120" t="s">
        <v>2355</v>
      </c>
      <c r="B116" s="59"/>
      <c r="C116" s="1951"/>
      <c r="D116" s="1951"/>
      <c r="E116" s="1952"/>
      <c r="F116" s="1953"/>
      <c r="G116" s="1951"/>
      <c r="H116" s="1954"/>
      <c r="I116" s="1953"/>
      <c r="J116" s="1951"/>
      <c r="K116" s="1954"/>
      <c r="L116" s="1361"/>
    </row>
    <row r="117" spans="1:12" ht="4.9000000000000004" customHeight="1">
      <c r="A117" s="679"/>
      <c r="B117" s="59"/>
      <c r="C117" s="80"/>
      <c r="D117" s="80"/>
      <c r="E117" s="79"/>
      <c r="F117" s="82"/>
      <c r="G117" s="80"/>
      <c r="H117" s="81"/>
      <c r="I117" s="82"/>
      <c r="J117" s="80"/>
      <c r="K117" s="81"/>
      <c r="L117" s="240"/>
    </row>
    <row r="118" spans="1:12" ht="17.25" customHeight="1">
      <c r="A118" s="672" t="s">
        <v>837</v>
      </c>
      <c r="B118" s="59"/>
      <c r="C118" s="95">
        <f>+C119+C131</f>
        <v>8579459.0999999996</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0" customFormat="1" ht="13.5">
      <c r="A119" s="127" t="s">
        <v>2324</v>
      </c>
      <c r="B119" s="59"/>
      <c r="C119" s="943">
        <f>SUM(C120:C130)</f>
        <v>8579459.0999999996</v>
      </c>
      <c r="D119" s="943">
        <f t="shared" ref="D119:K119" si="18">SUM(D120:D130)</f>
        <v>0</v>
      </c>
      <c r="E119" s="1243">
        <f t="shared" si="18"/>
        <v>0</v>
      </c>
      <c r="F119" s="944">
        <f t="shared" si="18"/>
        <v>0</v>
      </c>
      <c r="G119" s="943">
        <f t="shared" si="18"/>
        <v>0</v>
      </c>
      <c r="H119" s="980">
        <f t="shared" si="18"/>
        <v>0</v>
      </c>
      <c r="I119" s="944">
        <f t="shared" si="18"/>
        <v>0</v>
      </c>
      <c r="J119" s="943">
        <f t="shared" si="18"/>
        <v>0</v>
      </c>
      <c r="K119" s="980">
        <f t="shared" si="18"/>
        <v>0</v>
      </c>
      <c r="L119" s="1361"/>
    </row>
    <row r="120" spans="1:12" s="1340" customFormat="1" ht="13.5">
      <c r="A120" s="1120" t="s">
        <v>2325</v>
      </c>
      <c r="B120" s="59"/>
      <c r="C120" s="1951"/>
      <c r="D120" s="1951"/>
      <c r="E120" s="1952"/>
      <c r="F120" s="1953"/>
      <c r="G120" s="1951"/>
      <c r="H120" s="1954"/>
      <c r="I120" s="1953"/>
      <c r="J120" s="1951"/>
      <c r="K120" s="1954"/>
      <c r="L120" s="1360"/>
    </row>
    <row r="121" spans="1:12" s="1340" customFormat="1" ht="13.5">
      <c r="A121" s="1120" t="s">
        <v>2326</v>
      </c>
      <c r="B121" s="59"/>
      <c r="C121" s="1951"/>
      <c r="D121" s="1951"/>
      <c r="E121" s="1952"/>
      <c r="F121" s="1953"/>
      <c r="G121" s="1951"/>
      <c r="H121" s="1954"/>
      <c r="I121" s="1953"/>
      <c r="J121" s="1951"/>
      <c r="K121" s="1954"/>
      <c r="L121" s="1360"/>
    </row>
    <row r="122" spans="1:12" s="1340" customFormat="1" ht="13.5">
      <c r="A122" s="1120" t="s">
        <v>2327</v>
      </c>
      <c r="B122" s="59"/>
      <c r="C122" s="1951">
        <v>7141753</v>
      </c>
      <c r="D122" s="1951"/>
      <c r="E122" s="1952"/>
      <c r="F122" s="1953"/>
      <c r="G122" s="1951"/>
      <c r="H122" s="1954"/>
      <c r="I122" s="1953"/>
      <c r="J122" s="1951"/>
      <c r="K122" s="1954"/>
      <c r="L122" s="1360"/>
    </row>
    <row r="123" spans="1:12" s="1340" customFormat="1" ht="13.5">
      <c r="A123" s="1120" t="s">
        <v>2328</v>
      </c>
      <c r="B123" s="59"/>
      <c r="C123" s="1951"/>
      <c r="D123" s="1951"/>
      <c r="E123" s="1952"/>
      <c r="F123" s="1953"/>
      <c r="G123" s="1951"/>
      <c r="H123" s="1954"/>
      <c r="I123" s="1953"/>
      <c r="J123" s="1951"/>
      <c r="K123" s="1954"/>
      <c r="L123" s="1360"/>
    </row>
    <row r="124" spans="1:12" s="1340" customFormat="1" ht="13.5">
      <c r="A124" s="1120" t="s">
        <v>2329</v>
      </c>
      <c r="B124" s="59"/>
      <c r="C124" s="1951"/>
      <c r="D124" s="1951"/>
      <c r="E124" s="1952"/>
      <c r="F124" s="1953"/>
      <c r="G124" s="1951"/>
      <c r="H124" s="1954"/>
      <c r="I124" s="1953"/>
      <c r="J124" s="1951"/>
      <c r="K124" s="1954"/>
      <c r="L124" s="1360"/>
    </row>
    <row r="125" spans="1:12" s="1340" customFormat="1" ht="13.5">
      <c r="A125" s="1120" t="s">
        <v>2330</v>
      </c>
      <c r="B125" s="59"/>
      <c r="C125" s="1951"/>
      <c r="D125" s="1951"/>
      <c r="E125" s="1952"/>
      <c r="F125" s="1953"/>
      <c r="G125" s="1951"/>
      <c r="H125" s="1954"/>
      <c r="I125" s="1953"/>
      <c r="J125" s="1951"/>
      <c r="K125" s="1954"/>
      <c r="L125" s="1360"/>
    </row>
    <row r="126" spans="1:12" s="1340" customFormat="1" ht="13.5">
      <c r="A126" s="1120" t="s">
        <v>2331</v>
      </c>
      <c r="B126" s="59"/>
      <c r="C126" s="1951"/>
      <c r="D126" s="1951"/>
      <c r="E126" s="1952"/>
      <c r="F126" s="1953"/>
      <c r="G126" s="1951"/>
      <c r="H126" s="1954"/>
      <c r="I126" s="1953"/>
      <c r="J126" s="1951"/>
      <c r="K126" s="1954"/>
      <c r="L126" s="1360"/>
    </row>
    <row r="127" spans="1:12" s="1340" customFormat="1" ht="13.5">
      <c r="A127" s="1120" t="s">
        <v>2332</v>
      </c>
      <c r="B127" s="59"/>
      <c r="C127" s="1951"/>
      <c r="D127" s="1951"/>
      <c r="E127" s="1952"/>
      <c r="F127" s="1953"/>
      <c r="G127" s="1951"/>
      <c r="H127" s="1954"/>
      <c r="I127" s="1953"/>
      <c r="J127" s="1951"/>
      <c r="K127" s="1954"/>
      <c r="L127" s="1360"/>
    </row>
    <row r="128" spans="1:12" s="1340" customFormat="1" ht="13.5">
      <c r="A128" s="1120" t="s">
        <v>2333</v>
      </c>
      <c r="B128" s="59"/>
      <c r="C128" s="1951"/>
      <c r="D128" s="1951"/>
      <c r="E128" s="1952"/>
      <c r="F128" s="1953"/>
      <c r="G128" s="1951"/>
      <c r="H128" s="1954"/>
      <c r="I128" s="1953"/>
      <c r="J128" s="1951"/>
      <c r="K128" s="1954"/>
      <c r="L128" s="1360"/>
    </row>
    <row r="129" spans="1:12" s="1340" customFormat="1" ht="13.5">
      <c r="A129" s="1120" t="s">
        <v>2334</v>
      </c>
      <c r="B129" s="59"/>
      <c r="C129" s="1951"/>
      <c r="D129" s="1951"/>
      <c r="E129" s="1952"/>
      <c r="F129" s="1953"/>
      <c r="G129" s="1951"/>
      <c r="H129" s="1954"/>
      <c r="I129" s="1953"/>
      <c r="J129" s="1951"/>
      <c r="K129" s="1954"/>
      <c r="L129" s="1360"/>
    </row>
    <row r="130" spans="1:12" s="1340" customFormat="1" ht="13.5">
      <c r="A130" s="1120" t="s">
        <v>2248</v>
      </c>
      <c r="B130" s="59"/>
      <c r="C130" s="1951">
        <v>1437706.1</v>
      </c>
      <c r="D130" s="1951"/>
      <c r="E130" s="1952"/>
      <c r="F130" s="1953"/>
      <c r="G130" s="1951"/>
      <c r="H130" s="1954"/>
      <c r="I130" s="1953"/>
      <c r="J130" s="1951"/>
      <c r="K130" s="1954"/>
      <c r="L130" s="1360"/>
    </row>
    <row r="131" spans="1:12" s="1340" customFormat="1" ht="13.5">
      <c r="A131" s="127" t="s">
        <v>1493</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60"/>
    </row>
    <row r="132" spans="1:12" s="1340" customFormat="1" ht="13.5">
      <c r="A132" s="1120" t="s">
        <v>2335</v>
      </c>
      <c r="B132" s="59"/>
      <c r="C132" s="1951"/>
      <c r="D132" s="1951"/>
      <c r="E132" s="1952"/>
      <c r="F132" s="1953"/>
      <c r="G132" s="1951"/>
      <c r="H132" s="1954"/>
      <c r="I132" s="1953"/>
      <c r="J132" s="1951"/>
      <c r="K132" s="1954"/>
      <c r="L132" s="1360"/>
    </row>
    <row r="133" spans="1:12" s="1340" customFormat="1" ht="13.5">
      <c r="A133" s="1120" t="s">
        <v>2336</v>
      </c>
      <c r="B133" s="59"/>
      <c r="C133" s="1951"/>
      <c r="D133" s="1951"/>
      <c r="E133" s="1952"/>
      <c r="F133" s="1953"/>
      <c r="G133" s="1951"/>
      <c r="H133" s="1954"/>
      <c r="I133" s="1953"/>
      <c r="J133" s="1951"/>
      <c r="K133" s="1954"/>
      <c r="L133" s="1360"/>
    </row>
    <row r="134" spans="1:12" s="1340" customFormat="1" ht="13.5">
      <c r="A134" s="1120" t="s">
        <v>2248</v>
      </c>
      <c r="B134" s="59"/>
      <c r="C134" s="1951"/>
      <c r="D134" s="1951"/>
      <c r="E134" s="1952"/>
      <c r="F134" s="1953"/>
      <c r="G134" s="1951"/>
      <c r="H134" s="1954"/>
      <c r="I134" s="1953"/>
      <c r="J134" s="1951"/>
      <c r="K134" s="1954"/>
      <c r="L134" s="1360"/>
    </row>
    <row r="135" spans="1:12" ht="4.9000000000000004" customHeight="1">
      <c r="A135" s="706"/>
      <c r="B135" s="59"/>
      <c r="C135" s="80"/>
      <c r="D135" s="80"/>
      <c r="E135" s="79"/>
      <c r="F135" s="82"/>
      <c r="G135" s="80"/>
      <c r="H135" s="81"/>
      <c r="I135" s="82"/>
      <c r="J135" s="80"/>
      <c r="K135" s="81"/>
      <c r="L135" s="240"/>
    </row>
    <row r="136" spans="1:12" ht="13.5" customHeight="1">
      <c r="A136" s="126" t="s">
        <v>2337</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c r="A137" s="127" t="s">
        <v>2337</v>
      </c>
      <c r="B137" s="59"/>
      <c r="C137" s="1951"/>
      <c r="D137" s="1951"/>
      <c r="E137" s="1952"/>
      <c r="F137" s="1953"/>
      <c r="G137" s="1951"/>
      <c r="H137" s="1954"/>
      <c r="I137" s="1953"/>
      <c r="J137" s="1951"/>
      <c r="K137" s="1954"/>
      <c r="L137" s="240"/>
    </row>
    <row r="138" spans="1:12" ht="4.9000000000000004" customHeight="1">
      <c r="A138" s="148"/>
      <c r="B138" s="59"/>
      <c r="C138" s="80"/>
      <c r="D138" s="80"/>
      <c r="E138" s="79"/>
      <c r="F138" s="82"/>
      <c r="G138" s="80"/>
      <c r="H138" s="81"/>
      <c r="I138" s="82"/>
      <c r="J138" s="80"/>
      <c r="K138" s="81"/>
      <c r="L138" s="240"/>
    </row>
    <row r="139" spans="1:12" ht="17.25" customHeight="1">
      <c r="A139" s="126" t="s">
        <v>2340</v>
      </c>
      <c r="B139" s="59"/>
      <c r="C139" s="80">
        <f>+C140+C141</f>
        <v>631368</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c r="A140" s="131" t="s">
        <v>2338</v>
      </c>
      <c r="B140" s="59"/>
      <c r="C140" s="1951"/>
      <c r="D140" s="1951"/>
      <c r="E140" s="1952"/>
      <c r="F140" s="1953"/>
      <c r="G140" s="1951"/>
      <c r="H140" s="1954"/>
      <c r="I140" s="1953"/>
      <c r="J140" s="1951"/>
      <c r="K140" s="1954"/>
      <c r="L140" s="240"/>
    </row>
    <row r="141" spans="1:12" ht="11.25" customHeight="1">
      <c r="A141" s="131" t="s">
        <v>2339</v>
      </c>
      <c r="B141" s="59"/>
      <c r="C141" s="900">
        <f>SUM(C142:C147)</f>
        <v>631368</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c r="L141" s="240"/>
    </row>
    <row r="142" spans="1:12" s="1340" customFormat="1" ht="13.5">
      <c r="A142" s="1120" t="s">
        <v>2341</v>
      </c>
      <c r="B142" s="59"/>
      <c r="C142" s="1951"/>
      <c r="D142" s="1951"/>
      <c r="E142" s="1952"/>
      <c r="F142" s="1953"/>
      <c r="G142" s="1951"/>
      <c r="H142" s="1954"/>
      <c r="I142" s="1953"/>
      <c r="J142" s="1951"/>
      <c r="K142" s="1954"/>
      <c r="L142" s="1360"/>
    </row>
    <row r="143" spans="1:12" s="1340" customFormat="1" ht="13.5">
      <c r="A143" s="1120" t="s">
        <v>2342</v>
      </c>
      <c r="B143" s="59"/>
      <c r="C143" s="1951"/>
      <c r="D143" s="1951"/>
      <c r="E143" s="1952"/>
      <c r="F143" s="1953"/>
      <c r="G143" s="1951"/>
      <c r="H143" s="1954"/>
      <c r="I143" s="1953"/>
      <c r="J143" s="1951"/>
      <c r="K143" s="1954"/>
      <c r="L143" s="1360"/>
    </row>
    <row r="144" spans="1:12" s="1340" customFormat="1" ht="13.5">
      <c r="A144" s="1120" t="s">
        <v>2343</v>
      </c>
      <c r="B144" s="59"/>
      <c r="C144" s="1951"/>
      <c r="D144" s="1951"/>
      <c r="E144" s="1952"/>
      <c r="F144" s="1953"/>
      <c r="G144" s="1951"/>
      <c r="H144" s="1954"/>
      <c r="I144" s="1953"/>
      <c r="J144" s="1951"/>
      <c r="K144" s="1954"/>
      <c r="L144" s="1360"/>
    </row>
    <row r="145" spans="1:12" s="1340" customFormat="1" ht="13.5">
      <c r="A145" s="1120" t="s">
        <v>2344</v>
      </c>
      <c r="B145" s="59"/>
      <c r="C145" s="1951">
        <v>631368</v>
      </c>
      <c r="D145" s="1951"/>
      <c r="E145" s="1952"/>
      <c r="F145" s="1953"/>
      <c r="G145" s="1951"/>
      <c r="H145" s="1954"/>
      <c r="I145" s="1953"/>
      <c r="J145" s="1951"/>
      <c r="K145" s="1954"/>
      <c r="L145" s="1360"/>
    </row>
    <row r="146" spans="1:12" s="1340" customFormat="1" ht="13.5">
      <c r="A146" s="1120" t="s">
        <v>2345</v>
      </c>
      <c r="B146" s="59"/>
      <c r="C146" s="1951"/>
      <c r="D146" s="1951"/>
      <c r="E146" s="1952"/>
      <c r="F146" s="1953"/>
      <c r="G146" s="1951"/>
      <c r="H146" s="1954"/>
      <c r="I146" s="1953"/>
      <c r="J146" s="1951"/>
      <c r="K146" s="1954"/>
      <c r="L146" s="1360"/>
    </row>
    <row r="147" spans="1:12" s="1340" customFormat="1" ht="13.5">
      <c r="A147" s="1120" t="s">
        <v>2346</v>
      </c>
      <c r="B147" s="59"/>
      <c r="C147" s="1951"/>
      <c r="D147" s="1951"/>
      <c r="E147" s="1952"/>
      <c r="F147" s="1953"/>
      <c r="G147" s="1951"/>
      <c r="H147" s="1954"/>
      <c r="I147" s="1953"/>
      <c r="J147" s="1951"/>
      <c r="K147" s="1954"/>
      <c r="L147" s="1360"/>
    </row>
    <row r="148" spans="1:12" ht="4.9000000000000004" customHeight="1">
      <c r="A148" s="148"/>
      <c r="B148" s="59"/>
      <c r="C148" s="95"/>
      <c r="D148" s="95"/>
      <c r="E148" s="94"/>
      <c r="F148" s="97"/>
      <c r="G148" s="95"/>
      <c r="H148" s="96"/>
      <c r="I148" s="97"/>
      <c r="J148" s="95"/>
      <c r="K148" s="96"/>
      <c r="L148" s="240"/>
    </row>
    <row r="149" spans="1:12" ht="13.5" customHeight="1">
      <c r="A149" s="126" t="s">
        <v>2347</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c r="A150" s="127" t="s">
        <v>2347</v>
      </c>
      <c r="B150" s="59"/>
      <c r="C150" s="1951"/>
      <c r="D150" s="1951"/>
      <c r="E150" s="1952"/>
      <c r="F150" s="1953"/>
      <c r="G150" s="1951"/>
      <c r="H150" s="1954"/>
      <c r="I150" s="1953"/>
      <c r="J150" s="1951"/>
      <c r="K150" s="1954"/>
      <c r="L150" s="240"/>
    </row>
    <row r="151" spans="1:12" ht="4.9000000000000004" customHeight="1">
      <c r="A151" s="148"/>
      <c r="B151" s="59"/>
      <c r="C151" s="80"/>
      <c r="D151" s="80"/>
      <c r="E151" s="79"/>
      <c r="F151" s="82"/>
      <c r="G151" s="80"/>
      <c r="H151" s="81"/>
      <c r="I151" s="82"/>
      <c r="J151" s="80"/>
      <c r="K151" s="81"/>
      <c r="L151" s="240"/>
    </row>
    <row r="152" spans="1:12" ht="13.5" customHeight="1">
      <c r="A152" s="126" t="s">
        <v>2348</v>
      </c>
      <c r="B152" s="59"/>
      <c r="C152" s="80">
        <f t="shared" ref="C152:K152" si="24">SUM(C153:C153)</f>
        <v>7896933.1392982453</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c r="A153" s="127" t="s">
        <v>2348</v>
      </c>
      <c r="B153" s="59"/>
      <c r="C153" s="1951">
        <v>7896933.1392982453</v>
      </c>
      <c r="D153" s="1951"/>
      <c r="E153" s="1952"/>
      <c r="F153" s="1953"/>
      <c r="G153" s="1951"/>
      <c r="H153" s="1954"/>
      <c r="I153" s="1953"/>
      <c r="J153" s="1951"/>
      <c r="K153" s="1954"/>
      <c r="L153" s="240"/>
    </row>
    <row r="154" spans="1:12" ht="4.9000000000000004" customHeight="1">
      <c r="A154" s="148"/>
      <c r="B154" s="59"/>
      <c r="C154" s="80"/>
      <c r="D154" s="80"/>
      <c r="E154" s="79"/>
      <c r="F154" s="82"/>
      <c r="G154" s="80"/>
      <c r="H154" s="81"/>
      <c r="I154" s="82"/>
      <c r="J154" s="80"/>
      <c r="K154" s="81"/>
      <c r="L154" s="240"/>
    </row>
    <row r="155" spans="1:12" ht="13.5" customHeight="1">
      <c r="A155" s="126" t="s">
        <v>2349</v>
      </c>
      <c r="B155" s="59"/>
      <c r="C155" s="80">
        <f t="shared" ref="C155:K155" si="25">SUM(C156:C156)</f>
        <v>0</v>
      </c>
      <c r="D155" s="80">
        <f t="shared" si="25"/>
        <v>0</v>
      </c>
      <c r="E155" s="79">
        <f t="shared" si="25"/>
        <v>0</v>
      </c>
      <c r="F155" s="82">
        <f t="shared" si="25"/>
        <v>5000000</v>
      </c>
      <c r="G155" s="80">
        <f t="shared" si="25"/>
        <v>6850000</v>
      </c>
      <c r="H155" s="81">
        <f t="shared" si="25"/>
        <v>6850000</v>
      </c>
      <c r="I155" s="82">
        <f t="shared" si="25"/>
        <v>0</v>
      </c>
      <c r="J155" s="80">
        <f t="shared" si="25"/>
        <v>0</v>
      </c>
      <c r="K155" s="81">
        <f t="shared" si="25"/>
        <v>0</v>
      </c>
      <c r="L155" s="240"/>
    </row>
    <row r="156" spans="1:12" ht="11.25" customHeight="1">
      <c r="A156" s="127" t="s">
        <v>2349</v>
      </c>
      <c r="B156" s="59"/>
      <c r="C156" s="1951"/>
      <c r="D156" s="1951"/>
      <c r="E156" s="1952"/>
      <c r="F156" s="2747">
        <v>5000000</v>
      </c>
      <c r="G156" s="2746">
        <v>6850000</v>
      </c>
      <c r="H156" s="2772">
        <v>6850000</v>
      </c>
      <c r="I156" s="1953"/>
      <c r="J156" s="1951"/>
      <c r="K156" s="1954"/>
      <c r="L156" s="240"/>
    </row>
    <row r="157" spans="1:12" ht="4.9000000000000004" customHeight="1">
      <c r="A157" s="148"/>
      <c r="B157" s="59"/>
      <c r="C157" s="80"/>
      <c r="D157" s="80"/>
      <c r="E157" s="79"/>
      <c r="F157" s="82"/>
      <c r="G157" s="80"/>
      <c r="H157" s="81"/>
      <c r="I157" s="82"/>
      <c r="J157" s="80"/>
      <c r="K157" s="81"/>
      <c r="L157" s="240"/>
    </row>
    <row r="158" spans="1:12" ht="13.5" customHeight="1">
      <c r="A158" s="126" t="s">
        <v>2350</v>
      </c>
      <c r="B158" s="59"/>
      <c r="C158" s="80">
        <f t="shared" ref="C158:K158" si="26">SUM(C159:C159)</f>
        <v>1180900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c r="A159" s="127" t="s">
        <v>2350</v>
      </c>
      <c r="B159" s="59"/>
      <c r="C159" s="1951">
        <v>1180900</v>
      </c>
      <c r="D159" s="1951"/>
      <c r="E159" s="1952"/>
      <c r="F159" s="1953"/>
      <c r="G159" s="1951"/>
      <c r="H159" s="1954"/>
      <c r="I159" s="1953"/>
      <c r="J159" s="1951"/>
      <c r="K159" s="1954"/>
      <c r="L159" s="240"/>
    </row>
    <row r="160" spans="1:12" ht="4.9000000000000004" customHeight="1">
      <c r="A160" s="148"/>
      <c r="B160" s="59"/>
      <c r="C160" s="80"/>
      <c r="D160" s="80"/>
      <c r="E160" s="79"/>
      <c r="F160" s="82"/>
      <c r="G160" s="80"/>
      <c r="H160" s="81"/>
      <c r="I160" s="82"/>
      <c r="J160" s="80"/>
      <c r="K160" s="81"/>
      <c r="L160" s="240"/>
    </row>
    <row r="161" spans="1:12" ht="13.5" customHeight="1">
      <c r="A161" s="126" t="s">
        <v>2485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c r="A162" s="127" t="s">
        <v>2485</v>
      </c>
      <c r="B162" s="59"/>
      <c r="C162" s="1951"/>
      <c r="D162" s="1951"/>
      <c r="E162" s="1952"/>
      <c r="F162" s="1953"/>
      <c r="G162" s="1951"/>
      <c r="H162" s="1954"/>
      <c r="I162" s="1953"/>
      <c r="J162" s="1951"/>
      <c r="K162" s="1954"/>
      <c r="L162" s="240"/>
    </row>
    <row r="163" spans="1:12" ht="4.9000000000000004" customHeight="1">
      <c r="A163" s="148"/>
      <c r="B163" s="59"/>
      <c r="C163" s="80"/>
      <c r="D163" s="80"/>
      <c r="E163" s="79"/>
      <c r="F163" s="82"/>
      <c r="G163" s="80"/>
      <c r="H163" s="81"/>
      <c r="I163" s="82"/>
      <c r="J163" s="80"/>
      <c r="K163" s="81"/>
      <c r="L163" s="240"/>
    </row>
    <row r="164" spans="1:12" ht="13.5" customHeight="1">
      <c r="A164" s="126" t="s">
        <v>2351</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c r="A165" s="127" t="s">
        <v>2351</v>
      </c>
      <c r="B165" s="59"/>
      <c r="C165" s="1951"/>
      <c r="D165" s="1951"/>
      <c r="E165" s="1952"/>
      <c r="F165" s="1953"/>
      <c r="G165" s="1951"/>
      <c r="H165" s="1954"/>
      <c r="I165" s="1953"/>
      <c r="J165" s="1951"/>
      <c r="K165" s="1954"/>
      <c r="L165" s="240"/>
    </row>
    <row r="166" spans="1:12" ht="4.9000000000000004" customHeight="1">
      <c r="A166" s="148"/>
      <c r="B166" s="59"/>
      <c r="C166" s="80"/>
      <c r="D166" s="80"/>
      <c r="E166" s="79"/>
      <c r="F166" s="82"/>
      <c r="G166" s="80"/>
      <c r="H166" s="81"/>
      <c r="I166" s="82"/>
      <c r="J166" s="80"/>
      <c r="K166" s="81"/>
      <c r="L166" s="240"/>
    </row>
    <row r="167" spans="1:12">
      <c r="A167" s="155" t="s">
        <v>1077</v>
      </c>
      <c r="B167" s="102">
        <v>1</v>
      </c>
      <c r="C167" s="107">
        <f>C6+C74+C103+C110+C118+C136+C139+C149+C152+C155+C158+C161+C164</f>
        <v>26759823.639298245</v>
      </c>
      <c r="D167" s="107">
        <f t="shared" ref="D167:K167" si="29">D6+D74+D103+D110+D118+D136+D139+D149+D152+D155+D158+D161+D164</f>
        <v>0</v>
      </c>
      <c r="E167" s="108">
        <f t="shared" si="29"/>
        <v>0</v>
      </c>
      <c r="F167" s="106">
        <f t="shared" si="29"/>
        <v>8000001</v>
      </c>
      <c r="G167" s="107">
        <f t="shared" si="29"/>
        <v>13254835</v>
      </c>
      <c r="H167" s="105">
        <f t="shared" si="29"/>
        <v>13254835</v>
      </c>
      <c r="I167" s="106">
        <f t="shared" si="29"/>
        <v>600000</v>
      </c>
      <c r="J167" s="107">
        <f t="shared" si="29"/>
        <v>0</v>
      </c>
      <c r="K167" s="105">
        <f t="shared" si="29"/>
        <v>0</v>
      </c>
      <c r="L167" s="240"/>
    </row>
    <row r="168" spans="1:12" s="233" customFormat="1" ht="3.75" customHeight="1">
      <c r="A168" s="198"/>
      <c r="B168" s="298"/>
      <c r="C168" s="1158"/>
      <c r="D168" s="1158"/>
      <c r="E168" s="1158"/>
      <c r="F168" s="1157"/>
      <c r="G168" s="1158"/>
      <c r="H168" s="1156"/>
      <c r="I168" s="1157"/>
      <c r="J168" s="1158"/>
      <c r="K168" s="1156"/>
    </row>
    <row r="169" spans="1:12" s="576" customFormat="1">
      <c r="A169" s="1748" t="s">
        <v>1711</v>
      </c>
      <c r="B169" s="1749"/>
      <c r="C169" s="1750">
        <f>IF(ISERROR(C167/'A9-Asset'!C69),0,(C167/'A9-Asset'!C69))</f>
        <v>0</v>
      </c>
      <c r="D169" s="1750">
        <f>IF(ISERROR(D167/'A9-Asset'!D132),0,(D167/'A9-Asset'!D132))</f>
        <v>0</v>
      </c>
      <c r="E169" s="1753">
        <f>IF(ISERROR(E167/'A9-Asset'!E132),0,(E167/'A9-Asset'!E132))</f>
        <v>0</v>
      </c>
      <c r="F169" s="1752">
        <f>IF(ISERROR(F167/'A9-Asset'!F132),0,(F167/'A9-Asset'!F132))</f>
        <v>5.6053876400783569E-2</v>
      </c>
      <c r="G169" s="1750">
        <f>IF(ISERROR(G167/'A9-Asset'!G132),0,(G167/'A9-Asset'!G132))</f>
        <v>8.5851398169116314E-2</v>
      </c>
      <c r="H169" s="1751">
        <f>IF(ISERROR(H167/'A9-Asset'!H132),0,(H167/'A9-Asset'!H132))</f>
        <v>8.5851398169116314E-2</v>
      </c>
      <c r="I169" s="1754">
        <f>IF(ISERROR(I167/'A9-Asset'!I132),0,(I167/'A9-Asset'!I132))</f>
        <v>4.5810951184232177E-3</v>
      </c>
      <c r="J169" s="1750">
        <f>IF(ISERROR(J167/'A9-Asset'!J132),0,(J167/'A9-Asset'!J132))</f>
        <v>0</v>
      </c>
      <c r="K169" s="1751">
        <f>IF(ISERROR(K167/'A9-Asset'!K132),0,(K167/'A9-Asset'!K132))</f>
        <v>0</v>
      </c>
      <c r="L169" s="1362"/>
    </row>
    <row r="170" spans="1:12" s="576" customFormat="1" ht="11.25" customHeight="1">
      <c r="A170" s="1741" t="s">
        <v>1262</v>
      </c>
      <c r="B170" s="1742"/>
      <c r="C170" s="1743">
        <f>IF(ISERROR(C167/'A9-Asset'!C168),0,(C167/'A9-Asset'!C168))</f>
        <v>0.2055081748349914</v>
      </c>
      <c r="D170" s="1743">
        <f>IF(ISERROR(D167/'A9-Asset'!D168),0,(D167/'A9-Asset'!D168))</f>
        <v>0</v>
      </c>
      <c r="E170" s="1746">
        <f>IF(ISERROR(E167/'A9-Asset'!E168),0,(E167/'A9-Asset'!E168))</f>
        <v>0</v>
      </c>
      <c r="F170" s="1745">
        <f>IF(ISERROR(F167/'A9-Asset'!F168),0,(F167/'A9-Asset'!F168))</f>
        <v>5.9614075069148779E-2</v>
      </c>
      <c r="G170" s="1743">
        <f>IF(ISERROR(G167/'A9-Asset'!G168),0,(G167/'A9-Asset'!G168))</f>
        <v>0.10189521305627945</v>
      </c>
      <c r="H170" s="1744">
        <f>IF(ISERROR(H167/'A9-Asset'!H168),0,(H167/'A9-Asset'!H168))</f>
        <v>0.10196026923076923</v>
      </c>
      <c r="I170" s="1747">
        <f>IF(ISERROR(I167/'A9-Asset'!I168),0,(I167/'A9-Asset'!I168))</f>
        <v>4.5122686214877222E-3</v>
      </c>
      <c r="J170" s="1743">
        <f>IF(ISERROR(J167/'A9-Asset'!J168),0,(J167/'A9-Asset'!J168))</f>
        <v>0</v>
      </c>
      <c r="K170" s="1744">
        <f>IF(ISERROR(K167/'A9-Asset'!K168),0,(K167/'A9-Asset'!K168))</f>
        <v>0</v>
      </c>
      <c r="L170" s="923"/>
    </row>
    <row r="171" spans="1:12" s="576" customFormat="1" ht="11.25" customHeight="1">
      <c r="A171" s="1092" t="str">
        <f>head27a</f>
        <v>References</v>
      </c>
      <c r="B171" s="874"/>
      <c r="C171" s="878"/>
      <c r="D171" s="878"/>
      <c r="E171" s="878"/>
      <c r="F171" s="878"/>
      <c r="G171" s="878"/>
      <c r="H171" s="878"/>
      <c r="I171" s="878"/>
      <c r="J171" s="878"/>
      <c r="K171" s="878"/>
    </row>
    <row r="172" spans="1:12" s="576" customFormat="1" ht="11.25" customHeight="1">
      <c r="A172" s="1093" t="s">
        <v>2369</v>
      </c>
      <c r="B172" s="874"/>
      <c r="C172" s="877"/>
      <c r="D172" s="877"/>
      <c r="E172" s="878"/>
      <c r="F172" s="878"/>
      <c r="G172" s="878"/>
      <c r="H172" s="878"/>
      <c r="I172" s="878"/>
      <c r="J172" s="878"/>
      <c r="K172" s="878"/>
    </row>
    <row r="173" spans="1:12" ht="11.25" customHeight="1">
      <c r="A173" s="896"/>
      <c r="B173" s="874"/>
      <c r="C173" s="877"/>
      <c r="D173" s="877"/>
      <c r="E173" s="878"/>
      <c r="F173" s="878"/>
      <c r="G173" s="878"/>
      <c r="H173" s="878"/>
      <c r="I173" s="878"/>
      <c r="J173" s="878"/>
      <c r="K173" s="878"/>
    </row>
    <row r="174" spans="1:12" ht="11.25" customHeight="1">
      <c r="A174" s="123"/>
      <c r="B174" s="113"/>
      <c r="C174" s="117"/>
      <c r="D174" s="117"/>
      <c r="E174" s="118"/>
      <c r="F174" s="118"/>
      <c r="G174" s="118"/>
      <c r="H174" s="118"/>
      <c r="I174" s="118"/>
      <c r="J174" s="118"/>
      <c r="K174" s="118"/>
    </row>
    <row r="175" spans="1:12" ht="11.25" customHeight="1">
      <c r="A175" s="162" t="s">
        <v>248</v>
      </c>
      <c r="B175" s="120"/>
      <c r="C175" s="314">
        <f>SUM(C167+SA34a!C167++SA34e!C167)-'A5-Capex'!C40</f>
        <v>0.92701753973960876</v>
      </c>
      <c r="D175" s="314"/>
      <c r="E175" s="314">
        <f>SUM(E167+SA34a!E167++SA34e!E167)-'A5-Capex'!E40</f>
        <v>1.0986956506967545</v>
      </c>
      <c r="F175" s="314">
        <f>SUM(F167+SA34a!F167++SA34e!F167)-'A5-Capex'!F40</f>
        <v>3</v>
      </c>
      <c r="G175" s="314">
        <f>SUM(G167+SA34a!G167++SA34e!G167)-'A5-Capex'!G40</f>
        <v>3</v>
      </c>
      <c r="H175" s="314">
        <f>SUM(H167+SA34a!H167++SA34e!H167)-'A5-Capex'!H40</f>
        <v>3</v>
      </c>
      <c r="I175" s="314">
        <f>SUM(I167+SA34a!I167++SA34e!I167)-'A5-Capex'!J40</f>
        <v>0</v>
      </c>
      <c r="J175" s="314">
        <f>SUM(J167+SA34a!J167++SA34e!J167)-'A5-Capex'!K40</f>
        <v>0</v>
      </c>
      <c r="K175" s="314">
        <f>SUM(K167+SA34a!K167++SA34e!K167)-'A5-Capex'!L40</f>
        <v>0</v>
      </c>
    </row>
    <row r="176" spans="1:12"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sheetData>
  <mergeCells count="2">
    <mergeCell ref="F2:H2"/>
    <mergeCell ref="I2:K2"/>
  </mergeCells>
  <phoneticPr fontId="5"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63" activePane="bottomRight" state="frozen"/>
      <selection pane="topRight"/>
      <selection pane="bottomLeft"/>
      <selection pane="bottomRight" activeCell="C13" sqref="C13:E13"/>
    </sheetView>
  </sheetViews>
  <sheetFormatPr defaultColWidth="9.140625"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"&amp;TableA34c</f>
        <v>LIM333 Greater Tzaneen - Supporting Table SA34c Consolidated repairs and maintenance by asset class</v>
      </c>
      <c r="B1" s="24"/>
      <c r="C1" s="24"/>
      <c r="D1" s="24"/>
      <c r="E1" s="24"/>
      <c r="F1" s="24"/>
      <c r="G1" s="24"/>
      <c r="H1" s="24"/>
      <c r="I1" s="24"/>
      <c r="J1" s="24"/>
      <c r="K1" s="24"/>
    </row>
    <row r="2" spans="1:12" ht="28.5" customHeight="1">
      <c r="A2" s="841" t="str">
        <f>desc</f>
        <v>Description</v>
      </c>
      <c r="B2" s="288" t="str">
        <f>head27</f>
        <v>Ref</v>
      </c>
      <c r="C2" s="27" t="str">
        <f>head1b</f>
        <v>2016/17</v>
      </c>
      <c r="D2" s="618" t="str">
        <f>head1A</f>
        <v>2017/18</v>
      </c>
      <c r="E2" s="22" t="str">
        <f>Head1</f>
        <v>2018/19</v>
      </c>
      <c r="F2" s="2842" t="str">
        <f>Head2</f>
        <v>Current Year 2019/20</v>
      </c>
      <c r="G2" s="2843"/>
      <c r="H2" s="2847"/>
      <c r="I2" s="2839" t="str">
        <f>Head3</f>
        <v>2020/21 Medium Term Revenue &amp; Expenditure Framework</v>
      </c>
      <c r="J2" s="2840"/>
      <c r="K2" s="2841"/>
    </row>
    <row r="3" spans="1:12" ht="25.5">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c r="A4" s="723" t="s">
        <v>1073</v>
      </c>
      <c r="B4" s="612"/>
      <c r="C4" s="932"/>
      <c r="D4" s="184"/>
      <c r="E4" s="185"/>
      <c r="F4" s="186"/>
      <c r="G4" s="184"/>
      <c r="H4" s="187"/>
      <c r="I4" s="186"/>
      <c r="J4" s="184"/>
      <c r="K4" s="187"/>
      <c r="L4" s="240"/>
    </row>
    <row r="5" spans="1:12" ht="4.9000000000000004" customHeight="1">
      <c r="A5" s="126"/>
      <c r="B5" s="59"/>
      <c r="C5" s="188"/>
      <c r="D5" s="188"/>
      <c r="E5" s="189"/>
      <c r="F5" s="190"/>
      <c r="G5" s="188"/>
      <c r="H5" s="191"/>
      <c r="I5" s="190"/>
      <c r="J5" s="188"/>
      <c r="K5" s="191"/>
      <c r="L5" s="240"/>
    </row>
    <row r="6" spans="1:12" ht="13.15" customHeight="1">
      <c r="A6" s="126" t="s">
        <v>845</v>
      </c>
      <c r="B6" s="59"/>
      <c r="C6" s="264">
        <f>C7+C12+C16+C26+C37+C44+C52+C62+C68</f>
        <v>14224773</v>
      </c>
      <c r="D6" s="264">
        <f t="shared" ref="D6:K6" si="0">D7+D12+D16+D26+D37+D44+D52+D62+D68</f>
        <v>2688790</v>
      </c>
      <c r="E6" s="266">
        <f t="shared" si="0"/>
        <v>11389659</v>
      </c>
      <c r="F6" s="265">
        <f t="shared" si="0"/>
        <v>46225313</v>
      </c>
      <c r="G6" s="264">
        <f t="shared" si="0"/>
        <v>35475641</v>
      </c>
      <c r="H6" s="218">
        <f t="shared" si="0"/>
        <v>35475641</v>
      </c>
      <c r="I6" s="265">
        <f t="shared" si="0"/>
        <v>32408540</v>
      </c>
      <c r="J6" s="264">
        <f t="shared" si="0"/>
        <v>33899337</v>
      </c>
      <c r="K6" s="218">
        <f t="shared" si="0"/>
        <v>35458712</v>
      </c>
      <c r="L6" s="1360"/>
    </row>
    <row r="7" spans="1:12" s="1340" customFormat="1" ht="13.15" customHeight="1">
      <c r="A7" s="127" t="s">
        <v>2245</v>
      </c>
      <c r="B7" s="59"/>
      <c r="C7" s="943">
        <f t="shared" ref="C7:K7" si="1">SUM(C8:C11)</f>
        <v>1550161</v>
      </c>
      <c r="D7" s="943">
        <f t="shared" si="1"/>
        <v>1544771</v>
      </c>
      <c r="E7" s="1243">
        <f t="shared" si="1"/>
        <v>857207</v>
      </c>
      <c r="F7" s="944">
        <f t="shared" si="1"/>
        <v>24256432</v>
      </c>
      <c r="G7" s="943">
        <f t="shared" si="1"/>
        <v>15037760</v>
      </c>
      <c r="H7" s="980">
        <f t="shared" si="1"/>
        <v>15037760</v>
      </c>
      <c r="I7" s="944">
        <f t="shared" si="1"/>
        <v>13750000</v>
      </c>
      <c r="J7" s="943">
        <f t="shared" si="1"/>
        <v>14382500</v>
      </c>
      <c r="K7" s="980">
        <f t="shared" si="1"/>
        <v>15044096</v>
      </c>
      <c r="L7" s="240"/>
    </row>
    <row r="8" spans="1:12" s="1340" customFormat="1" ht="13.15" customHeight="1">
      <c r="A8" s="1120" t="s">
        <v>632</v>
      </c>
      <c r="B8" s="59"/>
      <c r="C8" s="1951">
        <v>0</v>
      </c>
      <c r="D8" s="1951">
        <v>1168647</v>
      </c>
      <c r="E8" s="1952">
        <v>0</v>
      </c>
      <c r="F8" s="2749">
        <v>21603000</v>
      </c>
      <c r="G8" s="2748">
        <v>13974760</v>
      </c>
      <c r="H8" s="2750">
        <v>13974760</v>
      </c>
      <c r="I8" s="1953">
        <v>13750000</v>
      </c>
      <c r="J8" s="1951">
        <v>14382500</v>
      </c>
      <c r="K8" s="1954">
        <v>15044096</v>
      </c>
      <c r="L8" s="1360"/>
    </row>
    <row r="9" spans="1:12" s="1340" customFormat="1" ht="13.15" customHeight="1">
      <c r="A9" s="1120" t="s">
        <v>2246</v>
      </c>
      <c r="B9" s="59"/>
      <c r="C9" s="1951">
        <v>1549368</v>
      </c>
      <c r="D9" s="1951">
        <v>373425</v>
      </c>
      <c r="E9" s="1952">
        <v>857207</v>
      </c>
      <c r="F9" s="2749">
        <v>2530432</v>
      </c>
      <c r="G9" s="2748">
        <v>1000000</v>
      </c>
      <c r="H9" s="2750">
        <v>1000000</v>
      </c>
      <c r="I9" s="1953">
        <v>0</v>
      </c>
      <c r="J9" s="1951">
        <v>0</v>
      </c>
      <c r="K9" s="1954">
        <v>0</v>
      </c>
      <c r="L9" s="1361"/>
    </row>
    <row r="10" spans="1:12" s="1340" customFormat="1" ht="13.15" customHeight="1">
      <c r="A10" s="1120" t="s">
        <v>2247</v>
      </c>
      <c r="B10" s="59"/>
      <c r="C10" s="1951">
        <v>793</v>
      </c>
      <c r="D10" s="1951">
        <v>2699</v>
      </c>
      <c r="E10" s="1952">
        <v>0</v>
      </c>
      <c r="F10" s="2749">
        <v>123000</v>
      </c>
      <c r="G10" s="2748">
        <v>63000</v>
      </c>
      <c r="H10" s="2750">
        <v>63000</v>
      </c>
      <c r="I10" s="1953"/>
      <c r="J10" s="1951"/>
      <c r="K10" s="1954"/>
      <c r="L10" s="1361"/>
    </row>
    <row r="11" spans="1:12" s="1340" customFormat="1" ht="13.15" customHeight="1">
      <c r="A11" s="1120" t="s">
        <v>2248</v>
      </c>
      <c r="B11" s="59"/>
      <c r="C11" s="1951">
        <v>0</v>
      </c>
      <c r="D11" s="1951">
        <v>0</v>
      </c>
      <c r="E11" s="1952">
        <v>0</v>
      </c>
      <c r="F11" s="1953"/>
      <c r="G11" s="1951"/>
      <c r="H11" s="1954"/>
      <c r="I11" s="1953"/>
      <c r="J11" s="1951"/>
      <c r="K11" s="1954"/>
      <c r="L11" s="1361"/>
    </row>
    <row r="12" spans="1:12" s="1340" customFormat="1" ht="13.15" customHeight="1">
      <c r="A12" s="127" t="s">
        <v>2249</v>
      </c>
      <c r="B12" s="59"/>
      <c r="C12" s="900">
        <f>SUM(C13:C15)</f>
        <v>0</v>
      </c>
      <c r="D12" s="900">
        <f t="shared" ref="D12:K12" si="2">SUM(D13:D15)</f>
        <v>0</v>
      </c>
      <c r="E12" s="1244">
        <f t="shared" si="2"/>
        <v>0</v>
      </c>
      <c r="F12" s="904">
        <f t="shared" si="2"/>
        <v>0</v>
      </c>
      <c r="G12" s="900">
        <f t="shared" si="2"/>
        <v>0</v>
      </c>
      <c r="H12" s="982">
        <f t="shared" si="2"/>
        <v>0</v>
      </c>
      <c r="I12" s="904">
        <f t="shared" si="2"/>
        <v>1500000</v>
      </c>
      <c r="J12" s="900">
        <f t="shared" si="2"/>
        <v>1569000</v>
      </c>
      <c r="K12" s="982">
        <f t="shared" si="2"/>
        <v>1641174</v>
      </c>
      <c r="L12" s="1361"/>
    </row>
    <row r="13" spans="1:12" s="1340" customFormat="1" ht="13.15" customHeight="1">
      <c r="A13" s="1120" t="s">
        <v>2250</v>
      </c>
      <c r="B13" s="59"/>
      <c r="C13" s="1951"/>
      <c r="D13" s="1951"/>
      <c r="E13" s="1952"/>
      <c r="F13" s="1953"/>
      <c r="G13" s="1951"/>
      <c r="H13" s="1954"/>
      <c r="I13" s="1953">
        <v>1500000</v>
      </c>
      <c r="J13" s="1951">
        <v>1569000</v>
      </c>
      <c r="K13" s="1954">
        <v>1641174</v>
      </c>
      <c r="L13" s="1361"/>
    </row>
    <row r="14" spans="1:12" s="1340" customFormat="1" ht="13.15" customHeight="1">
      <c r="A14" s="1120" t="s">
        <v>2251</v>
      </c>
      <c r="B14" s="59"/>
      <c r="C14" s="1951"/>
      <c r="D14" s="1951"/>
      <c r="E14" s="1952"/>
      <c r="F14" s="1953"/>
      <c r="G14" s="1951"/>
      <c r="H14" s="1954"/>
      <c r="I14" s="1953"/>
      <c r="J14" s="1951"/>
      <c r="K14" s="1954"/>
      <c r="L14" s="1361"/>
    </row>
    <row r="15" spans="1:12" s="1340" customFormat="1" ht="13.15" customHeight="1">
      <c r="A15" s="1120" t="s">
        <v>2252</v>
      </c>
      <c r="B15" s="59"/>
      <c r="C15" s="1951"/>
      <c r="D15" s="1951"/>
      <c r="E15" s="1952"/>
      <c r="F15" s="1953"/>
      <c r="G15" s="1951"/>
      <c r="H15" s="1954"/>
      <c r="I15" s="1953"/>
      <c r="J15" s="1951"/>
      <c r="K15" s="1954"/>
      <c r="L15" s="1361"/>
    </row>
    <row r="16" spans="1:12" s="1340" customFormat="1" ht="13.15" customHeight="1">
      <c r="A16" s="127" t="s">
        <v>2294</v>
      </c>
      <c r="B16" s="59"/>
      <c r="C16" s="900">
        <f t="shared" ref="C16:K16" si="3">SUM(C17:C25)</f>
        <v>12132266</v>
      </c>
      <c r="D16" s="900">
        <f t="shared" si="3"/>
        <v>887639</v>
      </c>
      <c r="E16" s="1244">
        <f t="shared" si="3"/>
        <v>10019092</v>
      </c>
      <c r="F16" s="904">
        <f t="shared" si="3"/>
        <v>21321981</v>
      </c>
      <c r="G16" s="900">
        <f t="shared" si="3"/>
        <v>20131981</v>
      </c>
      <c r="H16" s="982">
        <f t="shared" si="3"/>
        <v>20131981</v>
      </c>
      <c r="I16" s="904">
        <f t="shared" si="3"/>
        <v>16852640</v>
      </c>
      <c r="J16" s="900">
        <f t="shared" si="3"/>
        <v>17627865</v>
      </c>
      <c r="K16" s="982">
        <f t="shared" si="3"/>
        <v>18438751</v>
      </c>
      <c r="L16" s="1361"/>
    </row>
    <row r="17" spans="1:12" s="1340" customFormat="1" ht="13.15" customHeight="1">
      <c r="A17" s="1120" t="s">
        <v>2253</v>
      </c>
      <c r="B17" s="59"/>
      <c r="C17" s="1951">
        <v>0</v>
      </c>
      <c r="D17" s="1951">
        <v>0</v>
      </c>
      <c r="E17" s="1952">
        <v>0</v>
      </c>
      <c r="F17" s="2752">
        <v>0</v>
      </c>
      <c r="G17" s="2751">
        <v>0</v>
      </c>
      <c r="H17" s="2753">
        <v>0</v>
      </c>
      <c r="I17" s="1953">
        <v>0</v>
      </c>
      <c r="J17" s="1951">
        <v>0</v>
      </c>
      <c r="K17" s="1954">
        <v>0</v>
      </c>
      <c r="L17" s="1361"/>
    </row>
    <row r="18" spans="1:12" s="1340" customFormat="1" ht="13.15" customHeight="1">
      <c r="A18" s="1120" t="s">
        <v>2254</v>
      </c>
      <c r="B18" s="59"/>
      <c r="C18" s="1951">
        <v>116430</v>
      </c>
      <c r="D18" s="1951">
        <v>0</v>
      </c>
      <c r="E18" s="1952">
        <v>0</v>
      </c>
      <c r="F18" s="2752">
        <v>1354085</v>
      </c>
      <c r="G18" s="2751">
        <v>854085</v>
      </c>
      <c r="H18" s="2753">
        <v>854085</v>
      </c>
      <c r="I18" s="1953">
        <v>854085</v>
      </c>
      <c r="J18" s="1951">
        <v>893373</v>
      </c>
      <c r="K18" s="1954">
        <v>934469</v>
      </c>
      <c r="L18" s="1361"/>
    </row>
    <row r="19" spans="1:12" s="1340" customFormat="1" ht="13.15" customHeight="1">
      <c r="A19" s="1120" t="s">
        <v>2255</v>
      </c>
      <c r="B19" s="59"/>
      <c r="C19" s="1951">
        <v>8228238</v>
      </c>
      <c r="D19" s="1951">
        <v>0</v>
      </c>
      <c r="E19" s="1952">
        <v>5781419</v>
      </c>
      <c r="F19" s="2752">
        <v>17484709</v>
      </c>
      <c r="G19" s="2751">
        <v>17424709</v>
      </c>
      <c r="H19" s="2753">
        <v>17424709</v>
      </c>
      <c r="I19" s="1953">
        <v>13956978</v>
      </c>
      <c r="J19" s="1951">
        <v>14599000</v>
      </c>
      <c r="K19" s="1954">
        <v>15270555</v>
      </c>
      <c r="L19" s="1361"/>
    </row>
    <row r="20" spans="1:12" s="1340" customFormat="1" ht="13.15" customHeight="1">
      <c r="A20" s="1120" t="s">
        <v>2256</v>
      </c>
      <c r="B20" s="59"/>
      <c r="C20" s="1951">
        <v>0</v>
      </c>
      <c r="D20" s="1951">
        <v>0</v>
      </c>
      <c r="E20" s="1952">
        <v>0</v>
      </c>
      <c r="F20" s="2752">
        <v>0</v>
      </c>
      <c r="G20" s="2751">
        <v>0</v>
      </c>
      <c r="H20" s="2753">
        <v>0</v>
      </c>
      <c r="I20" s="1953">
        <v>0</v>
      </c>
      <c r="J20" s="1951">
        <v>0</v>
      </c>
      <c r="K20" s="1954">
        <v>0</v>
      </c>
      <c r="L20" s="1361"/>
    </row>
    <row r="21" spans="1:12" s="1340" customFormat="1" ht="13.15" customHeight="1">
      <c r="A21" s="1120" t="s">
        <v>2257</v>
      </c>
      <c r="B21" s="59"/>
      <c r="C21" s="1951">
        <v>0</v>
      </c>
      <c r="D21" s="1951">
        <v>0</v>
      </c>
      <c r="E21" s="1952">
        <v>0</v>
      </c>
      <c r="F21" s="2752">
        <v>0</v>
      </c>
      <c r="G21" s="2751">
        <v>0</v>
      </c>
      <c r="H21" s="2753">
        <v>0</v>
      </c>
      <c r="I21" s="1953">
        <v>0</v>
      </c>
      <c r="J21" s="1951">
        <v>0</v>
      </c>
      <c r="K21" s="1954">
        <v>0</v>
      </c>
      <c r="L21" s="1361"/>
    </row>
    <row r="22" spans="1:12" s="1340" customFormat="1" ht="13.15" customHeight="1">
      <c r="A22" s="1120" t="s">
        <v>2258</v>
      </c>
      <c r="B22" s="59"/>
      <c r="C22" s="1951">
        <v>0</v>
      </c>
      <c r="D22" s="1951">
        <v>0</v>
      </c>
      <c r="E22" s="1952">
        <v>0</v>
      </c>
      <c r="F22" s="2752">
        <v>0</v>
      </c>
      <c r="G22" s="2751">
        <v>0</v>
      </c>
      <c r="H22" s="2753">
        <v>0</v>
      </c>
      <c r="I22" s="1953">
        <v>0</v>
      </c>
      <c r="J22" s="1951">
        <v>0</v>
      </c>
      <c r="K22" s="1954">
        <v>0</v>
      </c>
      <c r="L22" s="1360"/>
    </row>
    <row r="23" spans="1:12" s="1340" customFormat="1" ht="13.15" customHeight="1">
      <c r="A23" s="1120" t="s">
        <v>2259</v>
      </c>
      <c r="B23" s="59"/>
      <c r="C23" s="1951">
        <v>0</v>
      </c>
      <c r="D23" s="1951">
        <v>0</v>
      </c>
      <c r="E23" s="1952">
        <v>0</v>
      </c>
      <c r="F23" s="2752">
        <v>0</v>
      </c>
      <c r="G23" s="2751">
        <v>0</v>
      </c>
      <c r="H23" s="2753">
        <v>0</v>
      </c>
      <c r="I23" s="1953">
        <v>0</v>
      </c>
      <c r="J23" s="1951">
        <v>0</v>
      </c>
      <c r="K23" s="1954">
        <v>0</v>
      </c>
      <c r="L23" s="1361"/>
    </row>
    <row r="24" spans="1:12" s="1340" customFormat="1" ht="13.15" customHeight="1">
      <c r="A24" s="1120" t="s">
        <v>2260</v>
      </c>
      <c r="B24" s="59"/>
      <c r="C24" s="1951">
        <v>3787598</v>
      </c>
      <c r="D24" s="1951">
        <v>887639</v>
      </c>
      <c r="E24" s="1952">
        <v>4237673</v>
      </c>
      <c r="F24" s="2752">
        <v>2483187</v>
      </c>
      <c r="G24" s="2751">
        <v>1853187</v>
      </c>
      <c r="H24" s="2753">
        <v>1853187</v>
      </c>
      <c r="I24" s="1953">
        <v>2029736</v>
      </c>
      <c r="J24" s="1951">
        <v>2123106</v>
      </c>
      <c r="K24" s="1954">
        <v>2220770</v>
      </c>
      <c r="L24" s="1361"/>
    </row>
    <row r="25" spans="1:12" s="1340" customFormat="1" ht="13.15" customHeight="1">
      <c r="A25" s="1120" t="s">
        <v>2248</v>
      </c>
      <c r="B25" s="59"/>
      <c r="C25" s="1951">
        <v>0</v>
      </c>
      <c r="D25" s="1951">
        <v>0</v>
      </c>
      <c r="E25" s="1952">
        <v>0</v>
      </c>
      <c r="F25" s="1953"/>
      <c r="G25" s="1951"/>
      <c r="H25" s="1954"/>
      <c r="I25" s="1953">
        <v>11841</v>
      </c>
      <c r="J25" s="1951">
        <v>12386</v>
      </c>
      <c r="K25" s="1954">
        <v>12957</v>
      </c>
      <c r="L25" s="1361"/>
    </row>
    <row r="26" spans="1:12" ht="13.15" customHeight="1">
      <c r="A26" s="131" t="s">
        <v>2295</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240"/>
    </row>
    <row r="27" spans="1:12" ht="13.15" customHeight="1">
      <c r="A27" s="1120" t="s">
        <v>2261</v>
      </c>
      <c r="B27" s="59"/>
      <c r="C27" s="1951"/>
      <c r="D27" s="1951"/>
      <c r="E27" s="1952"/>
      <c r="F27" s="1953"/>
      <c r="G27" s="1951"/>
      <c r="H27" s="1954"/>
      <c r="I27" s="1953"/>
      <c r="J27" s="1951"/>
      <c r="K27" s="1954"/>
      <c r="L27" s="240"/>
    </row>
    <row r="28" spans="1:12" ht="13.15" customHeight="1">
      <c r="A28" s="1120" t="s">
        <v>2262</v>
      </c>
      <c r="B28" s="59"/>
      <c r="C28" s="1951"/>
      <c r="D28" s="1951"/>
      <c r="E28" s="1952"/>
      <c r="F28" s="1953"/>
      <c r="G28" s="1951"/>
      <c r="H28" s="1954"/>
      <c r="I28" s="1953"/>
      <c r="J28" s="1951"/>
      <c r="K28" s="1954"/>
      <c r="L28" s="1361"/>
    </row>
    <row r="29" spans="1:12" ht="13.15" customHeight="1">
      <c r="A29" s="1120" t="s">
        <v>2263</v>
      </c>
      <c r="B29" s="59"/>
      <c r="C29" s="1951"/>
      <c r="D29" s="1951"/>
      <c r="E29" s="1952"/>
      <c r="F29" s="1953"/>
      <c r="G29" s="1951"/>
      <c r="H29" s="1954"/>
      <c r="I29" s="1953"/>
      <c r="J29" s="1951"/>
      <c r="K29" s="1954"/>
      <c r="L29" s="1361"/>
    </row>
    <row r="30" spans="1:12" ht="13.15" customHeight="1">
      <c r="A30" s="1120" t="s">
        <v>2264</v>
      </c>
      <c r="B30" s="59"/>
      <c r="C30" s="1951"/>
      <c r="D30" s="1951"/>
      <c r="E30" s="1952"/>
      <c r="F30" s="1953"/>
      <c r="G30" s="1951"/>
      <c r="H30" s="1954"/>
      <c r="I30" s="1953"/>
      <c r="J30" s="1951"/>
      <c r="K30" s="1954"/>
      <c r="L30" s="1361"/>
    </row>
    <row r="31" spans="1:12" ht="13.15" customHeight="1">
      <c r="A31" s="1120" t="s">
        <v>2265</v>
      </c>
      <c r="B31" s="59"/>
      <c r="C31" s="1951"/>
      <c r="D31" s="1951"/>
      <c r="E31" s="1952"/>
      <c r="F31" s="1953"/>
      <c r="G31" s="1951"/>
      <c r="H31" s="1954"/>
      <c r="I31" s="1953"/>
      <c r="J31" s="1951"/>
      <c r="K31" s="1954"/>
      <c r="L31" s="1361"/>
    </row>
    <row r="32" spans="1:12" ht="13.15" customHeight="1">
      <c r="A32" s="1120" t="s">
        <v>2266</v>
      </c>
      <c r="B32" s="59"/>
      <c r="C32" s="1951"/>
      <c r="D32" s="1951"/>
      <c r="E32" s="1952"/>
      <c r="F32" s="1953"/>
      <c r="G32" s="1951"/>
      <c r="H32" s="1954"/>
      <c r="I32" s="1953"/>
      <c r="J32" s="1951"/>
      <c r="K32" s="1954"/>
      <c r="L32" s="1361"/>
    </row>
    <row r="33" spans="1:15" ht="13.15" customHeight="1">
      <c r="A33" s="1120" t="s">
        <v>2267</v>
      </c>
      <c r="B33" s="59"/>
      <c r="C33" s="1951"/>
      <c r="D33" s="1951"/>
      <c r="E33" s="1952"/>
      <c r="F33" s="1953"/>
      <c r="G33" s="1951"/>
      <c r="H33" s="1954"/>
      <c r="I33" s="1953"/>
      <c r="J33" s="1951"/>
      <c r="K33" s="1954"/>
      <c r="L33" s="1361"/>
    </row>
    <row r="34" spans="1:15" ht="13.15" customHeight="1">
      <c r="A34" s="1120" t="s">
        <v>2268</v>
      </c>
      <c r="B34" s="59"/>
      <c r="C34" s="1951"/>
      <c r="D34" s="1951"/>
      <c r="E34" s="1952"/>
      <c r="F34" s="1953"/>
      <c r="G34" s="1951"/>
      <c r="H34" s="1954"/>
      <c r="I34" s="1953"/>
      <c r="J34" s="1951"/>
      <c r="K34" s="1954"/>
      <c r="L34" s="1361"/>
    </row>
    <row r="35" spans="1:15" ht="13.15" customHeight="1">
      <c r="A35" s="1120" t="s">
        <v>2269</v>
      </c>
      <c r="B35" s="59"/>
      <c r="C35" s="1951"/>
      <c r="D35" s="1951"/>
      <c r="E35" s="1952"/>
      <c r="F35" s="1953"/>
      <c r="G35" s="1951"/>
      <c r="H35" s="1954"/>
      <c r="I35" s="1953"/>
      <c r="J35" s="1951"/>
      <c r="K35" s="1954"/>
      <c r="L35" s="1361"/>
    </row>
    <row r="36" spans="1:15" ht="13.15" customHeight="1">
      <c r="A36" s="1120" t="s">
        <v>2248</v>
      </c>
      <c r="B36" s="59"/>
      <c r="C36" s="1951"/>
      <c r="D36" s="1951"/>
      <c r="E36" s="1952"/>
      <c r="F36" s="1953"/>
      <c r="G36" s="1951"/>
      <c r="H36" s="1954"/>
      <c r="I36" s="1953"/>
      <c r="J36" s="1951"/>
      <c r="K36" s="1954"/>
      <c r="L36" s="1361"/>
    </row>
    <row r="37" spans="1:15" ht="13.15" customHeight="1">
      <c r="A37" s="131" t="s">
        <v>2296</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c r="O37" s="240"/>
    </row>
    <row r="38" spans="1:15" ht="13.15" customHeight="1">
      <c r="A38" s="1120" t="s">
        <v>2270</v>
      </c>
      <c r="B38" s="59"/>
      <c r="C38" s="1951"/>
      <c r="D38" s="1951"/>
      <c r="E38" s="1952"/>
      <c r="F38" s="1953"/>
      <c r="G38" s="1951"/>
      <c r="H38" s="1954"/>
      <c r="I38" s="1953"/>
      <c r="J38" s="1951"/>
      <c r="K38" s="1954"/>
      <c r="L38" s="1361"/>
    </row>
    <row r="39" spans="1:15" ht="13.15" customHeight="1">
      <c r="A39" s="1120" t="s">
        <v>25</v>
      </c>
      <c r="B39" s="59"/>
      <c r="C39" s="1951"/>
      <c r="D39" s="1951"/>
      <c r="E39" s="1952"/>
      <c r="F39" s="1953"/>
      <c r="G39" s="1951"/>
      <c r="H39" s="1954"/>
      <c r="I39" s="1953"/>
      <c r="J39" s="1951"/>
      <c r="K39" s="1954"/>
      <c r="L39" s="1361"/>
    </row>
    <row r="40" spans="1:15" ht="13.15" customHeight="1">
      <c r="A40" s="1120" t="s">
        <v>2271</v>
      </c>
      <c r="B40" s="59"/>
      <c r="C40" s="1951"/>
      <c r="D40" s="1951"/>
      <c r="E40" s="1952"/>
      <c r="F40" s="1953"/>
      <c r="G40" s="1951"/>
      <c r="H40" s="1954"/>
      <c r="I40" s="1953"/>
      <c r="J40" s="1951"/>
      <c r="K40" s="1954"/>
      <c r="L40" s="240"/>
    </row>
    <row r="41" spans="1:15" ht="13.15" customHeight="1">
      <c r="A41" s="1120" t="s">
        <v>2272</v>
      </c>
      <c r="B41" s="59"/>
      <c r="C41" s="1951"/>
      <c r="D41" s="1951"/>
      <c r="E41" s="1952"/>
      <c r="F41" s="1953"/>
      <c r="G41" s="1951"/>
      <c r="H41" s="1954"/>
      <c r="I41" s="1953"/>
      <c r="J41" s="1951"/>
      <c r="K41" s="1954"/>
      <c r="L41" s="1361"/>
    </row>
    <row r="42" spans="1:15" ht="13.15" customHeight="1">
      <c r="A42" s="1120" t="s">
        <v>2273</v>
      </c>
      <c r="B42" s="59"/>
      <c r="C42" s="1951"/>
      <c r="D42" s="1951"/>
      <c r="E42" s="1952"/>
      <c r="F42" s="1953"/>
      <c r="G42" s="1951"/>
      <c r="H42" s="1954"/>
      <c r="I42" s="1953"/>
      <c r="J42" s="1951"/>
      <c r="K42" s="1954"/>
      <c r="L42" s="240"/>
    </row>
    <row r="43" spans="1:15" ht="13.15" customHeight="1">
      <c r="A43" s="1120" t="s">
        <v>2248</v>
      </c>
      <c r="B43" s="59"/>
      <c r="C43" s="1951"/>
      <c r="D43" s="1951"/>
      <c r="E43" s="1952"/>
      <c r="F43" s="1953"/>
      <c r="G43" s="1951"/>
      <c r="H43" s="1954"/>
      <c r="I43" s="1953"/>
      <c r="J43" s="1951"/>
      <c r="K43" s="1954"/>
      <c r="L43" s="240"/>
    </row>
    <row r="44" spans="1:15" ht="13.15" customHeight="1">
      <c r="A44" s="131" t="s">
        <v>2274</v>
      </c>
      <c r="B44" s="59"/>
      <c r="C44" s="900">
        <f>SUM(C45:C51)</f>
        <v>42347</v>
      </c>
      <c r="D44" s="900">
        <f t="shared" ref="D44:K44" si="6">SUM(D45:D51)</f>
        <v>0</v>
      </c>
      <c r="E44" s="1244">
        <f t="shared" si="6"/>
        <v>0</v>
      </c>
      <c r="F44" s="904">
        <f t="shared" si="6"/>
        <v>54900</v>
      </c>
      <c r="G44" s="900">
        <f t="shared" si="6"/>
        <v>9900</v>
      </c>
      <c r="H44" s="982">
        <f t="shared" si="6"/>
        <v>9900</v>
      </c>
      <c r="I44" s="904">
        <f t="shared" si="6"/>
        <v>9900</v>
      </c>
      <c r="J44" s="900">
        <f t="shared" si="6"/>
        <v>10356</v>
      </c>
      <c r="K44" s="982">
        <f t="shared" si="6"/>
        <v>10832</v>
      </c>
      <c r="L44" s="240"/>
    </row>
    <row r="45" spans="1:15" ht="13.15" customHeight="1">
      <c r="A45" s="1120" t="s">
        <v>2275</v>
      </c>
      <c r="B45" s="59"/>
      <c r="C45" s="1951">
        <v>0</v>
      </c>
      <c r="D45" s="1951">
        <v>0</v>
      </c>
      <c r="E45" s="1952"/>
      <c r="F45" s="2755">
        <v>0</v>
      </c>
      <c r="G45" s="2754">
        <v>0</v>
      </c>
      <c r="H45" s="2756">
        <v>0</v>
      </c>
      <c r="I45" s="1953">
        <v>0</v>
      </c>
      <c r="J45" s="1951">
        <v>0</v>
      </c>
      <c r="K45" s="1954">
        <v>0</v>
      </c>
      <c r="L45" s="240"/>
    </row>
    <row r="46" spans="1:15" ht="13.15" customHeight="1">
      <c r="A46" s="1120" t="s">
        <v>2276</v>
      </c>
      <c r="B46" s="59"/>
      <c r="C46" s="1951"/>
      <c r="D46" s="1951"/>
      <c r="E46" s="1952"/>
      <c r="F46" s="2755">
        <v>0</v>
      </c>
      <c r="G46" s="2754">
        <v>0</v>
      </c>
      <c r="H46" s="2756">
        <v>0</v>
      </c>
      <c r="I46" s="1953">
        <v>0</v>
      </c>
      <c r="J46" s="1951">
        <v>0</v>
      </c>
      <c r="K46" s="1954">
        <v>0</v>
      </c>
      <c r="L46" s="240"/>
    </row>
    <row r="47" spans="1:15" ht="13.15" customHeight="1">
      <c r="A47" s="1120" t="s">
        <v>2277</v>
      </c>
      <c r="B47" s="59"/>
      <c r="C47" s="1951"/>
      <c r="D47" s="1951"/>
      <c r="E47" s="1952"/>
      <c r="F47" s="2755">
        <v>0</v>
      </c>
      <c r="G47" s="2754">
        <v>0</v>
      </c>
      <c r="H47" s="2756">
        <v>0</v>
      </c>
      <c r="I47" s="1953">
        <v>0</v>
      </c>
      <c r="J47" s="1951">
        <v>0</v>
      </c>
      <c r="K47" s="1954">
        <v>0</v>
      </c>
      <c r="L47" s="240"/>
    </row>
    <row r="48" spans="1:15" ht="13.15" customHeight="1">
      <c r="A48" s="1120" t="s">
        <v>2278</v>
      </c>
      <c r="B48" s="59"/>
      <c r="C48" s="1951">
        <v>42347</v>
      </c>
      <c r="D48" s="1951"/>
      <c r="E48" s="1952"/>
      <c r="F48" s="2755">
        <v>54900</v>
      </c>
      <c r="G48" s="2754">
        <v>9900</v>
      </c>
      <c r="H48" s="2756">
        <v>9900</v>
      </c>
      <c r="I48" s="1953">
        <v>9900</v>
      </c>
      <c r="J48" s="1951">
        <v>10356</v>
      </c>
      <c r="K48" s="1954">
        <v>10832</v>
      </c>
      <c r="L48" s="1361"/>
    </row>
    <row r="49" spans="1:12" ht="13.15" customHeight="1">
      <c r="A49" s="1120" t="s">
        <v>2279</v>
      </c>
      <c r="B49" s="59"/>
      <c r="C49" s="1951"/>
      <c r="D49" s="1951"/>
      <c r="E49" s="1952"/>
      <c r="F49" s="2755">
        <v>0</v>
      </c>
      <c r="G49" s="2754">
        <v>0</v>
      </c>
      <c r="H49" s="2756">
        <v>0</v>
      </c>
      <c r="I49" s="1953">
        <v>0</v>
      </c>
      <c r="J49" s="1951">
        <v>0</v>
      </c>
      <c r="K49" s="1954">
        <v>0</v>
      </c>
      <c r="L49" s="240"/>
    </row>
    <row r="50" spans="1:12" ht="13.15" customHeight="1">
      <c r="A50" s="1120" t="s">
        <v>2280</v>
      </c>
      <c r="B50" s="59"/>
      <c r="C50" s="1951"/>
      <c r="D50" s="1951"/>
      <c r="E50" s="1952"/>
      <c r="F50" s="2755">
        <v>0</v>
      </c>
      <c r="G50" s="2754">
        <v>0</v>
      </c>
      <c r="H50" s="2756">
        <v>0</v>
      </c>
      <c r="I50" s="1953">
        <v>0</v>
      </c>
      <c r="J50" s="1951">
        <v>0</v>
      </c>
      <c r="K50" s="1954">
        <v>0</v>
      </c>
      <c r="L50" s="240"/>
    </row>
    <row r="51" spans="1:12" ht="13.15" customHeight="1">
      <c r="A51" s="1120" t="s">
        <v>2248</v>
      </c>
      <c r="B51" s="59"/>
      <c r="C51" s="1951"/>
      <c r="D51" s="1951"/>
      <c r="E51" s="1952"/>
      <c r="F51" s="1953"/>
      <c r="G51" s="1951"/>
      <c r="H51" s="1954"/>
      <c r="I51" s="1953">
        <v>0</v>
      </c>
      <c r="J51" s="1951">
        <v>0</v>
      </c>
      <c r="K51" s="1954">
        <v>0</v>
      </c>
      <c r="L51" s="240"/>
    </row>
    <row r="52" spans="1:12" ht="13.15" customHeight="1">
      <c r="A52" s="127" t="s">
        <v>2290</v>
      </c>
      <c r="B52" s="59"/>
      <c r="C52" s="900">
        <f t="shared" ref="C52:K52" si="7">SUM(C53:C61)</f>
        <v>499999</v>
      </c>
      <c r="D52" s="900">
        <f t="shared" si="7"/>
        <v>256380</v>
      </c>
      <c r="E52" s="1244">
        <f t="shared" si="7"/>
        <v>513360</v>
      </c>
      <c r="F52" s="904">
        <f t="shared" si="7"/>
        <v>592000</v>
      </c>
      <c r="G52" s="900">
        <f t="shared" si="7"/>
        <v>296000</v>
      </c>
      <c r="H52" s="982">
        <f t="shared" si="7"/>
        <v>296000</v>
      </c>
      <c r="I52" s="904">
        <f t="shared" si="7"/>
        <v>296000</v>
      </c>
      <c r="J52" s="900">
        <f t="shared" si="7"/>
        <v>309616</v>
      </c>
      <c r="K52" s="982">
        <f t="shared" si="7"/>
        <v>323859</v>
      </c>
      <c r="L52" s="1361"/>
    </row>
    <row r="53" spans="1:12" ht="13.15" customHeight="1">
      <c r="A53" s="1120" t="s">
        <v>2291</v>
      </c>
      <c r="B53" s="59"/>
      <c r="C53" s="1951">
        <v>0</v>
      </c>
      <c r="D53" s="1951">
        <v>0</v>
      </c>
      <c r="E53" s="1952">
        <v>0</v>
      </c>
      <c r="F53" s="2758">
        <v>0</v>
      </c>
      <c r="G53" s="2757">
        <v>0</v>
      </c>
      <c r="H53" s="2759">
        <v>0</v>
      </c>
      <c r="I53" s="1953">
        <v>0</v>
      </c>
      <c r="J53" s="1951">
        <v>0</v>
      </c>
      <c r="K53" s="1954">
        <v>0</v>
      </c>
      <c r="L53" s="240"/>
    </row>
    <row r="54" spans="1:12" ht="13.15" customHeight="1">
      <c r="A54" s="1120" t="s">
        <v>2292</v>
      </c>
      <c r="B54" s="59"/>
      <c r="C54" s="1951">
        <v>499999</v>
      </c>
      <c r="D54" s="1951">
        <v>256380</v>
      </c>
      <c r="E54" s="1952">
        <v>513360</v>
      </c>
      <c r="F54" s="2758">
        <v>592000</v>
      </c>
      <c r="G54" s="2757">
        <v>296000</v>
      </c>
      <c r="H54" s="2759">
        <v>296000</v>
      </c>
      <c r="I54" s="1953">
        <v>296000</v>
      </c>
      <c r="J54" s="1951">
        <v>309616</v>
      </c>
      <c r="K54" s="1954">
        <v>323859</v>
      </c>
      <c r="L54" s="1361"/>
    </row>
    <row r="55" spans="1:12" ht="13.15" customHeight="1">
      <c r="A55" s="1120" t="s">
        <v>2293</v>
      </c>
      <c r="B55" s="59"/>
      <c r="C55" s="1951">
        <v>0</v>
      </c>
      <c r="D55" s="1951">
        <v>0</v>
      </c>
      <c r="E55" s="1952">
        <v>0</v>
      </c>
      <c r="F55" s="2758">
        <v>0</v>
      </c>
      <c r="G55" s="2757">
        <v>0</v>
      </c>
      <c r="H55" s="2759">
        <v>0</v>
      </c>
      <c r="I55" s="1953">
        <v>0</v>
      </c>
      <c r="J55" s="1951">
        <v>0</v>
      </c>
      <c r="K55" s="1954">
        <v>0</v>
      </c>
      <c r="L55" s="1361"/>
    </row>
    <row r="56" spans="1:12" ht="13.15" customHeight="1">
      <c r="A56" s="1120" t="s">
        <v>2250</v>
      </c>
      <c r="B56" s="59"/>
      <c r="C56" s="1951"/>
      <c r="D56" s="1951"/>
      <c r="E56" s="1952"/>
      <c r="F56" s="2758">
        <v>0</v>
      </c>
      <c r="G56" s="2757">
        <v>0</v>
      </c>
      <c r="H56" s="2759">
        <v>0</v>
      </c>
      <c r="I56" s="1953"/>
      <c r="J56" s="1951"/>
      <c r="K56" s="1954"/>
      <c r="L56" s="1361"/>
    </row>
    <row r="57" spans="1:12" ht="13.15" customHeight="1">
      <c r="A57" s="1120" t="s">
        <v>2251</v>
      </c>
      <c r="B57" s="59"/>
      <c r="C57" s="1951"/>
      <c r="D57" s="1951"/>
      <c r="E57" s="1952"/>
      <c r="F57" s="1953"/>
      <c r="G57" s="1951"/>
      <c r="H57" s="1954"/>
      <c r="I57" s="1953"/>
      <c r="J57" s="1951"/>
      <c r="K57" s="1954"/>
      <c r="L57" s="1361"/>
    </row>
    <row r="58" spans="1:12" ht="13.15" customHeight="1">
      <c r="A58" s="1120" t="s">
        <v>2252</v>
      </c>
      <c r="B58" s="59"/>
      <c r="C58" s="1951"/>
      <c r="D58" s="1951"/>
      <c r="E58" s="1952"/>
      <c r="F58" s="1953"/>
      <c r="G58" s="1951"/>
      <c r="H58" s="1954"/>
      <c r="I58" s="1953"/>
      <c r="J58" s="1951"/>
      <c r="K58" s="1954"/>
      <c r="L58" s="1360"/>
    </row>
    <row r="59" spans="1:12" ht="13.15" customHeight="1">
      <c r="A59" s="1120" t="s">
        <v>2257</v>
      </c>
      <c r="B59" s="59"/>
      <c r="C59" s="1951"/>
      <c r="D59" s="1951"/>
      <c r="E59" s="1952"/>
      <c r="F59" s="1953"/>
      <c r="G59" s="1951"/>
      <c r="H59" s="1954"/>
      <c r="I59" s="1953"/>
      <c r="J59" s="1951"/>
      <c r="K59" s="1954"/>
      <c r="L59" s="1361"/>
    </row>
    <row r="60" spans="1:12" ht="13.15" customHeight="1">
      <c r="A60" s="1120" t="s">
        <v>2260</v>
      </c>
      <c r="B60" s="59"/>
      <c r="C60" s="1951"/>
      <c r="D60" s="1951"/>
      <c r="E60" s="1952"/>
      <c r="F60" s="1953"/>
      <c r="G60" s="1951"/>
      <c r="H60" s="1954"/>
      <c r="I60" s="1953"/>
      <c r="J60" s="1951"/>
      <c r="K60" s="1954"/>
      <c r="L60" s="1361"/>
    </row>
    <row r="61" spans="1:12" ht="13.15" customHeight="1">
      <c r="A61" s="1120" t="s">
        <v>2248</v>
      </c>
      <c r="B61" s="59"/>
      <c r="C61" s="1951"/>
      <c r="D61" s="1951"/>
      <c r="E61" s="1952"/>
      <c r="F61" s="1953"/>
      <c r="G61" s="1951"/>
      <c r="H61" s="1954"/>
      <c r="I61" s="1953"/>
      <c r="J61" s="1951"/>
      <c r="K61" s="1954"/>
      <c r="L61" s="1361"/>
    </row>
    <row r="62" spans="1:12" ht="13.15" customHeight="1">
      <c r="A62" s="131" t="s">
        <v>2285</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15" customHeight="1">
      <c r="A63" s="1120" t="s">
        <v>2286</v>
      </c>
      <c r="B63" s="59"/>
      <c r="C63" s="1951"/>
      <c r="D63" s="1951"/>
      <c r="E63" s="1952"/>
      <c r="F63" s="1953"/>
      <c r="G63" s="1951"/>
      <c r="H63" s="1954"/>
      <c r="I63" s="1953"/>
      <c r="J63" s="1951"/>
      <c r="K63" s="1954"/>
      <c r="L63" s="1361"/>
    </row>
    <row r="64" spans="1:12" ht="13.15" customHeight="1">
      <c r="A64" s="1120" t="s">
        <v>2287</v>
      </c>
      <c r="B64" s="59"/>
      <c r="C64" s="1951"/>
      <c r="D64" s="1951"/>
      <c r="E64" s="1952"/>
      <c r="F64" s="1953"/>
      <c r="G64" s="1951"/>
      <c r="H64" s="1954"/>
      <c r="I64" s="1953"/>
      <c r="J64" s="1951"/>
      <c r="K64" s="1954"/>
      <c r="L64" s="240"/>
    </row>
    <row r="65" spans="1:12" ht="13.15" customHeight="1">
      <c r="A65" s="1120" t="s">
        <v>2288</v>
      </c>
      <c r="B65" s="59"/>
      <c r="C65" s="1951"/>
      <c r="D65" s="1951"/>
      <c r="E65" s="1952"/>
      <c r="F65" s="1953"/>
      <c r="G65" s="1951"/>
      <c r="H65" s="1954"/>
      <c r="I65" s="1953"/>
      <c r="J65" s="1951"/>
      <c r="K65" s="1954"/>
      <c r="L65" s="240"/>
    </row>
    <row r="66" spans="1:12" ht="13.15" customHeight="1">
      <c r="A66" s="1120" t="s">
        <v>2289</v>
      </c>
      <c r="B66" s="59"/>
      <c r="C66" s="1951"/>
      <c r="D66" s="1951"/>
      <c r="E66" s="1952"/>
      <c r="F66" s="1953"/>
      <c r="G66" s="1951"/>
      <c r="H66" s="1954"/>
      <c r="I66" s="1953"/>
      <c r="J66" s="1951"/>
      <c r="K66" s="1954"/>
      <c r="L66" s="240"/>
    </row>
    <row r="67" spans="1:12" ht="13.15" customHeight="1">
      <c r="A67" s="1120" t="s">
        <v>2248</v>
      </c>
      <c r="B67" s="59"/>
      <c r="C67" s="1951"/>
      <c r="D67" s="1951"/>
      <c r="E67" s="1952"/>
      <c r="F67" s="1953"/>
      <c r="G67" s="1951"/>
      <c r="H67" s="1954"/>
      <c r="I67" s="1953"/>
      <c r="J67" s="1951"/>
      <c r="K67" s="1954"/>
      <c r="L67" s="240"/>
    </row>
    <row r="68" spans="1:12" ht="13.15" customHeight="1">
      <c r="A68" s="127" t="s">
        <v>2281</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15" customHeight="1">
      <c r="A69" s="1120" t="s">
        <v>2282</v>
      </c>
      <c r="B69" s="59"/>
      <c r="C69" s="1951"/>
      <c r="D69" s="1951"/>
      <c r="E69" s="1952"/>
      <c r="F69" s="1953"/>
      <c r="G69" s="1951"/>
      <c r="H69" s="1954"/>
      <c r="I69" s="1953"/>
      <c r="J69" s="1951"/>
      <c r="K69" s="1954"/>
      <c r="L69" s="240"/>
    </row>
    <row r="70" spans="1:12" ht="13.15" customHeight="1">
      <c r="A70" s="1120" t="s">
        <v>2283</v>
      </c>
      <c r="B70" s="59"/>
      <c r="C70" s="1951"/>
      <c r="D70" s="1951"/>
      <c r="E70" s="1952"/>
      <c r="F70" s="1953"/>
      <c r="G70" s="1951"/>
      <c r="H70" s="1954"/>
      <c r="I70" s="1953"/>
      <c r="J70" s="1951"/>
      <c r="K70" s="1954"/>
      <c r="L70" s="240"/>
    </row>
    <row r="71" spans="1:12" ht="13.15" customHeight="1">
      <c r="A71" s="1120" t="s">
        <v>2284</v>
      </c>
      <c r="B71" s="59"/>
      <c r="C71" s="1951"/>
      <c r="D71" s="1951"/>
      <c r="E71" s="1952"/>
      <c r="F71" s="1953"/>
      <c r="G71" s="1951"/>
      <c r="H71" s="1954"/>
      <c r="I71" s="1953"/>
      <c r="J71" s="1951"/>
      <c r="K71" s="1954"/>
      <c r="L71" s="240"/>
    </row>
    <row r="72" spans="1:12" ht="13.15" customHeight="1">
      <c r="A72" s="1120" t="s">
        <v>2248</v>
      </c>
      <c r="B72" s="59"/>
      <c r="C72" s="1951"/>
      <c r="D72" s="1951"/>
      <c r="E72" s="1952"/>
      <c r="F72" s="1953"/>
      <c r="G72" s="1951"/>
      <c r="H72" s="1954"/>
      <c r="I72" s="1953"/>
      <c r="J72" s="1951"/>
      <c r="K72" s="1954"/>
      <c r="L72" s="240"/>
    </row>
    <row r="73" spans="1:12" ht="4.9000000000000004" customHeight="1">
      <c r="A73" s="148"/>
      <c r="B73" s="59"/>
      <c r="C73" s="80"/>
      <c r="D73" s="80"/>
      <c r="E73" s="79"/>
      <c r="F73" s="82"/>
      <c r="G73" s="80"/>
      <c r="H73" s="81"/>
      <c r="I73" s="82"/>
      <c r="J73" s="80"/>
      <c r="K73" s="81"/>
      <c r="L73" s="240"/>
    </row>
    <row r="74" spans="1:12" ht="13.15" customHeight="1">
      <c r="A74" s="126" t="s">
        <v>2297</v>
      </c>
      <c r="B74" s="59"/>
      <c r="C74" s="264">
        <f>C75+C98</f>
        <v>19518</v>
      </c>
      <c r="D74" s="264">
        <f t="shared" ref="D74:K74" si="10">D75+D98</f>
        <v>0</v>
      </c>
      <c r="E74" s="266">
        <f t="shared" si="10"/>
        <v>14902</v>
      </c>
      <c r="F74" s="265">
        <f t="shared" si="10"/>
        <v>25000</v>
      </c>
      <c r="G74" s="264">
        <f t="shared" si="10"/>
        <v>25000</v>
      </c>
      <c r="H74" s="218">
        <f t="shared" si="10"/>
        <v>25000</v>
      </c>
      <c r="I74" s="265">
        <f t="shared" si="10"/>
        <v>0</v>
      </c>
      <c r="J74" s="264">
        <f t="shared" si="10"/>
        <v>0</v>
      </c>
      <c r="K74" s="218">
        <f t="shared" si="10"/>
        <v>0</v>
      </c>
      <c r="L74" s="240"/>
    </row>
    <row r="75" spans="1:12" ht="13.15" customHeight="1">
      <c r="A75" s="127" t="s">
        <v>2298</v>
      </c>
      <c r="B75" s="59"/>
      <c r="C75" s="943">
        <f>SUM(C76:C97)</f>
        <v>19518</v>
      </c>
      <c r="D75" s="943">
        <f t="shared" ref="D75:K75" si="11">SUM(D76:D97)</f>
        <v>0</v>
      </c>
      <c r="E75" s="1243">
        <f t="shared" si="11"/>
        <v>14902</v>
      </c>
      <c r="F75" s="944">
        <f t="shared" si="11"/>
        <v>25000</v>
      </c>
      <c r="G75" s="943">
        <f t="shared" si="11"/>
        <v>25000</v>
      </c>
      <c r="H75" s="980">
        <f t="shared" si="11"/>
        <v>25000</v>
      </c>
      <c r="I75" s="944">
        <f t="shared" si="11"/>
        <v>0</v>
      </c>
      <c r="J75" s="943">
        <f t="shared" si="11"/>
        <v>0</v>
      </c>
      <c r="K75" s="980">
        <f t="shared" si="11"/>
        <v>0</v>
      </c>
      <c r="L75" s="240"/>
    </row>
    <row r="76" spans="1:12" ht="13.15" customHeight="1">
      <c r="A76" s="1120" t="s">
        <v>2299</v>
      </c>
      <c r="B76" s="59"/>
      <c r="C76" s="1951">
        <v>0</v>
      </c>
      <c r="D76" s="1951">
        <v>0</v>
      </c>
      <c r="E76" s="1952">
        <v>0</v>
      </c>
      <c r="F76" s="2761">
        <v>0</v>
      </c>
      <c r="G76" s="2760">
        <v>0</v>
      </c>
      <c r="H76" s="2762">
        <v>0</v>
      </c>
      <c r="I76" s="1953"/>
      <c r="J76" s="1951"/>
      <c r="K76" s="1954"/>
      <c r="L76" s="240"/>
    </row>
    <row r="77" spans="1:12" ht="13.15" customHeight="1">
      <c r="A77" s="1120" t="s">
        <v>2300</v>
      </c>
      <c r="B77" s="59"/>
      <c r="C77" s="1951">
        <v>19518</v>
      </c>
      <c r="D77" s="1951">
        <v>0</v>
      </c>
      <c r="E77" s="1952">
        <v>14902</v>
      </c>
      <c r="F77" s="2761">
        <v>25000</v>
      </c>
      <c r="G77" s="2760">
        <v>25000</v>
      </c>
      <c r="H77" s="2762">
        <v>25000</v>
      </c>
      <c r="I77" s="1953"/>
      <c r="J77" s="1951"/>
      <c r="K77" s="1954"/>
      <c r="L77" s="240"/>
    </row>
    <row r="78" spans="1:12" ht="13.15" customHeight="1">
      <c r="A78" s="1120" t="s">
        <v>2301</v>
      </c>
      <c r="B78" s="59"/>
      <c r="C78" s="1951">
        <v>0</v>
      </c>
      <c r="D78" s="1951">
        <v>0</v>
      </c>
      <c r="E78" s="1952">
        <v>0</v>
      </c>
      <c r="F78" s="2761">
        <v>0</v>
      </c>
      <c r="G78" s="2760">
        <v>0</v>
      </c>
      <c r="H78" s="2762">
        <v>0</v>
      </c>
      <c r="I78" s="1953"/>
      <c r="J78" s="1951"/>
      <c r="K78" s="1954"/>
      <c r="L78" s="240"/>
    </row>
    <row r="79" spans="1:12" ht="13.15" customHeight="1">
      <c r="A79" s="1120" t="s">
        <v>2302</v>
      </c>
      <c r="B79" s="59"/>
      <c r="C79" s="1951">
        <v>0</v>
      </c>
      <c r="D79" s="1951">
        <v>0</v>
      </c>
      <c r="E79" s="1952">
        <v>0</v>
      </c>
      <c r="F79" s="2761">
        <v>0</v>
      </c>
      <c r="G79" s="2760">
        <v>0</v>
      </c>
      <c r="H79" s="2762">
        <v>0</v>
      </c>
      <c r="I79" s="1953"/>
      <c r="J79" s="1951"/>
      <c r="K79" s="1954"/>
      <c r="L79" s="240"/>
    </row>
    <row r="80" spans="1:12" ht="13.15" customHeight="1">
      <c r="A80" s="1120" t="s">
        <v>2303</v>
      </c>
      <c r="B80" s="59"/>
      <c r="C80" s="1951">
        <v>0</v>
      </c>
      <c r="D80" s="1951">
        <v>0</v>
      </c>
      <c r="E80" s="1952">
        <v>0</v>
      </c>
      <c r="F80" s="1953"/>
      <c r="G80" s="1951"/>
      <c r="H80" s="1954"/>
      <c r="I80" s="1953"/>
      <c r="J80" s="1951"/>
      <c r="K80" s="1954"/>
      <c r="L80" s="240"/>
    </row>
    <row r="81" spans="1:12" ht="13.15" customHeight="1">
      <c r="A81" s="1120" t="s">
        <v>2304</v>
      </c>
      <c r="B81" s="59"/>
      <c r="C81" s="1951"/>
      <c r="D81" s="1951"/>
      <c r="E81" s="1952"/>
      <c r="F81" s="1953"/>
      <c r="G81" s="1951"/>
      <c r="H81" s="1954"/>
      <c r="I81" s="1953"/>
      <c r="J81" s="1951"/>
      <c r="K81" s="1954"/>
      <c r="L81" s="240"/>
    </row>
    <row r="82" spans="1:12" ht="13.15" customHeight="1">
      <c r="A82" s="1120" t="s">
        <v>2305</v>
      </c>
      <c r="B82" s="59"/>
      <c r="C82" s="1951"/>
      <c r="D82" s="1951"/>
      <c r="E82" s="1952"/>
      <c r="F82" s="1953"/>
      <c r="G82" s="1951"/>
      <c r="H82" s="1954"/>
      <c r="I82" s="1953"/>
      <c r="J82" s="1951"/>
      <c r="K82" s="1954"/>
      <c r="L82" s="240"/>
    </row>
    <row r="83" spans="1:12" ht="13.15" customHeight="1">
      <c r="A83" s="1120" t="s">
        <v>2306</v>
      </c>
      <c r="B83" s="59"/>
      <c r="C83" s="1951"/>
      <c r="D83" s="1951"/>
      <c r="E83" s="1952"/>
      <c r="F83" s="1953"/>
      <c r="G83" s="1951"/>
      <c r="H83" s="1954"/>
      <c r="I83" s="1953"/>
      <c r="J83" s="1951"/>
      <c r="K83" s="1954"/>
      <c r="L83" s="240"/>
    </row>
    <row r="84" spans="1:12" s="233" customFormat="1" ht="13.15" customHeight="1">
      <c r="A84" s="1120" t="s">
        <v>2307</v>
      </c>
      <c r="B84" s="59"/>
      <c r="C84" s="1951"/>
      <c r="D84" s="1951"/>
      <c r="E84" s="1952"/>
      <c r="F84" s="1953"/>
      <c r="G84" s="1951"/>
      <c r="H84" s="1954"/>
      <c r="I84" s="1953"/>
      <c r="J84" s="1951"/>
      <c r="K84" s="1954"/>
    </row>
    <row r="85" spans="1:12" ht="13.15" customHeight="1">
      <c r="A85" s="1120" t="s">
        <v>288</v>
      </c>
      <c r="B85" s="59"/>
      <c r="C85" s="1951"/>
      <c r="D85" s="1951"/>
      <c r="E85" s="1952"/>
      <c r="F85" s="1953"/>
      <c r="G85" s="1951"/>
      <c r="H85" s="1954"/>
      <c r="I85" s="1953"/>
      <c r="J85" s="1951"/>
      <c r="K85" s="1954"/>
    </row>
    <row r="86" spans="1:12" ht="13.15" customHeight="1">
      <c r="A86" s="1120" t="s">
        <v>2308</v>
      </c>
      <c r="B86" s="59"/>
      <c r="C86" s="1951"/>
      <c r="D86" s="1951"/>
      <c r="E86" s="1952"/>
      <c r="F86" s="1953"/>
      <c r="G86" s="1951"/>
      <c r="H86" s="1954"/>
      <c r="I86" s="1953"/>
      <c r="J86" s="1951"/>
      <c r="K86" s="1954"/>
    </row>
    <row r="87" spans="1:12" ht="13.15" customHeight="1">
      <c r="A87" s="1120" t="s">
        <v>1452</v>
      </c>
      <c r="B87" s="59"/>
      <c r="C87" s="1951"/>
      <c r="D87" s="1951"/>
      <c r="E87" s="1952"/>
      <c r="F87" s="1953"/>
      <c r="G87" s="1951"/>
      <c r="H87" s="1954"/>
      <c r="I87" s="1953"/>
      <c r="J87" s="1951"/>
      <c r="K87" s="1954"/>
    </row>
    <row r="88" spans="1:12" ht="13.15" customHeight="1">
      <c r="A88" s="1120" t="s">
        <v>2483</v>
      </c>
      <c r="B88" s="59"/>
      <c r="C88" s="1951"/>
      <c r="D88" s="1951"/>
      <c r="E88" s="1952"/>
      <c r="F88" s="1953"/>
      <c r="G88" s="1951"/>
      <c r="H88" s="1954"/>
      <c r="I88" s="1953"/>
      <c r="J88" s="1951"/>
      <c r="K88" s="1954"/>
    </row>
    <row r="89" spans="1:12" s="576" customFormat="1" ht="13.15" customHeight="1">
      <c r="A89" s="1120" t="s">
        <v>2310</v>
      </c>
      <c r="B89" s="59"/>
      <c r="C89" s="1951"/>
      <c r="D89" s="1951"/>
      <c r="E89" s="1952"/>
      <c r="F89" s="1953"/>
      <c r="G89" s="1951"/>
      <c r="H89" s="1954"/>
      <c r="I89" s="1953"/>
      <c r="J89" s="1951"/>
      <c r="K89" s="1954"/>
    </row>
    <row r="90" spans="1:12" ht="13.15" customHeight="1">
      <c r="A90" s="1120" t="s">
        <v>2311</v>
      </c>
      <c r="B90" s="59"/>
      <c r="C90" s="1951"/>
      <c r="D90" s="1951"/>
      <c r="E90" s="1952"/>
      <c r="F90" s="1953"/>
      <c r="G90" s="1951"/>
      <c r="H90" s="1954"/>
      <c r="I90" s="1953"/>
      <c r="J90" s="1951"/>
      <c r="K90" s="1954"/>
    </row>
    <row r="91" spans="1:12" ht="13.15" customHeight="1">
      <c r="A91" s="1120" t="s">
        <v>2312</v>
      </c>
      <c r="B91" s="59"/>
      <c r="C91" s="1951"/>
      <c r="D91" s="1951"/>
      <c r="E91" s="1952"/>
      <c r="F91" s="1953"/>
      <c r="G91" s="1951"/>
      <c r="H91" s="1954"/>
      <c r="I91" s="1953"/>
      <c r="J91" s="1951"/>
      <c r="K91" s="1954"/>
    </row>
    <row r="92" spans="1:12" ht="13.15" customHeight="1">
      <c r="A92" s="1120" t="s">
        <v>1087</v>
      </c>
      <c r="B92" s="59"/>
      <c r="C92" s="1951"/>
      <c r="D92" s="1951"/>
      <c r="E92" s="1952"/>
      <c r="F92" s="1953"/>
      <c r="G92" s="1951"/>
      <c r="H92" s="1954"/>
      <c r="I92" s="1953"/>
      <c r="J92" s="1951"/>
      <c r="K92" s="1954"/>
    </row>
    <row r="93" spans="1:12" ht="13.15" customHeight="1">
      <c r="A93" s="1120" t="s">
        <v>2313</v>
      </c>
      <c r="B93" s="59"/>
      <c r="C93" s="1951"/>
      <c r="D93" s="1951"/>
      <c r="E93" s="1952"/>
      <c r="F93" s="1953"/>
      <c r="G93" s="1951"/>
      <c r="H93" s="1954"/>
      <c r="I93" s="1953"/>
      <c r="J93" s="1951"/>
      <c r="K93" s="1954"/>
    </row>
    <row r="94" spans="1:12" ht="13.15" customHeight="1">
      <c r="A94" s="1120" t="s">
        <v>1086</v>
      </c>
      <c r="B94" s="59"/>
      <c r="C94" s="1951"/>
      <c r="D94" s="1951"/>
      <c r="E94" s="1952"/>
      <c r="F94" s="1953"/>
      <c r="G94" s="1951"/>
      <c r="H94" s="1954"/>
      <c r="I94" s="1953"/>
      <c r="J94" s="1951"/>
      <c r="K94" s="1954"/>
    </row>
    <row r="95" spans="1:12" ht="13.15" customHeight="1">
      <c r="A95" s="1120" t="s">
        <v>2314</v>
      </c>
      <c r="B95" s="59"/>
      <c r="C95" s="1951"/>
      <c r="D95" s="1951"/>
      <c r="E95" s="1952"/>
      <c r="F95" s="1953"/>
      <c r="G95" s="1951"/>
      <c r="H95" s="1954"/>
      <c r="I95" s="1953"/>
      <c r="J95" s="1951"/>
      <c r="K95" s="1954"/>
    </row>
    <row r="96" spans="1:12" ht="13.15" customHeight="1">
      <c r="A96" s="1120" t="s">
        <v>2315</v>
      </c>
      <c r="B96" s="59"/>
      <c r="C96" s="1951"/>
      <c r="D96" s="1951"/>
      <c r="E96" s="1952"/>
      <c r="F96" s="1953"/>
      <c r="G96" s="1951"/>
      <c r="H96" s="1954"/>
      <c r="I96" s="1953"/>
      <c r="J96" s="1951"/>
      <c r="K96" s="1954"/>
    </row>
    <row r="97" spans="1:11" ht="13.15" customHeight="1">
      <c r="A97" s="1120" t="s">
        <v>2248</v>
      </c>
      <c r="B97" s="59"/>
      <c r="C97" s="1951"/>
      <c r="D97" s="1951"/>
      <c r="E97" s="1952"/>
      <c r="F97" s="1953"/>
      <c r="G97" s="1951"/>
      <c r="H97" s="1954"/>
      <c r="I97" s="1953"/>
      <c r="J97" s="1951"/>
      <c r="K97" s="1954"/>
    </row>
    <row r="98" spans="1:11" ht="13.15" customHeight="1">
      <c r="A98" s="127" t="s">
        <v>2316</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row>
    <row r="99" spans="1:11" ht="13.15" customHeight="1">
      <c r="A99" s="1120" t="s">
        <v>2317</v>
      </c>
      <c r="B99" s="59"/>
      <c r="C99" s="1951"/>
      <c r="D99" s="1951"/>
      <c r="E99" s="1952"/>
      <c r="F99" s="1953"/>
      <c r="G99" s="1951"/>
      <c r="H99" s="1954"/>
      <c r="I99" s="1953"/>
      <c r="J99" s="1951"/>
      <c r="K99" s="1954"/>
    </row>
    <row r="100" spans="1:11" ht="13.15" customHeight="1">
      <c r="A100" s="1120" t="s">
        <v>2318</v>
      </c>
      <c r="B100" s="59"/>
      <c r="C100" s="1951"/>
      <c r="D100" s="1951"/>
      <c r="E100" s="1952"/>
      <c r="F100" s="1953"/>
      <c r="G100" s="1951"/>
      <c r="H100" s="1954"/>
      <c r="I100" s="1953"/>
      <c r="J100" s="1951"/>
      <c r="K100" s="1954"/>
    </row>
    <row r="101" spans="1:11" ht="13.15" customHeight="1">
      <c r="A101" s="1120" t="s">
        <v>2248</v>
      </c>
      <c r="B101" s="59"/>
      <c r="C101" s="1951"/>
      <c r="D101" s="1951"/>
      <c r="E101" s="1952"/>
      <c r="F101" s="1953"/>
      <c r="G101" s="1951"/>
      <c r="H101" s="1954"/>
      <c r="I101" s="1953"/>
      <c r="J101" s="1951"/>
      <c r="K101" s="1954"/>
    </row>
    <row r="102" spans="1:11" ht="4.9000000000000004" customHeight="1">
      <c r="A102" s="148"/>
      <c r="B102" s="59"/>
      <c r="C102" s="1951">
        <v>1000</v>
      </c>
      <c r="D102" s="1951">
        <v>1000</v>
      </c>
      <c r="E102" s="1952">
        <v>1000</v>
      </c>
      <c r="F102" s="1953">
        <v>1000</v>
      </c>
      <c r="G102" s="1951">
        <v>1000</v>
      </c>
      <c r="H102" s="1954">
        <v>1000</v>
      </c>
      <c r="I102" s="1953">
        <v>1000</v>
      </c>
      <c r="J102" s="1951">
        <v>1000</v>
      </c>
      <c r="K102" s="1954">
        <v>1000</v>
      </c>
    </row>
    <row r="103" spans="1:11" ht="13.15" customHeight="1">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c r="A104" s="127" t="s">
        <v>2319</v>
      </c>
      <c r="B104" s="59"/>
      <c r="C104" s="1951"/>
      <c r="D104" s="1951"/>
      <c r="E104" s="1952"/>
      <c r="F104" s="1953"/>
      <c r="G104" s="1951"/>
      <c r="H104" s="1954"/>
      <c r="I104" s="1953"/>
      <c r="J104" s="1951"/>
      <c r="K104" s="1954"/>
    </row>
    <row r="105" spans="1:11" ht="13.15" customHeight="1">
      <c r="A105" s="131" t="s">
        <v>2320</v>
      </c>
      <c r="B105" s="59"/>
      <c r="C105" s="1951"/>
      <c r="D105" s="1951"/>
      <c r="E105" s="1952"/>
      <c r="F105" s="1953"/>
      <c r="G105" s="1951"/>
      <c r="H105" s="1954"/>
      <c r="I105" s="1953"/>
      <c r="J105" s="1951"/>
      <c r="K105" s="1954"/>
    </row>
    <row r="106" spans="1:11" ht="13.15" customHeight="1">
      <c r="A106" s="127" t="s">
        <v>2321</v>
      </c>
      <c r="B106" s="59"/>
      <c r="C106" s="1951"/>
      <c r="D106" s="1951"/>
      <c r="E106" s="1952"/>
      <c r="F106" s="1953"/>
      <c r="G106" s="1951"/>
      <c r="H106" s="1954"/>
      <c r="I106" s="1953"/>
      <c r="J106" s="1951"/>
      <c r="K106" s="1954"/>
    </row>
    <row r="107" spans="1:11" ht="13.15" customHeight="1">
      <c r="A107" s="127" t="s">
        <v>2322</v>
      </c>
      <c r="B107" s="59"/>
      <c r="C107" s="1951"/>
      <c r="D107" s="1951"/>
      <c r="E107" s="1952"/>
      <c r="F107" s="1953"/>
      <c r="G107" s="1951"/>
      <c r="H107" s="1954"/>
      <c r="I107" s="1953"/>
      <c r="J107" s="1951"/>
      <c r="K107" s="1954"/>
    </row>
    <row r="108" spans="1:11" ht="13.15" customHeight="1">
      <c r="A108" s="131" t="s">
        <v>2323</v>
      </c>
      <c r="B108" s="59"/>
      <c r="C108" s="1951"/>
      <c r="D108" s="1951"/>
      <c r="E108" s="1952"/>
      <c r="F108" s="1953"/>
      <c r="G108" s="1951"/>
      <c r="H108" s="1954"/>
      <c r="I108" s="1953"/>
      <c r="J108" s="1951"/>
      <c r="K108" s="1954"/>
    </row>
    <row r="109" spans="1:11" ht="4.9000000000000004" customHeight="1">
      <c r="A109" s="679"/>
      <c r="B109" s="59"/>
      <c r="C109" s="80"/>
      <c r="D109" s="80"/>
      <c r="E109" s="79"/>
      <c r="F109" s="82"/>
      <c r="G109" s="80"/>
      <c r="H109" s="81"/>
      <c r="I109" s="82"/>
      <c r="J109" s="80"/>
      <c r="K109" s="81"/>
    </row>
    <row r="110" spans="1:11" ht="13.15" customHeight="1">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c r="A111" s="127" t="s">
        <v>2353</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c r="A112" s="1120" t="s">
        <v>2354</v>
      </c>
      <c r="B112" s="59"/>
      <c r="C112" s="1951"/>
      <c r="D112" s="1951"/>
      <c r="E112" s="1952"/>
      <c r="F112" s="1953"/>
      <c r="G112" s="1951"/>
      <c r="H112" s="1954"/>
      <c r="I112" s="1953"/>
      <c r="J112" s="1951"/>
      <c r="K112" s="1954"/>
    </row>
    <row r="113" spans="1:11" ht="13.15" customHeight="1">
      <c r="A113" s="1120" t="s">
        <v>2355</v>
      </c>
      <c r="B113" s="59"/>
      <c r="C113" s="1951"/>
      <c r="D113" s="1951"/>
      <c r="E113" s="1952"/>
      <c r="F113" s="1953"/>
      <c r="G113" s="1951"/>
      <c r="H113" s="1954"/>
      <c r="I113" s="1953"/>
      <c r="J113" s="1951"/>
      <c r="K113" s="1954"/>
    </row>
    <row r="114" spans="1:11" ht="13.15" customHeight="1">
      <c r="A114" s="127" t="s">
        <v>2356</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c r="A115" s="1120" t="s">
        <v>2354</v>
      </c>
      <c r="B115" s="59"/>
      <c r="C115" s="1951"/>
      <c r="D115" s="1951"/>
      <c r="E115" s="1952"/>
      <c r="F115" s="1953"/>
      <c r="G115" s="1951"/>
      <c r="H115" s="1954"/>
      <c r="I115" s="1953"/>
      <c r="J115" s="1951"/>
      <c r="K115" s="1954"/>
    </row>
    <row r="116" spans="1:11" ht="13.15" customHeight="1">
      <c r="A116" s="1120" t="s">
        <v>2355</v>
      </c>
      <c r="B116" s="59"/>
      <c r="C116" s="1951"/>
      <c r="D116" s="1951"/>
      <c r="E116" s="1952"/>
      <c r="F116" s="1953"/>
      <c r="G116" s="1951"/>
      <c r="H116" s="1954"/>
      <c r="I116" s="1953"/>
      <c r="J116" s="1951"/>
      <c r="K116" s="1954"/>
    </row>
    <row r="117" spans="1:11" ht="4.9000000000000004" customHeight="1">
      <c r="A117" s="679"/>
      <c r="B117" s="59"/>
      <c r="C117" s="80"/>
      <c r="D117" s="80"/>
      <c r="E117" s="79"/>
      <c r="F117" s="82"/>
      <c r="G117" s="80"/>
      <c r="H117" s="81"/>
      <c r="I117" s="82"/>
      <c r="J117" s="80"/>
      <c r="K117" s="81"/>
    </row>
    <row r="118" spans="1:11" ht="13.15" customHeight="1">
      <c r="A118" s="672" t="s">
        <v>837</v>
      </c>
      <c r="B118" s="59"/>
      <c r="C118" s="95">
        <f>+C119+C131</f>
        <v>1885005</v>
      </c>
      <c r="D118" s="95">
        <f t="shared" ref="D118:K118" si="17">+D119+D131</f>
        <v>39420368</v>
      </c>
      <c r="E118" s="94">
        <f t="shared" si="17"/>
        <v>8517101</v>
      </c>
      <c r="F118" s="97">
        <f t="shared" si="17"/>
        <v>2322216</v>
      </c>
      <c r="G118" s="95">
        <f t="shared" si="17"/>
        <v>1244273</v>
      </c>
      <c r="H118" s="96">
        <f t="shared" si="17"/>
        <v>1244273</v>
      </c>
      <c r="I118" s="97">
        <f t="shared" si="17"/>
        <v>1363363</v>
      </c>
      <c r="J118" s="95">
        <f t="shared" si="17"/>
        <v>1426084</v>
      </c>
      <c r="K118" s="96">
        <f t="shared" si="17"/>
        <v>1491686</v>
      </c>
    </row>
    <row r="119" spans="1:11" ht="13.15" customHeight="1">
      <c r="A119" s="127" t="s">
        <v>2324</v>
      </c>
      <c r="B119" s="59"/>
      <c r="C119" s="943">
        <f>SUM(C120:C130)</f>
        <v>1885005</v>
      </c>
      <c r="D119" s="943">
        <f t="shared" ref="D119:K119" si="18">SUM(D120:D130)</f>
        <v>39420368</v>
      </c>
      <c r="E119" s="1243">
        <f t="shared" si="18"/>
        <v>8517101</v>
      </c>
      <c r="F119" s="944">
        <f t="shared" si="18"/>
        <v>2322216</v>
      </c>
      <c r="G119" s="943">
        <f t="shared" si="18"/>
        <v>1244273</v>
      </c>
      <c r="H119" s="980">
        <f t="shared" si="18"/>
        <v>1244273</v>
      </c>
      <c r="I119" s="944">
        <f t="shared" si="18"/>
        <v>1363363</v>
      </c>
      <c r="J119" s="943">
        <f t="shared" si="18"/>
        <v>1426084</v>
      </c>
      <c r="K119" s="980">
        <f t="shared" si="18"/>
        <v>1491686</v>
      </c>
    </row>
    <row r="120" spans="1:11" ht="13.15" customHeight="1">
      <c r="A120" s="1120" t="s">
        <v>2325</v>
      </c>
      <c r="B120" s="59"/>
      <c r="C120" s="1951">
        <v>1885005</v>
      </c>
      <c r="D120" s="1951">
        <v>39420368</v>
      </c>
      <c r="E120" s="1952">
        <v>8517101</v>
      </c>
      <c r="F120" s="2764">
        <v>2322216</v>
      </c>
      <c r="G120" s="2763">
        <v>1244273</v>
      </c>
      <c r="H120" s="2765">
        <v>1244273</v>
      </c>
      <c r="I120" s="1953">
        <v>1363363</v>
      </c>
      <c r="J120" s="1951">
        <v>1426084</v>
      </c>
      <c r="K120" s="1954">
        <v>1491686</v>
      </c>
    </row>
    <row r="121" spans="1:11" ht="13.15" customHeight="1">
      <c r="A121" s="1120" t="s">
        <v>2326</v>
      </c>
      <c r="B121" s="59"/>
      <c r="C121" s="1951"/>
      <c r="D121" s="1951"/>
      <c r="E121" s="1952"/>
      <c r="F121" s="1953"/>
      <c r="G121" s="1951"/>
      <c r="H121" s="1954"/>
      <c r="I121" s="1953"/>
      <c r="J121" s="1951"/>
      <c r="K121" s="1954"/>
    </row>
    <row r="122" spans="1:11" ht="13.15" customHeight="1">
      <c r="A122" s="1120" t="s">
        <v>2327</v>
      </c>
      <c r="B122" s="59"/>
      <c r="C122" s="1951"/>
      <c r="D122" s="1951"/>
      <c r="E122" s="1952"/>
      <c r="F122" s="1953"/>
      <c r="G122" s="1951"/>
      <c r="H122" s="1954"/>
      <c r="I122" s="1953"/>
      <c r="J122" s="1951"/>
      <c r="K122" s="1954"/>
    </row>
    <row r="123" spans="1:11" ht="13.15" customHeight="1">
      <c r="A123" s="1120" t="s">
        <v>2328</v>
      </c>
      <c r="B123" s="59"/>
      <c r="C123" s="1951"/>
      <c r="D123" s="1951"/>
      <c r="E123" s="1952"/>
      <c r="F123" s="1953"/>
      <c r="G123" s="1951"/>
      <c r="H123" s="1954"/>
      <c r="I123" s="1953"/>
      <c r="J123" s="1951"/>
      <c r="K123" s="1954"/>
    </row>
    <row r="124" spans="1:11" ht="13.15" customHeight="1">
      <c r="A124" s="1120" t="s">
        <v>2329</v>
      </c>
      <c r="B124" s="59"/>
      <c r="C124" s="1951"/>
      <c r="D124" s="1951"/>
      <c r="E124" s="1952"/>
      <c r="F124" s="1953"/>
      <c r="G124" s="1951"/>
      <c r="H124" s="1954"/>
      <c r="I124" s="1953"/>
      <c r="J124" s="1951"/>
      <c r="K124" s="1954"/>
    </row>
    <row r="125" spans="1:11" ht="13.15" customHeight="1">
      <c r="A125" s="1120" t="s">
        <v>2330</v>
      </c>
      <c r="B125" s="59"/>
      <c r="C125" s="1951"/>
      <c r="D125" s="1951"/>
      <c r="E125" s="1952"/>
      <c r="F125" s="1953"/>
      <c r="G125" s="1951"/>
      <c r="H125" s="1954"/>
      <c r="I125" s="1953"/>
      <c r="J125" s="1951"/>
      <c r="K125" s="1954"/>
    </row>
    <row r="126" spans="1:11" ht="13.15" customHeight="1">
      <c r="A126" s="1120" t="s">
        <v>2331</v>
      </c>
      <c r="B126" s="59"/>
      <c r="C126" s="1951"/>
      <c r="D126" s="1951"/>
      <c r="E126" s="1952"/>
      <c r="F126" s="1953"/>
      <c r="G126" s="1951"/>
      <c r="H126" s="1954"/>
      <c r="I126" s="1953"/>
      <c r="J126" s="1951"/>
      <c r="K126" s="1954"/>
    </row>
    <row r="127" spans="1:11" ht="13.15" customHeight="1">
      <c r="A127" s="1120" t="s">
        <v>2332</v>
      </c>
      <c r="B127" s="59"/>
      <c r="C127" s="1951"/>
      <c r="D127" s="1951"/>
      <c r="E127" s="1952"/>
      <c r="F127" s="1953"/>
      <c r="G127" s="1951"/>
      <c r="H127" s="1954"/>
      <c r="I127" s="1953"/>
      <c r="J127" s="1951"/>
      <c r="K127" s="1954"/>
    </row>
    <row r="128" spans="1:11" ht="13.15" customHeight="1">
      <c r="A128" s="1120" t="s">
        <v>2333</v>
      </c>
      <c r="B128" s="59"/>
      <c r="C128" s="1951"/>
      <c r="D128" s="1951"/>
      <c r="E128" s="1952"/>
      <c r="F128" s="1953"/>
      <c r="G128" s="1951"/>
      <c r="H128" s="1954"/>
      <c r="I128" s="1953"/>
      <c r="J128" s="1951"/>
      <c r="K128" s="1954"/>
    </row>
    <row r="129" spans="1:11" ht="13.15" customHeight="1">
      <c r="A129" s="1120" t="s">
        <v>2334</v>
      </c>
      <c r="B129" s="59"/>
      <c r="C129" s="1951"/>
      <c r="D129" s="1951"/>
      <c r="E129" s="1952"/>
      <c r="F129" s="1953"/>
      <c r="G129" s="1951"/>
      <c r="H129" s="1954"/>
      <c r="I129" s="1953"/>
      <c r="J129" s="1951"/>
      <c r="K129" s="1954"/>
    </row>
    <row r="130" spans="1:11" ht="13.15" customHeight="1">
      <c r="A130" s="1120" t="s">
        <v>2248</v>
      </c>
      <c r="B130" s="59"/>
      <c r="C130" s="1951"/>
      <c r="D130" s="1951"/>
      <c r="E130" s="1952"/>
      <c r="F130" s="1953"/>
      <c r="G130" s="1951"/>
      <c r="H130" s="1954"/>
      <c r="I130" s="1953"/>
      <c r="J130" s="1951"/>
      <c r="K130" s="1954"/>
    </row>
    <row r="131" spans="1:11" ht="13.15" customHeight="1">
      <c r="A131" s="127" t="s">
        <v>1493</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15" customHeight="1">
      <c r="A132" s="1120" t="s">
        <v>2335</v>
      </c>
      <c r="B132" s="59"/>
      <c r="C132" s="1951"/>
      <c r="D132" s="1951"/>
      <c r="E132" s="1952"/>
      <c r="F132" s="1953"/>
      <c r="G132" s="1951"/>
      <c r="H132" s="1954"/>
      <c r="I132" s="1953"/>
      <c r="J132" s="1951"/>
      <c r="K132" s="1954"/>
    </row>
    <row r="133" spans="1:11" ht="13.15" customHeight="1">
      <c r="A133" s="1120" t="s">
        <v>2336</v>
      </c>
      <c r="B133" s="59"/>
      <c r="C133" s="1951"/>
      <c r="D133" s="1951"/>
      <c r="E133" s="1952"/>
      <c r="F133" s="1953"/>
      <c r="G133" s="1951"/>
      <c r="H133" s="1954"/>
      <c r="I133" s="1953"/>
      <c r="J133" s="1951"/>
      <c r="K133" s="1954"/>
    </row>
    <row r="134" spans="1:11" ht="13.15" customHeight="1">
      <c r="A134" s="1120" t="s">
        <v>2248</v>
      </c>
      <c r="B134" s="59"/>
      <c r="C134" s="1951"/>
      <c r="D134" s="1951"/>
      <c r="E134" s="1952"/>
      <c r="F134" s="1953"/>
      <c r="G134" s="1951"/>
      <c r="H134" s="1954"/>
      <c r="I134" s="1953"/>
      <c r="J134" s="1951"/>
      <c r="K134" s="1954"/>
    </row>
    <row r="135" spans="1:11" ht="4.9000000000000004" customHeight="1">
      <c r="A135" s="706"/>
      <c r="B135" s="59"/>
      <c r="C135" s="80"/>
      <c r="D135" s="80"/>
      <c r="E135" s="79"/>
      <c r="F135" s="82"/>
      <c r="G135" s="80"/>
      <c r="H135" s="81"/>
      <c r="I135" s="82"/>
      <c r="J135" s="80"/>
      <c r="K135" s="81"/>
    </row>
    <row r="136" spans="1:11" ht="13.15" customHeight="1">
      <c r="A136" s="126" t="s">
        <v>2337</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c r="A137" s="127" t="s">
        <v>2337</v>
      </c>
      <c r="B137" s="59"/>
      <c r="C137" s="1951"/>
      <c r="D137" s="1951"/>
      <c r="E137" s="1952"/>
      <c r="F137" s="1953"/>
      <c r="G137" s="1951"/>
      <c r="H137" s="1954"/>
      <c r="I137" s="1953"/>
      <c r="J137" s="1951"/>
      <c r="K137" s="1954"/>
    </row>
    <row r="138" spans="1:11" ht="4.9000000000000004" customHeight="1">
      <c r="A138" s="148"/>
      <c r="B138" s="59"/>
      <c r="C138" s="80"/>
      <c r="D138" s="80"/>
      <c r="E138" s="79"/>
      <c r="F138" s="82"/>
      <c r="G138" s="80"/>
      <c r="H138" s="81"/>
      <c r="I138" s="82"/>
      <c r="J138" s="80"/>
      <c r="K138" s="81"/>
    </row>
    <row r="139" spans="1:11" ht="13.15" customHeight="1">
      <c r="A139" s="126" t="s">
        <v>2340</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c r="A140" s="131" t="s">
        <v>2338</v>
      </c>
      <c r="B140" s="59"/>
      <c r="C140" s="1951"/>
      <c r="D140" s="1951"/>
      <c r="E140" s="1952"/>
      <c r="F140" s="1953"/>
      <c r="G140" s="1951"/>
      <c r="H140" s="1954"/>
      <c r="I140" s="1953"/>
      <c r="J140" s="1951"/>
      <c r="K140" s="1954"/>
    </row>
    <row r="141" spans="1:11" ht="13.15" customHeight="1">
      <c r="A141" s="131" t="s">
        <v>2339</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row>
    <row r="142" spans="1:11" ht="13.15" customHeight="1">
      <c r="A142" s="1120" t="s">
        <v>2341</v>
      </c>
      <c r="B142" s="59"/>
      <c r="C142" s="1951"/>
      <c r="D142" s="1951"/>
      <c r="E142" s="1952"/>
      <c r="F142" s="1953"/>
      <c r="G142" s="1951"/>
      <c r="H142" s="1954"/>
      <c r="I142" s="1953"/>
      <c r="J142" s="1951"/>
      <c r="K142" s="1954"/>
    </row>
    <row r="143" spans="1:11" ht="13.15" customHeight="1">
      <c r="A143" s="1120" t="s">
        <v>2342</v>
      </c>
      <c r="B143" s="59"/>
      <c r="C143" s="1951"/>
      <c r="D143" s="1951"/>
      <c r="E143" s="1952"/>
      <c r="F143" s="1953"/>
      <c r="G143" s="1951"/>
      <c r="H143" s="1954"/>
      <c r="I143" s="1953"/>
      <c r="J143" s="1951"/>
      <c r="K143" s="1954"/>
    </row>
    <row r="144" spans="1:11" ht="13.15" customHeight="1">
      <c r="A144" s="1120" t="s">
        <v>2343</v>
      </c>
      <c r="B144" s="59"/>
      <c r="C144" s="1951"/>
      <c r="D144" s="1951"/>
      <c r="E144" s="1952"/>
      <c r="F144" s="1953"/>
      <c r="G144" s="1951"/>
      <c r="H144" s="1954"/>
      <c r="I144" s="1953"/>
      <c r="J144" s="1951"/>
      <c r="K144" s="1954"/>
    </row>
    <row r="145" spans="1:11" ht="13.15" customHeight="1">
      <c r="A145" s="1120" t="s">
        <v>2344</v>
      </c>
      <c r="B145" s="59"/>
      <c r="C145" s="1951"/>
      <c r="D145" s="1951"/>
      <c r="E145" s="1952"/>
      <c r="F145" s="1953"/>
      <c r="G145" s="1951"/>
      <c r="H145" s="1954"/>
      <c r="I145" s="1953"/>
      <c r="J145" s="1951"/>
      <c r="K145" s="1954"/>
    </row>
    <row r="146" spans="1:11" ht="13.15" customHeight="1">
      <c r="A146" s="1120" t="s">
        <v>2345</v>
      </c>
      <c r="B146" s="59"/>
      <c r="C146" s="1951"/>
      <c r="D146" s="1951"/>
      <c r="E146" s="1952"/>
      <c r="F146" s="1953"/>
      <c r="G146" s="1951"/>
      <c r="H146" s="1954"/>
      <c r="I146" s="1953"/>
      <c r="J146" s="1951"/>
      <c r="K146" s="1954"/>
    </row>
    <row r="147" spans="1:11" ht="13.15" customHeight="1">
      <c r="A147" s="1120" t="s">
        <v>2346</v>
      </c>
      <c r="B147" s="59"/>
      <c r="C147" s="1951"/>
      <c r="D147" s="1951"/>
      <c r="E147" s="1952"/>
      <c r="F147" s="1953"/>
      <c r="G147" s="1951"/>
      <c r="H147" s="1954"/>
      <c r="I147" s="1953"/>
      <c r="J147" s="1951"/>
      <c r="K147" s="1954"/>
    </row>
    <row r="148" spans="1:11" ht="4.9000000000000004" customHeight="1">
      <c r="A148" s="148"/>
      <c r="B148" s="59"/>
      <c r="C148" s="95"/>
      <c r="D148" s="95"/>
      <c r="E148" s="94"/>
      <c r="F148" s="97"/>
      <c r="G148" s="95"/>
      <c r="H148" s="96"/>
      <c r="I148" s="97"/>
      <c r="J148" s="95"/>
      <c r="K148" s="96"/>
    </row>
    <row r="149" spans="1:11" ht="13.15" customHeight="1">
      <c r="A149" s="126" t="s">
        <v>2347</v>
      </c>
      <c r="B149" s="59"/>
      <c r="C149" s="80">
        <f t="shared" ref="C149:K149" si="23">SUM(C150:C150)</f>
        <v>420540</v>
      </c>
      <c r="D149" s="80">
        <f t="shared" si="23"/>
        <v>68793</v>
      </c>
      <c r="E149" s="79">
        <f t="shared" si="23"/>
        <v>207821</v>
      </c>
      <c r="F149" s="82">
        <f t="shared" si="23"/>
        <v>569000</v>
      </c>
      <c r="G149" s="80">
        <f t="shared" si="23"/>
        <v>205000</v>
      </c>
      <c r="H149" s="81">
        <f t="shared" si="23"/>
        <v>205000</v>
      </c>
      <c r="I149" s="82">
        <f t="shared" si="23"/>
        <v>45000</v>
      </c>
      <c r="J149" s="80">
        <f t="shared" si="23"/>
        <v>47070</v>
      </c>
      <c r="K149" s="81">
        <f t="shared" si="23"/>
        <v>49236</v>
      </c>
    </row>
    <row r="150" spans="1:11" ht="13.15" customHeight="1">
      <c r="A150" s="127" t="s">
        <v>2347</v>
      </c>
      <c r="B150" s="59"/>
      <c r="C150" s="1951">
        <v>420540</v>
      </c>
      <c r="D150" s="1951">
        <v>68793</v>
      </c>
      <c r="E150" s="1952">
        <v>207821</v>
      </c>
      <c r="F150" s="2767">
        <v>569000</v>
      </c>
      <c r="G150" s="2766">
        <v>205000</v>
      </c>
      <c r="H150" s="2768">
        <v>205000</v>
      </c>
      <c r="I150" s="1953">
        <v>45000</v>
      </c>
      <c r="J150" s="1951">
        <v>47070</v>
      </c>
      <c r="K150" s="1954">
        <v>49236</v>
      </c>
    </row>
    <row r="151" spans="1:11" ht="4.9000000000000004" customHeight="1">
      <c r="A151" s="148"/>
      <c r="B151" s="59"/>
      <c r="C151" s="80"/>
      <c r="D151" s="80"/>
      <c r="E151" s="79"/>
      <c r="F151" s="82"/>
      <c r="G151" s="80"/>
      <c r="H151" s="81"/>
      <c r="I151" s="82"/>
      <c r="J151" s="80"/>
      <c r="K151" s="81"/>
    </row>
    <row r="152" spans="1:11" ht="13.15" customHeight="1">
      <c r="A152" s="126" t="s">
        <v>2348</v>
      </c>
      <c r="B152" s="59"/>
      <c r="C152" s="80">
        <f t="shared" ref="C152:K152" si="24">SUM(C153:C153)</f>
        <v>9422</v>
      </c>
      <c r="D152" s="80">
        <f t="shared" si="24"/>
        <v>149</v>
      </c>
      <c r="E152" s="79">
        <f t="shared" si="24"/>
        <v>79864</v>
      </c>
      <c r="F152" s="82">
        <f t="shared" si="24"/>
        <v>151599</v>
      </c>
      <c r="G152" s="80">
        <f t="shared" si="24"/>
        <v>142544</v>
      </c>
      <c r="H152" s="81">
        <f t="shared" si="24"/>
        <v>142544</v>
      </c>
      <c r="I152" s="82">
        <f t="shared" si="24"/>
        <v>1099449</v>
      </c>
      <c r="J152" s="80">
        <f t="shared" si="24"/>
        <v>1150320.6540000001</v>
      </c>
      <c r="K152" s="81">
        <f t="shared" si="24"/>
        <v>1203562.104084</v>
      </c>
    </row>
    <row r="153" spans="1:11" ht="13.15" customHeight="1">
      <c r="A153" s="127" t="s">
        <v>2348</v>
      </c>
      <c r="B153" s="59"/>
      <c r="C153" s="1951">
        <v>9422</v>
      </c>
      <c r="D153" s="1951">
        <v>149</v>
      </c>
      <c r="E153" s="1952">
        <v>79864</v>
      </c>
      <c r="F153" s="2770">
        <v>151599</v>
      </c>
      <c r="G153" s="2769">
        <v>142544</v>
      </c>
      <c r="H153" s="2771">
        <v>142544</v>
      </c>
      <c r="I153" s="1953">
        <f>1093949+5500</f>
        <v>1099449</v>
      </c>
      <c r="J153" s="1951">
        <f>1144270.654+6050</f>
        <v>1150320.6540000001</v>
      </c>
      <c r="K153" s="1954">
        <f>1196907.104084+6655</f>
        <v>1203562.104084</v>
      </c>
    </row>
    <row r="154" spans="1:11" ht="4.9000000000000004" customHeight="1">
      <c r="A154" s="148"/>
      <c r="B154" s="59"/>
      <c r="C154" s="80"/>
      <c r="D154" s="80"/>
      <c r="E154" s="79"/>
      <c r="F154" s="82"/>
      <c r="G154" s="80"/>
      <c r="H154" s="81"/>
      <c r="I154" s="82"/>
      <c r="J154" s="80"/>
      <c r="K154" s="81"/>
    </row>
    <row r="155" spans="1:11" ht="13.15" customHeight="1">
      <c r="A155" s="126" t="s">
        <v>2349</v>
      </c>
      <c r="B155" s="59"/>
      <c r="C155" s="80">
        <f t="shared" ref="C155:K155" si="25">SUM(C156:C156)</f>
        <v>65435</v>
      </c>
      <c r="D155" s="80">
        <f t="shared" si="25"/>
        <v>14209</v>
      </c>
      <c r="E155" s="79">
        <f t="shared" si="25"/>
        <v>76120</v>
      </c>
      <c r="F155" s="82">
        <f t="shared" si="25"/>
        <v>132244</v>
      </c>
      <c r="G155" s="80">
        <f t="shared" si="25"/>
        <v>92305</v>
      </c>
      <c r="H155" s="81">
        <f t="shared" si="25"/>
        <v>92305</v>
      </c>
      <c r="I155" s="82">
        <f t="shared" si="25"/>
        <v>705075</v>
      </c>
      <c r="J155" s="80">
        <f t="shared" si="25"/>
        <v>737508.45</v>
      </c>
      <c r="K155" s="81">
        <f t="shared" si="25"/>
        <v>771433.83869999985</v>
      </c>
    </row>
    <row r="156" spans="1:11" ht="13.15" customHeight="1">
      <c r="A156" s="127" t="s">
        <v>2349</v>
      </c>
      <c r="B156" s="59"/>
      <c r="C156" s="1951">
        <v>65435</v>
      </c>
      <c r="D156" s="1951">
        <v>14209</v>
      </c>
      <c r="E156" s="1952">
        <v>76120</v>
      </c>
      <c r="F156" s="2773">
        <v>132244</v>
      </c>
      <c r="G156" s="2772">
        <v>92305</v>
      </c>
      <c r="H156" s="2774">
        <v>92305</v>
      </c>
      <c r="I156" s="1953">
        <v>705075</v>
      </c>
      <c r="J156" s="1951">
        <v>737508.45</v>
      </c>
      <c r="K156" s="1954">
        <v>771433.83869999985</v>
      </c>
    </row>
    <row r="157" spans="1:11" ht="4.9000000000000004" customHeight="1">
      <c r="A157" s="148"/>
      <c r="B157" s="59"/>
      <c r="C157" s="80"/>
      <c r="D157" s="80"/>
      <c r="E157" s="79"/>
      <c r="F157" s="82"/>
      <c r="G157" s="80"/>
      <c r="H157" s="81"/>
      <c r="I157" s="82"/>
      <c r="J157" s="80"/>
      <c r="K157" s="81"/>
    </row>
    <row r="158" spans="1:11" ht="13.15" customHeight="1">
      <c r="A158" s="126" t="s">
        <v>2350</v>
      </c>
      <c r="B158" s="59"/>
      <c r="C158" s="80">
        <f t="shared" ref="C158:K158" si="26">SUM(C159:C159)</f>
        <v>13110447</v>
      </c>
      <c r="D158" s="80">
        <f t="shared" si="26"/>
        <v>1570125</v>
      </c>
      <c r="E158" s="79">
        <f t="shared" si="26"/>
        <v>15780116</v>
      </c>
      <c r="F158" s="82">
        <f t="shared" si="26"/>
        <v>120049</v>
      </c>
      <c r="G158" s="80">
        <f t="shared" si="26"/>
        <v>40049</v>
      </c>
      <c r="H158" s="81">
        <f t="shared" si="26"/>
        <v>40049</v>
      </c>
      <c r="I158" s="82">
        <f t="shared" si="26"/>
        <v>20619657.879999999</v>
      </c>
      <c r="J158" s="80">
        <f t="shared" si="26"/>
        <v>21568162.142480001</v>
      </c>
      <c r="K158" s="81">
        <f t="shared" si="26"/>
        <v>22560297.601034082</v>
      </c>
    </row>
    <row r="159" spans="1:11" ht="13.15" customHeight="1">
      <c r="A159" s="127" t="s">
        <v>2350</v>
      </c>
      <c r="B159" s="59"/>
      <c r="C159" s="1951">
        <v>13110447</v>
      </c>
      <c r="D159" s="1951">
        <v>1570125</v>
      </c>
      <c r="E159" s="1952">
        <v>15780116</v>
      </c>
      <c r="F159" s="1953">
        <v>120049</v>
      </c>
      <c r="G159" s="1951">
        <v>40049</v>
      </c>
      <c r="H159" s="1954">
        <v>40049</v>
      </c>
      <c r="I159" s="1953">
        <v>20619657.879999999</v>
      </c>
      <c r="J159" s="1951">
        <v>21568162.142480001</v>
      </c>
      <c r="K159" s="1954">
        <v>22560297.601034082</v>
      </c>
    </row>
    <row r="160" spans="1:11" ht="4.9000000000000004" customHeight="1">
      <c r="A160" s="148"/>
      <c r="B160" s="59"/>
      <c r="C160" s="80"/>
      <c r="D160" s="80"/>
      <c r="E160" s="79"/>
      <c r="F160" s="82"/>
      <c r="G160" s="80"/>
      <c r="H160" s="81"/>
      <c r="I160" s="82"/>
      <c r="J160" s="80"/>
      <c r="K160" s="81"/>
    </row>
    <row r="161" spans="1:12" ht="13.15" customHeight="1">
      <c r="A161" s="126" t="s">
        <v>2485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c r="A162" s="127" t="s">
        <v>2485</v>
      </c>
      <c r="B162" s="59"/>
      <c r="C162" s="1951"/>
      <c r="D162" s="1951"/>
      <c r="E162" s="1952"/>
      <c r="F162" s="1953"/>
      <c r="G162" s="1951"/>
      <c r="H162" s="1954"/>
      <c r="I162" s="1953"/>
      <c r="J162" s="1951"/>
      <c r="K162" s="1954"/>
    </row>
    <row r="163" spans="1:12" ht="4.9000000000000004" customHeight="1">
      <c r="A163" s="148"/>
      <c r="B163" s="59"/>
      <c r="C163" s="80"/>
      <c r="D163" s="80"/>
      <c r="E163" s="79"/>
      <c r="F163" s="82"/>
      <c r="G163" s="80"/>
      <c r="H163" s="81"/>
      <c r="I163" s="82"/>
      <c r="J163" s="80"/>
      <c r="K163" s="81"/>
    </row>
    <row r="164" spans="1:12" ht="13.15" customHeight="1">
      <c r="A164" s="126" t="s">
        <v>2351</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c r="A165" s="127" t="s">
        <v>2351</v>
      </c>
      <c r="B165" s="59"/>
      <c r="C165" s="1951"/>
      <c r="D165" s="1951"/>
      <c r="E165" s="1952"/>
      <c r="F165" s="1953"/>
      <c r="G165" s="1951"/>
      <c r="H165" s="1954"/>
      <c r="I165" s="1953"/>
      <c r="J165" s="1951"/>
      <c r="K165" s="1954"/>
    </row>
    <row r="166" spans="1:12" ht="4.9000000000000004" customHeight="1">
      <c r="A166" s="148"/>
      <c r="B166" s="59"/>
      <c r="C166" s="80"/>
      <c r="D166" s="80"/>
      <c r="E166" s="79"/>
      <c r="F166" s="82"/>
      <c r="G166" s="80"/>
      <c r="H166" s="81"/>
      <c r="I166" s="82"/>
      <c r="J166" s="80"/>
      <c r="K166" s="81"/>
    </row>
    <row r="167" spans="1:12" ht="13.15" customHeight="1">
      <c r="A167" s="155" t="s">
        <v>1074</v>
      </c>
      <c r="B167" s="102">
        <v>1</v>
      </c>
      <c r="C167" s="107">
        <f>C6+C74+C103+C110+C118+C136+C139+C149+C152+C155+C158+C161+C164</f>
        <v>29735140</v>
      </c>
      <c r="D167" s="107">
        <f t="shared" ref="D167:K167" si="29">D6+D74+D103+D110+D118+D136+D139+D149+D152+D155+D158+D161+D164</f>
        <v>43762434</v>
      </c>
      <c r="E167" s="108">
        <f t="shared" si="29"/>
        <v>36065583</v>
      </c>
      <c r="F167" s="106">
        <f t="shared" si="29"/>
        <v>49545421</v>
      </c>
      <c r="G167" s="107">
        <f t="shared" si="29"/>
        <v>37224812</v>
      </c>
      <c r="H167" s="105">
        <f t="shared" si="29"/>
        <v>37224812</v>
      </c>
      <c r="I167" s="106">
        <f t="shared" si="29"/>
        <v>56241084.879999995</v>
      </c>
      <c r="J167" s="107">
        <f t="shared" si="29"/>
        <v>58828482.246480003</v>
      </c>
      <c r="K167" s="105">
        <f t="shared" si="29"/>
        <v>61534927.543818079</v>
      </c>
    </row>
    <row r="168" spans="1:12">
      <c r="F168" s="78"/>
      <c r="G168" s="123"/>
      <c r="H168" s="1372"/>
      <c r="I168" s="78"/>
      <c r="J168" s="123"/>
      <c r="K168" s="1372"/>
    </row>
    <row r="169" spans="1:12">
      <c r="A169" s="1748" t="s">
        <v>800</v>
      </c>
      <c r="B169" s="1749"/>
      <c r="C169" s="1750">
        <f>IF(ISERROR(ROUND(C167/'A6-FinPos'!C19,3)),0,(ROUND(C167/'A6-FinPos'!C19,3)))</f>
        <v>1.7999999999999999E-2</v>
      </c>
      <c r="D169" s="1750">
        <f>IF(ISERROR(ROUND(D167/'A6-FinPos'!D19,3)),0,(ROUND(D167/'A6-FinPos'!D19,3)))</f>
        <v>2.9000000000000001E-2</v>
      </c>
      <c r="E169" s="1753">
        <f>IF(ISERROR(ROUND(E167/'A6-FinPos'!E19,3)),0,(ROUND(E167/'A6-FinPos'!E19,3)))</f>
        <v>2.5000000000000001E-2</v>
      </c>
      <c r="F169" s="1752">
        <f>IF(ISERROR(ROUND(F167/'A6-FinPos'!F19,3)),0,(ROUND(F167/'A6-FinPos'!F19,3)))</f>
        <v>1.7000000000000001E-2</v>
      </c>
      <c r="G169" s="1750">
        <f>IF(ISERROR(ROUND(G167/'A6-FinPos'!G19,3)),0,(ROUND(G167/'A6-FinPos'!G19,3)))</f>
        <v>0.02</v>
      </c>
      <c r="H169" s="1751">
        <f>IF(ISERROR(ROUND(H167/'A6-FinPos'!H19,3)),0,(ROUND(H167/'A6-FinPos'!H19,3)))</f>
        <v>2.3E-2</v>
      </c>
      <c r="I169" s="1754">
        <f>IF(ISERROR(ROUND(I167/'A6-FinPos'!I19,3)),0,(ROUND(I167/'A6-FinPos'!I19,3)))</f>
        <v>3.5000000000000003E-2</v>
      </c>
      <c r="J169" s="1750">
        <f>IF(ISERROR(ROUND(J167/'A6-FinPos'!J19,3)),0,(ROUND(J167/'A6-FinPos'!J19,3)))</f>
        <v>3.3000000000000002E-2</v>
      </c>
      <c r="K169" s="1751">
        <f>IF(ISERROR(ROUND(K167/'A6-FinPos'!K19,3)),0,(ROUND(K167/'A6-FinPos'!K19,3)))</f>
        <v>3.2000000000000001E-2</v>
      </c>
      <c r="L169" s="240"/>
    </row>
    <row r="170" spans="1:12">
      <c r="A170" s="1741" t="s">
        <v>1817</v>
      </c>
      <c r="B170" s="1742"/>
      <c r="C170" s="1743">
        <f>IF(ISERROR(ROUND(C167/'A1-Sum'!B18,3)),0,(ROUND(C167/'A1-Sum'!B18,3)))</f>
        <v>2.7E-2</v>
      </c>
      <c r="D170" s="1743">
        <f>IF(ISERROR(ROUND(D167/'A1-Sum'!C18,3)),0,(ROUND(D167/'A1-Sum'!C18,3)))</f>
        <v>3.5999999999999997E-2</v>
      </c>
      <c r="E170" s="1746">
        <f>IF(ISERROR(ROUND(E167/'A1-Sum'!D18,3)),0,(ROUND(E167/'A1-Sum'!D18,3)))</f>
        <v>0.03</v>
      </c>
      <c r="F170" s="1745">
        <f>IF(ISERROR(ROUND(F167/'A1-Sum'!E18,3)),0,(ROUND(F167/'A1-Sum'!E18,3)))</f>
        <v>3.6999999999999998E-2</v>
      </c>
      <c r="G170" s="1743">
        <f>IF(ISERROR(ROUND(G167/'A1-Sum'!F18,3)),0,(ROUND(G167/'A1-Sum'!F18,3)))</f>
        <v>0.03</v>
      </c>
      <c r="H170" s="1744">
        <f>IF(ISERROR(ROUND(H167/'A1-Sum'!G18,3)),0,(ROUND(H167/'A1-Sum'!G18,3)))</f>
        <v>2.9000000000000001E-2</v>
      </c>
      <c r="I170" s="1747">
        <f>IF(ISERROR(ROUND(I167/'A1-Sum'!H18,3)),0,(ROUND(I167/'A1-Sum'!H18,3)))</f>
        <v>4.3999999999999997E-2</v>
      </c>
      <c r="J170" s="1743">
        <f>IF(ISERROR(ROUND(J167/'A1-Sum'!I18,3)),0,(ROUND(J167/'A1-Sum'!I18,3)))</f>
        <v>4.5999999999999999E-2</v>
      </c>
      <c r="K170" s="1744">
        <f>IF(ISERROR(ROUND(K167/'A1-Sum'!J18,3)),0,(ROUND(K167/'A1-Sum'!J18,3)))</f>
        <v>4.5999999999999999E-2</v>
      </c>
      <c r="L170" s="240"/>
    </row>
    <row r="171" spans="1:12" s="576" customFormat="1">
      <c r="A171" s="1092" t="str">
        <f>head27a</f>
        <v>References</v>
      </c>
      <c r="B171" s="874"/>
      <c r="C171" s="878"/>
      <c r="D171" s="878"/>
      <c r="E171" s="878"/>
      <c r="F171" s="878"/>
      <c r="G171" s="878"/>
      <c r="H171" s="878"/>
      <c r="I171" s="878"/>
      <c r="J171" s="878"/>
      <c r="K171" s="878"/>
      <c r="L171" s="1362"/>
    </row>
    <row r="172" spans="1:12" s="576" customFormat="1" ht="11.25" customHeight="1">
      <c r="A172" s="1093" t="s">
        <v>1075</v>
      </c>
      <c r="B172" s="874"/>
      <c r="C172" s="877"/>
      <c r="D172" s="877"/>
      <c r="E172" s="878"/>
      <c r="F172" s="878"/>
      <c r="G172" s="878"/>
      <c r="H172" s="878"/>
      <c r="I172" s="878"/>
      <c r="J172" s="878"/>
      <c r="K172" s="878"/>
    </row>
    <row r="175" spans="1:12" ht="11.25" customHeight="1">
      <c r="A175" s="162" t="s">
        <v>248</v>
      </c>
      <c r="B175" s="120"/>
      <c r="C175" s="132">
        <f>C167-'SA1'!C219</f>
        <v>496.82999999821186</v>
      </c>
      <c r="D175" s="132">
        <f>D167-'SA1'!D219</f>
        <v>320</v>
      </c>
      <c r="E175" s="132">
        <f>E167-'SA1'!E219</f>
        <v>-344.82999999821186</v>
      </c>
      <c r="F175" s="132">
        <f>F167-'SA1'!F219</f>
        <v>172.18999999761581</v>
      </c>
      <c r="G175" s="132">
        <f>G167-'SA1'!G219</f>
        <v>490.18999999761581</v>
      </c>
      <c r="H175" s="132">
        <f>H167-'SA1'!H219</f>
        <v>-450.78000000119209</v>
      </c>
      <c r="I175" s="132">
        <f>I167-'SA1'!J219</f>
        <v>0</v>
      </c>
      <c r="J175" s="132">
        <f>J167-'SA1'!K219</f>
        <v>10.462000012397766</v>
      </c>
      <c r="K175" s="132">
        <f>K167-'SA1'!L219</f>
        <v>19.357252009212971</v>
      </c>
    </row>
  </sheetData>
  <mergeCells count="2">
    <mergeCell ref="F2:H2"/>
    <mergeCell ref="I2:K2"/>
  </mergeCells>
  <phoneticPr fontId="5"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60" activePane="bottomRight" state="frozen"/>
      <selection pane="topRight"/>
      <selection pane="bottomLeft"/>
      <selection pane="bottomRight" activeCell="D173" sqref="D173"/>
    </sheetView>
  </sheetViews>
  <sheetFormatPr defaultColWidth="9.140625" defaultRowHeight="12.7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"&amp;TableA34d</f>
        <v>LIM333 Greater Tzaneen - Supporting Table SA34d Consolidated Depreciation by asset class</v>
      </c>
      <c r="B1" s="24"/>
      <c r="C1" s="24"/>
      <c r="D1" s="24"/>
      <c r="E1" s="24"/>
      <c r="F1" s="24"/>
      <c r="G1" s="24"/>
      <c r="H1" s="24"/>
      <c r="I1" s="24"/>
      <c r="J1" s="24"/>
      <c r="K1" s="24"/>
    </row>
    <row r="2" spans="1:12" ht="28.5" customHeight="1">
      <c r="A2" s="841" t="str">
        <f>desc</f>
        <v>Description</v>
      </c>
      <c r="B2" s="288" t="str">
        <f>head27</f>
        <v>Ref</v>
      </c>
      <c r="C2" s="27" t="str">
        <f>head1b</f>
        <v>2016/17</v>
      </c>
      <c r="D2" s="618" t="str">
        <f>head1A</f>
        <v>2017/18</v>
      </c>
      <c r="E2" s="22" t="str">
        <f>Head1</f>
        <v>2018/19</v>
      </c>
      <c r="F2" s="2842" t="str">
        <f>Head2</f>
        <v>Current Year 2019/20</v>
      </c>
      <c r="G2" s="2843"/>
      <c r="H2" s="2847"/>
      <c r="I2" s="2839" t="str">
        <f>Head3</f>
        <v>2020/21 Medium Term Revenue &amp; Expenditure Framework</v>
      </c>
      <c r="J2" s="2840"/>
      <c r="K2" s="2841"/>
    </row>
    <row r="3" spans="1:12" ht="25.5">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c r="A4" s="723" t="s">
        <v>1795</v>
      </c>
      <c r="B4" s="612"/>
      <c r="C4" s="932"/>
      <c r="D4" s="184"/>
      <c r="E4" s="185"/>
      <c r="F4" s="186"/>
      <c r="G4" s="184"/>
      <c r="H4" s="187"/>
      <c r="I4" s="186"/>
      <c r="J4" s="184"/>
      <c r="K4" s="187"/>
      <c r="L4" s="240"/>
    </row>
    <row r="5" spans="1:12" ht="4.9000000000000004" customHeight="1">
      <c r="A5" s="126"/>
      <c r="B5" s="59"/>
      <c r="C5" s="188"/>
      <c r="D5" s="188"/>
      <c r="E5" s="189"/>
      <c r="F5" s="190"/>
      <c r="G5" s="188"/>
      <c r="H5" s="191"/>
      <c r="I5" s="190"/>
      <c r="J5" s="188"/>
      <c r="K5" s="191"/>
      <c r="L5" s="240"/>
    </row>
    <row r="6" spans="1:12" ht="13.15" customHeight="1">
      <c r="A6" s="126" t="s">
        <v>845</v>
      </c>
      <c r="B6" s="59"/>
      <c r="C6" s="264">
        <f>C7+C12+C16+C26+C37+C44+C52+C62+C68</f>
        <v>0</v>
      </c>
      <c r="D6" s="264">
        <f t="shared" ref="D6:K6" si="0">D7+D12+D16+D26+D37+D44+D52+D62+D68</f>
        <v>0</v>
      </c>
      <c r="E6" s="266">
        <f t="shared" si="0"/>
        <v>0</v>
      </c>
      <c r="F6" s="265">
        <f t="shared" si="0"/>
        <v>2277150</v>
      </c>
      <c r="G6" s="264">
        <f t="shared" si="0"/>
        <v>2207306</v>
      </c>
      <c r="H6" s="218">
        <f t="shared" si="0"/>
        <v>2207306</v>
      </c>
      <c r="I6" s="265">
        <f t="shared" si="0"/>
        <v>112821416.95100001</v>
      </c>
      <c r="J6" s="264">
        <f t="shared" si="0"/>
        <v>113615715.5105</v>
      </c>
      <c r="K6" s="218">
        <f t="shared" si="0"/>
        <v>118815962.2306</v>
      </c>
      <c r="L6" s="1360"/>
    </row>
    <row r="7" spans="1:12" s="1340" customFormat="1" ht="13.15" customHeight="1">
      <c r="A7" s="127" t="s">
        <v>2245</v>
      </c>
      <c r="B7" s="59"/>
      <c r="C7" s="943">
        <f t="shared" ref="C7:K7" si="1">SUM(C8:C11)</f>
        <v>0</v>
      </c>
      <c r="D7" s="943">
        <f t="shared" si="1"/>
        <v>0</v>
      </c>
      <c r="E7" s="1243">
        <f t="shared" si="1"/>
        <v>0</v>
      </c>
      <c r="F7" s="944">
        <f t="shared" si="1"/>
        <v>0</v>
      </c>
      <c r="G7" s="943">
        <f t="shared" si="1"/>
        <v>0</v>
      </c>
      <c r="H7" s="980">
        <f t="shared" si="1"/>
        <v>0</v>
      </c>
      <c r="I7" s="944">
        <f t="shared" si="1"/>
        <v>64125000</v>
      </c>
      <c r="J7" s="943">
        <f t="shared" si="1"/>
        <v>64358000</v>
      </c>
      <c r="K7" s="980">
        <f t="shared" si="1"/>
        <v>67237000</v>
      </c>
      <c r="L7" s="240"/>
    </row>
    <row r="8" spans="1:12" s="1340" customFormat="1" ht="13.15" customHeight="1">
      <c r="A8" s="1120" t="s">
        <v>632</v>
      </c>
      <c r="B8" s="59"/>
      <c r="C8" s="2775"/>
      <c r="D8" s="2775"/>
      <c r="E8" s="2776"/>
      <c r="F8" s="1953"/>
      <c r="G8" s="1951"/>
      <c r="H8" s="1954"/>
      <c r="I8" s="1953">
        <v>64125000</v>
      </c>
      <c r="J8" s="1951">
        <v>64358000</v>
      </c>
      <c r="K8" s="1954">
        <v>67237000</v>
      </c>
      <c r="L8" s="1360"/>
    </row>
    <row r="9" spans="1:12" s="1340" customFormat="1" ht="13.15" customHeight="1">
      <c r="A9" s="1120" t="s">
        <v>2246</v>
      </c>
      <c r="B9" s="59"/>
      <c r="C9" s="1951"/>
      <c r="D9" s="1951"/>
      <c r="E9" s="1952"/>
      <c r="F9" s="1953"/>
      <c r="G9" s="1951"/>
      <c r="H9" s="1954"/>
      <c r="I9" s="1953"/>
      <c r="J9" s="1951"/>
      <c r="K9" s="1954"/>
      <c r="L9" s="1361"/>
    </row>
    <row r="10" spans="1:12" s="1340" customFormat="1" ht="13.15" customHeight="1">
      <c r="A10" s="1120" t="s">
        <v>2247</v>
      </c>
      <c r="B10" s="59"/>
      <c r="C10" s="1951"/>
      <c r="D10" s="1951"/>
      <c r="E10" s="1952"/>
      <c r="F10" s="1953"/>
      <c r="G10" s="1951"/>
      <c r="H10" s="1954"/>
      <c r="I10" s="1953"/>
      <c r="J10" s="1951"/>
      <c r="K10" s="1954"/>
      <c r="L10" s="1361"/>
    </row>
    <row r="11" spans="1:12" s="1340" customFormat="1" ht="13.15" customHeight="1">
      <c r="A11" s="1120" t="s">
        <v>2248</v>
      </c>
      <c r="B11" s="59"/>
      <c r="C11" s="1951"/>
      <c r="D11" s="1951"/>
      <c r="E11" s="1952"/>
      <c r="F11" s="1953"/>
      <c r="G11" s="1951"/>
      <c r="H11" s="1954"/>
      <c r="I11" s="1953"/>
      <c r="J11" s="1951"/>
      <c r="K11" s="1954"/>
      <c r="L11" s="1361"/>
    </row>
    <row r="12" spans="1:12" s="1340" customFormat="1" ht="13.15" customHeight="1">
      <c r="A12" s="127" t="s">
        <v>2249</v>
      </c>
      <c r="B12" s="59"/>
      <c r="C12" s="900">
        <f>SUM(C13:C15)</f>
        <v>0</v>
      </c>
      <c r="D12" s="900">
        <f t="shared" ref="D12:K12" si="2">SUM(D13:D15)</f>
        <v>0</v>
      </c>
      <c r="E12" s="1244">
        <f t="shared" si="2"/>
        <v>0</v>
      </c>
      <c r="F12" s="904">
        <f t="shared" si="2"/>
        <v>0</v>
      </c>
      <c r="G12" s="900">
        <f t="shared" si="2"/>
        <v>0</v>
      </c>
      <c r="H12" s="982">
        <f t="shared" si="2"/>
        <v>0</v>
      </c>
      <c r="I12" s="904">
        <f t="shared" si="2"/>
        <v>2719600</v>
      </c>
      <c r="J12" s="900">
        <f t="shared" si="2"/>
        <v>2793823</v>
      </c>
      <c r="K12" s="982">
        <f t="shared" si="2"/>
        <v>2872680.5</v>
      </c>
      <c r="L12" s="1361"/>
    </row>
    <row r="13" spans="1:12" s="1340" customFormat="1" ht="13.15" customHeight="1">
      <c r="A13" s="1120" t="s">
        <v>2250</v>
      </c>
      <c r="B13" s="59"/>
      <c r="C13" s="1951"/>
      <c r="D13" s="1951"/>
      <c r="E13" s="1952"/>
      <c r="F13" s="1953"/>
      <c r="G13" s="1951"/>
      <c r="H13" s="1954"/>
      <c r="I13" s="1953">
        <v>2719600</v>
      </c>
      <c r="J13" s="1951">
        <v>2793823</v>
      </c>
      <c r="K13" s="1954">
        <v>2872680.5</v>
      </c>
      <c r="L13" s="1361"/>
    </row>
    <row r="14" spans="1:12" s="1340" customFormat="1" ht="13.15" customHeight="1">
      <c r="A14" s="1120" t="s">
        <v>2251</v>
      </c>
      <c r="B14" s="59"/>
      <c r="C14" s="1951"/>
      <c r="D14" s="1951"/>
      <c r="E14" s="1952"/>
      <c r="F14" s="1953"/>
      <c r="G14" s="1951"/>
      <c r="H14" s="1954"/>
      <c r="I14" s="1953"/>
      <c r="J14" s="1951"/>
      <c r="K14" s="1954"/>
      <c r="L14" s="1361"/>
    </row>
    <row r="15" spans="1:12" s="1340" customFormat="1" ht="13.15" customHeight="1">
      <c r="A15" s="1120" t="s">
        <v>2252</v>
      </c>
      <c r="B15" s="59"/>
      <c r="C15" s="1951"/>
      <c r="D15" s="1951"/>
      <c r="E15" s="1952"/>
      <c r="F15" s="1953"/>
      <c r="G15" s="1951"/>
      <c r="H15" s="1954"/>
      <c r="I15" s="1953"/>
      <c r="J15" s="1951"/>
      <c r="K15" s="1954"/>
      <c r="L15" s="1361"/>
    </row>
    <row r="16" spans="1:12" s="1340" customFormat="1" ht="13.15" customHeight="1">
      <c r="A16" s="127" t="s">
        <v>2294</v>
      </c>
      <c r="B16" s="59"/>
      <c r="C16" s="900">
        <f t="shared" ref="C16:K16" si="3">SUM(C17:C25)</f>
        <v>0</v>
      </c>
      <c r="D16" s="900">
        <f t="shared" si="3"/>
        <v>0</v>
      </c>
      <c r="E16" s="1244">
        <f t="shared" si="3"/>
        <v>0</v>
      </c>
      <c r="F16" s="904">
        <f t="shared" si="3"/>
        <v>2230151</v>
      </c>
      <c r="G16" s="900">
        <f t="shared" si="3"/>
        <v>2161749</v>
      </c>
      <c r="H16" s="982">
        <f t="shared" si="3"/>
        <v>2161749</v>
      </c>
      <c r="I16" s="904">
        <f t="shared" si="3"/>
        <v>45048718</v>
      </c>
      <c r="J16" s="900">
        <f t="shared" si="3"/>
        <v>45510316</v>
      </c>
      <c r="K16" s="982">
        <f t="shared" si="3"/>
        <v>47685000</v>
      </c>
      <c r="L16" s="1361"/>
    </row>
    <row r="17" spans="1:12" s="1340" customFormat="1" ht="13.15" customHeight="1">
      <c r="A17" s="1120" t="s">
        <v>2253</v>
      </c>
      <c r="B17" s="59"/>
      <c r="C17" s="1951"/>
      <c r="D17" s="1951"/>
      <c r="E17" s="1952"/>
      <c r="F17" s="1953">
        <v>2230151</v>
      </c>
      <c r="G17" s="1951">
        <v>2161749</v>
      </c>
      <c r="H17" s="1954">
        <v>2161749</v>
      </c>
      <c r="I17" s="1953"/>
      <c r="J17" s="1951"/>
      <c r="K17" s="1954"/>
      <c r="L17" s="1361"/>
    </row>
    <row r="18" spans="1:12" s="1340" customFormat="1" ht="13.15" customHeight="1">
      <c r="A18" s="1120" t="s">
        <v>2254</v>
      </c>
      <c r="B18" s="59"/>
      <c r="C18" s="1951"/>
      <c r="D18" s="1951"/>
      <c r="E18" s="1952"/>
      <c r="F18" s="1953"/>
      <c r="G18" s="1951"/>
      <c r="H18" s="1954"/>
      <c r="I18" s="1953"/>
      <c r="J18" s="1951"/>
      <c r="K18" s="1954"/>
      <c r="L18" s="1361"/>
    </row>
    <row r="19" spans="1:12" s="1340" customFormat="1" ht="13.15" customHeight="1">
      <c r="A19" s="1120" t="s">
        <v>2255</v>
      </c>
      <c r="B19" s="59"/>
      <c r="C19" s="1951"/>
      <c r="D19" s="1951"/>
      <c r="E19" s="1952"/>
      <c r="F19" s="1953"/>
      <c r="G19" s="1951"/>
      <c r="H19" s="1954"/>
      <c r="I19" s="1953"/>
      <c r="J19" s="1951"/>
      <c r="K19" s="1954"/>
      <c r="L19" s="1361"/>
    </row>
    <row r="20" spans="1:12" s="1340" customFormat="1" ht="13.15" customHeight="1">
      <c r="A20" s="1120" t="s">
        <v>2256</v>
      </c>
      <c r="B20" s="59"/>
      <c r="C20" s="1951"/>
      <c r="D20" s="1951"/>
      <c r="E20" s="1952"/>
      <c r="F20" s="1953"/>
      <c r="G20" s="1951"/>
      <c r="H20" s="1954"/>
      <c r="I20" s="1953"/>
      <c r="J20" s="1951"/>
      <c r="K20" s="1954"/>
      <c r="L20" s="1361"/>
    </row>
    <row r="21" spans="1:12" s="1340" customFormat="1" ht="13.15" customHeight="1">
      <c r="A21" s="1120" t="s">
        <v>2257</v>
      </c>
      <c r="B21" s="59"/>
      <c r="C21" s="1951"/>
      <c r="D21" s="1951"/>
      <c r="E21" s="1952"/>
      <c r="F21" s="1953"/>
      <c r="G21" s="1951"/>
      <c r="H21" s="1954"/>
      <c r="I21" s="1953"/>
      <c r="J21" s="1951"/>
      <c r="K21" s="1954"/>
      <c r="L21" s="1361"/>
    </row>
    <row r="22" spans="1:12" s="1340" customFormat="1" ht="13.15" customHeight="1">
      <c r="A22" s="1120" t="s">
        <v>2258</v>
      </c>
      <c r="B22" s="59"/>
      <c r="C22" s="1951"/>
      <c r="D22" s="1951"/>
      <c r="E22" s="1952"/>
      <c r="F22" s="1953"/>
      <c r="G22" s="1951"/>
      <c r="H22" s="1954"/>
      <c r="I22" s="1953"/>
      <c r="J22" s="1951"/>
      <c r="K22" s="1954"/>
      <c r="L22" s="1360"/>
    </row>
    <row r="23" spans="1:12" s="1340" customFormat="1" ht="13.15" customHeight="1">
      <c r="A23" s="1120" t="s">
        <v>2259</v>
      </c>
      <c r="B23" s="59"/>
      <c r="C23" s="1951"/>
      <c r="D23" s="1951"/>
      <c r="E23" s="1952"/>
      <c r="F23" s="1953"/>
      <c r="G23" s="1951"/>
      <c r="H23" s="1954"/>
      <c r="I23" s="1953">
        <v>45048718</v>
      </c>
      <c r="J23" s="1951">
        <v>45510316</v>
      </c>
      <c r="K23" s="1954">
        <v>47685000</v>
      </c>
      <c r="L23" s="1361"/>
    </row>
    <row r="24" spans="1:12" s="1340" customFormat="1" ht="13.15" customHeight="1">
      <c r="A24" s="1120" t="s">
        <v>2260</v>
      </c>
      <c r="B24" s="59"/>
      <c r="C24" s="1951"/>
      <c r="D24" s="1951"/>
      <c r="E24" s="1952"/>
      <c r="F24" s="1953"/>
      <c r="G24" s="1951"/>
      <c r="H24" s="1954"/>
      <c r="I24" s="1953"/>
      <c r="J24" s="1951"/>
      <c r="K24" s="1954"/>
      <c r="L24" s="1361"/>
    </row>
    <row r="25" spans="1:12" s="1340" customFormat="1" ht="13.15" customHeight="1">
      <c r="A25" s="1120" t="s">
        <v>2248</v>
      </c>
      <c r="B25" s="59"/>
      <c r="C25" s="1951"/>
      <c r="D25" s="1951"/>
      <c r="E25" s="1952"/>
      <c r="F25" s="1953">
        <v>0</v>
      </c>
      <c r="G25" s="1951">
        <v>0</v>
      </c>
      <c r="H25" s="1954">
        <v>0</v>
      </c>
      <c r="I25" s="1953"/>
      <c r="J25" s="1951"/>
      <c r="K25" s="1954"/>
      <c r="L25" s="1361"/>
    </row>
    <row r="26" spans="1:12" ht="13.15" customHeight="1">
      <c r="A26" s="131" t="s">
        <v>2295</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240"/>
    </row>
    <row r="27" spans="1:12" ht="13.15" customHeight="1">
      <c r="A27" s="1120" t="s">
        <v>2261</v>
      </c>
      <c r="B27" s="59"/>
      <c r="C27" s="1951"/>
      <c r="D27" s="1951"/>
      <c r="E27" s="1952"/>
      <c r="F27" s="1953"/>
      <c r="G27" s="1951"/>
      <c r="H27" s="1954"/>
      <c r="I27" s="1953"/>
      <c r="J27" s="1951"/>
      <c r="K27" s="1954"/>
      <c r="L27" s="240"/>
    </row>
    <row r="28" spans="1:12" ht="13.15" customHeight="1">
      <c r="A28" s="1120" t="s">
        <v>2262</v>
      </c>
      <c r="B28" s="59"/>
      <c r="C28" s="1951"/>
      <c r="D28" s="1951"/>
      <c r="E28" s="1952"/>
      <c r="F28" s="1953"/>
      <c r="G28" s="1951"/>
      <c r="H28" s="1954"/>
      <c r="I28" s="1953"/>
      <c r="J28" s="1951"/>
      <c r="K28" s="1954"/>
      <c r="L28" s="1361"/>
    </row>
    <row r="29" spans="1:12" ht="13.15" customHeight="1">
      <c r="A29" s="1120" t="s">
        <v>2263</v>
      </c>
      <c r="B29" s="59"/>
      <c r="C29" s="1951"/>
      <c r="D29" s="1951"/>
      <c r="E29" s="1952"/>
      <c r="F29" s="1953"/>
      <c r="G29" s="1951"/>
      <c r="H29" s="1954"/>
      <c r="I29" s="1953"/>
      <c r="J29" s="1951"/>
      <c r="K29" s="1954"/>
      <c r="L29" s="1361"/>
    </row>
    <row r="30" spans="1:12" ht="13.15" customHeight="1">
      <c r="A30" s="1120" t="s">
        <v>2264</v>
      </c>
      <c r="B30" s="59"/>
      <c r="C30" s="1951"/>
      <c r="D30" s="1951"/>
      <c r="E30" s="1952"/>
      <c r="F30" s="1953"/>
      <c r="G30" s="1951"/>
      <c r="H30" s="1954"/>
      <c r="I30" s="1953"/>
      <c r="J30" s="1951"/>
      <c r="K30" s="1954"/>
      <c r="L30" s="1361"/>
    </row>
    <row r="31" spans="1:12" ht="13.15" customHeight="1">
      <c r="A31" s="1120" t="s">
        <v>2265</v>
      </c>
      <c r="B31" s="59"/>
      <c r="C31" s="1951"/>
      <c r="D31" s="1951"/>
      <c r="E31" s="1952"/>
      <c r="F31" s="1953"/>
      <c r="G31" s="1951"/>
      <c r="H31" s="1954"/>
      <c r="I31" s="1953"/>
      <c r="J31" s="1951"/>
      <c r="K31" s="1954"/>
      <c r="L31" s="1361"/>
    </row>
    <row r="32" spans="1:12" ht="13.15" customHeight="1">
      <c r="A32" s="1120" t="s">
        <v>2266</v>
      </c>
      <c r="B32" s="59"/>
      <c r="C32" s="1951"/>
      <c r="D32" s="1951"/>
      <c r="E32" s="1952"/>
      <c r="F32" s="1953"/>
      <c r="G32" s="1951"/>
      <c r="H32" s="1954"/>
      <c r="I32" s="1953"/>
      <c r="J32" s="1951"/>
      <c r="K32" s="1954"/>
      <c r="L32" s="1361"/>
    </row>
    <row r="33" spans="1:15" ht="13.15" customHeight="1">
      <c r="A33" s="1120" t="s">
        <v>2267</v>
      </c>
      <c r="B33" s="59"/>
      <c r="C33" s="1951"/>
      <c r="D33" s="1951"/>
      <c r="E33" s="1952"/>
      <c r="F33" s="1953"/>
      <c r="G33" s="1951"/>
      <c r="H33" s="1954"/>
      <c r="I33" s="1953"/>
      <c r="J33" s="1951"/>
      <c r="K33" s="1954"/>
      <c r="L33" s="1361"/>
    </row>
    <row r="34" spans="1:15" ht="13.15" customHeight="1">
      <c r="A34" s="1120" t="s">
        <v>2268</v>
      </c>
      <c r="B34" s="59"/>
      <c r="C34" s="1951"/>
      <c r="D34" s="1951"/>
      <c r="E34" s="1952"/>
      <c r="F34" s="1953"/>
      <c r="G34" s="1951"/>
      <c r="H34" s="1954"/>
      <c r="I34" s="1953"/>
      <c r="J34" s="1951"/>
      <c r="K34" s="1954"/>
      <c r="L34" s="1361"/>
    </row>
    <row r="35" spans="1:15" ht="13.15" customHeight="1">
      <c r="A35" s="1120" t="s">
        <v>2269</v>
      </c>
      <c r="B35" s="59"/>
      <c r="C35" s="1951"/>
      <c r="D35" s="1951"/>
      <c r="E35" s="1952"/>
      <c r="F35" s="1953"/>
      <c r="G35" s="1951"/>
      <c r="H35" s="1954"/>
      <c r="I35" s="1953"/>
      <c r="J35" s="1951"/>
      <c r="K35" s="1954"/>
      <c r="L35" s="1361"/>
    </row>
    <row r="36" spans="1:15" ht="13.15" customHeight="1">
      <c r="A36" s="1120" t="s">
        <v>2248</v>
      </c>
      <c r="B36" s="59"/>
      <c r="C36" s="1951"/>
      <c r="D36" s="1951"/>
      <c r="E36" s="1952"/>
      <c r="F36" s="1953"/>
      <c r="G36" s="1951"/>
      <c r="H36" s="1954"/>
      <c r="I36" s="1953"/>
      <c r="J36" s="1951"/>
      <c r="K36" s="1954"/>
      <c r="L36" s="1361"/>
    </row>
    <row r="37" spans="1:15" ht="13.15" customHeight="1">
      <c r="A37" s="131" t="s">
        <v>2296</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c r="O37" s="240"/>
    </row>
    <row r="38" spans="1:15" ht="13.15" customHeight="1">
      <c r="A38" s="1120" t="s">
        <v>2270</v>
      </c>
      <c r="B38" s="59"/>
      <c r="C38" s="1951"/>
      <c r="D38" s="1951"/>
      <c r="E38" s="1952"/>
      <c r="F38" s="1953"/>
      <c r="G38" s="1951"/>
      <c r="H38" s="1954"/>
      <c r="I38" s="1953"/>
      <c r="J38" s="1951"/>
      <c r="K38" s="1954"/>
      <c r="L38" s="1361"/>
    </row>
    <row r="39" spans="1:15" ht="13.15" customHeight="1">
      <c r="A39" s="1120" t="s">
        <v>25</v>
      </c>
      <c r="B39" s="59"/>
      <c r="C39" s="1951"/>
      <c r="D39" s="1951"/>
      <c r="E39" s="1952"/>
      <c r="F39" s="1953"/>
      <c r="G39" s="1951"/>
      <c r="H39" s="1954"/>
      <c r="I39" s="1953"/>
      <c r="J39" s="1951"/>
      <c r="K39" s="1954"/>
      <c r="L39" s="1361"/>
    </row>
    <row r="40" spans="1:15" ht="13.15" customHeight="1">
      <c r="A40" s="1120" t="s">
        <v>2271</v>
      </c>
      <c r="B40" s="59"/>
      <c r="C40" s="1951"/>
      <c r="D40" s="1951"/>
      <c r="E40" s="1952"/>
      <c r="F40" s="1953"/>
      <c r="G40" s="1951"/>
      <c r="H40" s="1954"/>
      <c r="I40" s="1953"/>
      <c r="J40" s="1951"/>
      <c r="K40" s="1954"/>
      <c r="L40" s="240"/>
    </row>
    <row r="41" spans="1:15" ht="13.15" customHeight="1">
      <c r="A41" s="1120" t="s">
        <v>2272</v>
      </c>
      <c r="B41" s="59"/>
      <c r="C41" s="1951"/>
      <c r="D41" s="1951"/>
      <c r="E41" s="1952"/>
      <c r="F41" s="1953"/>
      <c r="G41" s="1951"/>
      <c r="H41" s="1954"/>
      <c r="I41" s="1953"/>
      <c r="J41" s="1951"/>
      <c r="K41" s="1954"/>
      <c r="L41" s="1361"/>
    </row>
    <row r="42" spans="1:15" ht="13.15" customHeight="1">
      <c r="A42" s="1120" t="s">
        <v>2273</v>
      </c>
      <c r="B42" s="59"/>
      <c r="C42" s="1951"/>
      <c r="D42" s="1951"/>
      <c r="E42" s="1952"/>
      <c r="F42" s="1953"/>
      <c r="G42" s="1951"/>
      <c r="H42" s="1954"/>
      <c r="I42" s="1953"/>
      <c r="J42" s="1951"/>
      <c r="K42" s="1954"/>
      <c r="L42" s="240"/>
    </row>
    <row r="43" spans="1:15" ht="13.15" customHeight="1">
      <c r="A43" s="1120" t="s">
        <v>2248</v>
      </c>
      <c r="B43" s="59"/>
      <c r="C43" s="1951"/>
      <c r="D43" s="1951"/>
      <c r="E43" s="1952"/>
      <c r="F43" s="1953"/>
      <c r="G43" s="1951"/>
      <c r="H43" s="1954"/>
      <c r="I43" s="1953"/>
      <c r="J43" s="1951"/>
      <c r="K43" s="1954"/>
      <c r="L43" s="240"/>
    </row>
    <row r="44" spans="1:15" ht="13.15" customHeight="1">
      <c r="A44" s="131" t="s">
        <v>2274</v>
      </c>
      <c r="B44" s="59"/>
      <c r="C44" s="900">
        <f>SUM(C45:C51)</f>
        <v>0</v>
      </c>
      <c r="D44" s="900">
        <f t="shared" ref="D44:K44" si="6">SUM(D45:D51)</f>
        <v>0</v>
      </c>
      <c r="E44" s="1244">
        <f t="shared" si="6"/>
        <v>0</v>
      </c>
      <c r="F44" s="904">
        <f t="shared" si="6"/>
        <v>46999</v>
      </c>
      <c r="G44" s="900">
        <f t="shared" si="6"/>
        <v>45557</v>
      </c>
      <c r="H44" s="982">
        <f t="shared" si="6"/>
        <v>45557</v>
      </c>
      <c r="I44" s="904">
        <f t="shared" si="6"/>
        <v>928098.951</v>
      </c>
      <c r="J44" s="900">
        <f t="shared" si="6"/>
        <v>953576.51050000009</v>
      </c>
      <c r="K44" s="982">
        <f t="shared" si="6"/>
        <v>1021281.7306</v>
      </c>
      <c r="L44" s="240"/>
    </row>
    <row r="45" spans="1:15" ht="13.15" customHeight="1">
      <c r="A45" s="1120" t="s">
        <v>2275</v>
      </c>
      <c r="B45" s="59"/>
      <c r="C45" s="1951"/>
      <c r="D45" s="1951"/>
      <c r="E45" s="1952"/>
      <c r="F45" s="1953">
        <v>46999</v>
      </c>
      <c r="G45" s="1951">
        <v>45557</v>
      </c>
      <c r="H45" s="1954">
        <v>45557</v>
      </c>
      <c r="I45" s="1953">
        <v>878797</v>
      </c>
      <c r="J45" s="1951">
        <v>901858.73600000003</v>
      </c>
      <c r="K45" s="1954">
        <v>967029.81559999997</v>
      </c>
      <c r="L45" s="240"/>
    </row>
    <row r="46" spans="1:15" ht="13.15" customHeight="1">
      <c r="A46" s="1120" t="s">
        <v>2276</v>
      </c>
      <c r="B46" s="59"/>
      <c r="C46" s="1951"/>
      <c r="D46" s="1951"/>
      <c r="E46" s="1952"/>
      <c r="F46" s="1953"/>
      <c r="G46" s="1951"/>
      <c r="H46" s="1954"/>
      <c r="I46" s="1953"/>
      <c r="J46" s="1951"/>
      <c r="K46" s="1954"/>
      <c r="L46" s="240"/>
    </row>
    <row r="47" spans="1:15" ht="13.15" customHeight="1">
      <c r="A47" s="1120" t="s">
        <v>2277</v>
      </c>
      <c r="B47" s="59"/>
      <c r="C47" s="1951"/>
      <c r="D47" s="1951"/>
      <c r="E47" s="1952"/>
      <c r="F47" s="1953"/>
      <c r="G47" s="1951"/>
      <c r="H47" s="1954"/>
      <c r="I47" s="1953"/>
      <c r="J47" s="1951"/>
      <c r="K47" s="1954"/>
      <c r="L47" s="240"/>
    </row>
    <row r="48" spans="1:15" ht="13.15" customHeight="1">
      <c r="A48" s="1120" t="s">
        <v>2278</v>
      </c>
      <c r="B48" s="59"/>
      <c r="C48" s="1951"/>
      <c r="D48" s="1951"/>
      <c r="E48" s="1952"/>
      <c r="F48" s="1953"/>
      <c r="G48" s="1951"/>
      <c r="H48" s="1954"/>
      <c r="I48" s="1953"/>
      <c r="J48" s="1951"/>
      <c r="K48" s="1954"/>
      <c r="L48" s="1361"/>
    </row>
    <row r="49" spans="1:12" ht="13.15" customHeight="1">
      <c r="A49" s="1120" t="s">
        <v>2279</v>
      </c>
      <c r="B49" s="59"/>
      <c r="C49" s="1951"/>
      <c r="D49" s="1951"/>
      <c r="E49" s="1952"/>
      <c r="F49" s="1953"/>
      <c r="G49" s="1951"/>
      <c r="H49" s="1954"/>
      <c r="I49" s="1953"/>
      <c r="J49" s="1951"/>
      <c r="K49" s="1954"/>
      <c r="L49" s="240"/>
    </row>
    <row r="50" spans="1:12" ht="13.15" customHeight="1">
      <c r="A50" s="1120" t="s">
        <v>2280</v>
      </c>
      <c r="B50" s="59"/>
      <c r="C50" s="1951"/>
      <c r="D50" s="1951"/>
      <c r="E50" s="1952"/>
      <c r="F50" s="1953"/>
      <c r="G50" s="1951"/>
      <c r="H50" s="1954"/>
      <c r="I50" s="1953"/>
      <c r="J50" s="1951"/>
      <c r="K50" s="1954"/>
      <c r="L50" s="240"/>
    </row>
    <row r="51" spans="1:12" ht="13.15" customHeight="1">
      <c r="A51" s="1120" t="s">
        <v>2248</v>
      </c>
      <c r="B51" s="59"/>
      <c r="C51" s="1951"/>
      <c r="D51" s="1951"/>
      <c r="E51" s="1952"/>
      <c r="F51" s="1953"/>
      <c r="G51" s="1951"/>
      <c r="H51" s="1954"/>
      <c r="I51" s="1953">
        <v>49301.951000000001</v>
      </c>
      <c r="J51" s="1951">
        <v>51717.7745</v>
      </c>
      <c r="K51" s="1954">
        <v>54251.915000000001</v>
      </c>
      <c r="L51" s="240"/>
    </row>
    <row r="52" spans="1:12" ht="13.15" customHeight="1">
      <c r="A52" s="127" t="s">
        <v>2290</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ht="13.15" customHeight="1">
      <c r="A53" s="1120" t="s">
        <v>2291</v>
      </c>
      <c r="B53" s="59"/>
      <c r="C53" s="1951"/>
      <c r="D53" s="1951"/>
      <c r="E53" s="1952"/>
      <c r="F53" s="1953"/>
      <c r="G53" s="1951"/>
      <c r="H53" s="1954"/>
      <c r="I53" s="1953"/>
      <c r="J53" s="1951"/>
      <c r="K53" s="1954"/>
      <c r="L53" s="240"/>
    </row>
    <row r="54" spans="1:12" ht="13.15" customHeight="1">
      <c r="A54" s="1120" t="s">
        <v>2292</v>
      </c>
      <c r="B54" s="59"/>
      <c r="C54" s="1951"/>
      <c r="D54" s="1951"/>
      <c r="E54" s="1952"/>
      <c r="F54" s="1953"/>
      <c r="G54" s="1951"/>
      <c r="H54" s="1954"/>
      <c r="I54" s="1953"/>
      <c r="J54" s="1951"/>
      <c r="K54" s="1954"/>
      <c r="L54" s="1361"/>
    </row>
    <row r="55" spans="1:12" ht="13.15" customHeight="1">
      <c r="A55" s="1120" t="s">
        <v>2293</v>
      </c>
      <c r="B55" s="59"/>
      <c r="C55" s="1951"/>
      <c r="D55" s="1951"/>
      <c r="E55" s="1952"/>
      <c r="F55" s="1953"/>
      <c r="G55" s="1951"/>
      <c r="H55" s="1954"/>
      <c r="I55" s="1953"/>
      <c r="J55" s="1951"/>
      <c r="K55" s="1954"/>
      <c r="L55" s="1361"/>
    </row>
    <row r="56" spans="1:12" ht="13.15" customHeight="1">
      <c r="A56" s="1120" t="s">
        <v>2250</v>
      </c>
      <c r="B56" s="59"/>
      <c r="C56" s="1951"/>
      <c r="D56" s="1951"/>
      <c r="E56" s="1952"/>
      <c r="F56" s="1953"/>
      <c r="G56" s="1951"/>
      <c r="H56" s="1954"/>
      <c r="I56" s="1953"/>
      <c r="J56" s="1951"/>
      <c r="K56" s="1954"/>
      <c r="L56" s="1361"/>
    </row>
    <row r="57" spans="1:12" ht="13.15" customHeight="1">
      <c r="A57" s="1120" t="s">
        <v>2251</v>
      </c>
      <c r="B57" s="59"/>
      <c r="C57" s="1951"/>
      <c r="D57" s="1951"/>
      <c r="E57" s="1952"/>
      <c r="F57" s="1953"/>
      <c r="G57" s="1951"/>
      <c r="H57" s="1954"/>
      <c r="I57" s="1953"/>
      <c r="J57" s="1951"/>
      <c r="K57" s="1954"/>
      <c r="L57" s="1361"/>
    </row>
    <row r="58" spans="1:12" ht="13.15" customHeight="1">
      <c r="A58" s="1120" t="s">
        <v>2252</v>
      </c>
      <c r="B58" s="59"/>
      <c r="C58" s="1951"/>
      <c r="D58" s="1951"/>
      <c r="E58" s="1952"/>
      <c r="F58" s="1953"/>
      <c r="G58" s="1951"/>
      <c r="H58" s="1954"/>
      <c r="I58" s="1953"/>
      <c r="J58" s="1951"/>
      <c r="K58" s="1954"/>
      <c r="L58" s="1360"/>
    </row>
    <row r="59" spans="1:12" ht="13.15" customHeight="1">
      <c r="A59" s="1120" t="s">
        <v>2257</v>
      </c>
      <c r="B59" s="59"/>
      <c r="C59" s="1951"/>
      <c r="D59" s="1951"/>
      <c r="E59" s="1952"/>
      <c r="F59" s="1953"/>
      <c r="G59" s="1951"/>
      <c r="H59" s="1954"/>
      <c r="I59" s="1953"/>
      <c r="J59" s="1951"/>
      <c r="K59" s="1954"/>
      <c r="L59" s="1361"/>
    </row>
    <row r="60" spans="1:12" ht="13.15" customHeight="1">
      <c r="A60" s="1120" t="s">
        <v>2260</v>
      </c>
      <c r="B60" s="59"/>
      <c r="C60" s="1951"/>
      <c r="D60" s="1951"/>
      <c r="E60" s="1952"/>
      <c r="F60" s="1953"/>
      <c r="G60" s="1951"/>
      <c r="H60" s="1954"/>
      <c r="I60" s="1953"/>
      <c r="J60" s="1951"/>
      <c r="K60" s="1954"/>
      <c r="L60" s="1361"/>
    </row>
    <row r="61" spans="1:12" ht="13.15" customHeight="1">
      <c r="A61" s="1120" t="s">
        <v>2248</v>
      </c>
      <c r="B61" s="59"/>
      <c r="C61" s="1951"/>
      <c r="D61" s="1951"/>
      <c r="E61" s="1952"/>
      <c r="F61" s="1953"/>
      <c r="G61" s="1951"/>
      <c r="H61" s="1954"/>
      <c r="I61" s="1953"/>
      <c r="J61" s="1951"/>
      <c r="K61" s="1954"/>
      <c r="L61" s="1361"/>
    </row>
    <row r="62" spans="1:12" ht="13.15" customHeight="1">
      <c r="A62" s="131" t="s">
        <v>2285</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15" customHeight="1">
      <c r="A63" s="1120" t="s">
        <v>2286</v>
      </c>
      <c r="B63" s="59"/>
      <c r="C63" s="1951"/>
      <c r="D63" s="1951"/>
      <c r="E63" s="1952"/>
      <c r="F63" s="1953"/>
      <c r="G63" s="1951"/>
      <c r="H63" s="1954"/>
      <c r="I63" s="1953"/>
      <c r="J63" s="1951"/>
      <c r="K63" s="1954"/>
      <c r="L63" s="1361"/>
    </row>
    <row r="64" spans="1:12" ht="13.15" customHeight="1">
      <c r="A64" s="1120" t="s">
        <v>2287</v>
      </c>
      <c r="B64" s="59"/>
      <c r="C64" s="1951"/>
      <c r="D64" s="1951"/>
      <c r="E64" s="1952"/>
      <c r="F64" s="1953"/>
      <c r="G64" s="1951"/>
      <c r="H64" s="1954"/>
      <c r="I64" s="1953"/>
      <c r="J64" s="1951"/>
      <c r="K64" s="1954"/>
      <c r="L64" s="240"/>
    </row>
    <row r="65" spans="1:12" ht="13.15" customHeight="1">
      <c r="A65" s="1120" t="s">
        <v>2288</v>
      </c>
      <c r="B65" s="59"/>
      <c r="C65" s="1951"/>
      <c r="D65" s="1951"/>
      <c r="E65" s="1952"/>
      <c r="F65" s="1953"/>
      <c r="G65" s="1951"/>
      <c r="H65" s="1954"/>
      <c r="I65" s="1953"/>
      <c r="J65" s="1951"/>
      <c r="K65" s="1954"/>
      <c r="L65" s="240"/>
    </row>
    <row r="66" spans="1:12" ht="13.15" customHeight="1">
      <c r="A66" s="1120" t="s">
        <v>2289</v>
      </c>
      <c r="B66" s="59"/>
      <c r="C66" s="1951"/>
      <c r="D66" s="1951"/>
      <c r="E66" s="1952"/>
      <c r="F66" s="1953"/>
      <c r="G66" s="1951"/>
      <c r="H66" s="1954"/>
      <c r="I66" s="1953"/>
      <c r="J66" s="1951"/>
      <c r="K66" s="1954"/>
      <c r="L66" s="240"/>
    </row>
    <row r="67" spans="1:12" ht="13.15" customHeight="1">
      <c r="A67" s="1120" t="s">
        <v>2248</v>
      </c>
      <c r="B67" s="59"/>
      <c r="C67" s="1951"/>
      <c r="D67" s="1951"/>
      <c r="E67" s="1952"/>
      <c r="F67" s="1953"/>
      <c r="G67" s="1951"/>
      <c r="H67" s="1954"/>
      <c r="I67" s="1953"/>
      <c r="J67" s="1951"/>
      <c r="K67" s="1954"/>
      <c r="L67" s="240"/>
    </row>
    <row r="68" spans="1:12" ht="13.15" customHeight="1">
      <c r="A68" s="127" t="s">
        <v>2281</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15" customHeight="1">
      <c r="A69" s="1120" t="s">
        <v>2282</v>
      </c>
      <c r="B69" s="59"/>
      <c r="C69" s="1951"/>
      <c r="D69" s="1951"/>
      <c r="E69" s="1952"/>
      <c r="F69" s="1953"/>
      <c r="G69" s="1951"/>
      <c r="H69" s="1954"/>
      <c r="I69" s="1953"/>
      <c r="J69" s="1951"/>
      <c r="K69" s="1954"/>
      <c r="L69" s="240"/>
    </row>
    <row r="70" spans="1:12" ht="13.15" customHeight="1">
      <c r="A70" s="1120" t="s">
        <v>2283</v>
      </c>
      <c r="B70" s="59"/>
      <c r="C70" s="1951"/>
      <c r="D70" s="1951"/>
      <c r="E70" s="1952"/>
      <c r="F70" s="1953"/>
      <c r="G70" s="1951"/>
      <c r="H70" s="1954"/>
      <c r="I70" s="1953"/>
      <c r="J70" s="1951"/>
      <c r="K70" s="1954"/>
      <c r="L70" s="240"/>
    </row>
    <row r="71" spans="1:12" ht="13.15" customHeight="1">
      <c r="A71" s="1120" t="s">
        <v>2284</v>
      </c>
      <c r="B71" s="59"/>
      <c r="C71" s="1951"/>
      <c r="D71" s="1951"/>
      <c r="E71" s="1952"/>
      <c r="F71" s="1953"/>
      <c r="G71" s="1951"/>
      <c r="H71" s="1954"/>
      <c r="I71" s="1953"/>
      <c r="J71" s="1951"/>
      <c r="K71" s="1954"/>
      <c r="L71" s="240"/>
    </row>
    <row r="72" spans="1:12" ht="13.15" customHeight="1">
      <c r="A72" s="1120" t="s">
        <v>2248</v>
      </c>
      <c r="B72" s="59"/>
      <c r="C72" s="1951"/>
      <c r="D72" s="1951"/>
      <c r="E72" s="1952"/>
      <c r="F72" s="1953"/>
      <c r="G72" s="1951"/>
      <c r="H72" s="1954"/>
      <c r="I72" s="1953"/>
      <c r="J72" s="1951"/>
      <c r="K72" s="1954"/>
      <c r="L72" s="240"/>
    </row>
    <row r="73" spans="1:12" ht="4.9000000000000004" customHeight="1">
      <c r="A73" s="148"/>
      <c r="B73" s="59"/>
      <c r="C73" s="80"/>
      <c r="D73" s="80"/>
      <c r="E73" s="79"/>
      <c r="F73" s="82"/>
      <c r="G73" s="80"/>
      <c r="H73" s="81"/>
      <c r="I73" s="82"/>
      <c r="J73" s="80"/>
      <c r="K73" s="81"/>
      <c r="L73" s="240"/>
    </row>
    <row r="74" spans="1:12" ht="13.15" customHeight="1">
      <c r="A74" s="126" t="s">
        <v>2297</v>
      </c>
      <c r="B74" s="59"/>
      <c r="C74" s="264">
        <f>C75+C98</f>
        <v>0</v>
      </c>
      <c r="D74" s="264">
        <f t="shared" ref="D74:K74" si="10">D75+D98</f>
        <v>0</v>
      </c>
      <c r="E74" s="266">
        <f t="shared" si="10"/>
        <v>0</v>
      </c>
      <c r="F74" s="265">
        <f t="shared" si="10"/>
        <v>0</v>
      </c>
      <c r="G74" s="264">
        <f t="shared" si="10"/>
        <v>0</v>
      </c>
      <c r="H74" s="218">
        <f t="shared" si="10"/>
        <v>0</v>
      </c>
      <c r="I74" s="265">
        <f t="shared" si="10"/>
        <v>3588463.1850000001</v>
      </c>
      <c r="J74" s="264">
        <f t="shared" si="10"/>
        <v>3686515</v>
      </c>
      <c r="K74" s="218">
        <f t="shared" si="10"/>
        <v>3861285.09</v>
      </c>
      <c r="L74" s="240"/>
    </row>
    <row r="75" spans="1:12" ht="13.15" customHeight="1">
      <c r="A75" s="127" t="s">
        <v>2298</v>
      </c>
      <c r="B75" s="59"/>
      <c r="C75" s="943">
        <f>SUM(C76:C97)</f>
        <v>0</v>
      </c>
      <c r="D75" s="943">
        <f t="shared" ref="D75:K75" si="11">SUM(D76:D97)</f>
        <v>0</v>
      </c>
      <c r="E75" s="1243">
        <f t="shared" si="11"/>
        <v>0</v>
      </c>
      <c r="F75" s="944">
        <f t="shared" si="11"/>
        <v>0</v>
      </c>
      <c r="G75" s="943">
        <f t="shared" si="11"/>
        <v>0</v>
      </c>
      <c r="H75" s="980">
        <f t="shared" si="11"/>
        <v>0</v>
      </c>
      <c r="I75" s="944">
        <f t="shared" si="11"/>
        <v>1986092.1850000001</v>
      </c>
      <c r="J75" s="943">
        <f t="shared" si="11"/>
        <v>2050049</v>
      </c>
      <c r="K75" s="980">
        <f t="shared" si="11"/>
        <v>2129827.09</v>
      </c>
      <c r="L75" s="240"/>
    </row>
    <row r="76" spans="1:12" ht="13.15" customHeight="1">
      <c r="A76" s="1120" t="s">
        <v>2299</v>
      </c>
      <c r="B76" s="59"/>
      <c r="C76" s="1951"/>
      <c r="D76" s="1951"/>
      <c r="E76" s="1952"/>
      <c r="F76" s="1953"/>
      <c r="G76" s="1951"/>
      <c r="H76" s="1954"/>
      <c r="I76" s="1953"/>
      <c r="J76" s="1951"/>
      <c r="K76" s="1954"/>
      <c r="L76" s="240"/>
    </row>
    <row r="77" spans="1:12" ht="13.15" customHeight="1">
      <c r="A77" s="1120" t="s">
        <v>2300</v>
      </c>
      <c r="B77" s="59"/>
      <c r="C77" s="1951"/>
      <c r="D77" s="1951"/>
      <c r="E77" s="1952"/>
      <c r="F77" s="1953"/>
      <c r="G77" s="1951"/>
      <c r="H77" s="1954"/>
      <c r="I77" s="1953"/>
      <c r="J77" s="1951"/>
      <c r="K77" s="1954"/>
      <c r="L77" s="240"/>
    </row>
    <row r="78" spans="1:12" ht="13.15" customHeight="1">
      <c r="A78" s="1120" t="s">
        <v>2301</v>
      </c>
      <c r="B78" s="59"/>
      <c r="C78" s="1951"/>
      <c r="D78" s="1951"/>
      <c r="E78" s="1952"/>
      <c r="F78" s="1953"/>
      <c r="G78" s="1951"/>
      <c r="H78" s="1954"/>
      <c r="I78" s="1953"/>
      <c r="J78" s="1951"/>
      <c r="K78" s="1954"/>
      <c r="L78" s="240"/>
    </row>
    <row r="79" spans="1:12" ht="13.15" customHeight="1">
      <c r="A79" s="1120" t="s">
        <v>2302</v>
      </c>
      <c r="B79" s="59"/>
      <c r="C79" s="1951"/>
      <c r="D79" s="1951"/>
      <c r="E79" s="1952"/>
      <c r="F79" s="1953"/>
      <c r="G79" s="1951"/>
      <c r="H79" s="1954"/>
      <c r="I79" s="1953"/>
      <c r="J79" s="1951"/>
      <c r="K79" s="1954"/>
      <c r="L79" s="240"/>
    </row>
    <row r="80" spans="1:12" ht="13.15" customHeight="1">
      <c r="A80" s="1120" t="s">
        <v>2303</v>
      </c>
      <c r="B80" s="59"/>
      <c r="C80" s="1951"/>
      <c r="D80" s="1951"/>
      <c r="E80" s="1952"/>
      <c r="F80" s="1953"/>
      <c r="G80" s="1951"/>
      <c r="H80" s="1954"/>
      <c r="I80" s="1953"/>
      <c r="J80" s="1951"/>
      <c r="K80" s="1954"/>
      <c r="L80" s="240"/>
    </row>
    <row r="81" spans="1:12" ht="13.15" customHeight="1">
      <c r="A81" s="1120" t="s">
        <v>2304</v>
      </c>
      <c r="B81" s="59"/>
      <c r="C81" s="1951"/>
      <c r="D81" s="1951"/>
      <c r="E81" s="1952"/>
      <c r="F81" s="1953"/>
      <c r="G81" s="1951"/>
      <c r="H81" s="1954"/>
      <c r="I81" s="1953"/>
      <c r="J81" s="1951"/>
      <c r="K81" s="1954"/>
      <c r="L81" s="240"/>
    </row>
    <row r="82" spans="1:12" ht="13.15" customHeight="1">
      <c r="A82" s="1120" t="s">
        <v>2305</v>
      </c>
      <c r="B82" s="59"/>
      <c r="C82" s="1951"/>
      <c r="D82" s="1951"/>
      <c r="E82" s="1952"/>
      <c r="F82" s="1953"/>
      <c r="G82" s="1951"/>
      <c r="H82" s="1954"/>
      <c r="I82" s="1953">
        <v>62406</v>
      </c>
      <c r="J82" s="1951">
        <v>64902</v>
      </c>
      <c r="K82" s="1954">
        <v>66849</v>
      </c>
      <c r="L82" s="240"/>
    </row>
    <row r="83" spans="1:12" ht="13.15" customHeight="1">
      <c r="A83" s="1120" t="s">
        <v>2306</v>
      </c>
      <c r="B83" s="59"/>
      <c r="C83" s="1951"/>
      <c r="D83" s="1951"/>
      <c r="E83" s="1952"/>
      <c r="F83" s="1953"/>
      <c r="G83" s="1951"/>
      <c r="H83" s="1954"/>
      <c r="I83" s="1953"/>
      <c r="J83" s="1951"/>
      <c r="K83" s="1954"/>
      <c r="L83" s="240"/>
    </row>
    <row r="84" spans="1:12" ht="13.15" customHeight="1">
      <c r="A84" s="1120" t="s">
        <v>2307</v>
      </c>
      <c r="B84" s="59"/>
      <c r="C84" s="1951"/>
      <c r="D84" s="1951"/>
      <c r="E84" s="1952"/>
      <c r="F84" s="1953"/>
      <c r="G84" s="1951"/>
      <c r="H84" s="1954"/>
      <c r="I84" s="1953"/>
      <c r="J84" s="1951"/>
      <c r="K84" s="1954"/>
    </row>
    <row r="85" spans="1:12" ht="13.15" customHeight="1">
      <c r="A85" s="1120" t="s">
        <v>288</v>
      </c>
      <c r="B85" s="59"/>
      <c r="C85" s="1951"/>
      <c r="D85" s="1951"/>
      <c r="E85" s="1952"/>
      <c r="F85" s="1953"/>
      <c r="G85" s="1951"/>
      <c r="H85" s="1954"/>
      <c r="I85" s="1953">
        <v>143157</v>
      </c>
      <c r="J85" s="1951">
        <v>149312</v>
      </c>
      <c r="K85" s="1954">
        <v>155136</v>
      </c>
    </row>
    <row r="86" spans="1:12" ht="13.15" customHeight="1">
      <c r="A86" s="1120" t="s">
        <v>2308</v>
      </c>
      <c r="B86" s="59"/>
      <c r="C86" s="1951"/>
      <c r="D86" s="1951"/>
      <c r="E86" s="1952"/>
      <c r="F86" s="1953"/>
      <c r="G86" s="1951"/>
      <c r="H86" s="1954"/>
      <c r="I86" s="1953">
        <v>57605.8</v>
      </c>
      <c r="J86" s="1951">
        <v>59852</v>
      </c>
      <c r="K86" s="1954">
        <v>62246.559999999998</v>
      </c>
    </row>
    <row r="87" spans="1:12" ht="13.15" customHeight="1">
      <c r="A87" s="1120" t="s">
        <v>1452</v>
      </c>
      <c r="B87" s="59"/>
      <c r="C87" s="1951"/>
      <c r="D87" s="1951"/>
      <c r="E87" s="1952"/>
      <c r="F87" s="1953"/>
      <c r="G87" s="1951"/>
      <c r="H87" s="1954"/>
      <c r="I87" s="1953">
        <v>27767</v>
      </c>
      <c r="J87" s="1951">
        <v>28600</v>
      </c>
      <c r="K87" s="1954">
        <v>29744</v>
      </c>
    </row>
    <row r="88" spans="1:12" ht="13.15" customHeight="1">
      <c r="A88" s="1120" t="s">
        <v>2483</v>
      </c>
      <c r="B88" s="59"/>
      <c r="C88" s="1951"/>
      <c r="D88" s="1951"/>
      <c r="E88" s="1952"/>
      <c r="F88" s="1953"/>
      <c r="G88" s="1951"/>
      <c r="H88" s="1954"/>
      <c r="I88" s="1953">
        <v>137277.38500000001</v>
      </c>
      <c r="J88" s="1951">
        <v>142768</v>
      </c>
      <c r="K88" s="1954">
        <v>147051.53</v>
      </c>
    </row>
    <row r="89" spans="1:12" ht="13.15" customHeight="1">
      <c r="A89" s="1120" t="s">
        <v>2310</v>
      </c>
      <c r="B89" s="59"/>
      <c r="C89" s="1951"/>
      <c r="D89" s="1951"/>
      <c r="E89" s="1952"/>
      <c r="F89" s="1953"/>
      <c r="G89" s="1951"/>
      <c r="H89" s="1954"/>
      <c r="I89" s="1953"/>
      <c r="J89" s="1951"/>
      <c r="K89" s="1954"/>
    </row>
    <row r="90" spans="1:12" ht="13.15" customHeight="1">
      <c r="A90" s="1120" t="s">
        <v>2311</v>
      </c>
      <c r="B90" s="59"/>
      <c r="C90" s="1951"/>
      <c r="D90" s="1951"/>
      <c r="E90" s="1952"/>
      <c r="F90" s="1953"/>
      <c r="G90" s="1951"/>
      <c r="H90" s="1954"/>
      <c r="I90" s="1953"/>
      <c r="J90" s="1951"/>
      <c r="K90" s="1954"/>
    </row>
    <row r="91" spans="1:12" ht="13.15" customHeight="1">
      <c r="A91" s="1120" t="s">
        <v>2312</v>
      </c>
      <c r="B91" s="59"/>
      <c r="C91" s="1951"/>
      <c r="D91" s="1951"/>
      <c r="E91" s="1952"/>
      <c r="F91" s="1953"/>
      <c r="G91" s="1951"/>
      <c r="H91" s="1954"/>
      <c r="I91" s="1953"/>
      <c r="J91" s="1951"/>
      <c r="K91" s="1954"/>
    </row>
    <row r="92" spans="1:12" ht="13.15" customHeight="1">
      <c r="A92" s="1120" t="s">
        <v>1087</v>
      </c>
      <c r="B92" s="59"/>
      <c r="C92" s="1951"/>
      <c r="D92" s="1951"/>
      <c r="E92" s="1952"/>
      <c r="F92" s="1953"/>
      <c r="G92" s="1951"/>
      <c r="H92" s="1954"/>
      <c r="I92" s="1953"/>
      <c r="J92" s="1951"/>
      <c r="K92" s="1954"/>
    </row>
    <row r="93" spans="1:12" ht="13.15" customHeight="1">
      <c r="A93" s="1120" t="s">
        <v>2313</v>
      </c>
      <c r="B93" s="59"/>
      <c r="C93" s="1951"/>
      <c r="D93" s="1951"/>
      <c r="E93" s="1952"/>
      <c r="F93" s="1953"/>
      <c r="G93" s="1951"/>
      <c r="H93" s="1954"/>
      <c r="I93" s="1953"/>
      <c r="J93" s="1951"/>
      <c r="K93" s="1954"/>
    </row>
    <row r="94" spans="1:12" ht="13.15" customHeight="1">
      <c r="A94" s="1120" t="s">
        <v>1086</v>
      </c>
      <c r="B94" s="59"/>
      <c r="C94" s="1951"/>
      <c r="D94" s="1951"/>
      <c r="E94" s="1952"/>
      <c r="F94" s="1953"/>
      <c r="G94" s="1951"/>
      <c r="H94" s="1954"/>
      <c r="I94" s="1953"/>
      <c r="J94" s="1951"/>
      <c r="K94" s="1954"/>
    </row>
    <row r="95" spans="1:12" ht="13.15" customHeight="1">
      <c r="A95" s="1120" t="s">
        <v>2314</v>
      </c>
      <c r="B95" s="59"/>
      <c r="C95" s="1951"/>
      <c r="D95" s="1951"/>
      <c r="E95" s="1952"/>
      <c r="F95" s="1953"/>
      <c r="G95" s="1951"/>
      <c r="H95" s="1954"/>
      <c r="I95" s="1953"/>
      <c r="J95" s="1951"/>
      <c r="K95" s="1954"/>
    </row>
    <row r="96" spans="1:12" ht="13.15" customHeight="1">
      <c r="A96" s="1120" t="s">
        <v>2315</v>
      </c>
      <c r="B96" s="59"/>
      <c r="C96" s="1951"/>
      <c r="D96" s="1951"/>
      <c r="E96" s="1952"/>
      <c r="F96" s="1953"/>
      <c r="G96" s="1951"/>
      <c r="H96" s="1954"/>
      <c r="I96" s="1953"/>
      <c r="J96" s="1951"/>
      <c r="K96" s="1954"/>
    </row>
    <row r="97" spans="1:11" ht="13.15" customHeight="1">
      <c r="A97" s="1120" t="s">
        <v>2248</v>
      </c>
      <c r="B97" s="59"/>
      <c r="C97" s="1951"/>
      <c r="D97" s="1951"/>
      <c r="E97" s="1952"/>
      <c r="F97" s="1953"/>
      <c r="G97" s="1951"/>
      <c r="H97" s="1954"/>
      <c r="I97" s="1953">
        <v>1557879</v>
      </c>
      <c r="J97" s="1951">
        <v>1604615</v>
      </c>
      <c r="K97" s="1954">
        <v>1668800</v>
      </c>
    </row>
    <row r="98" spans="1:11" ht="13.15" customHeight="1">
      <c r="A98" s="127" t="s">
        <v>2316</v>
      </c>
      <c r="B98" s="59"/>
      <c r="C98" s="900">
        <f>SUM(C99:C101)</f>
        <v>0</v>
      </c>
      <c r="D98" s="900">
        <f t="shared" ref="D98:K98" si="12">SUM(D99:D101)</f>
        <v>0</v>
      </c>
      <c r="E98" s="1244">
        <f t="shared" si="12"/>
        <v>0</v>
      </c>
      <c r="F98" s="904">
        <f t="shared" si="12"/>
        <v>0</v>
      </c>
      <c r="G98" s="900">
        <f t="shared" si="12"/>
        <v>0</v>
      </c>
      <c r="H98" s="982">
        <f t="shared" si="12"/>
        <v>0</v>
      </c>
      <c r="I98" s="904">
        <f t="shared" si="12"/>
        <v>1602371</v>
      </c>
      <c r="J98" s="900">
        <f t="shared" si="12"/>
        <v>1636466</v>
      </c>
      <c r="K98" s="982">
        <f t="shared" si="12"/>
        <v>1731458</v>
      </c>
    </row>
    <row r="99" spans="1:11" ht="13.15" customHeight="1">
      <c r="A99" s="1120" t="s">
        <v>2317</v>
      </c>
      <c r="B99" s="59"/>
      <c r="C99" s="1951"/>
      <c r="D99" s="1951"/>
      <c r="E99" s="1952"/>
      <c r="F99" s="1953"/>
      <c r="G99" s="1951"/>
      <c r="H99" s="1951"/>
      <c r="I99" s="1953">
        <v>1602371</v>
      </c>
      <c r="J99" s="1951">
        <v>1636466</v>
      </c>
      <c r="K99" s="1954">
        <v>1731458</v>
      </c>
    </row>
    <row r="100" spans="1:11" ht="13.15" customHeight="1">
      <c r="A100" s="1120" t="s">
        <v>2318</v>
      </c>
      <c r="B100" s="59"/>
      <c r="C100" s="1951"/>
      <c r="D100" s="1951"/>
      <c r="E100" s="1952"/>
      <c r="F100" s="1953"/>
      <c r="G100" s="1951"/>
      <c r="H100" s="1954"/>
      <c r="I100" s="1953"/>
      <c r="J100" s="1951"/>
      <c r="K100" s="1954"/>
    </row>
    <row r="101" spans="1:11" ht="13.15" customHeight="1">
      <c r="A101" s="1120" t="s">
        <v>2248</v>
      </c>
      <c r="B101" s="59"/>
      <c r="C101" s="1951"/>
      <c r="D101" s="1951"/>
      <c r="E101" s="1952"/>
      <c r="F101" s="1953"/>
      <c r="G101" s="1951"/>
      <c r="H101" s="1954"/>
      <c r="I101" s="1953"/>
      <c r="J101" s="1951"/>
      <c r="K101" s="1954"/>
    </row>
    <row r="102" spans="1:11" ht="4.9000000000000004" customHeight="1">
      <c r="A102" s="148"/>
      <c r="B102" s="59"/>
      <c r="C102" s="80"/>
      <c r="D102" s="80"/>
      <c r="E102" s="79"/>
      <c r="F102" s="82"/>
      <c r="G102" s="80"/>
      <c r="H102" s="81"/>
      <c r="I102" s="82"/>
      <c r="J102" s="80"/>
      <c r="K102" s="81"/>
    </row>
    <row r="103" spans="1:11" ht="13.15" customHeight="1">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c r="A104" s="127" t="s">
        <v>2319</v>
      </c>
      <c r="B104" s="59"/>
      <c r="C104" s="1951"/>
      <c r="D104" s="1951"/>
      <c r="E104" s="1952"/>
      <c r="F104" s="1953"/>
      <c r="G104" s="1951"/>
      <c r="H104" s="1954"/>
      <c r="I104" s="1953"/>
      <c r="J104" s="1951"/>
      <c r="K104" s="1954"/>
    </row>
    <row r="105" spans="1:11" ht="13.15" customHeight="1">
      <c r="A105" s="131" t="s">
        <v>2320</v>
      </c>
      <c r="B105" s="59"/>
      <c r="C105" s="1951"/>
      <c r="D105" s="1951"/>
      <c r="E105" s="1952"/>
      <c r="F105" s="1953"/>
      <c r="G105" s="1951"/>
      <c r="H105" s="1954"/>
      <c r="I105" s="1953"/>
      <c r="J105" s="1951"/>
      <c r="K105" s="1954"/>
    </row>
    <row r="106" spans="1:11" ht="13.15" customHeight="1">
      <c r="A106" s="127" t="s">
        <v>2321</v>
      </c>
      <c r="B106" s="59"/>
      <c r="C106" s="1951"/>
      <c r="D106" s="1951"/>
      <c r="E106" s="1952"/>
      <c r="F106" s="1953"/>
      <c r="G106" s="1951"/>
      <c r="H106" s="1954"/>
      <c r="I106" s="1953"/>
      <c r="J106" s="1951"/>
      <c r="K106" s="1954"/>
    </row>
    <row r="107" spans="1:11" ht="13.15" customHeight="1">
      <c r="A107" s="127" t="s">
        <v>2322</v>
      </c>
      <c r="B107" s="59"/>
      <c r="C107" s="1951"/>
      <c r="D107" s="1951"/>
      <c r="E107" s="1952"/>
      <c r="F107" s="1953"/>
      <c r="G107" s="1951"/>
      <c r="H107" s="1954"/>
      <c r="I107" s="1953"/>
      <c r="J107" s="1951"/>
      <c r="K107" s="1954"/>
    </row>
    <row r="108" spans="1:11" ht="13.15" customHeight="1">
      <c r="A108" s="131" t="s">
        <v>2323</v>
      </c>
      <c r="B108" s="59"/>
      <c r="C108" s="1951"/>
      <c r="D108" s="1951"/>
      <c r="E108" s="1952"/>
      <c r="F108" s="1953"/>
      <c r="G108" s="1951"/>
      <c r="H108" s="1954"/>
      <c r="I108" s="1953"/>
      <c r="J108" s="1951"/>
      <c r="K108" s="1954"/>
    </row>
    <row r="109" spans="1:11" ht="4.9000000000000004" customHeight="1">
      <c r="A109" s="679"/>
      <c r="B109" s="59"/>
      <c r="C109" s="80"/>
      <c r="D109" s="80"/>
      <c r="E109" s="79"/>
      <c r="F109" s="82"/>
      <c r="G109" s="80"/>
      <c r="H109" s="81"/>
      <c r="I109" s="82"/>
      <c r="J109" s="80"/>
      <c r="K109" s="81"/>
    </row>
    <row r="110" spans="1:11" ht="13.15" customHeight="1">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c r="A111" s="127" t="s">
        <v>2353</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c r="A112" s="1120" t="s">
        <v>2354</v>
      </c>
      <c r="B112" s="59"/>
      <c r="C112" s="1951"/>
      <c r="D112" s="1951"/>
      <c r="E112" s="1952"/>
      <c r="F112" s="1953"/>
      <c r="G112" s="1951"/>
      <c r="H112" s="1954"/>
      <c r="I112" s="1953"/>
      <c r="J112" s="1951"/>
      <c r="K112" s="1954"/>
    </row>
    <row r="113" spans="1:11" ht="13.15" customHeight="1">
      <c r="A113" s="1120" t="s">
        <v>2355</v>
      </c>
      <c r="B113" s="59"/>
      <c r="C113" s="1951"/>
      <c r="D113" s="1951"/>
      <c r="E113" s="1952"/>
      <c r="F113" s="1953"/>
      <c r="G113" s="1951"/>
      <c r="H113" s="1954"/>
      <c r="I113" s="1953"/>
      <c r="J113" s="1951"/>
      <c r="K113" s="1954"/>
    </row>
    <row r="114" spans="1:11" ht="13.15" customHeight="1">
      <c r="A114" s="127" t="s">
        <v>2356</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c r="A115" s="1120" t="s">
        <v>2354</v>
      </c>
      <c r="B115" s="59"/>
      <c r="C115" s="1951"/>
      <c r="D115" s="1951"/>
      <c r="E115" s="1952"/>
      <c r="F115" s="1953"/>
      <c r="G115" s="1951"/>
      <c r="H115" s="1954"/>
      <c r="I115" s="1953"/>
      <c r="J115" s="1951"/>
      <c r="K115" s="1954"/>
    </row>
    <row r="116" spans="1:11" ht="13.15" customHeight="1">
      <c r="A116" s="1120" t="s">
        <v>2355</v>
      </c>
      <c r="B116" s="59"/>
      <c r="C116" s="1951"/>
      <c r="D116" s="1951"/>
      <c r="E116" s="1952"/>
      <c r="F116" s="1953"/>
      <c r="G116" s="1951"/>
      <c r="H116" s="1954"/>
      <c r="I116" s="1953"/>
      <c r="J116" s="1951"/>
      <c r="K116" s="1954"/>
    </row>
    <row r="117" spans="1:11" ht="4.9000000000000004" customHeight="1">
      <c r="A117" s="679"/>
      <c r="B117" s="59"/>
      <c r="C117" s="80"/>
      <c r="D117" s="80"/>
      <c r="E117" s="79"/>
      <c r="F117" s="82"/>
      <c r="G117" s="80"/>
      <c r="H117" s="81"/>
      <c r="I117" s="82"/>
      <c r="J117" s="80"/>
      <c r="K117" s="81"/>
    </row>
    <row r="118" spans="1:11" ht="13.15" customHeight="1">
      <c r="A118" s="672" t="s">
        <v>837</v>
      </c>
      <c r="B118" s="59"/>
      <c r="C118" s="95">
        <f>+C119+C131</f>
        <v>5758988</v>
      </c>
      <c r="D118" s="95">
        <f t="shared" ref="D118:K118" si="17">+D119+D131</f>
        <v>0</v>
      </c>
      <c r="E118" s="94">
        <f t="shared" si="17"/>
        <v>10290527</v>
      </c>
      <c r="F118" s="97">
        <f t="shared" si="17"/>
        <v>997372</v>
      </c>
      <c r="G118" s="95">
        <f t="shared" si="17"/>
        <v>966780</v>
      </c>
      <c r="H118" s="96">
        <f t="shared" si="17"/>
        <v>966780</v>
      </c>
      <c r="I118" s="97">
        <f t="shared" si="17"/>
        <v>7434207</v>
      </c>
      <c r="J118" s="95">
        <f t="shared" si="17"/>
        <v>7557233</v>
      </c>
      <c r="K118" s="96">
        <f t="shared" si="17"/>
        <v>8125634</v>
      </c>
    </row>
    <row r="119" spans="1:11" ht="13.15" customHeight="1">
      <c r="A119" s="127" t="s">
        <v>2324</v>
      </c>
      <c r="B119" s="59"/>
      <c r="C119" s="943">
        <f>SUM(C120:C130)</f>
        <v>5758988</v>
      </c>
      <c r="D119" s="943">
        <f t="shared" ref="D119:K119" si="18">SUM(D120:D130)</f>
        <v>0</v>
      </c>
      <c r="E119" s="1243">
        <f t="shared" si="18"/>
        <v>10290527</v>
      </c>
      <c r="F119" s="944">
        <f t="shared" si="18"/>
        <v>997372</v>
      </c>
      <c r="G119" s="943">
        <f t="shared" si="18"/>
        <v>966780</v>
      </c>
      <c r="H119" s="980">
        <f t="shared" si="18"/>
        <v>966780</v>
      </c>
      <c r="I119" s="944">
        <f t="shared" si="18"/>
        <v>7434207</v>
      </c>
      <c r="J119" s="943">
        <f t="shared" si="18"/>
        <v>7557233</v>
      </c>
      <c r="K119" s="980">
        <f t="shared" si="18"/>
        <v>8125634</v>
      </c>
    </row>
    <row r="120" spans="1:11" ht="13.15" customHeight="1">
      <c r="A120" s="1120" t="s">
        <v>2325</v>
      </c>
      <c r="B120" s="59"/>
      <c r="C120" s="1951">
        <v>5758988</v>
      </c>
      <c r="D120" s="1951">
        <v>0</v>
      </c>
      <c r="E120" s="1952">
        <v>10290527</v>
      </c>
      <c r="F120" s="1953">
        <v>997372</v>
      </c>
      <c r="G120" s="1951">
        <v>966780</v>
      </c>
      <c r="H120" s="1954">
        <v>966780</v>
      </c>
      <c r="I120" s="1953">
        <v>7434207</v>
      </c>
      <c r="J120" s="1951">
        <v>7557233</v>
      </c>
      <c r="K120" s="1954">
        <v>8125634</v>
      </c>
    </row>
    <row r="121" spans="1:11" ht="13.15" customHeight="1">
      <c r="A121" s="1120" t="s">
        <v>2326</v>
      </c>
      <c r="B121" s="59"/>
      <c r="C121" s="1951"/>
      <c r="D121" s="1951"/>
      <c r="E121" s="1952"/>
      <c r="F121" s="1953"/>
      <c r="G121" s="1951"/>
      <c r="H121" s="1954"/>
      <c r="I121" s="1953"/>
      <c r="J121" s="1951"/>
      <c r="K121" s="1954"/>
    </row>
    <row r="122" spans="1:11" ht="13.15" customHeight="1">
      <c r="A122" s="1120" t="s">
        <v>2327</v>
      </c>
      <c r="B122" s="59"/>
      <c r="C122" s="1951"/>
      <c r="D122" s="1951"/>
      <c r="E122" s="1952"/>
      <c r="F122" s="1953"/>
      <c r="G122" s="1951"/>
      <c r="H122" s="1954"/>
      <c r="I122" s="1953"/>
      <c r="J122" s="1951"/>
      <c r="K122" s="1954"/>
    </row>
    <row r="123" spans="1:11" ht="13.15" customHeight="1">
      <c r="A123" s="1120" t="s">
        <v>2328</v>
      </c>
      <c r="B123" s="59"/>
      <c r="C123" s="1951"/>
      <c r="D123" s="1951"/>
      <c r="E123" s="1952"/>
      <c r="F123" s="1953"/>
      <c r="G123" s="1951"/>
      <c r="H123" s="1954"/>
      <c r="I123" s="1953"/>
      <c r="J123" s="1951"/>
      <c r="K123" s="1954"/>
    </row>
    <row r="124" spans="1:11" ht="13.15" customHeight="1">
      <c r="A124" s="1120" t="s">
        <v>2329</v>
      </c>
      <c r="B124" s="59"/>
      <c r="C124" s="1951"/>
      <c r="D124" s="1951"/>
      <c r="E124" s="1952"/>
      <c r="F124" s="1953"/>
      <c r="G124" s="1951"/>
      <c r="H124" s="1954"/>
      <c r="I124" s="1953"/>
      <c r="J124" s="1951"/>
      <c r="K124" s="1954"/>
    </row>
    <row r="125" spans="1:11" ht="13.15" customHeight="1">
      <c r="A125" s="1120" t="s">
        <v>2330</v>
      </c>
      <c r="B125" s="59"/>
      <c r="C125" s="1951"/>
      <c r="D125" s="1951"/>
      <c r="E125" s="1952"/>
      <c r="F125" s="1953"/>
      <c r="G125" s="1951"/>
      <c r="H125" s="1954"/>
      <c r="I125" s="1953"/>
      <c r="J125" s="1951"/>
      <c r="K125" s="1954"/>
    </row>
    <row r="126" spans="1:11" ht="13.15" customHeight="1">
      <c r="A126" s="1120" t="s">
        <v>2331</v>
      </c>
      <c r="B126" s="59"/>
      <c r="C126" s="1951"/>
      <c r="D126" s="1951"/>
      <c r="E126" s="1952"/>
      <c r="F126" s="1953"/>
      <c r="G126" s="1951"/>
      <c r="H126" s="1954"/>
      <c r="I126" s="1953"/>
      <c r="J126" s="1951"/>
      <c r="K126" s="1954"/>
    </row>
    <row r="127" spans="1:11" ht="13.15" customHeight="1">
      <c r="A127" s="1120" t="s">
        <v>2332</v>
      </c>
      <c r="B127" s="59"/>
      <c r="C127" s="1951"/>
      <c r="D127" s="1951"/>
      <c r="E127" s="1952"/>
      <c r="F127" s="1953"/>
      <c r="G127" s="1951"/>
      <c r="H127" s="1954"/>
      <c r="I127" s="1953"/>
      <c r="J127" s="1951"/>
      <c r="K127" s="1954"/>
    </row>
    <row r="128" spans="1:11" ht="13.15" customHeight="1">
      <c r="A128" s="1120" t="s">
        <v>2333</v>
      </c>
      <c r="B128" s="59"/>
      <c r="C128" s="1951"/>
      <c r="D128" s="1951"/>
      <c r="E128" s="1952"/>
      <c r="F128" s="1953"/>
      <c r="G128" s="1951"/>
      <c r="H128" s="1954"/>
      <c r="I128" s="1953"/>
      <c r="J128" s="1951"/>
      <c r="K128" s="1954"/>
    </row>
    <row r="129" spans="1:11" ht="13.15" customHeight="1">
      <c r="A129" s="1120" t="s">
        <v>2334</v>
      </c>
      <c r="B129" s="59"/>
      <c r="C129" s="1951"/>
      <c r="D129" s="1951"/>
      <c r="E129" s="1952"/>
      <c r="F129" s="1953"/>
      <c r="G129" s="1951"/>
      <c r="H129" s="1954"/>
      <c r="I129" s="1953"/>
      <c r="J129" s="1951"/>
      <c r="K129" s="1954"/>
    </row>
    <row r="130" spans="1:11" ht="13.15" customHeight="1">
      <c r="A130" s="1120" t="s">
        <v>2248</v>
      </c>
      <c r="B130" s="59"/>
      <c r="C130" s="1951"/>
      <c r="D130" s="1951"/>
      <c r="E130" s="1952"/>
      <c r="F130" s="1953"/>
      <c r="G130" s="1951"/>
      <c r="H130" s="1954"/>
      <c r="I130" s="1953"/>
      <c r="J130" s="1951"/>
      <c r="K130" s="1954"/>
    </row>
    <row r="131" spans="1:11" ht="13.15" customHeight="1">
      <c r="A131" s="127" t="s">
        <v>1493</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15" customHeight="1">
      <c r="A132" s="1120" t="s">
        <v>2335</v>
      </c>
      <c r="B132" s="59"/>
      <c r="C132" s="1951"/>
      <c r="D132" s="1951"/>
      <c r="E132" s="1952"/>
      <c r="F132" s="1953"/>
      <c r="G132" s="1951"/>
      <c r="H132" s="1954"/>
      <c r="I132" s="1953"/>
      <c r="J132" s="1951"/>
      <c r="K132" s="1954"/>
    </row>
    <row r="133" spans="1:11" ht="13.15" customHeight="1">
      <c r="A133" s="1120" t="s">
        <v>2336</v>
      </c>
      <c r="B133" s="59"/>
      <c r="C133" s="1951"/>
      <c r="D133" s="1951"/>
      <c r="E133" s="1952"/>
      <c r="F133" s="1953"/>
      <c r="G133" s="1951"/>
      <c r="H133" s="1954"/>
      <c r="I133" s="1953"/>
      <c r="J133" s="1951"/>
      <c r="K133" s="1954"/>
    </row>
    <row r="134" spans="1:11" ht="13.15" customHeight="1">
      <c r="A134" s="1120" t="s">
        <v>2248</v>
      </c>
      <c r="B134" s="59"/>
      <c r="C134" s="1951"/>
      <c r="D134" s="1951"/>
      <c r="E134" s="1952"/>
      <c r="F134" s="1953"/>
      <c r="G134" s="1951"/>
      <c r="H134" s="1954"/>
      <c r="I134" s="1953"/>
      <c r="J134" s="1951"/>
      <c r="K134" s="1954"/>
    </row>
    <row r="135" spans="1:11" ht="4.9000000000000004" customHeight="1">
      <c r="A135" s="706"/>
      <c r="B135" s="59"/>
      <c r="C135" s="80"/>
      <c r="D135" s="80"/>
      <c r="E135" s="79"/>
      <c r="F135" s="82"/>
      <c r="G135" s="80"/>
      <c r="H135" s="81"/>
      <c r="I135" s="82"/>
      <c r="J135" s="80"/>
      <c r="K135" s="81"/>
    </row>
    <row r="136" spans="1:11" ht="13.15" customHeight="1">
      <c r="A136" s="126" t="s">
        <v>2337</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c r="A137" s="127" t="s">
        <v>2337</v>
      </c>
      <c r="B137" s="59"/>
      <c r="C137" s="1951"/>
      <c r="D137" s="1951"/>
      <c r="E137" s="1952"/>
      <c r="F137" s="1953"/>
      <c r="G137" s="1951"/>
      <c r="H137" s="1954"/>
      <c r="I137" s="1953"/>
      <c r="J137" s="1951"/>
      <c r="K137" s="1954"/>
    </row>
    <row r="138" spans="1:11" ht="4.9000000000000004" customHeight="1">
      <c r="A138" s="148"/>
      <c r="B138" s="59"/>
      <c r="C138" s="80"/>
      <c r="D138" s="80"/>
      <c r="E138" s="79"/>
      <c r="F138" s="82"/>
      <c r="G138" s="80"/>
      <c r="H138" s="81"/>
      <c r="I138" s="82"/>
      <c r="J138" s="80"/>
      <c r="K138" s="81"/>
    </row>
    <row r="139" spans="1:11" ht="13.15" customHeight="1">
      <c r="A139" s="126" t="s">
        <v>2340</v>
      </c>
      <c r="B139" s="59"/>
      <c r="C139" s="80">
        <f>+C140+C141</f>
        <v>0</v>
      </c>
      <c r="D139" s="80">
        <f t="shared" ref="D139:K139" si="21">+D140+D141</f>
        <v>0</v>
      </c>
      <c r="E139" s="79">
        <f t="shared" si="21"/>
        <v>0</v>
      </c>
      <c r="F139" s="82">
        <f t="shared" si="21"/>
        <v>0</v>
      </c>
      <c r="G139" s="80">
        <f t="shared" si="21"/>
        <v>0</v>
      </c>
      <c r="H139" s="81">
        <f t="shared" si="21"/>
        <v>0</v>
      </c>
      <c r="I139" s="82">
        <f t="shared" si="21"/>
        <v>749984</v>
      </c>
      <c r="J139" s="80">
        <f t="shared" si="21"/>
        <v>759982.94499999995</v>
      </c>
      <c r="K139" s="81">
        <f t="shared" si="21"/>
        <v>803382.43149999995</v>
      </c>
    </row>
    <row r="140" spans="1:11" ht="13.15" customHeight="1">
      <c r="A140" s="131" t="s">
        <v>2338</v>
      </c>
      <c r="B140" s="59"/>
      <c r="C140" s="1951"/>
      <c r="D140" s="1951"/>
      <c r="E140" s="1952"/>
      <c r="F140" s="1953"/>
      <c r="G140" s="1951"/>
      <c r="H140" s="1954"/>
      <c r="I140" s="1953"/>
      <c r="J140" s="1951"/>
      <c r="K140" s="1954"/>
    </row>
    <row r="141" spans="1:11" ht="13.15" customHeight="1">
      <c r="A141" s="131" t="s">
        <v>2339</v>
      </c>
      <c r="B141" s="59"/>
      <c r="C141" s="900">
        <f>SUM(C142:C147)</f>
        <v>0</v>
      </c>
      <c r="D141" s="900">
        <f t="shared" ref="D141:K141" si="22">SUM(D142:D147)</f>
        <v>0</v>
      </c>
      <c r="E141" s="1244">
        <f t="shared" si="22"/>
        <v>0</v>
      </c>
      <c r="F141" s="904">
        <f t="shared" si="22"/>
        <v>0</v>
      </c>
      <c r="G141" s="900">
        <f t="shared" si="22"/>
        <v>0</v>
      </c>
      <c r="H141" s="982">
        <f t="shared" si="22"/>
        <v>0</v>
      </c>
      <c r="I141" s="904">
        <f t="shared" si="22"/>
        <v>749984</v>
      </c>
      <c r="J141" s="900">
        <f t="shared" si="22"/>
        <v>759982.94499999995</v>
      </c>
      <c r="K141" s="982">
        <f t="shared" si="22"/>
        <v>803382.43149999995</v>
      </c>
    </row>
    <row r="142" spans="1:11" ht="13.15" customHeight="1">
      <c r="A142" s="1120" t="s">
        <v>2341</v>
      </c>
      <c r="B142" s="59"/>
      <c r="C142" s="1951"/>
      <c r="D142" s="1951"/>
      <c r="E142" s="1952"/>
      <c r="F142" s="1953"/>
      <c r="G142" s="1951"/>
      <c r="H142" s="1954"/>
      <c r="I142" s="1953"/>
      <c r="J142" s="1951"/>
      <c r="K142" s="1954"/>
    </row>
    <row r="143" spans="1:11" ht="13.15" customHeight="1">
      <c r="A143" s="1120" t="s">
        <v>2342</v>
      </c>
      <c r="B143" s="59"/>
      <c r="C143" s="1951"/>
      <c r="D143" s="1951"/>
      <c r="E143" s="1952"/>
      <c r="F143" s="1953"/>
      <c r="G143" s="1951"/>
      <c r="H143" s="1954"/>
      <c r="I143" s="1953"/>
      <c r="J143" s="1951"/>
      <c r="K143" s="1954"/>
    </row>
    <row r="144" spans="1:11" ht="13.15" customHeight="1">
      <c r="A144" s="1120" t="s">
        <v>2343</v>
      </c>
      <c r="B144" s="59"/>
      <c r="C144" s="1951"/>
      <c r="D144" s="1951"/>
      <c r="E144" s="1952"/>
      <c r="F144" s="1953"/>
      <c r="G144" s="1951"/>
      <c r="H144" s="1954"/>
      <c r="I144" s="1953"/>
      <c r="J144" s="1951"/>
      <c r="K144" s="1954"/>
    </row>
    <row r="145" spans="1:11" ht="13.15" customHeight="1">
      <c r="A145" s="1120" t="s">
        <v>2344</v>
      </c>
      <c r="B145" s="59"/>
      <c r="C145" s="1951"/>
      <c r="D145" s="1951"/>
      <c r="E145" s="1952"/>
      <c r="F145" s="1953"/>
      <c r="G145" s="1951"/>
      <c r="H145" s="1954"/>
      <c r="I145" s="1953">
        <v>749984</v>
      </c>
      <c r="J145" s="1951">
        <v>759982.94499999995</v>
      </c>
      <c r="K145" s="1954">
        <v>803382.43149999995</v>
      </c>
    </row>
    <row r="146" spans="1:11" ht="13.15" customHeight="1">
      <c r="A146" s="1120" t="s">
        <v>2345</v>
      </c>
      <c r="B146" s="59"/>
      <c r="C146" s="1951"/>
      <c r="D146" s="1951"/>
      <c r="E146" s="1952"/>
      <c r="F146" s="1953"/>
      <c r="G146" s="1951"/>
      <c r="H146" s="1954"/>
      <c r="I146" s="1953"/>
      <c r="J146" s="1951"/>
      <c r="K146" s="1954"/>
    </row>
    <row r="147" spans="1:11" ht="13.15" customHeight="1">
      <c r="A147" s="1120" t="s">
        <v>2346</v>
      </c>
      <c r="B147" s="59"/>
      <c r="C147" s="1951"/>
      <c r="D147" s="1951"/>
      <c r="E147" s="1952"/>
      <c r="F147" s="1953"/>
      <c r="G147" s="1951"/>
      <c r="H147" s="1954"/>
      <c r="I147" s="1953"/>
      <c r="J147" s="1951"/>
      <c r="K147" s="1954"/>
    </row>
    <row r="148" spans="1:11" ht="4.9000000000000004" customHeight="1">
      <c r="A148" s="148"/>
      <c r="B148" s="59"/>
      <c r="C148" s="95"/>
      <c r="D148" s="95"/>
      <c r="E148" s="94"/>
      <c r="F148" s="97"/>
      <c r="G148" s="95"/>
      <c r="H148" s="96"/>
      <c r="I148" s="97"/>
      <c r="J148" s="95"/>
      <c r="K148" s="96"/>
    </row>
    <row r="149" spans="1:11" ht="13.15" customHeight="1">
      <c r="A149" s="126" t="s">
        <v>2347</v>
      </c>
      <c r="B149" s="59"/>
      <c r="C149" s="80">
        <f t="shared" ref="C149:K149" si="23">SUM(C150:C150)</f>
        <v>1050296</v>
      </c>
      <c r="D149" s="80">
        <f t="shared" si="23"/>
        <v>0</v>
      </c>
      <c r="E149" s="79">
        <f t="shared" si="23"/>
        <v>1266645</v>
      </c>
      <c r="F149" s="82">
        <f t="shared" si="23"/>
        <v>4600471</v>
      </c>
      <c r="G149" s="80">
        <f t="shared" si="23"/>
        <v>4459365</v>
      </c>
      <c r="H149" s="81">
        <f t="shared" si="23"/>
        <v>4459365</v>
      </c>
      <c r="I149" s="82">
        <f t="shared" si="23"/>
        <v>881013.14</v>
      </c>
      <c r="J149" s="80">
        <f t="shared" si="23"/>
        <v>907443.54399999999</v>
      </c>
      <c r="K149" s="81">
        <f t="shared" si="23"/>
        <v>943745</v>
      </c>
    </row>
    <row r="150" spans="1:11" ht="13.15" customHeight="1">
      <c r="A150" s="127" t="s">
        <v>2347</v>
      </c>
      <c r="B150" s="59"/>
      <c r="C150" s="1951">
        <v>1050296</v>
      </c>
      <c r="D150" s="1951">
        <v>0</v>
      </c>
      <c r="E150" s="1952">
        <v>1266645</v>
      </c>
      <c r="F150" s="1953">
        <v>4600471</v>
      </c>
      <c r="G150" s="1951">
        <v>4459365</v>
      </c>
      <c r="H150" s="1954">
        <v>4459365</v>
      </c>
      <c r="I150" s="1953">
        <v>881013.14</v>
      </c>
      <c r="J150" s="1951">
        <v>907443.54399999999</v>
      </c>
      <c r="K150" s="1954">
        <v>943745</v>
      </c>
    </row>
    <row r="151" spans="1:11" ht="4.9000000000000004" customHeight="1">
      <c r="A151" s="148"/>
      <c r="B151" s="59"/>
      <c r="C151" s="80"/>
      <c r="D151" s="80"/>
      <c r="E151" s="79"/>
      <c r="F151" s="82"/>
      <c r="G151" s="80"/>
      <c r="H151" s="81"/>
      <c r="I151" s="82"/>
      <c r="J151" s="80"/>
      <c r="K151" s="81"/>
    </row>
    <row r="152" spans="1:11" ht="13.15" customHeight="1">
      <c r="A152" s="126" t="s">
        <v>2348</v>
      </c>
      <c r="B152" s="59"/>
      <c r="C152" s="80">
        <f t="shared" ref="C152:K152" si="24">SUM(C153:C153)</f>
        <v>6205833</v>
      </c>
      <c r="D152" s="80">
        <f t="shared" si="24"/>
        <v>0</v>
      </c>
      <c r="E152" s="79">
        <f t="shared" si="24"/>
        <v>2532358</v>
      </c>
      <c r="F152" s="82">
        <f t="shared" si="24"/>
        <v>1326994</v>
      </c>
      <c r="G152" s="80">
        <f t="shared" si="24"/>
        <v>1286293</v>
      </c>
      <c r="H152" s="81">
        <f t="shared" si="24"/>
        <v>1286293</v>
      </c>
      <c r="I152" s="82">
        <f t="shared" si="24"/>
        <v>1671100</v>
      </c>
      <c r="J152" s="80">
        <f t="shared" si="24"/>
        <v>1743197</v>
      </c>
      <c r="K152" s="81">
        <f t="shared" si="24"/>
        <v>1802234</v>
      </c>
    </row>
    <row r="153" spans="1:11" ht="13.15" customHeight="1">
      <c r="A153" s="127" t="s">
        <v>2348</v>
      </c>
      <c r="B153" s="59"/>
      <c r="C153" s="1951">
        <v>6205833</v>
      </c>
      <c r="D153" s="1951">
        <v>0</v>
      </c>
      <c r="E153" s="1952">
        <v>2532358</v>
      </c>
      <c r="F153" s="1953">
        <v>1326994</v>
      </c>
      <c r="G153" s="1951">
        <v>1286293</v>
      </c>
      <c r="H153" s="1954">
        <v>1286293</v>
      </c>
      <c r="I153" s="1953">
        <f>1583545+87555</f>
        <v>1671100</v>
      </c>
      <c r="J153" s="1951">
        <f>1646887+96310</f>
        <v>1743197</v>
      </c>
      <c r="K153" s="1954">
        <f>1696293+105941</f>
        <v>1802234</v>
      </c>
    </row>
    <row r="154" spans="1:11" ht="4.9000000000000004" customHeight="1">
      <c r="A154" s="148"/>
      <c r="B154" s="59"/>
      <c r="C154" s="80"/>
      <c r="D154" s="80"/>
      <c r="E154" s="79"/>
      <c r="F154" s="82"/>
      <c r="G154" s="80"/>
      <c r="H154" s="81"/>
      <c r="I154" s="82"/>
      <c r="J154" s="80"/>
      <c r="K154" s="81"/>
    </row>
    <row r="155" spans="1:11" ht="13.15" customHeight="1">
      <c r="A155" s="126" t="s">
        <v>2349</v>
      </c>
      <c r="B155" s="59"/>
      <c r="C155" s="80">
        <f t="shared" ref="C155:K155" si="25">SUM(C156:C156)</f>
        <v>0</v>
      </c>
      <c r="D155" s="80">
        <f t="shared" si="25"/>
        <v>0</v>
      </c>
      <c r="E155" s="79">
        <f t="shared" si="25"/>
        <v>0</v>
      </c>
      <c r="F155" s="82">
        <f t="shared" si="25"/>
        <v>8240755</v>
      </c>
      <c r="G155" s="80">
        <f t="shared" si="25"/>
        <v>7990541</v>
      </c>
      <c r="H155" s="81">
        <f t="shared" si="25"/>
        <v>7990541</v>
      </c>
      <c r="I155" s="82">
        <f t="shared" si="25"/>
        <v>1024697</v>
      </c>
      <c r="J155" s="80">
        <f t="shared" si="25"/>
        <v>1104049</v>
      </c>
      <c r="K155" s="81">
        <f t="shared" si="25"/>
        <v>1148211</v>
      </c>
    </row>
    <row r="156" spans="1:11" ht="13.15" customHeight="1">
      <c r="A156" s="127" t="s">
        <v>2349</v>
      </c>
      <c r="B156" s="59"/>
      <c r="C156" s="1951"/>
      <c r="D156" s="1951"/>
      <c r="E156" s="1952"/>
      <c r="F156" s="1953">
        <v>8240755</v>
      </c>
      <c r="G156" s="1951">
        <v>7990541</v>
      </c>
      <c r="H156" s="1954">
        <v>7990541</v>
      </c>
      <c r="I156" s="1953">
        <v>1024697</v>
      </c>
      <c r="J156" s="1951">
        <v>1104049</v>
      </c>
      <c r="K156" s="1954">
        <v>1148211</v>
      </c>
    </row>
    <row r="157" spans="1:11" ht="4.9000000000000004" customHeight="1">
      <c r="A157" s="148"/>
      <c r="B157" s="59"/>
      <c r="C157" s="80"/>
      <c r="D157" s="80"/>
      <c r="E157" s="79"/>
      <c r="F157" s="82"/>
      <c r="G157" s="80"/>
      <c r="H157" s="81"/>
      <c r="I157" s="82">
        <v>1065684</v>
      </c>
      <c r="J157" s="80"/>
      <c r="K157" s="81"/>
    </row>
    <row r="158" spans="1:11" ht="13.15" customHeight="1">
      <c r="A158" s="126" t="s">
        <v>2350</v>
      </c>
      <c r="B158" s="59"/>
      <c r="C158" s="80">
        <f t="shared" ref="C158:K158" si="26">SUM(C159:C159)</f>
        <v>117197823</v>
      </c>
      <c r="D158" s="80">
        <f t="shared" si="26"/>
        <v>129496184</v>
      </c>
      <c r="E158" s="79">
        <f t="shared" si="26"/>
        <v>113703578</v>
      </c>
      <c r="F158" s="82">
        <f t="shared" si="26"/>
        <v>116753771</v>
      </c>
      <c r="G158" s="80">
        <f t="shared" si="26"/>
        <v>113172715</v>
      </c>
      <c r="H158" s="81">
        <f t="shared" si="26"/>
        <v>113089715</v>
      </c>
      <c r="I158" s="82">
        <f t="shared" si="26"/>
        <v>4799925.7239999902</v>
      </c>
      <c r="J158" s="80">
        <f t="shared" si="26"/>
        <v>1174606.0005000101</v>
      </c>
      <c r="K158" s="81">
        <f t="shared" si="26"/>
        <v>1174606.0005000101</v>
      </c>
    </row>
    <row r="159" spans="1:11" ht="13.15" customHeight="1">
      <c r="A159" s="127" t="s">
        <v>2350</v>
      </c>
      <c r="B159" s="59"/>
      <c r="C159" s="1951">
        <v>117197823</v>
      </c>
      <c r="D159" s="1951">
        <v>129496184</v>
      </c>
      <c r="E159" s="1952">
        <v>113703578</v>
      </c>
      <c r="F159" s="1953">
        <v>116753771</v>
      </c>
      <c r="G159" s="1951">
        <v>113172715</v>
      </c>
      <c r="H159" s="1954">
        <f>113172715-83000</f>
        <v>113089715</v>
      </c>
      <c r="I159" s="1953">
        <v>4799925.7239999902</v>
      </c>
      <c r="J159" s="1951">
        <v>1174606.0005000101</v>
      </c>
      <c r="K159" s="1954">
        <v>1174606.0005000101</v>
      </c>
    </row>
    <row r="160" spans="1:11" ht="4.9000000000000004" customHeight="1">
      <c r="A160" s="148"/>
      <c r="B160" s="59"/>
      <c r="C160" s="80"/>
      <c r="D160" s="80"/>
      <c r="E160" s="79"/>
      <c r="F160" s="82"/>
      <c r="G160" s="80"/>
      <c r="H160" s="81"/>
      <c r="I160" s="82"/>
      <c r="J160" s="80"/>
      <c r="K160" s="81"/>
    </row>
    <row r="161" spans="1:12" ht="13.15" customHeight="1">
      <c r="A161" s="126" t="s">
        <v>2485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c r="A162" s="127" t="s">
        <v>2485</v>
      </c>
      <c r="B162" s="59"/>
      <c r="C162" s="1951"/>
      <c r="D162" s="1951"/>
      <c r="E162" s="1952"/>
      <c r="F162" s="1953"/>
      <c r="G162" s="1951"/>
      <c r="H162" s="1954"/>
      <c r="I162" s="1953"/>
      <c r="J162" s="1951"/>
      <c r="K162" s="1954"/>
    </row>
    <row r="163" spans="1:12" ht="4.9000000000000004" customHeight="1">
      <c r="A163" s="148"/>
      <c r="B163" s="59"/>
      <c r="C163" s="80"/>
      <c r="D163" s="80"/>
      <c r="E163" s="79"/>
      <c r="F163" s="82"/>
      <c r="G163" s="80"/>
      <c r="H163" s="81"/>
      <c r="I163" s="82"/>
      <c r="J163" s="80"/>
      <c r="K163" s="81"/>
    </row>
    <row r="164" spans="1:12" ht="13.15" customHeight="1">
      <c r="A164" s="126" t="s">
        <v>2351</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c r="A165" s="127" t="s">
        <v>2351</v>
      </c>
      <c r="B165" s="59"/>
      <c r="C165" s="1951"/>
      <c r="D165" s="1951"/>
      <c r="E165" s="1952"/>
      <c r="F165" s="1953"/>
      <c r="G165" s="1951"/>
      <c r="H165" s="1954"/>
      <c r="I165" s="1953"/>
      <c r="J165" s="1951"/>
      <c r="K165" s="1954"/>
    </row>
    <row r="166" spans="1:12" ht="4.9000000000000004" customHeight="1">
      <c r="A166" s="148"/>
      <c r="B166" s="59"/>
      <c r="C166" s="80"/>
      <c r="D166" s="80"/>
      <c r="E166" s="79"/>
      <c r="F166" s="82"/>
      <c r="G166" s="80"/>
      <c r="H166" s="81"/>
      <c r="I166" s="82"/>
      <c r="J166" s="80"/>
      <c r="K166" s="81"/>
    </row>
    <row r="167" spans="1:12" ht="13.15" customHeight="1">
      <c r="A167" s="155" t="s">
        <v>1796</v>
      </c>
      <c r="B167" s="102">
        <v>1</v>
      </c>
      <c r="C167" s="107">
        <f>C6+C74+C103+C110+C118+C136+C139+C149+C152+C155+C158+C161+C164</f>
        <v>130212940</v>
      </c>
      <c r="D167" s="107">
        <f t="shared" ref="D167:K167" si="29">D6+D74+D103+D110+D118+D136+D139+D149+D152+D155+D158+D161+D164</f>
        <v>129496184</v>
      </c>
      <c r="E167" s="108">
        <f t="shared" si="29"/>
        <v>127793108</v>
      </c>
      <c r="F167" s="106">
        <f t="shared" si="29"/>
        <v>134196513</v>
      </c>
      <c r="G167" s="107">
        <f t="shared" si="29"/>
        <v>130083000</v>
      </c>
      <c r="H167" s="105">
        <f t="shared" si="29"/>
        <v>130000000</v>
      </c>
      <c r="I167" s="106">
        <f t="shared" si="29"/>
        <v>132970807</v>
      </c>
      <c r="J167" s="107">
        <f t="shared" si="29"/>
        <v>130548742</v>
      </c>
      <c r="K167" s="105">
        <f t="shared" si="29"/>
        <v>136675059.75260001</v>
      </c>
    </row>
    <row r="169" spans="1:12" s="576" customFormat="1">
      <c r="A169" s="1092" t="str">
        <f>head27a</f>
        <v>References</v>
      </c>
      <c r="B169" s="874"/>
      <c r="C169" s="878"/>
      <c r="D169" s="878"/>
      <c r="E169" s="878"/>
      <c r="F169" s="878"/>
      <c r="G169" s="878"/>
      <c r="H169" s="878"/>
      <c r="I169" s="878"/>
      <c r="J169" s="878"/>
      <c r="K169" s="878"/>
      <c r="L169" s="1362"/>
    </row>
    <row r="170" spans="1:12" s="576" customFormat="1" ht="11.25" customHeight="1">
      <c r="A170" s="1093" t="s">
        <v>1958</v>
      </c>
      <c r="B170" s="874"/>
      <c r="C170" s="877"/>
      <c r="D170" s="877"/>
      <c r="E170" s="878"/>
      <c r="F170" s="878"/>
      <c r="G170" s="878"/>
      <c r="H170" s="878"/>
      <c r="I170" s="878"/>
      <c r="J170" s="878"/>
      <c r="K170" s="878"/>
    </row>
    <row r="171" spans="1:12" s="576" customFormat="1" ht="11.25" customHeight="1">
      <c r="A171" s="896"/>
      <c r="B171" s="874"/>
      <c r="C171" s="877"/>
      <c r="D171" s="877"/>
      <c r="E171" s="878"/>
      <c r="F171" s="878"/>
      <c r="G171" s="878"/>
      <c r="H171" s="878"/>
      <c r="I171" s="878"/>
      <c r="J171" s="878"/>
      <c r="K171" s="878"/>
    </row>
    <row r="172" spans="1:12" ht="11.25" customHeight="1">
      <c r="A172" s="123"/>
      <c r="B172" s="113"/>
      <c r="C172" s="117"/>
      <c r="D172" s="117"/>
      <c r="E172" s="118"/>
      <c r="F172" s="118"/>
      <c r="G172" s="118"/>
      <c r="H172" s="118"/>
      <c r="I172" s="118"/>
      <c r="J172" s="118"/>
      <c r="K172" s="118"/>
    </row>
    <row r="173" spans="1:12" ht="11.25" customHeight="1">
      <c r="A173" s="162" t="s">
        <v>475</v>
      </c>
      <c r="B173" s="120"/>
      <c r="C173" s="132">
        <f>C$167-'A4-FinPerf RE'!C$27</f>
        <v>4.0000006556510925E-2</v>
      </c>
      <c r="D173" s="132"/>
      <c r="E173" s="132">
        <f>E$167-'A4-FinPerf RE'!E$27</f>
        <v>-0.62000000476837158</v>
      </c>
      <c r="F173" s="132">
        <f>F$167-'A4-FinPerf RE'!F$27</f>
        <v>0</v>
      </c>
      <c r="G173" s="132">
        <f>G$167-'A4-FinPerf RE'!G$27</f>
        <v>0</v>
      </c>
      <c r="H173" s="132">
        <f>H$167-'A4-FinPerf RE'!H$27</f>
        <v>0</v>
      </c>
      <c r="I173" s="132">
        <f>I$167-'A4-FinPerf RE'!J$27</f>
        <v>0</v>
      </c>
      <c r="J173" s="132">
        <f>J$167-'A4-FinPerf RE'!K$27</f>
        <v>0</v>
      </c>
      <c r="K173" s="132">
        <f>K$167-'A4-FinPerf RE'!L$27</f>
        <v>-463.0673999786377</v>
      </c>
    </row>
  </sheetData>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60" activePane="bottomRight" state="frozen"/>
      <selection pane="topRight"/>
      <selection pane="bottomLeft"/>
      <selection pane="bottomRight" activeCell="E162" sqref="E162"/>
    </sheetView>
  </sheetViews>
  <sheetFormatPr defaultColWidth="9.140625" defaultRowHeight="12.75"/>
  <cols>
    <col min="1" max="1" width="34.7109375" style="26" customWidth="1"/>
    <col min="2" max="2" width="3" style="124" customWidth="1"/>
    <col min="3" max="8" width="9.28515625" style="26" customWidth="1"/>
    <col min="9" max="9" width="12.85546875" style="26" customWidth="1"/>
    <col min="10"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c r="A1" s="24" t="str">
        <f>muni&amp;" - "&amp;TableA34e</f>
        <v>LIM333 Greater Tzaneen - Supporting Table SA34e Consolidated capital expenditure on the upgrading of existing assets by asset class</v>
      </c>
      <c r="B1" s="24"/>
      <c r="C1" s="24"/>
      <c r="D1" s="24"/>
      <c r="E1" s="24"/>
      <c r="F1" s="24"/>
      <c r="G1" s="24"/>
      <c r="H1" s="24"/>
      <c r="I1" s="24"/>
      <c r="J1" s="24"/>
      <c r="K1" s="24"/>
    </row>
    <row r="2" spans="1:12" ht="28.5" customHeight="1">
      <c r="A2" s="841" t="str">
        <f>desc</f>
        <v>Description</v>
      </c>
      <c r="B2" s="288" t="str">
        <f>head27</f>
        <v>Ref</v>
      </c>
      <c r="C2" s="27" t="str">
        <f>head1b</f>
        <v>2016/17</v>
      </c>
      <c r="D2" s="618" t="str">
        <f>head1A</f>
        <v>2017/18</v>
      </c>
      <c r="E2" s="22" t="str">
        <f>Head1</f>
        <v>2018/19</v>
      </c>
      <c r="F2" s="2842" t="str">
        <f>Head2</f>
        <v>Current Year 2019/20</v>
      </c>
      <c r="G2" s="2843"/>
      <c r="H2" s="2847"/>
      <c r="I2" s="2839" t="str">
        <f>Head3</f>
        <v>2020/21 Medium Term Revenue &amp; Expenditure Framework</v>
      </c>
      <c r="J2" s="2840"/>
      <c r="K2" s="2841"/>
    </row>
    <row r="3" spans="1:12" ht="25.5">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c r="A4" s="723" t="s">
        <v>2363</v>
      </c>
      <c r="B4" s="612"/>
      <c r="C4" s="932"/>
      <c r="D4" s="184"/>
      <c r="E4" s="185"/>
      <c r="F4" s="186"/>
      <c r="G4" s="184"/>
      <c r="H4" s="187"/>
      <c r="I4" s="186"/>
      <c r="J4" s="184"/>
      <c r="K4" s="187"/>
    </row>
    <row r="5" spans="1:12" ht="4.9000000000000004" customHeight="1">
      <c r="A5" s="126"/>
      <c r="B5" s="59"/>
      <c r="C5" s="188"/>
      <c r="D5" s="188"/>
      <c r="E5" s="189"/>
      <c r="F5" s="190"/>
      <c r="G5" s="188"/>
      <c r="H5" s="191"/>
      <c r="I5" s="190"/>
      <c r="J5" s="188"/>
      <c r="K5" s="191"/>
    </row>
    <row r="6" spans="1:12" ht="11.25" customHeight="1">
      <c r="A6" s="126" t="s">
        <v>845</v>
      </c>
      <c r="B6" s="59"/>
      <c r="C6" s="264">
        <f>C7+C12+C16+C26+C37+C44+C52+C62+C68</f>
        <v>0</v>
      </c>
      <c r="D6" s="264">
        <f t="shared" ref="D6:K6" si="0">D7+D12+D16+D26+D37+D44+D52+D62+D68</f>
        <v>2156252</v>
      </c>
      <c r="E6" s="266">
        <f t="shared" si="0"/>
        <v>17531610</v>
      </c>
      <c r="F6" s="265">
        <f t="shared" si="0"/>
        <v>33159466</v>
      </c>
      <c r="G6" s="264">
        <f t="shared" si="0"/>
        <v>54674952</v>
      </c>
      <c r="H6" s="218">
        <f t="shared" si="0"/>
        <v>54674952</v>
      </c>
      <c r="I6" s="265">
        <f t="shared" si="0"/>
        <v>106338050</v>
      </c>
      <c r="J6" s="264">
        <f t="shared" si="0"/>
        <v>96829700</v>
      </c>
      <c r="K6" s="218">
        <f t="shared" si="0"/>
        <v>102603794</v>
      </c>
      <c r="L6" s="1360"/>
    </row>
    <row r="7" spans="1:12" s="1340" customFormat="1" ht="13.5">
      <c r="A7" s="127" t="s">
        <v>2245</v>
      </c>
      <c r="B7" s="59"/>
      <c r="C7" s="943">
        <f t="shared" ref="C7:K7" si="1">SUM(C8:C11)</f>
        <v>0</v>
      </c>
      <c r="D7" s="943">
        <f t="shared" si="1"/>
        <v>0</v>
      </c>
      <c r="E7" s="1243">
        <f t="shared" si="1"/>
        <v>0</v>
      </c>
      <c r="F7" s="944">
        <f t="shared" si="1"/>
        <v>32859464</v>
      </c>
      <c r="G7" s="943">
        <f t="shared" si="1"/>
        <v>44521032</v>
      </c>
      <c r="H7" s="980">
        <f t="shared" si="1"/>
        <v>44521032</v>
      </c>
      <c r="I7" s="944">
        <f t="shared" si="1"/>
        <v>88938034</v>
      </c>
      <c r="J7" s="943">
        <f t="shared" si="1"/>
        <v>93329700</v>
      </c>
      <c r="K7" s="980">
        <f t="shared" si="1"/>
        <v>102603794</v>
      </c>
      <c r="L7" s="240"/>
    </row>
    <row r="8" spans="1:12" s="1340" customFormat="1" ht="13.5">
      <c r="A8" s="1120" t="s">
        <v>632</v>
      </c>
      <c r="B8" s="59"/>
      <c r="C8" s="1951"/>
      <c r="D8" s="1951"/>
      <c r="E8" s="1952"/>
      <c r="F8" s="1953">
        <v>32859464</v>
      </c>
      <c r="G8" s="1951">
        <v>44521032</v>
      </c>
      <c r="H8" s="1954">
        <v>44521032</v>
      </c>
      <c r="I8" s="1953">
        <v>87558034</v>
      </c>
      <c r="J8" s="1951">
        <v>93329700</v>
      </c>
      <c r="K8" s="1954">
        <f>102603802-8</f>
        <v>102603794</v>
      </c>
      <c r="L8" s="1360"/>
    </row>
    <row r="9" spans="1:12" s="1340" customFormat="1" ht="13.5">
      <c r="A9" s="1120" t="s">
        <v>2246</v>
      </c>
      <c r="B9" s="59"/>
      <c r="C9" s="1951"/>
      <c r="D9" s="1951"/>
      <c r="E9" s="1952"/>
      <c r="F9" s="1953"/>
      <c r="G9" s="1951"/>
      <c r="H9" s="1954"/>
      <c r="I9" s="1953">
        <v>1380000</v>
      </c>
      <c r="J9" s="1951">
        <v>0</v>
      </c>
      <c r="K9" s="1954">
        <v>0</v>
      </c>
      <c r="L9" s="1361"/>
    </row>
    <row r="10" spans="1:12" s="1340" customFormat="1" ht="13.5">
      <c r="A10" s="1120" t="s">
        <v>2247</v>
      </c>
      <c r="B10" s="59"/>
      <c r="C10" s="1951"/>
      <c r="D10" s="1951"/>
      <c r="E10" s="1952"/>
      <c r="F10" s="1953"/>
      <c r="G10" s="1951"/>
      <c r="H10" s="1954"/>
      <c r="I10" s="1953">
        <v>0</v>
      </c>
      <c r="J10" s="1951">
        <v>0</v>
      </c>
      <c r="K10" s="1954">
        <v>0</v>
      </c>
      <c r="L10" s="1360"/>
    </row>
    <row r="11" spans="1:12" s="1340" customFormat="1" ht="13.5">
      <c r="A11" s="1120" t="s">
        <v>2248</v>
      </c>
      <c r="B11" s="59"/>
      <c r="C11" s="1951"/>
      <c r="D11" s="1951"/>
      <c r="E11" s="1952"/>
      <c r="F11" s="1953"/>
      <c r="G11" s="1951"/>
      <c r="H11" s="1954"/>
      <c r="I11" s="1953">
        <v>0</v>
      </c>
      <c r="J11" s="1951">
        <v>0</v>
      </c>
      <c r="K11" s="1954">
        <v>0</v>
      </c>
      <c r="L11" s="1361"/>
    </row>
    <row r="12" spans="1:12" s="1340" customFormat="1" ht="13.5">
      <c r="A12" s="127" t="s">
        <v>2249</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3500000</v>
      </c>
      <c r="K12" s="982">
        <f t="shared" si="2"/>
        <v>0</v>
      </c>
      <c r="L12" s="1361"/>
    </row>
    <row r="13" spans="1:12" s="1340" customFormat="1" ht="13.5">
      <c r="A13" s="1120" t="s">
        <v>2250</v>
      </c>
      <c r="B13" s="59"/>
      <c r="C13" s="1951"/>
      <c r="D13" s="1951"/>
      <c r="E13" s="1952"/>
      <c r="F13" s="1953"/>
      <c r="G13" s="1951"/>
      <c r="H13" s="1954"/>
      <c r="I13" s="1953">
        <v>0</v>
      </c>
      <c r="J13" s="1951">
        <v>3500000</v>
      </c>
      <c r="K13" s="1954">
        <v>0</v>
      </c>
      <c r="L13" s="1361"/>
    </row>
    <row r="14" spans="1:12" s="1340" customFormat="1" ht="13.5">
      <c r="A14" s="1120" t="s">
        <v>2251</v>
      </c>
      <c r="B14" s="59"/>
      <c r="C14" s="1951"/>
      <c r="D14" s="1951"/>
      <c r="E14" s="1952"/>
      <c r="F14" s="1953"/>
      <c r="G14" s="1951"/>
      <c r="H14" s="1954"/>
      <c r="I14" s="1953">
        <v>0</v>
      </c>
      <c r="J14" s="1951">
        <v>0</v>
      </c>
      <c r="K14" s="1954">
        <v>0</v>
      </c>
      <c r="L14" s="1361"/>
    </row>
    <row r="15" spans="1:12" s="1340" customFormat="1" ht="13.5">
      <c r="A15" s="1120" t="s">
        <v>2252</v>
      </c>
      <c r="B15" s="59"/>
      <c r="C15" s="1951"/>
      <c r="D15" s="1951"/>
      <c r="E15" s="1952"/>
      <c r="F15" s="1953"/>
      <c r="G15" s="1951"/>
      <c r="H15" s="1954"/>
      <c r="I15" s="1953">
        <v>0</v>
      </c>
      <c r="J15" s="1951">
        <v>0</v>
      </c>
      <c r="K15" s="1954">
        <v>0</v>
      </c>
      <c r="L15" s="1361"/>
    </row>
    <row r="16" spans="1:12" s="1340" customFormat="1" ht="13.5">
      <c r="A16" s="127" t="s">
        <v>2294</v>
      </c>
      <c r="B16" s="59"/>
      <c r="C16" s="900">
        <f t="shared" ref="C16:K16" si="3">SUM(C17:C25)</f>
        <v>0</v>
      </c>
      <c r="D16" s="900">
        <f t="shared" si="3"/>
        <v>1330092</v>
      </c>
      <c r="E16" s="1244">
        <f t="shared" si="3"/>
        <v>17531610</v>
      </c>
      <c r="F16" s="904">
        <f t="shared" si="3"/>
        <v>300002</v>
      </c>
      <c r="G16" s="900">
        <f t="shared" si="3"/>
        <v>10153920</v>
      </c>
      <c r="H16" s="982">
        <f t="shared" si="3"/>
        <v>10153920</v>
      </c>
      <c r="I16" s="904">
        <f t="shared" si="3"/>
        <v>17400016</v>
      </c>
      <c r="J16" s="900">
        <f t="shared" si="3"/>
        <v>0</v>
      </c>
      <c r="K16" s="982">
        <f t="shared" si="3"/>
        <v>0</v>
      </c>
      <c r="L16" s="1361"/>
    </row>
    <row r="17" spans="1:12" s="1340" customFormat="1" ht="13.5">
      <c r="A17" s="1120" t="s">
        <v>2253</v>
      </c>
      <c r="B17" s="59"/>
      <c r="C17" s="1951"/>
      <c r="D17" s="1951"/>
      <c r="E17" s="1952"/>
      <c r="F17" s="1953">
        <v>0</v>
      </c>
      <c r="G17" s="1951">
        <v>0</v>
      </c>
      <c r="H17" s="1954">
        <v>0</v>
      </c>
      <c r="I17" s="1953">
        <v>0</v>
      </c>
      <c r="J17" s="1951">
        <v>0</v>
      </c>
      <c r="K17" s="1954"/>
      <c r="L17" s="1361"/>
    </row>
    <row r="18" spans="1:12" s="1340" customFormat="1" ht="13.5">
      <c r="A18" s="1120" t="s">
        <v>2254</v>
      </c>
      <c r="B18" s="59"/>
      <c r="C18" s="1951"/>
      <c r="D18" s="1951"/>
      <c r="E18" s="1952"/>
      <c r="F18" s="1953">
        <v>0</v>
      </c>
      <c r="G18" s="1951">
        <v>4000000</v>
      </c>
      <c r="H18" s="1954">
        <v>4000000</v>
      </c>
      <c r="I18" s="1953">
        <v>0</v>
      </c>
      <c r="J18" s="1951">
        <v>0</v>
      </c>
      <c r="K18" s="1954"/>
      <c r="L18" s="1361"/>
    </row>
    <row r="19" spans="1:12" s="1340" customFormat="1" ht="13.5">
      <c r="A19" s="1120" t="s">
        <v>2255</v>
      </c>
      <c r="B19" s="59"/>
      <c r="C19" s="1951"/>
      <c r="D19" s="1951"/>
      <c r="E19" s="1952"/>
      <c r="F19" s="1953">
        <v>0</v>
      </c>
      <c r="G19" s="1951">
        <v>0</v>
      </c>
      <c r="H19" s="1954">
        <v>0</v>
      </c>
      <c r="I19" s="1953">
        <v>0</v>
      </c>
      <c r="J19" s="1951">
        <v>0</v>
      </c>
      <c r="K19" s="1954"/>
      <c r="L19" s="1361"/>
    </row>
    <row r="20" spans="1:12" s="1340" customFormat="1" ht="13.5">
      <c r="A20" s="1120" t="s">
        <v>2256</v>
      </c>
      <c r="B20" s="59"/>
      <c r="C20" s="1951"/>
      <c r="D20" s="1951"/>
      <c r="E20" s="1952"/>
      <c r="F20" s="1953">
        <v>0</v>
      </c>
      <c r="G20" s="1951">
        <v>0</v>
      </c>
      <c r="H20" s="1954">
        <v>0</v>
      </c>
      <c r="I20" s="1953">
        <v>0</v>
      </c>
      <c r="J20" s="1951">
        <v>0</v>
      </c>
      <c r="K20" s="1954"/>
      <c r="L20" s="1361"/>
    </row>
    <row r="21" spans="1:12" s="1340" customFormat="1" ht="13.5">
      <c r="A21" s="1120" t="s">
        <v>2257</v>
      </c>
      <c r="B21" s="59"/>
      <c r="C21" s="1951"/>
      <c r="D21" s="1951"/>
      <c r="E21" s="1952"/>
      <c r="F21" s="1953">
        <v>300002</v>
      </c>
      <c r="G21" s="1951">
        <v>5827382</v>
      </c>
      <c r="H21" s="1954">
        <v>5827382</v>
      </c>
      <c r="I21" s="1953">
        <v>0</v>
      </c>
      <c r="J21" s="1951">
        <v>0</v>
      </c>
      <c r="K21" s="1954"/>
      <c r="L21" s="1361"/>
    </row>
    <row r="22" spans="1:12" s="1340" customFormat="1" ht="13.5">
      <c r="A22" s="1120" t="s">
        <v>2258</v>
      </c>
      <c r="B22" s="59"/>
      <c r="C22" s="1951"/>
      <c r="D22" s="1951"/>
      <c r="E22" s="1952"/>
      <c r="F22" s="1953">
        <v>0</v>
      </c>
      <c r="G22" s="1951">
        <v>0</v>
      </c>
      <c r="H22" s="1954">
        <v>0</v>
      </c>
      <c r="I22" s="1953">
        <v>0</v>
      </c>
      <c r="J22" s="1951">
        <v>0</v>
      </c>
      <c r="K22" s="1954"/>
      <c r="L22" s="1361"/>
    </row>
    <row r="23" spans="1:12" s="1340" customFormat="1" ht="13.5">
      <c r="A23" s="1120" t="s">
        <v>2259</v>
      </c>
      <c r="B23" s="59"/>
      <c r="C23" s="1951"/>
      <c r="D23" s="1951">
        <v>1330092</v>
      </c>
      <c r="E23" s="1952">
        <v>17531610</v>
      </c>
      <c r="F23" s="1953">
        <v>0</v>
      </c>
      <c r="G23" s="1951">
        <v>326538</v>
      </c>
      <c r="H23" s="1954">
        <v>326538</v>
      </c>
      <c r="I23" s="1953">
        <f>17400000+16</f>
        <v>17400016</v>
      </c>
      <c r="J23" s="1951">
        <v>0</v>
      </c>
      <c r="K23" s="1954"/>
      <c r="L23" s="1361"/>
    </row>
    <row r="24" spans="1:12" s="1340" customFormat="1" ht="13.5">
      <c r="A24" s="1120" t="s">
        <v>2260</v>
      </c>
      <c r="B24" s="59"/>
      <c r="C24" s="1951"/>
      <c r="D24" s="1951"/>
      <c r="E24" s="1952"/>
      <c r="F24" s="1953">
        <v>0</v>
      </c>
      <c r="G24" s="1951">
        <v>0</v>
      </c>
      <c r="H24" s="1954">
        <v>0</v>
      </c>
      <c r="I24" s="1953">
        <v>0</v>
      </c>
      <c r="J24" s="1951">
        <v>0</v>
      </c>
      <c r="K24" s="1954"/>
      <c r="L24" s="1361"/>
    </row>
    <row r="25" spans="1:12" s="1340" customFormat="1" ht="13.5">
      <c r="A25" s="1120" t="s">
        <v>2248</v>
      </c>
      <c r="B25" s="59"/>
      <c r="C25" s="1951"/>
      <c r="D25" s="1951"/>
      <c r="E25" s="1952"/>
      <c r="F25" s="1953"/>
      <c r="G25" s="1951"/>
      <c r="H25" s="1954"/>
      <c r="I25" s="1953">
        <v>0</v>
      </c>
      <c r="J25" s="1951">
        <v>0</v>
      </c>
      <c r="K25" s="1954"/>
      <c r="L25" s="1361"/>
    </row>
    <row r="26" spans="1:12" s="1340" customFormat="1" ht="13.5">
      <c r="A26" s="131" t="s">
        <v>2295</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1361"/>
    </row>
    <row r="27" spans="1:12" s="1340" customFormat="1" ht="13.5">
      <c r="A27" s="1120" t="s">
        <v>2261</v>
      </c>
      <c r="B27" s="59"/>
      <c r="C27" s="1951"/>
      <c r="D27" s="1951"/>
      <c r="E27" s="1952"/>
      <c r="F27" s="1953"/>
      <c r="G27" s="1951"/>
      <c r="H27" s="1954"/>
      <c r="I27" s="1953"/>
      <c r="J27" s="1951"/>
      <c r="K27" s="1954"/>
      <c r="L27" s="1361"/>
    </row>
    <row r="28" spans="1:12" s="1340" customFormat="1" ht="13.5">
      <c r="A28" s="1120" t="s">
        <v>2262</v>
      </c>
      <c r="B28" s="59"/>
      <c r="C28" s="1951"/>
      <c r="D28" s="1951"/>
      <c r="E28" s="1952"/>
      <c r="F28" s="1953"/>
      <c r="G28" s="1951"/>
      <c r="H28" s="1954"/>
      <c r="I28" s="1953"/>
      <c r="J28" s="1951"/>
      <c r="K28" s="1954"/>
      <c r="L28" s="1361"/>
    </row>
    <row r="29" spans="1:12" s="1340" customFormat="1" ht="13.5">
      <c r="A29" s="1120" t="s">
        <v>2263</v>
      </c>
      <c r="B29" s="59"/>
      <c r="C29" s="1951"/>
      <c r="D29" s="1951"/>
      <c r="E29" s="1952"/>
      <c r="F29" s="1953"/>
      <c r="G29" s="1951"/>
      <c r="H29" s="1954"/>
      <c r="I29" s="1953"/>
      <c r="J29" s="1951"/>
      <c r="K29" s="1954"/>
      <c r="L29" s="1361"/>
    </row>
    <row r="30" spans="1:12" s="1340" customFormat="1" ht="13.5">
      <c r="A30" s="1120" t="s">
        <v>2264</v>
      </c>
      <c r="B30" s="59"/>
      <c r="C30" s="1951"/>
      <c r="D30" s="1951"/>
      <c r="E30" s="1952"/>
      <c r="F30" s="1953"/>
      <c r="G30" s="1951"/>
      <c r="H30" s="1954"/>
      <c r="I30" s="1953"/>
      <c r="J30" s="1951"/>
      <c r="K30" s="1954"/>
      <c r="L30" s="1361"/>
    </row>
    <row r="31" spans="1:12" s="1340" customFormat="1" ht="13.5">
      <c r="A31" s="1120" t="s">
        <v>2265</v>
      </c>
      <c r="B31" s="59"/>
      <c r="C31" s="1951"/>
      <c r="D31" s="1951"/>
      <c r="E31" s="1952"/>
      <c r="F31" s="1953"/>
      <c r="G31" s="1951"/>
      <c r="H31" s="1954"/>
      <c r="I31" s="1953"/>
      <c r="J31" s="1951"/>
      <c r="K31" s="1954"/>
      <c r="L31" s="1361"/>
    </row>
    <row r="32" spans="1:12" s="1340" customFormat="1" ht="13.5">
      <c r="A32" s="1120" t="s">
        <v>2266</v>
      </c>
      <c r="B32" s="59"/>
      <c r="C32" s="1951"/>
      <c r="D32" s="1951"/>
      <c r="E32" s="1952"/>
      <c r="F32" s="1953"/>
      <c r="G32" s="1951"/>
      <c r="H32" s="1954"/>
      <c r="I32" s="1953"/>
      <c r="J32" s="1951"/>
      <c r="K32" s="1954"/>
      <c r="L32" s="1361"/>
    </row>
    <row r="33" spans="1:12" s="1340" customFormat="1" ht="13.5">
      <c r="A33" s="1120" t="s">
        <v>2267</v>
      </c>
      <c r="B33" s="59"/>
      <c r="C33" s="1951"/>
      <c r="D33" s="1951"/>
      <c r="E33" s="1952"/>
      <c r="F33" s="1953"/>
      <c r="G33" s="1951"/>
      <c r="H33" s="1954"/>
      <c r="I33" s="1953"/>
      <c r="J33" s="1951"/>
      <c r="K33" s="1954"/>
      <c r="L33" s="1361"/>
    </row>
    <row r="34" spans="1:12" s="1340" customFormat="1" ht="13.5">
      <c r="A34" s="1120" t="s">
        <v>2268</v>
      </c>
      <c r="B34" s="59"/>
      <c r="C34" s="1951"/>
      <c r="D34" s="1951"/>
      <c r="E34" s="1952"/>
      <c r="F34" s="1953"/>
      <c r="G34" s="1951"/>
      <c r="H34" s="1954"/>
      <c r="I34" s="1953"/>
      <c r="J34" s="1951"/>
      <c r="K34" s="1954"/>
      <c r="L34" s="1361"/>
    </row>
    <row r="35" spans="1:12" s="1340" customFormat="1" ht="13.5">
      <c r="A35" s="1120" t="s">
        <v>2269</v>
      </c>
      <c r="B35" s="59"/>
      <c r="C35" s="1951"/>
      <c r="D35" s="1951"/>
      <c r="E35" s="1952"/>
      <c r="F35" s="1953"/>
      <c r="G35" s="1951"/>
      <c r="H35" s="1954"/>
      <c r="I35" s="1953"/>
      <c r="J35" s="1951"/>
      <c r="K35" s="1954"/>
      <c r="L35" s="1361"/>
    </row>
    <row r="36" spans="1:12" s="1340" customFormat="1" ht="13.5">
      <c r="A36" s="1120" t="s">
        <v>2248</v>
      </c>
      <c r="B36" s="59"/>
      <c r="C36" s="1951"/>
      <c r="D36" s="1951"/>
      <c r="E36" s="1952"/>
      <c r="F36" s="1953"/>
      <c r="G36" s="1951"/>
      <c r="H36" s="1954"/>
      <c r="I36" s="1953"/>
      <c r="J36" s="1951"/>
      <c r="K36" s="1954"/>
      <c r="L36" s="1361"/>
    </row>
    <row r="37" spans="1:12" s="1340" customFormat="1" ht="13.5">
      <c r="A37" s="131" t="s">
        <v>2296</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row>
    <row r="38" spans="1:12" s="1340" customFormat="1" ht="13.5">
      <c r="A38" s="1120" t="s">
        <v>2270</v>
      </c>
      <c r="B38" s="59"/>
      <c r="C38" s="1951"/>
      <c r="D38" s="1951"/>
      <c r="E38" s="1952"/>
      <c r="F38" s="1953"/>
      <c r="G38" s="1951"/>
      <c r="H38" s="1954"/>
      <c r="I38" s="1953"/>
      <c r="J38" s="1951"/>
      <c r="K38" s="1954"/>
      <c r="L38" s="1361"/>
    </row>
    <row r="39" spans="1:12" s="1340" customFormat="1" ht="13.5">
      <c r="A39" s="1120" t="s">
        <v>25</v>
      </c>
      <c r="B39" s="59"/>
      <c r="C39" s="1951"/>
      <c r="D39" s="1951"/>
      <c r="E39" s="1952"/>
      <c r="F39" s="1953"/>
      <c r="G39" s="1951"/>
      <c r="H39" s="1954"/>
      <c r="I39" s="1953"/>
      <c r="J39" s="1951"/>
      <c r="K39" s="1954"/>
      <c r="L39" s="1361"/>
    </row>
    <row r="40" spans="1:12" s="1340" customFormat="1" ht="13.5">
      <c r="A40" s="1120" t="s">
        <v>2271</v>
      </c>
      <c r="B40" s="59"/>
      <c r="C40" s="1951"/>
      <c r="D40" s="1951"/>
      <c r="E40" s="1952"/>
      <c r="F40" s="1953"/>
      <c r="G40" s="1951"/>
      <c r="H40" s="1954"/>
      <c r="I40" s="1953"/>
      <c r="J40" s="1951"/>
      <c r="K40" s="1954"/>
      <c r="L40" s="1361"/>
    </row>
    <row r="41" spans="1:12" s="1340" customFormat="1" ht="13.5">
      <c r="A41" s="1120" t="s">
        <v>2272</v>
      </c>
      <c r="B41" s="59"/>
      <c r="C41" s="1951"/>
      <c r="D41" s="1951"/>
      <c r="E41" s="1952"/>
      <c r="F41" s="1953"/>
      <c r="G41" s="1951"/>
      <c r="H41" s="1954"/>
      <c r="I41" s="1953"/>
      <c r="J41" s="1951"/>
      <c r="K41" s="1954"/>
      <c r="L41" s="1361"/>
    </row>
    <row r="42" spans="1:12" s="1340" customFormat="1" ht="13.5">
      <c r="A42" s="1120" t="s">
        <v>2273</v>
      </c>
      <c r="B42" s="59"/>
      <c r="C42" s="1951"/>
      <c r="D42" s="1951"/>
      <c r="E42" s="1952"/>
      <c r="F42" s="1953"/>
      <c r="G42" s="1951"/>
      <c r="H42" s="1954"/>
      <c r="I42" s="1953"/>
      <c r="J42" s="1951"/>
      <c r="K42" s="1954"/>
      <c r="L42" s="1361"/>
    </row>
    <row r="43" spans="1:12" s="1340" customFormat="1" ht="13.5">
      <c r="A43" s="1120" t="s">
        <v>2248</v>
      </c>
      <c r="B43" s="59"/>
      <c r="C43" s="1951"/>
      <c r="D43" s="1951"/>
      <c r="E43" s="1952"/>
      <c r="F43" s="1953"/>
      <c r="G43" s="1951"/>
      <c r="H43" s="1954"/>
      <c r="I43" s="1953"/>
      <c r="J43" s="1951"/>
      <c r="K43" s="1954"/>
      <c r="L43" s="1361"/>
    </row>
    <row r="44" spans="1:12" s="1340" customFormat="1" ht="13.5">
      <c r="A44" s="131" t="s">
        <v>2274</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1361"/>
    </row>
    <row r="45" spans="1:12" s="1340" customFormat="1" ht="13.5">
      <c r="A45" s="1120" t="s">
        <v>2275</v>
      </c>
      <c r="B45" s="59"/>
      <c r="C45" s="1951"/>
      <c r="D45" s="1951"/>
      <c r="E45" s="1952"/>
      <c r="F45" s="1953"/>
      <c r="G45" s="1951"/>
      <c r="H45" s="1954"/>
      <c r="I45" s="1953"/>
      <c r="J45" s="1951"/>
      <c r="K45" s="1954"/>
      <c r="L45" s="1361"/>
    </row>
    <row r="46" spans="1:12" s="1340" customFormat="1" ht="13.5">
      <c r="A46" s="1120" t="s">
        <v>2276</v>
      </c>
      <c r="B46" s="59"/>
      <c r="C46" s="1951"/>
      <c r="D46" s="1951"/>
      <c r="E46" s="1952"/>
      <c r="F46" s="1953"/>
      <c r="G46" s="1951"/>
      <c r="H46" s="1954"/>
      <c r="I46" s="1953"/>
      <c r="J46" s="1951"/>
      <c r="K46" s="1954"/>
      <c r="L46" s="1361"/>
    </row>
    <row r="47" spans="1:12" s="1340" customFormat="1" ht="13.5">
      <c r="A47" s="1120" t="s">
        <v>2277</v>
      </c>
      <c r="B47" s="59"/>
      <c r="C47" s="1951"/>
      <c r="D47" s="1951"/>
      <c r="E47" s="1952"/>
      <c r="F47" s="1953"/>
      <c r="G47" s="1951"/>
      <c r="H47" s="1954"/>
      <c r="I47" s="1953"/>
      <c r="J47" s="1951"/>
      <c r="K47" s="1954"/>
      <c r="L47" s="1361"/>
    </row>
    <row r="48" spans="1:12" s="1340" customFormat="1" ht="13.5">
      <c r="A48" s="1120" t="s">
        <v>2278</v>
      </c>
      <c r="B48" s="59"/>
      <c r="C48" s="1951"/>
      <c r="D48" s="1951"/>
      <c r="E48" s="1952"/>
      <c r="F48" s="1953"/>
      <c r="G48" s="1951"/>
      <c r="H48" s="1954"/>
      <c r="I48" s="1953"/>
      <c r="J48" s="1951"/>
      <c r="K48" s="1954"/>
      <c r="L48" s="1361"/>
    </row>
    <row r="49" spans="1:12" s="1340" customFormat="1" ht="13.5">
      <c r="A49" s="1120" t="s">
        <v>2279</v>
      </c>
      <c r="B49" s="59"/>
      <c r="C49" s="1951"/>
      <c r="D49" s="1951"/>
      <c r="E49" s="1952"/>
      <c r="F49" s="1953"/>
      <c r="G49" s="1951"/>
      <c r="H49" s="1954"/>
      <c r="I49" s="1953"/>
      <c r="J49" s="1951"/>
      <c r="K49" s="1954"/>
      <c r="L49" s="1361"/>
    </row>
    <row r="50" spans="1:12" s="1340" customFormat="1" ht="13.5">
      <c r="A50" s="1120" t="s">
        <v>2280</v>
      </c>
      <c r="B50" s="59"/>
      <c r="C50" s="1951"/>
      <c r="D50" s="1951"/>
      <c r="E50" s="1952"/>
      <c r="F50" s="1953"/>
      <c r="G50" s="1951"/>
      <c r="H50" s="1954"/>
      <c r="I50" s="1953"/>
      <c r="J50" s="1951"/>
      <c r="K50" s="1954"/>
      <c r="L50" s="1361"/>
    </row>
    <row r="51" spans="1:12" s="1340" customFormat="1" ht="13.5">
      <c r="A51" s="1120" t="s">
        <v>2248</v>
      </c>
      <c r="B51" s="59"/>
      <c r="C51" s="1951"/>
      <c r="D51" s="1951"/>
      <c r="E51" s="1952"/>
      <c r="F51" s="1953"/>
      <c r="G51" s="1951"/>
      <c r="H51" s="1954"/>
      <c r="I51" s="1953"/>
      <c r="J51" s="1951"/>
      <c r="K51" s="1954"/>
      <c r="L51" s="1361"/>
    </row>
    <row r="52" spans="1:12" s="1340" customFormat="1" ht="13.5">
      <c r="A52" s="127" t="s">
        <v>2290</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s="1340" customFormat="1" ht="13.5">
      <c r="A53" s="1120" t="s">
        <v>2291</v>
      </c>
      <c r="B53" s="59"/>
      <c r="C53" s="1951"/>
      <c r="D53" s="1951"/>
      <c r="E53" s="1952"/>
      <c r="F53" s="1953"/>
      <c r="G53" s="1951"/>
      <c r="H53" s="1954"/>
      <c r="I53" s="1953"/>
      <c r="J53" s="1951"/>
      <c r="K53" s="1954"/>
      <c r="L53" s="1361"/>
    </row>
    <row r="54" spans="1:12" s="1340" customFormat="1" ht="13.5">
      <c r="A54" s="1120" t="s">
        <v>2292</v>
      </c>
      <c r="B54" s="59"/>
      <c r="C54" s="1951"/>
      <c r="D54" s="1951"/>
      <c r="E54" s="1952"/>
      <c r="F54" s="1953"/>
      <c r="G54" s="1951"/>
      <c r="H54" s="1954"/>
      <c r="I54" s="1953"/>
      <c r="J54" s="1951"/>
      <c r="K54" s="1954"/>
      <c r="L54" s="1361"/>
    </row>
    <row r="55" spans="1:12" s="1340" customFormat="1" ht="13.5">
      <c r="A55" s="1120" t="s">
        <v>2293</v>
      </c>
      <c r="B55" s="59"/>
      <c r="C55" s="1951"/>
      <c r="D55" s="1951"/>
      <c r="E55" s="1952"/>
      <c r="F55" s="1953"/>
      <c r="G55" s="1951"/>
      <c r="H55" s="1954"/>
      <c r="I55" s="1953"/>
      <c r="J55" s="1951"/>
      <c r="K55" s="1954"/>
      <c r="L55" s="1361"/>
    </row>
    <row r="56" spans="1:12" s="1340" customFormat="1" ht="13.5">
      <c r="A56" s="1120" t="s">
        <v>2250</v>
      </c>
      <c r="B56" s="59"/>
      <c r="C56" s="1951"/>
      <c r="D56" s="1951"/>
      <c r="E56" s="1952"/>
      <c r="F56" s="1953"/>
      <c r="G56" s="1951"/>
      <c r="H56" s="1954"/>
      <c r="I56" s="1953"/>
      <c r="J56" s="1951"/>
      <c r="K56" s="1954"/>
      <c r="L56" s="1361"/>
    </row>
    <row r="57" spans="1:12" s="1340" customFormat="1" ht="13.5">
      <c r="A57" s="1120" t="s">
        <v>2251</v>
      </c>
      <c r="B57" s="59"/>
      <c r="C57" s="1951"/>
      <c r="D57" s="1951"/>
      <c r="E57" s="1952"/>
      <c r="F57" s="1953"/>
      <c r="G57" s="1951"/>
      <c r="H57" s="1954"/>
      <c r="I57" s="1953"/>
      <c r="J57" s="1951"/>
      <c r="K57" s="1954"/>
      <c r="L57" s="1361"/>
    </row>
    <row r="58" spans="1:12" s="1340" customFormat="1" ht="13.5">
      <c r="A58" s="1120" t="s">
        <v>2252</v>
      </c>
      <c r="B58" s="59"/>
      <c r="C58" s="1951"/>
      <c r="D58" s="1951"/>
      <c r="E58" s="1952"/>
      <c r="F58" s="1953"/>
      <c r="G58" s="1951"/>
      <c r="H58" s="1954"/>
      <c r="I58" s="1953"/>
      <c r="J58" s="1951"/>
      <c r="K58" s="1954"/>
      <c r="L58" s="1361"/>
    </row>
    <row r="59" spans="1:12" s="1340" customFormat="1" ht="13.5">
      <c r="A59" s="1120" t="s">
        <v>2257</v>
      </c>
      <c r="B59" s="59"/>
      <c r="C59" s="1951"/>
      <c r="D59" s="1951"/>
      <c r="E59" s="1952"/>
      <c r="F59" s="1953"/>
      <c r="G59" s="1951"/>
      <c r="H59" s="1954"/>
      <c r="I59" s="1953"/>
      <c r="J59" s="1951"/>
      <c r="K59" s="1954"/>
      <c r="L59" s="1361"/>
    </row>
    <row r="60" spans="1:12" s="1340" customFormat="1" ht="13.5">
      <c r="A60" s="1120" t="s">
        <v>2260</v>
      </c>
      <c r="B60" s="59"/>
      <c r="C60" s="1951"/>
      <c r="D60" s="1951"/>
      <c r="E60" s="1952"/>
      <c r="F60" s="1953"/>
      <c r="G60" s="1951"/>
      <c r="H60" s="1954"/>
      <c r="I60" s="1953"/>
      <c r="J60" s="1951"/>
      <c r="K60" s="1954"/>
      <c r="L60" s="1361"/>
    </row>
    <row r="61" spans="1:12" s="1340" customFormat="1" ht="13.5">
      <c r="A61" s="1120" t="s">
        <v>2248</v>
      </c>
      <c r="B61" s="59"/>
      <c r="C61" s="1951"/>
      <c r="D61" s="1951"/>
      <c r="E61" s="1952"/>
      <c r="F61" s="1953"/>
      <c r="G61" s="1951"/>
      <c r="H61" s="1954"/>
      <c r="I61" s="1953"/>
      <c r="J61" s="1951"/>
      <c r="K61" s="1954"/>
      <c r="L61" s="1361"/>
    </row>
    <row r="62" spans="1:12" s="1340" customFormat="1" ht="13.5">
      <c r="A62" s="131" t="s">
        <v>2285</v>
      </c>
      <c r="B62" s="59"/>
      <c r="C62" s="900">
        <f>SUM(C63:C67)</f>
        <v>0</v>
      </c>
      <c r="D62" s="900">
        <f t="shared" ref="D62:K62" si="8">SUM(D63:D67)</f>
        <v>826160</v>
      </c>
      <c r="E62" s="1244">
        <f t="shared" si="8"/>
        <v>0</v>
      </c>
      <c r="F62" s="904">
        <f t="shared" si="8"/>
        <v>0</v>
      </c>
      <c r="G62" s="900">
        <f t="shared" si="8"/>
        <v>0</v>
      </c>
      <c r="H62" s="982">
        <f t="shared" si="8"/>
        <v>0</v>
      </c>
      <c r="I62" s="904">
        <f t="shared" si="8"/>
        <v>0</v>
      </c>
      <c r="J62" s="900">
        <f t="shared" si="8"/>
        <v>0</v>
      </c>
      <c r="K62" s="982">
        <f t="shared" si="8"/>
        <v>0</v>
      </c>
      <c r="L62" s="1361"/>
    </row>
    <row r="63" spans="1:12" s="1340" customFormat="1" ht="13.5">
      <c r="A63" s="1120" t="s">
        <v>2286</v>
      </c>
      <c r="B63" s="59"/>
      <c r="C63" s="1951"/>
      <c r="D63" s="1951"/>
      <c r="E63" s="1952"/>
      <c r="F63" s="1953"/>
      <c r="G63" s="1951"/>
      <c r="H63" s="1954"/>
      <c r="I63" s="1953"/>
      <c r="J63" s="1951"/>
      <c r="K63" s="1954"/>
      <c r="L63" s="1361"/>
    </row>
    <row r="64" spans="1:12" s="1340" customFormat="1" ht="13.5">
      <c r="A64" s="1120" t="s">
        <v>2287</v>
      </c>
      <c r="B64" s="59"/>
      <c r="C64" s="1951"/>
      <c r="D64" s="1951"/>
      <c r="E64" s="1952"/>
      <c r="F64" s="1953"/>
      <c r="G64" s="1951"/>
      <c r="H64" s="1954"/>
      <c r="I64" s="1953"/>
      <c r="J64" s="1951"/>
      <c r="K64" s="1954"/>
      <c r="L64" s="1361"/>
    </row>
    <row r="65" spans="1:12" s="1340" customFormat="1" ht="13.5">
      <c r="A65" s="1120" t="s">
        <v>2288</v>
      </c>
      <c r="B65" s="59"/>
      <c r="C65" s="1951"/>
      <c r="D65" s="1951"/>
      <c r="E65" s="1952"/>
      <c r="F65" s="1953"/>
      <c r="G65" s="1951"/>
      <c r="H65" s="1954"/>
      <c r="I65" s="1953"/>
      <c r="J65" s="1951"/>
      <c r="K65" s="1954"/>
      <c r="L65" s="1361"/>
    </row>
    <row r="66" spans="1:12" s="1340" customFormat="1" ht="13.5">
      <c r="A66" s="1120" t="s">
        <v>2289</v>
      </c>
      <c r="B66" s="59"/>
      <c r="C66" s="1951"/>
      <c r="D66" s="1951"/>
      <c r="E66" s="1952"/>
      <c r="F66" s="1953"/>
      <c r="G66" s="1951"/>
      <c r="H66" s="1954"/>
      <c r="I66" s="1953"/>
      <c r="J66" s="1951"/>
      <c r="K66" s="1954"/>
      <c r="L66" s="1361"/>
    </row>
    <row r="67" spans="1:12" s="1340" customFormat="1" ht="13.5">
      <c r="A67" s="1120" t="s">
        <v>2248</v>
      </c>
      <c r="B67" s="59"/>
      <c r="C67" s="1951"/>
      <c r="D67" s="1951">
        <v>826160</v>
      </c>
      <c r="E67" s="1952"/>
      <c r="F67" s="1953"/>
      <c r="G67" s="1951"/>
      <c r="H67" s="1954"/>
      <c r="I67" s="1953"/>
      <c r="J67" s="1951"/>
      <c r="K67" s="1954"/>
      <c r="L67" s="1361"/>
    </row>
    <row r="68" spans="1:12" s="1340" customFormat="1" ht="13.5">
      <c r="A68" s="127" t="s">
        <v>2281</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61"/>
    </row>
    <row r="69" spans="1:12" s="1340" customFormat="1" ht="13.5">
      <c r="A69" s="1120" t="s">
        <v>2282</v>
      </c>
      <c r="B69" s="59"/>
      <c r="C69" s="1951"/>
      <c r="D69" s="1951"/>
      <c r="E69" s="1952"/>
      <c r="F69" s="1953"/>
      <c r="G69" s="1951"/>
      <c r="H69" s="1954"/>
      <c r="I69" s="1953"/>
      <c r="J69" s="1951"/>
      <c r="K69" s="1954"/>
      <c r="L69" s="1360"/>
    </row>
    <row r="70" spans="1:12" s="1340" customFormat="1" ht="13.5">
      <c r="A70" s="1120" t="s">
        <v>2283</v>
      </c>
      <c r="B70" s="59"/>
      <c r="C70" s="1951"/>
      <c r="D70" s="1951"/>
      <c r="E70" s="1952"/>
      <c r="F70" s="1953"/>
      <c r="G70" s="1951"/>
      <c r="H70" s="1954"/>
      <c r="I70" s="1953"/>
      <c r="J70" s="1951"/>
      <c r="K70" s="1954"/>
      <c r="L70" s="1361"/>
    </row>
    <row r="71" spans="1:12" s="1340" customFormat="1" ht="13.5">
      <c r="A71" s="1120" t="s">
        <v>2284</v>
      </c>
      <c r="B71" s="59"/>
      <c r="C71" s="1951"/>
      <c r="D71" s="1951"/>
      <c r="E71" s="1952"/>
      <c r="F71" s="1953"/>
      <c r="G71" s="1951"/>
      <c r="H71" s="1954"/>
      <c r="I71" s="1953"/>
      <c r="J71" s="1951"/>
      <c r="K71" s="1954"/>
      <c r="L71" s="1361"/>
    </row>
    <row r="72" spans="1:12" s="1340" customFormat="1" ht="13.5">
      <c r="A72" s="1120" t="s">
        <v>2248</v>
      </c>
      <c r="B72" s="59"/>
      <c r="C72" s="1951"/>
      <c r="D72" s="1951"/>
      <c r="E72" s="1952"/>
      <c r="F72" s="1953"/>
      <c r="G72" s="1951"/>
      <c r="H72" s="1954"/>
      <c r="I72" s="1953"/>
      <c r="J72" s="1951"/>
      <c r="K72" s="1954"/>
      <c r="L72" s="1361"/>
    </row>
    <row r="73" spans="1:12" ht="4.9000000000000004" customHeight="1">
      <c r="A73" s="148"/>
      <c r="B73" s="59"/>
      <c r="C73" s="80"/>
      <c r="D73" s="80"/>
      <c r="E73" s="79"/>
      <c r="F73" s="82"/>
      <c r="G73" s="80"/>
      <c r="H73" s="81"/>
      <c r="I73" s="82"/>
      <c r="J73" s="80"/>
      <c r="K73" s="81"/>
      <c r="L73" s="240"/>
    </row>
    <row r="74" spans="1:12" ht="17.25" customHeight="1">
      <c r="A74" s="126" t="s">
        <v>2297</v>
      </c>
      <c r="B74" s="59"/>
      <c r="C74" s="264">
        <f>C75+C98</f>
        <v>0</v>
      </c>
      <c r="D74" s="264">
        <f t="shared" ref="D74:K74" si="10">D75+D98</f>
        <v>19576655</v>
      </c>
      <c r="E74" s="266">
        <f t="shared" si="10"/>
        <v>0</v>
      </c>
      <c r="F74" s="265">
        <f t="shared" si="10"/>
        <v>850000</v>
      </c>
      <c r="G74" s="264">
        <f t="shared" si="10"/>
        <v>850000</v>
      </c>
      <c r="H74" s="218">
        <f t="shared" si="10"/>
        <v>850000</v>
      </c>
      <c r="I74" s="265">
        <f t="shared" si="10"/>
        <v>0</v>
      </c>
      <c r="J74" s="264">
        <f t="shared" si="10"/>
        <v>0</v>
      </c>
      <c r="K74" s="218">
        <f t="shared" si="10"/>
        <v>0</v>
      </c>
      <c r="L74" s="240"/>
    </row>
    <row r="75" spans="1:12" s="1340" customFormat="1" ht="13.5">
      <c r="A75" s="127" t="s">
        <v>2298</v>
      </c>
      <c r="B75" s="59"/>
      <c r="C75" s="943">
        <f>SUM(C76:C97)</f>
        <v>0</v>
      </c>
      <c r="D75" s="943">
        <f t="shared" ref="D75:K75" si="11">SUM(D76:D97)</f>
        <v>0</v>
      </c>
      <c r="E75" s="1243">
        <f t="shared" si="11"/>
        <v>0</v>
      </c>
      <c r="F75" s="944">
        <f t="shared" si="11"/>
        <v>850000</v>
      </c>
      <c r="G75" s="943">
        <f t="shared" si="11"/>
        <v>850000</v>
      </c>
      <c r="H75" s="980">
        <f t="shared" si="11"/>
        <v>850000</v>
      </c>
      <c r="I75" s="944">
        <f t="shared" si="11"/>
        <v>0</v>
      </c>
      <c r="J75" s="943">
        <f t="shared" si="11"/>
        <v>0</v>
      </c>
      <c r="K75" s="980">
        <f t="shared" si="11"/>
        <v>0</v>
      </c>
      <c r="L75" s="1361"/>
    </row>
    <row r="76" spans="1:12" ht="11.25" customHeight="1">
      <c r="A76" s="1120" t="s">
        <v>2299</v>
      </c>
      <c r="B76" s="59"/>
      <c r="C76" s="1951"/>
      <c r="D76" s="1951"/>
      <c r="E76" s="1952"/>
      <c r="F76" s="1953"/>
      <c r="G76" s="1951"/>
      <c r="H76" s="1954"/>
      <c r="I76" s="1953"/>
      <c r="J76" s="1951"/>
      <c r="K76" s="1954"/>
      <c r="L76" s="1361"/>
    </row>
    <row r="77" spans="1:12" ht="11.25" customHeight="1">
      <c r="A77" s="1120" t="s">
        <v>2300</v>
      </c>
      <c r="B77" s="59"/>
      <c r="C77" s="1951"/>
      <c r="D77" s="1951"/>
      <c r="E77" s="1952"/>
      <c r="F77" s="1953"/>
      <c r="G77" s="1951"/>
      <c r="H77" s="1954"/>
      <c r="I77" s="1953"/>
      <c r="J77" s="1951"/>
      <c r="K77" s="1954"/>
      <c r="L77" s="1361"/>
    </row>
    <row r="78" spans="1:12" ht="11.25" customHeight="1">
      <c r="A78" s="1120" t="s">
        <v>2301</v>
      </c>
      <c r="B78" s="59"/>
      <c r="C78" s="1951"/>
      <c r="D78" s="1951"/>
      <c r="E78" s="1952"/>
      <c r="F78" s="1953"/>
      <c r="G78" s="1951"/>
      <c r="H78" s="1954"/>
      <c r="I78" s="1953"/>
      <c r="J78" s="1951"/>
      <c r="K78" s="1954"/>
      <c r="L78" s="1361"/>
    </row>
    <row r="79" spans="1:12" ht="11.25" customHeight="1">
      <c r="A79" s="1120" t="s">
        <v>2302</v>
      </c>
      <c r="B79" s="59"/>
      <c r="C79" s="1951"/>
      <c r="D79" s="1951"/>
      <c r="E79" s="1952"/>
      <c r="F79" s="1953"/>
      <c r="G79" s="1951"/>
      <c r="H79" s="1954"/>
      <c r="I79" s="1953"/>
      <c r="J79" s="1951"/>
      <c r="K79" s="1954"/>
      <c r="L79" s="1361"/>
    </row>
    <row r="80" spans="1:12" ht="11.25" customHeight="1">
      <c r="A80" s="1120" t="s">
        <v>2303</v>
      </c>
      <c r="B80" s="59"/>
      <c r="C80" s="1951"/>
      <c r="D80" s="1951"/>
      <c r="E80" s="1952"/>
      <c r="F80" s="1953"/>
      <c r="G80" s="1951"/>
      <c r="H80" s="1954"/>
      <c r="I80" s="1953"/>
      <c r="J80" s="1951"/>
      <c r="K80" s="1954"/>
      <c r="L80" s="1361"/>
    </row>
    <row r="81" spans="1:15" ht="11.25" customHeight="1">
      <c r="A81" s="1120" t="s">
        <v>2304</v>
      </c>
      <c r="B81" s="59"/>
      <c r="C81" s="1951"/>
      <c r="D81" s="1951"/>
      <c r="E81" s="1952"/>
      <c r="F81" s="1953"/>
      <c r="G81" s="1951"/>
      <c r="H81" s="1954"/>
      <c r="I81" s="1953"/>
      <c r="J81" s="1951"/>
      <c r="K81" s="1954"/>
      <c r="L81" s="1361"/>
    </row>
    <row r="82" spans="1:15" ht="11.25" customHeight="1">
      <c r="A82" s="1120" t="s">
        <v>2305</v>
      </c>
      <c r="B82" s="59"/>
      <c r="C82" s="1951"/>
      <c r="D82" s="1951"/>
      <c r="E82" s="1952"/>
      <c r="F82" s="1953"/>
      <c r="G82" s="1951"/>
      <c r="H82" s="1954"/>
      <c r="I82" s="1953"/>
      <c r="J82" s="1951"/>
      <c r="K82" s="1954"/>
      <c r="L82" s="1361"/>
    </row>
    <row r="83" spans="1:15" ht="11.25" customHeight="1">
      <c r="A83" s="1120" t="s">
        <v>2306</v>
      </c>
      <c r="B83" s="59"/>
      <c r="C83" s="1951"/>
      <c r="D83" s="1951"/>
      <c r="E83" s="1952"/>
      <c r="F83" s="1953"/>
      <c r="G83" s="1951"/>
      <c r="H83" s="1954"/>
      <c r="I83" s="1953"/>
      <c r="J83" s="1951"/>
      <c r="K83" s="1954"/>
      <c r="L83" s="1361"/>
    </row>
    <row r="84" spans="1:15" ht="11.25" customHeight="1">
      <c r="A84" s="1120" t="s">
        <v>2307</v>
      </c>
      <c r="B84" s="59"/>
      <c r="C84" s="1951"/>
      <c r="D84" s="1951"/>
      <c r="E84" s="1952"/>
      <c r="F84" s="1953"/>
      <c r="G84" s="1951"/>
      <c r="H84" s="1954"/>
      <c r="I84" s="1953"/>
      <c r="J84" s="1951"/>
      <c r="K84" s="1954"/>
      <c r="L84" s="1361"/>
    </row>
    <row r="85" spans="1:15" ht="11.25" customHeight="1">
      <c r="A85" s="1120" t="s">
        <v>288</v>
      </c>
      <c r="B85" s="59"/>
      <c r="C85" s="1951"/>
      <c r="D85" s="1951"/>
      <c r="E85" s="1952"/>
      <c r="F85" s="1953"/>
      <c r="G85" s="1951"/>
      <c r="H85" s="1954"/>
      <c r="I85" s="1953"/>
      <c r="J85" s="1951"/>
      <c r="K85" s="1954"/>
      <c r="L85" s="1361"/>
    </row>
    <row r="86" spans="1:15" ht="11.25" customHeight="1">
      <c r="A86" s="1120" t="s">
        <v>2308</v>
      </c>
      <c r="B86" s="59"/>
      <c r="C86" s="1951"/>
      <c r="D86" s="1951"/>
      <c r="E86" s="1952"/>
      <c r="F86" s="1953">
        <v>850000</v>
      </c>
      <c r="G86" s="1951">
        <v>850000</v>
      </c>
      <c r="H86" s="1954">
        <v>850000</v>
      </c>
      <c r="I86" s="1953"/>
      <c r="J86" s="1951"/>
      <c r="K86" s="1954"/>
      <c r="L86" s="1361"/>
    </row>
    <row r="87" spans="1:15" ht="11.25" customHeight="1">
      <c r="A87" s="1120" t="s">
        <v>1452</v>
      </c>
      <c r="B87" s="59"/>
      <c r="C87" s="1951"/>
      <c r="D87" s="1951"/>
      <c r="E87" s="1952"/>
      <c r="F87" s="1953"/>
      <c r="G87" s="1951"/>
      <c r="H87" s="1954"/>
      <c r="I87" s="1953"/>
      <c r="J87" s="1951"/>
      <c r="K87" s="1954"/>
      <c r="L87" s="1361"/>
    </row>
    <row r="88" spans="1:15" ht="11.25" customHeight="1">
      <c r="A88" s="1120" t="s">
        <v>2483</v>
      </c>
      <c r="B88" s="59"/>
      <c r="C88" s="1951"/>
      <c r="D88" s="1951"/>
      <c r="E88" s="1952"/>
      <c r="F88" s="1953"/>
      <c r="G88" s="1951"/>
      <c r="H88" s="1954"/>
      <c r="I88" s="1953"/>
      <c r="J88" s="1951"/>
      <c r="K88" s="1954"/>
      <c r="L88" s="1361"/>
    </row>
    <row r="89" spans="1:15" ht="11.25" customHeight="1">
      <c r="A89" s="1120" t="s">
        <v>2310</v>
      </c>
      <c r="B89" s="59"/>
      <c r="C89" s="1951"/>
      <c r="D89" s="1951"/>
      <c r="E89" s="1952"/>
      <c r="F89" s="1953"/>
      <c r="G89" s="1951"/>
      <c r="H89" s="1954"/>
      <c r="I89" s="1953"/>
      <c r="J89" s="1951"/>
      <c r="K89" s="1954"/>
      <c r="L89" s="1361"/>
    </row>
    <row r="90" spans="1:15" ht="11.25" customHeight="1">
      <c r="A90" s="1120" t="s">
        <v>2311</v>
      </c>
      <c r="B90" s="59"/>
      <c r="C90" s="1951"/>
      <c r="D90" s="1951"/>
      <c r="E90" s="1952"/>
      <c r="F90" s="1953"/>
      <c r="G90" s="1951"/>
      <c r="H90" s="1954"/>
      <c r="I90" s="1953"/>
      <c r="J90" s="1951"/>
      <c r="K90" s="1954"/>
      <c r="L90" s="1361"/>
    </row>
    <row r="91" spans="1:15" ht="11.25" customHeight="1">
      <c r="A91" s="1120" t="s">
        <v>2312</v>
      </c>
      <c r="B91" s="59"/>
      <c r="C91" s="1951"/>
      <c r="D91" s="1951"/>
      <c r="E91" s="1952"/>
      <c r="F91" s="1953"/>
      <c r="G91" s="1951"/>
      <c r="H91" s="1954"/>
      <c r="I91" s="1953"/>
      <c r="J91" s="1951"/>
      <c r="K91" s="1954"/>
      <c r="L91" s="1361"/>
    </row>
    <row r="92" spans="1:15" ht="11.25" customHeight="1">
      <c r="A92" s="1120" t="s">
        <v>1087</v>
      </c>
      <c r="B92" s="59"/>
      <c r="C92" s="1951"/>
      <c r="D92" s="1951"/>
      <c r="E92" s="1952"/>
      <c r="F92" s="1953"/>
      <c r="G92" s="1951"/>
      <c r="H92" s="1954"/>
      <c r="I92" s="1953"/>
      <c r="J92" s="1951"/>
      <c r="K92" s="1954"/>
      <c r="L92" s="1361"/>
    </row>
    <row r="93" spans="1:15" ht="11.25" customHeight="1">
      <c r="A93" s="1120" t="s">
        <v>2313</v>
      </c>
      <c r="B93" s="59"/>
      <c r="C93" s="1951"/>
      <c r="D93" s="1951"/>
      <c r="E93" s="1952"/>
      <c r="F93" s="1953"/>
      <c r="G93" s="1951"/>
      <c r="H93" s="1954"/>
      <c r="I93" s="1953"/>
      <c r="J93" s="1951"/>
      <c r="K93" s="1954"/>
      <c r="L93" s="1361"/>
      <c r="O93" s="240"/>
    </row>
    <row r="94" spans="1:15" ht="11.25" customHeight="1">
      <c r="A94" s="1120" t="s">
        <v>1086</v>
      </c>
      <c r="B94" s="59"/>
      <c r="C94" s="1951"/>
      <c r="D94" s="1951"/>
      <c r="E94" s="1952"/>
      <c r="F94" s="1953"/>
      <c r="G94" s="1951"/>
      <c r="H94" s="1954"/>
      <c r="I94" s="1953"/>
      <c r="J94" s="1951"/>
      <c r="K94" s="1954"/>
      <c r="L94" s="1361"/>
    </row>
    <row r="95" spans="1:15" ht="11.25" customHeight="1">
      <c r="A95" s="1120" t="s">
        <v>2314</v>
      </c>
      <c r="B95" s="59"/>
      <c r="C95" s="1951"/>
      <c r="D95" s="1951"/>
      <c r="E95" s="1952"/>
      <c r="F95" s="1953"/>
      <c r="G95" s="1951"/>
      <c r="H95" s="1954"/>
      <c r="I95" s="1953"/>
      <c r="J95" s="1951"/>
      <c r="K95" s="1954"/>
      <c r="L95" s="1361"/>
    </row>
    <row r="96" spans="1:15" ht="11.25" customHeight="1">
      <c r="A96" s="1120" t="s">
        <v>2315</v>
      </c>
      <c r="B96" s="59"/>
      <c r="C96" s="1951"/>
      <c r="D96" s="1951"/>
      <c r="E96" s="1952"/>
      <c r="F96" s="1953"/>
      <c r="G96" s="1951"/>
      <c r="H96" s="1954"/>
      <c r="I96" s="1953"/>
      <c r="J96" s="1951"/>
      <c r="K96" s="1954"/>
      <c r="L96" s="240"/>
    </row>
    <row r="97" spans="1:12" ht="11.25" customHeight="1">
      <c r="A97" s="1120" t="s">
        <v>2248</v>
      </c>
      <c r="B97" s="59"/>
      <c r="C97" s="1951"/>
      <c r="D97" s="1951"/>
      <c r="E97" s="1952"/>
      <c r="F97" s="1953"/>
      <c r="G97" s="1951"/>
      <c r="H97" s="1954"/>
      <c r="I97" s="1953"/>
      <c r="J97" s="1951"/>
      <c r="K97" s="1954"/>
      <c r="L97" s="1361"/>
    </row>
    <row r="98" spans="1:12" s="1340" customFormat="1" ht="13.5">
      <c r="A98" s="127" t="s">
        <v>2316</v>
      </c>
      <c r="B98" s="59"/>
      <c r="C98" s="900">
        <f>SUM(C99:C101)</f>
        <v>0</v>
      </c>
      <c r="D98" s="900">
        <f t="shared" ref="D98:K98" si="12">SUM(D99:D101)</f>
        <v>19576655</v>
      </c>
      <c r="E98" s="1244">
        <f t="shared" si="12"/>
        <v>0</v>
      </c>
      <c r="F98" s="904">
        <f t="shared" si="12"/>
        <v>0</v>
      </c>
      <c r="G98" s="900">
        <f t="shared" si="12"/>
        <v>0</v>
      </c>
      <c r="H98" s="982">
        <f t="shared" si="12"/>
        <v>0</v>
      </c>
      <c r="I98" s="904">
        <f t="shared" si="12"/>
        <v>0</v>
      </c>
      <c r="J98" s="900">
        <f t="shared" si="12"/>
        <v>0</v>
      </c>
      <c r="K98" s="982">
        <f t="shared" si="12"/>
        <v>0</v>
      </c>
      <c r="L98" s="1361"/>
    </row>
    <row r="99" spans="1:12" s="1340" customFormat="1" ht="13.5">
      <c r="A99" s="1120" t="s">
        <v>2317</v>
      </c>
      <c r="B99" s="59"/>
      <c r="C99" s="1951"/>
      <c r="D99" s="1951"/>
      <c r="E99" s="1952"/>
      <c r="F99" s="1953"/>
      <c r="G99" s="1951"/>
      <c r="H99" s="1954"/>
      <c r="I99" s="1953"/>
      <c r="J99" s="1951"/>
      <c r="K99" s="1954"/>
      <c r="L99" s="1360"/>
    </row>
    <row r="100" spans="1:12" s="1340" customFormat="1" ht="13.5">
      <c r="A100" s="1120" t="s">
        <v>2318</v>
      </c>
      <c r="B100" s="59"/>
      <c r="C100" s="1951"/>
      <c r="D100" s="1951">
        <v>19576655</v>
      </c>
      <c r="E100" s="1952"/>
      <c r="F100" s="1953"/>
      <c r="G100" s="1951"/>
      <c r="H100" s="1954"/>
      <c r="I100" s="1953"/>
      <c r="J100" s="1951"/>
      <c r="K100" s="1954"/>
      <c r="L100" s="1361"/>
    </row>
    <row r="101" spans="1:12" s="1340" customFormat="1" ht="13.5">
      <c r="A101" s="1120" t="s">
        <v>2248</v>
      </c>
      <c r="B101" s="59"/>
      <c r="C101" s="1951"/>
      <c r="D101" s="1951"/>
      <c r="E101" s="1952"/>
      <c r="F101" s="1953"/>
      <c r="G101" s="1951"/>
      <c r="H101" s="1954"/>
      <c r="I101" s="1953"/>
      <c r="J101" s="1951"/>
      <c r="K101" s="1954"/>
      <c r="L101" s="1361"/>
    </row>
    <row r="102" spans="1:12" ht="4.9000000000000004" customHeight="1">
      <c r="A102" s="148"/>
      <c r="B102" s="59"/>
      <c r="C102" s="80"/>
      <c r="D102" s="80"/>
      <c r="E102" s="79"/>
      <c r="F102" s="82"/>
      <c r="G102" s="80"/>
      <c r="H102" s="81"/>
      <c r="I102" s="82"/>
      <c r="J102" s="80"/>
      <c r="K102" s="81"/>
      <c r="L102" s="240"/>
    </row>
    <row r="103" spans="1:12" ht="17.25" customHeight="1">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c r="A104" s="127" t="s">
        <v>2319</v>
      </c>
      <c r="B104" s="59"/>
      <c r="C104" s="1951"/>
      <c r="D104" s="1951"/>
      <c r="E104" s="1952"/>
      <c r="F104" s="1953"/>
      <c r="G104" s="1951"/>
      <c r="H104" s="1954"/>
      <c r="I104" s="1953"/>
      <c r="J104" s="1951"/>
      <c r="K104" s="1954"/>
      <c r="L104" s="240"/>
    </row>
    <row r="105" spans="1:12" ht="11.25" customHeight="1">
      <c r="A105" s="131" t="s">
        <v>2320</v>
      </c>
      <c r="B105" s="59"/>
      <c r="C105" s="1951"/>
      <c r="D105" s="1951"/>
      <c r="E105" s="1952"/>
      <c r="F105" s="1953"/>
      <c r="G105" s="1951"/>
      <c r="H105" s="1954"/>
      <c r="I105" s="1953"/>
      <c r="J105" s="1951"/>
      <c r="K105" s="1954"/>
      <c r="L105" s="240"/>
    </row>
    <row r="106" spans="1:12" ht="11.25" customHeight="1">
      <c r="A106" s="127" t="s">
        <v>2321</v>
      </c>
      <c r="B106" s="59"/>
      <c r="C106" s="1951"/>
      <c r="D106" s="1951"/>
      <c r="E106" s="1952"/>
      <c r="F106" s="1953"/>
      <c r="G106" s="1951"/>
      <c r="H106" s="1954"/>
      <c r="I106" s="1953"/>
      <c r="J106" s="1951"/>
      <c r="K106" s="1954"/>
      <c r="L106" s="240"/>
    </row>
    <row r="107" spans="1:12" ht="11.25" customHeight="1">
      <c r="A107" s="127" t="s">
        <v>2322</v>
      </c>
      <c r="B107" s="59"/>
      <c r="C107" s="1951"/>
      <c r="D107" s="1951"/>
      <c r="E107" s="1952"/>
      <c r="F107" s="1953"/>
      <c r="G107" s="1951"/>
      <c r="H107" s="1954"/>
      <c r="I107" s="1953"/>
      <c r="J107" s="1951"/>
      <c r="K107" s="1954"/>
      <c r="L107" s="240"/>
    </row>
    <row r="108" spans="1:12" ht="11.25" customHeight="1">
      <c r="A108" s="131" t="s">
        <v>2323</v>
      </c>
      <c r="B108" s="59"/>
      <c r="C108" s="1951"/>
      <c r="D108" s="1951"/>
      <c r="E108" s="1952"/>
      <c r="F108" s="1953"/>
      <c r="G108" s="1951"/>
      <c r="H108" s="1954"/>
      <c r="I108" s="1953"/>
      <c r="J108" s="1951"/>
      <c r="K108" s="1954"/>
      <c r="L108" s="240"/>
    </row>
    <row r="109" spans="1:12" ht="4.9000000000000004" customHeight="1">
      <c r="A109" s="679"/>
      <c r="B109" s="59"/>
      <c r="C109" s="80"/>
      <c r="D109" s="80"/>
      <c r="E109" s="79"/>
      <c r="F109" s="82"/>
      <c r="G109" s="80"/>
      <c r="H109" s="81"/>
      <c r="I109" s="82"/>
      <c r="J109" s="80"/>
      <c r="K109" s="81"/>
      <c r="L109" s="240"/>
    </row>
    <row r="110" spans="1:12" ht="17.25" customHeight="1">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0" customFormat="1" ht="13.5">
      <c r="A111" s="127" t="s">
        <v>2353</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61"/>
    </row>
    <row r="112" spans="1:12" s="1340" customFormat="1" ht="13.5">
      <c r="A112" s="1120" t="s">
        <v>2354</v>
      </c>
      <c r="B112" s="59"/>
      <c r="C112" s="1951"/>
      <c r="D112" s="1951"/>
      <c r="E112" s="1952"/>
      <c r="F112" s="1953"/>
      <c r="G112" s="1951"/>
      <c r="H112" s="1954"/>
      <c r="I112" s="1953"/>
      <c r="J112" s="1951"/>
      <c r="K112" s="1954"/>
      <c r="L112" s="1360"/>
    </row>
    <row r="113" spans="1:12" s="1340" customFormat="1" ht="13.5">
      <c r="A113" s="1120" t="s">
        <v>2355</v>
      </c>
      <c r="B113" s="59"/>
      <c r="C113" s="1951"/>
      <c r="D113" s="1951"/>
      <c r="E113" s="1952"/>
      <c r="F113" s="1953"/>
      <c r="G113" s="1951"/>
      <c r="H113" s="1954"/>
      <c r="I113" s="1953"/>
      <c r="J113" s="1951"/>
      <c r="K113" s="1954"/>
      <c r="L113" s="1361"/>
    </row>
    <row r="114" spans="1:12" s="1340" customFormat="1" ht="13.5">
      <c r="A114" s="127" t="s">
        <v>2356</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61"/>
    </row>
    <row r="115" spans="1:12" s="1340" customFormat="1" ht="13.5">
      <c r="A115" s="1120" t="s">
        <v>2354</v>
      </c>
      <c r="B115" s="59"/>
      <c r="C115" s="1951"/>
      <c r="D115" s="1951"/>
      <c r="E115" s="1952"/>
      <c r="F115" s="1953"/>
      <c r="G115" s="1951"/>
      <c r="H115" s="1954"/>
      <c r="I115" s="1953"/>
      <c r="J115" s="1951"/>
      <c r="K115" s="1954"/>
      <c r="L115" s="1360"/>
    </row>
    <row r="116" spans="1:12" s="1340" customFormat="1" ht="13.5">
      <c r="A116" s="1120" t="s">
        <v>2355</v>
      </c>
      <c r="B116" s="59"/>
      <c r="C116" s="1951"/>
      <c r="D116" s="1951"/>
      <c r="E116" s="1952"/>
      <c r="F116" s="1953"/>
      <c r="G116" s="1951"/>
      <c r="H116" s="1954"/>
      <c r="I116" s="1953"/>
      <c r="J116" s="1951"/>
      <c r="K116" s="1954"/>
      <c r="L116" s="1361"/>
    </row>
    <row r="117" spans="1:12" ht="4.9000000000000004" customHeight="1">
      <c r="A117" s="679"/>
      <c r="B117" s="59"/>
      <c r="C117" s="80"/>
      <c r="D117" s="80"/>
      <c r="E117" s="79"/>
      <c r="F117" s="82"/>
      <c r="G117" s="80"/>
      <c r="H117" s="81"/>
      <c r="I117" s="82"/>
      <c r="J117" s="80"/>
      <c r="K117" s="81"/>
      <c r="L117" s="240"/>
    </row>
    <row r="118" spans="1:12" ht="17.25" customHeight="1">
      <c r="A118" s="672" t="s">
        <v>837</v>
      </c>
      <c r="B118" s="59"/>
      <c r="C118" s="95">
        <f>+C119+C131</f>
        <v>0</v>
      </c>
      <c r="D118" s="95">
        <f t="shared" ref="D118:K118" si="17">+D119+D131</f>
        <v>0</v>
      </c>
      <c r="E118" s="94">
        <f t="shared" si="17"/>
        <v>0</v>
      </c>
      <c r="F118" s="97">
        <f t="shared" si="17"/>
        <v>3250000</v>
      </c>
      <c r="G118" s="95">
        <f t="shared" si="17"/>
        <v>5700000</v>
      </c>
      <c r="H118" s="96">
        <f t="shared" si="17"/>
        <v>5700000</v>
      </c>
      <c r="I118" s="97">
        <f t="shared" si="17"/>
        <v>0</v>
      </c>
      <c r="J118" s="95">
        <f t="shared" si="17"/>
        <v>0</v>
      </c>
      <c r="K118" s="96">
        <f t="shared" si="17"/>
        <v>0</v>
      </c>
      <c r="L118" s="240"/>
    </row>
    <row r="119" spans="1:12" s="1340" customFormat="1" ht="13.5">
      <c r="A119" s="127" t="s">
        <v>2324</v>
      </c>
      <c r="B119" s="59"/>
      <c r="C119" s="943">
        <f>SUM(C120:C130)</f>
        <v>0</v>
      </c>
      <c r="D119" s="943">
        <f t="shared" ref="D119:K119" si="18">SUM(D120:D130)</f>
        <v>0</v>
      </c>
      <c r="E119" s="1243">
        <f t="shared" si="18"/>
        <v>0</v>
      </c>
      <c r="F119" s="944">
        <f t="shared" si="18"/>
        <v>3250000</v>
      </c>
      <c r="G119" s="943">
        <f t="shared" si="18"/>
        <v>5700000</v>
      </c>
      <c r="H119" s="980">
        <f t="shared" si="18"/>
        <v>5700000</v>
      </c>
      <c r="I119" s="944">
        <f t="shared" si="18"/>
        <v>0</v>
      </c>
      <c r="J119" s="943">
        <f t="shared" si="18"/>
        <v>0</v>
      </c>
      <c r="K119" s="980">
        <f t="shared" si="18"/>
        <v>0</v>
      </c>
      <c r="L119" s="1361"/>
    </row>
    <row r="120" spans="1:12" s="1340" customFormat="1" ht="13.5">
      <c r="A120" s="1120" t="s">
        <v>2325</v>
      </c>
      <c r="B120" s="59"/>
      <c r="C120" s="1951"/>
      <c r="D120" s="1951"/>
      <c r="E120" s="1952"/>
      <c r="F120" s="1953">
        <v>3250000</v>
      </c>
      <c r="G120" s="1951">
        <v>5700000</v>
      </c>
      <c r="H120" s="1954">
        <v>5700000</v>
      </c>
      <c r="I120" s="1953"/>
      <c r="J120" s="1951"/>
      <c r="K120" s="1954"/>
      <c r="L120" s="1360"/>
    </row>
    <row r="121" spans="1:12" s="1340" customFormat="1" ht="13.5">
      <c r="A121" s="1120" t="s">
        <v>2326</v>
      </c>
      <c r="B121" s="59"/>
      <c r="C121" s="1951"/>
      <c r="D121" s="1951"/>
      <c r="E121" s="1952"/>
      <c r="F121" s="1953"/>
      <c r="G121" s="1951"/>
      <c r="H121" s="1954"/>
      <c r="I121" s="1953"/>
      <c r="J121" s="1951"/>
      <c r="K121" s="1954"/>
      <c r="L121" s="1360"/>
    </row>
    <row r="122" spans="1:12" s="1340" customFormat="1" ht="13.5">
      <c r="A122" s="1120" t="s">
        <v>2327</v>
      </c>
      <c r="B122" s="59"/>
      <c r="C122" s="1951"/>
      <c r="D122" s="1951"/>
      <c r="E122" s="1952"/>
      <c r="F122" s="1953"/>
      <c r="G122" s="1951"/>
      <c r="H122" s="1954"/>
      <c r="I122" s="1953"/>
      <c r="J122" s="1951"/>
      <c r="K122" s="1954"/>
      <c r="L122" s="1360"/>
    </row>
    <row r="123" spans="1:12" s="1340" customFormat="1" ht="13.5">
      <c r="A123" s="1120" t="s">
        <v>2328</v>
      </c>
      <c r="B123" s="59"/>
      <c r="C123" s="1951"/>
      <c r="D123" s="1951"/>
      <c r="E123" s="1952"/>
      <c r="F123" s="1953"/>
      <c r="G123" s="1951"/>
      <c r="H123" s="1954"/>
      <c r="I123" s="1953"/>
      <c r="J123" s="1951"/>
      <c r="K123" s="1954"/>
      <c r="L123" s="1360"/>
    </row>
    <row r="124" spans="1:12" s="1340" customFormat="1" ht="13.5">
      <c r="A124" s="1120" t="s">
        <v>2329</v>
      </c>
      <c r="B124" s="59"/>
      <c r="C124" s="1951"/>
      <c r="D124" s="1951"/>
      <c r="E124" s="1952"/>
      <c r="F124" s="1953"/>
      <c r="G124" s="1951"/>
      <c r="H124" s="1954"/>
      <c r="I124" s="1953"/>
      <c r="J124" s="1951"/>
      <c r="K124" s="1954"/>
      <c r="L124" s="1360"/>
    </row>
    <row r="125" spans="1:12" s="1340" customFormat="1" ht="13.5">
      <c r="A125" s="1120" t="s">
        <v>2330</v>
      </c>
      <c r="B125" s="59"/>
      <c r="C125" s="1951"/>
      <c r="D125" s="1951"/>
      <c r="E125" s="1952"/>
      <c r="F125" s="1953"/>
      <c r="G125" s="1951"/>
      <c r="H125" s="1954"/>
      <c r="I125" s="1953"/>
      <c r="J125" s="1951"/>
      <c r="K125" s="1954"/>
      <c r="L125" s="1360"/>
    </row>
    <row r="126" spans="1:12" s="1340" customFormat="1" ht="13.5">
      <c r="A126" s="1120" t="s">
        <v>2331</v>
      </c>
      <c r="B126" s="59"/>
      <c r="C126" s="1951"/>
      <c r="D126" s="1951"/>
      <c r="E126" s="1952"/>
      <c r="F126" s="1953"/>
      <c r="G126" s="1951"/>
      <c r="H126" s="1954"/>
      <c r="I126" s="1953"/>
      <c r="J126" s="1951"/>
      <c r="K126" s="1954"/>
      <c r="L126" s="1360"/>
    </row>
    <row r="127" spans="1:12" s="1340" customFormat="1" ht="13.5">
      <c r="A127" s="1120" t="s">
        <v>2332</v>
      </c>
      <c r="B127" s="59"/>
      <c r="C127" s="1951"/>
      <c r="D127" s="1951"/>
      <c r="E127" s="1952"/>
      <c r="F127" s="1953"/>
      <c r="G127" s="1951"/>
      <c r="H127" s="1954"/>
      <c r="I127" s="1953"/>
      <c r="J127" s="1951"/>
      <c r="K127" s="1954"/>
      <c r="L127" s="1360"/>
    </row>
    <row r="128" spans="1:12" s="1340" customFormat="1" ht="13.5">
      <c r="A128" s="1120" t="s">
        <v>2333</v>
      </c>
      <c r="B128" s="59"/>
      <c r="C128" s="1951"/>
      <c r="D128" s="1951"/>
      <c r="E128" s="1952"/>
      <c r="F128" s="1953"/>
      <c r="G128" s="1951"/>
      <c r="H128" s="1954"/>
      <c r="I128" s="1953"/>
      <c r="J128" s="1951"/>
      <c r="K128" s="1954"/>
      <c r="L128" s="1360"/>
    </row>
    <row r="129" spans="1:12" s="1340" customFormat="1" ht="13.5">
      <c r="A129" s="1120" t="s">
        <v>2334</v>
      </c>
      <c r="B129" s="59"/>
      <c r="C129" s="1951"/>
      <c r="D129" s="1951"/>
      <c r="E129" s="1952"/>
      <c r="F129" s="1953"/>
      <c r="G129" s="1951"/>
      <c r="H129" s="1954"/>
      <c r="I129" s="1953"/>
      <c r="J129" s="1951"/>
      <c r="K129" s="1954"/>
      <c r="L129" s="1360"/>
    </row>
    <row r="130" spans="1:12" s="1340" customFormat="1" ht="13.5">
      <c r="A130" s="1120" t="s">
        <v>2248</v>
      </c>
      <c r="B130" s="59"/>
      <c r="C130" s="1951"/>
      <c r="D130" s="1951"/>
      <c r="E130" s="1952"/>
      <c r="F130" s="1953"/>
      <c r="G130" s="1951"/>
      <c r="H130" s="1954"/>
      <c r="I130" s="1953"/>
      <c r="J130" s="1951"/>
      <c r="K130" s="1954"/>
      <c r="L130" s="1360"/>
    </row>
    <row r="131" spans="1:12" s="1340" customFormat="1" ht="13.5">
      <c r="A131" s="127" t="s">
        <v>1493</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60"/>
    </row>
    <row r="132" spans="1:12" s="1340" customFormat="1" ht="13.5">
      <c r="A132" s="1120" t="s">
        <v>2335</v>
      </c>
      <c r="B132" s="59"/>
      <c r="C132" s="1951"/>
      <c r="D132" s="1951"/>
      <c r="E132" s="1952"/>
      <c r="F132" s="1953"/>
      <c r="G132" s="1951"/>
      <c r="H132" s="1954"/>
      <c r="I132" s="1953"/>
      <c r="J132" s="1951"/>
      <c r="K132" s="1954"/>
      <c r="L132" s="1360"/>
    </row>
    <row r="133" spans="1:12" s="1340" customFormat="1" ht="13.5">
      <c r="A133" s="1120" t="s">
        <v>2336</v>
      </c>
      <c r="B133" s="59"/>
      <c r="C133" s="1951"/>
      <c r="D133" s="1951"/>
      <c r="E133" s="1952"/>
      <c r="F133" s="1953"/>
      <c r="G133" s="1951"/>
      <c r="H133" s="1954"/>
      <c r="I133" s="1953"/>
      <c r="J133" s="1951"/>
      <c r="K133" s="1954"/>
      <c r="L133" s="1360"/>
    </row>
    <row r="134" spans="1:12" s="1340" customFormat="1" ht="13.5">
      <c r="A134" s="1120" t="s">
        <v>2248</v>
      </c>
      <c r="B134" s="59"/>
      <c r="C134" s="1951"/>
      <c r="D134" s="1951"/>
      <c r="E134" s="1952"/>
      <c r="F134" s="1953"/>
      <c r="G134" s="1951"/>
      <c r="H134" s="1954"/>
      <c r="I134" s="1953"/>
      <c r="J134" s="1951"/>
      <c r="K134" s="1954"/>
      <c r="L134" s="1360"/>
    </row>
    <row r="135" spans="1:12" ht="4.9000000000000004" customHeight="1">
      <c r="A135" s="706"/>
      <c r="B135" s="59"/>
      <c r="C135" s="80"/>
      <c r="D135" s="80"/>
      <c r="E135" s="79"/>
      <c r="F135" s="82"/>
      <c r="G135" s="80"/>
      <c r="H135" s="81"/>
      <c r="I135" s="82"/>
      <c r="J135" s="80"/>
      <c r="K135" s="81"/>
      <c r="L135" s="240"/>
    </row>
    <row r="136" spans="1:12" ht="13.5" customHeight="1">
      <c r="A136" s="126" t="s">
        <v>2337</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c r="A137" s="127" t="s">
        <v>2337</v>
      </c>
      <c r="B137" s="59"/>
      <c r="C137" s="1951"/>
      <c r="D137" s="1951"/>
      <c r="E137" s="1952"/>
      <c r="F137" s="1953"/>
      <c r="G137" s="1951"/>
      <c r="H137" s="1954"/>
      <c r="I137" s="1953"/>
      <c r="J137" s="1951"/>
      <c r="K137" s="1954"/>
      <c r="L137" s="240"/>
    </row>
    <row r="138" spans="1:12" ht="4.9000000000000004" customHeight="1">
      <c r="A138" s="148"/>
      <c r="B138" s="59"/>
      <c r="C138" s="80"/>
      <c r="D138" s="80"/>
      <c r="E138" s="79"/>
      <c r="F138" s="82"/>
      <c r="G138" s="80"/>
      <c r="H138" s="81"/>
      <c r="I138" s="82"/>
      <c r="J138" s="80"/>
      <c r="K138" s="81"/>
      <c r="L138" s="240"/>
    </row>
    <row r="139" spans="1:12" ht="17.25" customHeight="1">
      <c r="A139" s="126" t="s">
        <v>2340</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c r="A140" s="131" t="s">
        <v>2338</v>
      </c>
      <c r="B140" s="59"/>
      <c r="C140" s="1951"/>
      <c r="D140" s="1951"/>
      <c r="E140" s="1952"/>
      <c r="F140" s="1953"/>
      <c r="G140" s="1951"/>
      <c r="H140" s="1954"/>
      <c r="I140" s="1953"/>
      <c r="J140" s="1951"/>
      <c r="K140" s="1954"/>
      <c r="L140" s="240"/>
    </row>
    <row r="141" spans="1:12" ht="11.25" customHeight="1">
      <c r="A141" s="131" t="s">
        <v>2339</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c r="L141" s="240"/>
    </row>
    <row r="142" spans="1:12" s="1340" customFormat="1" ht="13.5">
      <c r="A142" s="1120" t="s">
        <v>2341</v>
      </c>
      <c r="B142" s="59"/>
      <c r="C142" s="1951"/>
      <c r="D142" s="1951"/>
      <c r="E142" s="1952"/>
      <c r="F142" s="1953"/>
      <c r="G142" s="1951"/>
      <c r="H142" s="1954"/>
      <c r="I142" s="1953"/>
      <c r="J142" s="1951"/>
      <c r="K142" s="1954"/>
      <c r="L142" s="1360"/>
    </row>
    <row r="143" spans="1:12" s="1340" customFormat="1" ht="13.5">
      <c r="A143" s="1120" t="s">
        <v>2342</v>
      </c>
      <c r="B143" s="59"/>
      <c r="C143" s="1951"/>
      <c r="D143" s="1951"/>
      <c r="E143" s="1952"/>
      <c r="F143" s="1953"/>
      <c r="G143" s="1951"/>
      <c r="H143" s="1954"/>
      <c r="I143" s="1953"/>
      <c r="J143" s="1951"/>
      <c r="K143" s="1954"/>
      <c r="L143" s="1360"/>
    </row>
    <row r="144" spans="1:12" s="1340" customFormat="1" ht="13.5">
      <c r="A144" s="1120" t="s">
        <v>2343</v>
      </c>
      <c r="B144" s="59"/>
      <c r="C144" s="1951"/>
      <c r="D144" s="1951"/>
      <c r="E144" s="1952"/>
      <c r="F144" s="1953"/>
      <c r="G144" s="1951"/>
      <c r="H144" s="1954"/>
      <c r="I144" s="1953"/>
      <c r="J144" s="1951"/>
      <c r="K144" s="1954"/>
      <c r="L144" s="1360"/>
    </row>
    <row r="145" spans="1:12" s="1340" customFormat="1" ht="13.5">
      <c r="A145" s="1120" t="s">
        <v>2344</v>
      </c>
      <c r="B145" s="59"/>
      <c r="C145" s="1951"/>
      <c r="D145" s="1951"/>
      <c r="E145" s="1952">
        <v>0</v>
      </c>
      <c r="F145" s="1953"/>
      <c r="G145" s="1951"/>
      <c r="H145" s="1954"/>
      <c r="I145" s="1953"/>
      <c r="J145" s="1951"/>
      <c r="K145" s="1954"/>
      <c r="L145" s="1360"/>
    </row>
    <row r="146" spans="1:12" s="1340" customFormat="1" ht="13.5">
      <c r="A146" s="1120" t="s">
        <v>2345</v>
      </c>
      <c r="B146" s="59"/>
      <c r="C146" s="1951"/>
      <c r="D146" s="1951"/>
      <c r="E146" s="1952"/>
      <c r="F146" s="1953"/>
      <c r="G146" s="1951"/>
      <c r="H146" s="1954"/>
      <c r="I146" s="1953"/>
      <c r="J146" s="1951"/>
      <c r="K146" s="1954"/>
      <c r="L146" s="1360"/>
    </row>
    <row r="147" spans="1:12" s="1340" customFormat="1" ht="13.5">
      <c r="A147" s="1120" t="s">
        <v>2346</v>
      </c>
      <c r="B147" s="59"/>
      <c r="C147" s="1951"/>
      <c r="D147" s="1951"/>
      <c r="E147" s="1952"/>
      <c r="F147" s="1953"/>
      <c r="G147" s="1951"/>
      <c r="H147" s="1954"/>
      <c r="I147" s="1953"/>
      <c r="J147" s="1951"/>
      <c r="K147" s="1954"/>
      <c r="L147" s="1360"/>
    </row>
    <row r="148" spans="1:12" ht="4.9000000000000004" customHeight="1">
      <c r="A148" s="148"/>
      <c r="B148" s="59"/>
      <c r="C148" s="95"/>
      <c r="D148" s="95"/>
      <c r="E148" s="94"/>
      <c r="F148" s="97"/>
      <c r="G148" s="95"/>
      <c r="H148" s="96"/>
      <c r="I148" s="97"/>
      <c r="J148" s="95"/>
      <c r="K148" s="96"/>
      <c r="L148" s="240"/>
    </row>
    <row r="149" spans="1:12" ht="13.5" customHeight="1">
      <c r="A149" s="126" t="s">
        <v>2347</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c r="A150" s="127" t="s">
        <v>2347</v>
      </c>
      <c r="B150" s="59"/>
      <c r="C150" s="1951"/>
      <c r="D150" s="1951"/>
      <c r="E150" s="1952"/>
      <c r="F150" s="1953"/>
      <c r="G150" s="1951"/>
      <c r="H150" s="1954"/>
      <c r="I150" s="1953"/>
      <c r="J150" s="1951"/>
      <c r="K150" s="1954"/>
      <c r="L150" s="240"/>
    </row>
    <row r="151" spans="1:12" ht="4.9000000000000004" customHeight="1">
      <c r="A151" s="148"/>
      <c r="B151" s="59"/>
      <c r="C151" s="80"/>
      <c r="D151" s="80"/>
      <c r="E151" s="79"/>
      <c r="F151" s="82"/>
      <c r="G151" s="80"/>
      <c r="H151" s="81"/>
      <c r="I151" s="82"/>
      <c r="J151" s="80"/>
      <c r="K151" s="81"/>
      <c r="L151" s="240"/>
    </row>
    <row r="152" spans="1:12" ht="13.5" customHeight="1">
      <c r="A152" s="126" t="s">
        <v>2348</v>
      </c>
      <c r="B152" s="59"/>
      <c r="C152" s="80">
        <f t="shared" ref="C152:K152" si="24">SUM(C153:C153)</f>
        <v>0</v>
      </c>
      <c r="D152" s="80">
        <f t="shared" si="24"/>
        <v>0</v>
      </c>
      <c r="E152" s="79">
        <f t="shared" si="24"/>
        <v>0</v>
      </c>
      <c r="F152" s="82">
        <f t="shared" si="24"/>
        <v>150000</v>
      </c>
      <c r="G152" s="80">
        <f t="shared" si="24"/>
        <v>150000</v>
      </c>
      <c r="H152" s="81">
        <f t="shared" si="24"/>
        <v>150000</v>
      </c>
      <c r="I152" s="82">
        <f t="shared" si="24"/>
        <v>0</v>
      </c>
      <c r="J152" s="80">
        <f t="shared" si="24"/>
        <v>0</v>
      </c>
      <c r="K152" s="81">
        <f t="shared" si="24"/>
        <v>0</v>
      </c>
      <c r="L152" s="240"/>
    </row>
    <row r="153" spans="1:12" ht="11.25" customHeight="1">
      <c r="A153" s="127" t="s">
        <v>2348</v>
      </c>
      <c r="B153" s="59"/>
      <c r="C153" s="1951"/>
      <c r="D153" s="1951"/>
      <c r="E153" s="1952"/>
      <c r="F153" s="1953">
        <v>150000</v>
      </c>
      <c r="G153" s="1951">
        <v>150000</v>
      </c>
      <c r="H153" s="1954">
        <v>150000</v>
      </c>
      <c r="I153" s="1953"/>
      <c r="J153" s="1951"/>
      <c r="K153" s="1954"/>
      <c r="L153" s="240"/>
    </row>
    <row r="154" spans="1:12" ht="4.9000000000000004" customHeight="1">
      <c r="A154" s="148"/>
      <c r="B154" s="59"/>
      <c r="C154" s="80"/>
      <c r="D154" s="80"/>
      <c r="E154" s="79"/>
      <c r="F154" s="82"/>
      <c r="G154" s="80"/>
      <c r="H154" s="81"/>
      <c r="I154" s="82"/>
      <c r="J154" s="80"/>
      <c r="K154" s="81"/>
      <c r="L154" s="240"/>
    </row>
    <row r="155" spans="1:12" ht="13.5" customHeight="1">
      <c r="A155" s="126" t="s">
        <v>2349</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c r="A156" s="127" t="s">
        <v>2349</v>
      </c>
      <c r="B156" s="59"/>
      <c r="C156" s="1951"/>
      <c r="D156" s="1951"/>
      <c r="E156" s="1952"/>
      <c r="F156" s="1953"/>
      <c r="G156" s="1951"/>
      <c r="H156" s="1954"/>
      <c r="I156" s="1953"/>
      <c r="J156" s="1951"/>
      <c r="K156" s="1954"/>
      <c r="L156" s="240"/>
    </row>
    <row r="157" spans="1:12" ht="4.9000000000000004" customHeight="1">
      <c r="A157" s="148"/>
      <c r="B157" s="59"/>
      <c r="C157" s="80"/>
      <c r="D157" s="80"/>
      <c r="E157" s="79"/>
      <c r="F157" s="82"/>
      <c r="G157" s="80"/>
      <c r="H157" s="81"/>
      <c r="I157" s="82"/>
      <c r="J157" s="80"/>
      <c r="K157" s="81"/>
      <c r="L157" s="240"/>
    </row>
    <row r="158" spans="1:12" ht="13.5" customHeight="1">
      <c r="A158" s="126" t="s">
        <v>2350</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c r="A159" s="127" t="s">
        <v>2350</v>
      </c>
      <c r="B159" s="59"/>
      <c r="C159" s="1951"/>
      <c r="D159" s="1951"/>
      <c r="E159" s="1952"/>
      <c r="F159" s="1953"/>
      <c r="G159" s="1951"/>
      <c r="H159" s="1954"/>
      <c r="I159" s="1953"/>
      <c r="J159" s="1951"/>
      <c r="K159" s="1954"/>
      <c r="L159" s="240"/>
    </row>
    <row r="160" spans="1:12" ht="4.9000000000000004" customHeight="1">
      <c r="A160" s="148"/>
      <c r="B160" s="59"/>
      <c r="C160" s="80"/>
      <c r="D160" s="80"/>
      <c r="E160" s="79"/>
      <c r="F160" s="82"/>
      <c r="G160" s="80"/>
      <c r="H160" s="81"/>
      <c r="I160" s="82"/>
      <c r="J160" s="80"/>
      <c r="K160" s="81"/>
      <c r="L160" s="240"/>
    </row>
    <row r="161" spans="1:12" ht="13.5" customHeight="1">
      <c r="A161" s="126" t="s">
        <v>2485</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c r="A162" s="127" t="s">
        <v>2485</v>
      </c>
      <c r="B162" s="59"/>
      <c r="C162" s="1951"/>
      <c r="D162" s="1951"/>
      <c r="E162" s="1952"/>
      <c r="F162" s="1953"/>
      <c r="G162" s="1951"/>
      <c r="H162" s="1954"/>
      <c r="I162" s="1953"/>
      <c r="J162" s="1951"/>
      <c r="K162" s="1954"/>
      <c r="L162" s="240"/>
    </row>
    <row r="163" spans="1:12" ht="4.9000000000000004" customHeight="1">
      <c r="A163" s="148"/>
      <c r="B163" s="59"/>
      <c r="C163" s="80"/>
      <c r="D163" s="80"/>
      <c r="E163" s="79"/>
      <c r="F163" s="82"/>
      <c r="G163" s="80"/>
      <c r="H163" s="81"/>
      <c r="I163" s="82"/>
      <c r="J163" s="80"/>
      <c r="K163" s="81"/>
      <c r="L163" s="240"/>
    </row>
    <row r="164" spans="1:12" ht="13.5" customHeight="1">
      <c r="A164" s="126" t="s">
        <v>2351</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c r="A165" s="127" t="s">
        <v>2351</v>
      </c>
      <c r="B165" s="59"/>
      <c r="C165" s="1951"/>
      <c r="D165" s="1951"/>
      <c r="E165" s="1952"/>
      <c r="F165" s="1953"/>
      <c r="G165" s="1951"/>
      <c r="H165" s="1954"/>
      <c r="I165" s="1953"/>
      <c r="J165" s="1951"/>
      <c r="K165" s="1954"/>
      <c r="L165" s="240"/>
    </row>
    <row r="166" spans="1:12" ht="4.9000000000000004" customHeight="1">
      <c r="A166" s="148"/>
      <c r="B166" s="59"/>
      <c r="C166" s="80"/>
      <c r="D166" s="80"/>
      <c r="E166" s="79"/>
      <c r="F166" s="82"/>
      <c r="G166" s="80"/>
      <c r="H166" s="81"/>
      <c r="I166" s="82"/>
      <c r="J166" s="80"/>
      <c r="K166" s="81"/>
      <c r="L166" s="240"/>
    </row>
    <row r="167" spans="1:12">
      <c r="A167" s="155" t="s">
        <v>2364</v>
      </c>
      <c r="B167" s="102">
        <v>1</v>
      </c>
      <c r="C167" s="107">
        <f>C6+C74+C103+C110+C118+C136+C139+C149+C152+C155+C158+C161+C164</f>
        <v>0</v>
      </c>
      <c r="D167" s="107">
        <f t="shared" ref="D167:K167" si="29">D6+D74+D103+D110+D118+D136+D139+D149+D152+D155+D158+D161+D164</f>
        <v>21732907</v>
      </c>
      <c r="E167" s="108">
        <f t="shared" si="29"/>
        <v>17531610</v>
      </c>
      <c r="F167" s="106">
        <f t="shared" si="29"/>
        <v>37409466</v>
      </c>
      <c r="G167" s="107">
        <f t="shared" si="29"/>
        <v>61374952</v>
      </c>
      <c r="H167" s="105">
        <f t="shared" si="29"/>
        <v>61374952</v>
      </c>
      <c r="I167" s="106">
        <f t="shared" si="29"/>
        <v>106338050</v>
      </c>
      <c r="J167" s="107">
        <f t="shared" si="29"/>
        <v>96829700</v>
      </c>
      <c r="K167" s="105">
        <f t="shared" si="29"/>
        <v>102603794</v>
      </c>
      <c r="L167" s="240"/>
    </row>
    <row r="168" spans="1:12" s="233" customFormat="1" ht="3.75" customHeight="1">
      <c r="A168" s="198"/>
      <c r="B168" s="298"/>
      <c r="C168" s="1158"/>
      <c r="D168" s="1158"/>
      <c r="E168" s="1158"/>
      <c r="F168" s="1157"/>
      <c r="G168" s="1158"/>
      <c r="H168" s="1156"/>
      <c r="I168" s="1157"/>
      <c r="J168" s="1158"/>
      <c r="K168" s="1156"/>
    </row>
    <row r="169" spans="1:12" s="576" customFormat="1">
      <c r="A169" s="1748" t="s">
        <v>2365</v>
      </c>
      <c r="B169" s="1749"/>
      <c r="C169" s="1750">
        <f>IF(ISERROR(C167/'A9-Asset'!C67),0,(C167/'A9-Asset'!C67))</f>
        <v>0</v>
      </c>
      <c r="D169" s="1750">
        <f>IF(ISERROR(D167/'A9-Asset'!D132),0,(D167/'A9-Asset'!D132))</f>
        <v>0.44443084032542768</v>
      </c>
      <c r="E169" s="1753">
        <f>IF(ISERROR(E167/'A9-Asset'!E132),0,(E167/'A9-Asset'!E132))</f>
        <v>0.16941628034952913</v>
      </c>
      <c r="F169" s="1752">
        <f>IF(ISERROR(F167/'A9-Asset'!F132),0,(F167/'A9-Asset'!F132))</f>
        <v>0.26211816515814379</v>
      </c>
      <c r="G169" s="1750">
        <f>IF(ISERROR(G167/'A9-Asset'!G132),0,(G167/'A9-Asset'!G132))</f>
        <v>0.39752478561690141</v>
      </c>
      <c r="H169" s="1751">
        <f>IF(ISERROR(H167/'A9-Asset'!H132),0,(H167/'A9-Asset'!H132))</f>
        <v>0.39752478561690141</v>
      </c>
      <c r="I169" s="1754">
        <f>IF(ISERROR(I167/'A9-Asset'!I132),0,(I167/'A9-Asset'!I132))</f>
        <v>0.81190786959607342</v>
      </c>
      <c r="J169" s="1750">
        <f>IF(ISERROR(J167/'A9-Asset'!J132),0,(J167/'A9-Asset'!J132))</f>
        <v>0.91220806284014788</v>
      </c>
      <c r="K169" s="1751">
        <f>IF(ISERROR(K167/'A9-Asset'!K132),0,(K167/'A9-Asset'!K132))</f>
        <v>0.91345276722864899</v>
      </c>
      <c r="L169" s="1362"/>
    </row>
    <row r="170" spans="1:12" s="576" customFormat="1" ht="11.25" customHeight="1">
      <c r="A170" s="1741" t="s">
        <v>2366</v>
      </c>
      <c r="B170" s="1742"/>
      <c r="C170" s="1743">
        <f>IF(ISERROR(C167/'A9-Asset'!C168),0,(C167/'A9-Asset'!C168))</f>
        <v>0</v>
      </c>
      <c r="D170" s="1743">
        <f>IF(ISERROR(D167/'A9-Asset'!D168),0,(D167/'A9-Asset'!D168))</f>
        <v>0.16782662105317328</v>
      </c>
      <c r="E170" s="1746">
        <f>IF(ISERROR(E167/'A9-Asset'!E168),0,(E167/'A9-Asset'!E168))</f>
        <v>0.13718744519461878</v>
      </c>
      <c r="F170" s="1745">
        <f>IF(ISERROR(F167/'A9-Asset'!F168),0,(F167/'A9-Asset'!F168))</f>
        <v>0.27876630445680806</v>
      </c>
      <c r="G170" s="1743">
        <f>IF(ISERROR(G167/'A9-Asset'!G168),0,(G167/'A9-Asset'!G168))</f>
        <v>0.47181378043249311</v>
      </c>
      <c r="H170" s="1744">
        <f>IF(ISERROR(H167/'A9-Asset'!H168),0,(H167/'A9-Asset'!H168))</f>
        <v>0.47211501538461537</v>
      </c>
      <c r="I170" s="1747">
        <f>IF(ISERROR(I167/'A9-Asset'!I168),0,(I167/'A9-Asset'!I168))</f>
        <v>0.79970974380865423</v>
      </c>
      <c r="J170" s="1743">
        <f>IF(ISERROR(J167/'A9-Asset'!J168),0,(J167/'A9-Asset'!J168))</f>
        <v>0.74171300708512378</v>
      </c>
      <c r="K170" s="1744">
        <f>IF(ISERROR(K167/'A9-Asset'!K168),0,(K167/'A9-Asset'!K168))</f>
        <v>0.75071336486500517</v>
      </c>
      <c r="L170" s="923"/>
    </row>
    <row r="171" spans="1:12" s="576" customFormat="1" ht="11.25" customHeight="1">
      <c r="A171" s="1092" t="str">
        <f>head27a</f>
        <v>References</v>
      </c>
      <c r="B171" s="874"/>
      <c r="C171" s="878"/>
      <c r="D171" s="878"/>
      <c r="E171" s="878"/>
      <c r="F171" s="878"/>
      <c r="G171" s="878"/>
      <c r="H171" s="878"/>
      <c r="I171" s="878"/>
      <c r="J171" s="878"/>
      <c r="K171" s="878"/>
    </row>
    <row r="172" spans="1:12" s="576" customFormat="1" ht="16.149999999999999" customHeight="1">
      <c r="A172" s="1093" t="s">
        <v>2367</v>
      </c>
      <c r="B172" s="874"/>
      <c r="C172" s="877"/>
      <c r="D172" s="877"/>
      <c r="E172" s="878"/>
      <c r="F172" s="878"/>
      <c r="G172" s="878"/>
      <c r="H172" s="878"/>
      <c r="I172" s="878"/>
      <c r="J172" s="878"/>
      <c r="K172" s="878"/>
    </row>
    <row r="173" spans="1:12" ht="11.25" customHeight="1">
      <c r="A173" s="896"/>
      <c r="B173" s="874"/>
      <c r="C173" s="877"/>
      <c r="D173" s="877"/>
      <c r="E173" s="878"/>
      <c r="F173" s="878"/>
      <c r="G173" s="878"/>
      <c r="H173" s="878"/>
      <c r="I173" s="878"/>
      <c r="J173" s="878"/>
      <c r="K173" s="878"/>
    </row>
    <row r="174" spans="1:12" ht="11.25" customHeight="1">
      <c r="A174" s="123"/>
      <c r="B174" s="113"/>
      <c r="C174" s="117"/>
      <c r="D174" s="117"/>
      <c r="E174" s="118"/>
      <c r="F174" s="118"/>
      <c r="G174" s="118"/>
      <c r="H174" s="118"/>
      <c r="I174" s="118"/>
      <c r="J174" s="118"/>
      <c r="K174" s="118"/>
    </row>
    <row r="175" spans="1:12" ht="11.25" customHeight="1">
      <c r="A175" s="162" t="s">
        <v>248</v>
      </c>
      <c r="B175" s="120"/>
      <c r="C175" s="314">
        <f>SUM(C167+SA34a!C167++SA34b!C167)-'A5-Capex'!C40</f>
        <v>0.92701753973960876</v>
      </c>
      <c r="D175" s="314"/>
      <c r="E175" s="314">
        <f>SUM(E167+SA34a!E167++SA34b!E167)-'A5-Capex'!E40</f>
        <v>1.0986956506967545</v>
      </c>
      <c r="F175" s="314">
        <f>SUM(F167+SA34a!F167++SA34b!F167)-'A5-Capex'!F40</f>
        <v>3</v>
      </c>
      <c r="G175" s="314">
        <f>SUM(G167+SA34a!G167++SA34b!G167)-'A5-Capex'!G40</f>
        <v>3</v>
      </c>
      <c r="H175" s="314">
        <f>SUM(H167+SA34a!H167++SA34b!H167)-'A5-Capex'!H40</f>
        <v>3</v>
      </c>
      <c r="I175" s="314">
        <f>SUM(I167+SA34a!I167++SA34b!I167)-'A5-Capex'!J40</f>
        <v>0</v>
      </c>
      <c r="J175" s="314">
        <f>SUM(J167+SA34a!J167++SA34b!J167)-'A5-Capex'!K40</f>
        <v>0</v>
      </c>
      <c r="K175" s="314">
        <f>SUM(K167+SA34a!K167++SA34b!K167)-'A5-Capex'!L40</f>
        <v>0</v>
      </c>
    </row>
    <row r="176" spans="1:12"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6" activePane="bottomRight" state="frozen"/>
      <selection pane="topRight"/>
      <selection pane="bottomLeft"/>
      <selection pane="bottomRight" activeCell="K42" sqref="K42"/>
    </sheetView>
  </sheetViews>
  <sheetFormatPr defaultColWidth="9.140625" defaultRowHeight="12.75"/>
  <cols>
    <col min="1" max="1" width="30.7109375" style="26" customWidth="1"/>
    <col min="2" max="2" width="3" style="124" customWidth="1"/>
    <col min="3" max="9" width="9.28515625" style="26" customWidth="1"/>
    <col min="10" max="10" width="9.42578125" style="26" customWidth="1"/>
    <col min="11" max="11" width="9.7109375" style="26" customWidth="1"/>
    <col min="12" max="14" width="9.42578125" style="26" customWidth="1"/>
    <col min="15" max="15" width="9.7109375" style="26" customWidth="1"/>
    <col min="16" max="18" width="9.42578125" style="26" customWidth="1"/>
    <col min="19" max="20" width="9.7109375" style="26" customWidth="1"/>
    <col min="21" max="16384" width="9.140625" style="26"/>
  </cols>
  <sheetData>
    <row r="1" spans="1:10" ht="13.5" customHeight="1">
      <c r="A1" s="796" t="str">
        <f>muni&amp;" - "&amp;TableA35</f>
        <v>LIM333 Greater Tzaneen - Supporting Table SA35 Consolidated future financial implications of the capital budget</v>
      </c>
      <c r="B1" s="796"/>
      <c r="C1" s="796"/>
      <c r="D1" s="796"/>
      <c r="E1" s="796"/>
      <c r="F1" s="796"/>
      <c r="G1" s="796"/>
      <c r="H1" s="796"/>
      <c r="I1" s="796"/>
    </row>
    <row r="2" spans="1:10" ht="33.75" customHeight="1">
      <c r="A2" s="841" t="str">
        <f>Vdesc</f>
        <v>Vote Description</v>
      </c>
      <c r="B2" s="288" t="str">
        <f>head27</f>
        <v>Ref</v>
      </c>
      <c r="C2" s="2922" t="str">
        <f>Head3</f>
        <v>2020/21 Medium Term Revenue &amp; Expenditure Framework</v>
      </c>
      <c r="D2" s="2840"/>
      <c r="E2" s="2840"/>
      <c r="F2" s="2884" t="s">
        <v>754</v>
      </c>
      <c r="G2" s="2929"/>
      <c r="H2" s="2929"/>
      <c r="I2" s="2930"/>
    </row>
    <row r="3" spans="1:10" ht="25.5">
      <c r="A3" s="57" t="s">
        <v>569</v>
      </c>
      <c r="B3" s="846"/>
      <c r="C3" s="843" t="str">
        <f>Head9</f>
        <v>Budget Year 2020/21</v>
      </c>
      <c r="D3" s="260" t="str">
        <f>Head10</f>
        <v>Budget Year +1 2021/22</v>
      </c>
      <c r="E3" s="259" t="str">
        <f>Head11</f>
        <v>Budget Year +2 2022/23</v>
      </c>
      <c r="F3" s="859" t="str">
        <f>Head12</f>
        <v>Forecast 2023/24</v>
      </c>
      <c r="G3" s="860" t="str">
        <f>Head13</f>
        <v>Forecast 2024/25</v>
      </c>
      <c r="H3" s="860" t="str">
        <f>Head14</f>
        <v>Forecast 2025/26</v>
      </c>
      <c r="I3" s="861" t="str">
        <f>Head48</f>
        <v>Present value</v>
      </c>
    </row>
    <row r="4" spans="1:10">
      <c r="A4" s="126" t="s">
        <v>1326</v>
      </c>
      <c r="B4" s="612">
        <v>1</v>
      </c>
      <c r="C4" s="797"/>
      <c r="D4" s="797"/>
      <c r="E4" s="798"/>
      <c r="F4" s="186"/>
      <c r="G4" s="184"/>
      <c r="H4" s="184"/>
      <c r="I4" s="187"/>
      <c r="J4" s="240"/>
    </row>
    <row r="5" spans="1:10" ht="11.25" customHeight="1">
      <c r="A5" s="1005" t="str">
        <f>'A5-Capex'!A6</f>
        <v>Vote 1 - Municipal Manager</v>
      </c>
      <c r="B5" s="59"/>
      <c r="C5" s="1286">
        <f>'A5-Capex'!J6+'A5-Capex'!J24</f>
        <v>0</v>
      </c>
      <c r="D5" s="1286">
        <f>'A5-Capex'!K6+'A5-Capex'!K24</f>
        <v>0</v>
      </c>
      <c r="E5" s="1287">
        <f>'A5-Capex'!L6+'A5-Capex'!L24</f>
        <v>0</v>
      </c>
      <c r="F5" s="1958"/>
      <c r="G5" s="1402"/>
      <c r="H5" s="1402"/>
      <c r="I5" s="1957"/>
      <c r="J5" s="240"/>
    </row>
    <row r="6" spans="1:10" ht="11.25" customHeight="1">
      <c r="A6" s="1005" t="str">
        <f>'A5-Capex'!A7</f>
        <v>Vote 2 - Planning &amp; Economic Development</v>
      </c>
      <c r="B6" s="59"/>
      <c r="C6" s="1286">
        <f>'A5-Capex'!J7+'A5-Capex'!J25</f>
        <v>1235000</v>
      </c>
      <c r="D6" s="1286">
        <f>'A5-Capex'!K7+'A5-Capex'!K25</f>
        <v>235000</v>
      </c>
      <c r="E6" s="1287">
        <f>'A5-Capex'!L7+'A5-Capex'!L25</f>
        <v>235000</v>
      </c>
      <c r="F6" s="1958"/>
      <c r="G6" s="1402"/>
      <c r="H6" s="1402"/>
      <c r="I6" s="1957"/>
      <c r="J6" s="240"/>
    </row>
    <row r="7" spans="1:10" ht="11.25" customHeight="1">
      <c r="A7" s="1005" t="str">
        <f>'A5-Capex'!A8</f>
        <v>Vote 3 - Financial Services</v>
      </c>
      <c r="B7" s="59"/>
      <c r="C7" s="1286">
        <f>'A5-Capex'!J8+'A5-Capex'!J26</f>
        <v>500000</v>
      </c>
      <c r="D7" s="1286">
        <f>'A5-Capex'!K8+'A5-Capex'!K26</f>
        <v>700000</v>
      </c>
      <c r="E7" s="1287">
        <f>'A5-Capex'!L8+'A5-Capex'!L26</f>
        <v>700000</v>
      </c>
      <c r="F7" s="1958"/>
      <c r="G7" s="1402"/>
      <c r="H7" s="1402"/>
      <c r="I7" s="1957"/>
      <c r="J7" s="240"/>
    </row>
    <row r="8" spans="1:10" ht="11.25" customHeight="1">
      <c r="A8" s="1005" t="str">
        <f>'A5-Capex'!A9</f>
        <v>Vote 4 - Corporate Services</v>
      </c>
      <c r="B8" s="59"/>
      <c r="C8" s="1286">
        <f>'A5-Capex'!J9+'A5-Capex'!J27</f>
        <v>0</v>
      </c>
      <c r="D8" s="1286">
        <f>'A5-Capex'!K9+'A5-Capex'!K27</f>
        <v>0</v>
      </c>
      <c r="E8" s="1287">
        <f>'A5-Capex'!L9+'A5-Capex'!L27</f>
        <v>0</v>
      </c>
      <c r="F8" s="1958"/>
      <c r="G8" s="1402"/>
      <c r="H8" s="1402"/>
      <c r="I8" s="1957"/>
      <c r="J8" s="240"/>
    </row>
    <row r="9" spans="1:10" ht="11.25" customHeight="1">
      <c r="A9" s="1005" t="str">
        <f>'A5-Capex'!A10</f>
        <v>Vote 5 - Community Services</v>
      </c>
      <c r="B9" s="59"/>
      <c r="C9" s="1286">
        <f>'A5-Capex'!J10+'A5-Capex'!J28</f>
        <v>2300000</v>
      </c>
      <c r="D9" s="1286">
        <f>'A5-Capex'!K10+'A5-Capex'!K28</f>
        <v>0</v>
      </c>
      <c r="E9" s="1287">
        <f>'A5-Capex'!L10+'A5-Capex'!L28</f>
        <v>0</v>
      </c>
      <c r="F9" s="1958"/>
      <c r="G9" s="1402"/>
      <c r="H9" s="1402"/>
      <c r="I9" s="1957"/>
      <c r="J9" s="240"/>
    </row>
    <row r="10" spans="1:10" ht="11.25" customHeight="1">
      <c r="A10" s="1005" t="str">
        <f>'A5-Capex'!A11</f>
        <v>Vote 6 - Community Services</v>
      </c>
      <c r="B10" s="59"/>
      <c r="C10" s="1286">
        <f>'A5-Capex'!J11+'A5-Capex'!J29</f>
        <v>0</v>
      </c>
      <c r="D10" s="1286">
        <f>'A5-Capex'!K11+'A5-Capex'!K29</f>
        <v>0</v>
      </c>
      <c r="E10" s="1287">
        <f>'A5-Capex'!L11+'A5-Capex'!L29</f>
        <v>0</v>
      </c>
      <c r="F10" s="1958"/>
      <c r="G10" s="1402"/>
      <c r="H10" s="1402"/>
      <c r="I10" s="1957"/>
      <c r="J10" s="240"/>
    </row>
    <row r="11" spans="1:10" ht="11.25" customHeight="1">
      <c r="A11" s="1005" t="str">
        <f>'A5-Capex'!A12</f>
        <v>Vote 7 - Electrical Engineering Services</v>
      </c>
      <c r="B11" s="59"/>
      <c r="C11" s="1286">
        <f>'A5-Capex'!J12+'A5-Capex'!J30</f>
        <v>30000000</v>
      </c>
      <c r="D11" s="1286">
        <f>'A5-Capex'!K12+'A5-Capex'!K30</f>
        <v>8384000</v>
      </c>
      <c r="E11" s="1287">
        <f>'A5-Capex'!L12+'A5-Capex'!L30</f>
        <v>8786432</v>
      </c>
      <c r="F11" s="1958"/>
      <c r="G11" s="1402"/>
      <c r="H11" s="1402"/>
      <c r="I11" s="1957"/>
      <c r="J11" s="240"/>
    </row>
    <row r="12" spans="1:10" ht="11.25" customHeight="1">
      <c r="A12" s="1005" t="str">
        <f>'A5-Capex'!A13</f>
        <v>Vote 8 - Engineering Services</v>
      </c>
      <c r="B12" s="59"/>
      <c r="C12" s="1286">
        <f>'A5-Capex'!J13+'A5-Capex'!J31</f>
        <v>96938050</v>
      </c>
      <c r="D12" s="1286">
        <f>'A5-Capex'!K13+'A5-Capex'!K31</f>
        <v>96829700</v>
      </c>
      <c r="E12" s="1287">
        <f>'A5-Capex'!L13+'A5-Capex'!L31</f>
        <v>102603800</v>
      </c>
      <c r="F12" s="1958"/>
      <c r="G12" s="1402"/>
      <c r="H12" s="1402"/>
      <c r="I12" s="1957"/>
      <c r="J12" s="240"/>
    </row>
    <row r="13" spans="1:10" ht="11.25" customHeight="1">
      <c r="A13" s="1005" t="str">
        <f>'A5-Capex'!A14</f>
        <v>Vote 9 - [NAME OF VOTE 9]</v>
      </c>
      <c r="B13" s="59"/>
      <c r="C13" s="1286">
        <f>'A5-Capex'!J14+'A5-Capex'!J32</f>
        <v>0</v>
      </c>
      <c r="D13" s="1286">
        <f>'A5-Capex'!K14+'A5-Capex'!K32</f>
        <v>0</v>
      </c>
      <c r="E13" s="1287">
        <f>'A5-Capex'!L14+'A5-Capex'!L32</f>
        <v>0</v>
      </c>
      <c r="F13" s="1958"/>
      <c r="G13" s="1402"/>
      <c r="H13" s="1402"/>
      <c r="I13" s="1957"/>
      <c r="J13" s="240"/>
    </row>
    <row r="14" spans="1:10" ht="11.25" customHeight="1">
      <c r="A14" s="1005" t="str">
        <f>'A5-Capex'!A15</f>
        <v>Vote 10 - [NAME OF VOTE 10]</v>
      </c>
      <c r="B14" s="59"/>
      <c r="C14" s="1286">
        <f>'A5-Capex'!J15+'A5-Capex'!J33</f>
        <v>0</v>
      </c>
      <c r="D14" s="1286">
        <f>'A5-Capex'!K15+'A5-Capex'!K33</f>
        <v>0</v>
      </c>
      <c r="E14" s="1287">
        <f>'A5-Capex'!L15+'A5-Capex'!L33</f>
        <v>0</v>
      </c>
      <c r="F14" s="1958"/>
      <c r="G14" s="1402"/>
      <c r="H14" s="1402"/>
      <c r="I14" s="1957"/>
      <c r="J14" s="240"/>
    </row>
    <row r="15" spans="1:10" ht="11.25" customHeight="1">
      <c r="A15" s="1005" t="str">
        <f>'A5-Capex'!A16</f>
        <v>Vote 11 - [NAME OF VOTE 11]</v>
      </c>
      <c r="B15" s="59"/>
      <c r="C15" s="1286">
        <f>'A5-Capex'!J16+'A5-Capex'!J34</f>
        <v>0</v>
      </c>
      <c r="D15" s="1286">
        <f>'A5-Capex'!K16+'A5-Capex'!K34</f>
        <v>0</v>
      </c>
      <c r="E15" s="1287">
        <f>'A5-Capex'!L16+'A5-Capex'!L34</f>
        <v>0</v>
      </c>
      <c r="F15" s="1958"/>
      <c r="G15" s="1402"/>
      <c r="H15" s="1402"/>
      <c r="I15" s="1957"/>
      <c r="J15" s="240"/>
    </row>
    <row r="16" spans="1:10" ht="11.25" customHeight="1">
      <c r="A16" s="1005" t="str">
        <f>'A5-Capex'!A17</f>
        <v>Vote 12 - [NAME OF VOTE 12]</v>
      </c>
      <c r="B16" s="59"/>
      <c r="C16" s="1286">
        <f>'A5-Capex'!J17+'A5-Capex'!J35</f>
        <v>0</v>
      </c>
      <c r="D16" s="1286">
        <f>'A5-Capex'!K17+'A5-Capex'!K35</f>
        <v>0</v>
      </c>
      <c r="E16" s="1287">
        <f>'A5-Capex'!L17+'A5-Capex'!L35</f>
        <v>0</v>
      </c>
      <c r="F16" s="1958"/>
      <c r="G16" s="1402"/>
      <c r="H16" s="1402"/>
      <c r="I16" s="1957"/>
      <c r="J16" s="240"/>
    </row>
    <row r="17" spans="1:10" ht="11.25" customHeight="1">
      <c r="A17" s="1005" t="str">
        <f>'A5-Capex'!A18</f>
        <v>Vote 13 - [NAME OF VOTE 13]</v>
      </c>
      <c r="B17" s="59"/>
      <c r="C17" s="1286">
        <f>'A5-Capex'!J18+'A5-Capex'!J36</f>
        <v>0</v>
      </c>
      <c r="D17" s="1286">
        <f>'A5-Capex'!K18+'A5-Capex'!K36</f>
        <v>0</v>
      </c>
      <c r="E17" s="1287">
        <f>'A5-Capex'!L18+'A5-Capex'!L36</f>
        <v>0</v>
      </c>
      <c r="F17" s="1958"/>
      <c r="G17" s="1402"/>
      <c r="H17" s="1402"/>
      <c r="I17" s="1957"/>
      <c r="J17" s="240"/>
    </row>
    <row r="18" spans="1:10" ht="11.25" customHeight="1">
      <c r="A18" s="1005" t="str">
        <f>'A5-Capex'!A19</f>
        <v>Vote 14 - [NAME OF VOTE 14]</v>
      </c>
      <c r="B18" s="59"/>
      <c r="C18" s="1286">
        <f>'A5-Capex'!J19+'A5-Capex'!J37</f>
        <v>0</v>
      </c>
      <c r="D18" s="1286">
        <f>'A5-Capex'!K19+'A5-Capex'!K37</f>
        <v>0</v>
      </c>
      <c r="E18" s="1287">
        <f>'A5-Capex'!L19+'A5-Capex'!L37</f>
        <v>0</v>
      </c>
      <c r="F18" s="1958"/>
      <c r="G18" s="1402"/>
      <c r="H18" s="1402"/>
      <c r="I18" s="1957"/>
      <c r="J18" s="240"/>
    </row>
    <row r="19" spans="1:10" ht="11.25" customHeight="1">
      <c r="A19" s="1005" t="str">
        <f>'A5-Capex'!A20</f>
        <v>Vote 15 - [NAME OF VOTE 15]</v>
      </c>
      <c r="B19" s="59"/>
      <c r="C19" s="1286">
        <f>'A5-Capex'!J20+'A5-Capex'!J38</f>
        <v>0</v>
      </c>
      <c r="D19" s="1286">
        <f>'A5-Capex'!K20+'A5-Capex'!K38</f>
        <v>0</v>
      </c>
      <c r="E19" s="1287">
        <f>'A5-Capex'!L20+'A5-Capex'!L38</f>
        <v>0</v>
      </c>
      <c r="F19" s="1958"/>
      <c r="G19" s="1402"/>
      <c r="H19" s="1402"/>
      <c r="I19" s="1957"/>
      <c r="J19" s="240"/>
    </row>
    <row r="20" spans="1:10" ht="11.25" customHeight="1">
      <c r="A20" s="2292" t="s">
        <v>1305</v>
      </c>
      <c r="B20" s="59"/>
      <c r="C20" s="1402"/>
      <c r="D20" s="1402"/>
      <c r="E20" s="1403"/>
      <c r="F20" s="1958"/>
      <c r="G20" s="1402"/>
      <c r="H20" s="1402"/>
      <c r="I20" s="1957"/>
      <c r="J20" s="240"/>
    </row>
    <row r="21" spans="1:10" ht="11.25" customHeight="1">
      <c r="A21" s="1119" t="s">
        <v>31</v>
      </c>
      <c r="B21" s="59"/>
      <c r="C21" s="1172">
        <f>SUM(C5:C20)</f>
        <v>130973050</v>
      </c>
      <c r="D21" s="1172">
        <f t="shared" ref="D21:I21" si="0">SUM(D5:D20)</f>
        <v>106148700</v>
      </c>
      <c r="E21" s="1173">
        <f t="shared" si="0"/>
        <v>112325232</v>
      </c>
      <c r="F21" s="1171">
        <f t="shared" si="0"/>
        <v>0</v>
      </c>
      <c r="G21" s="1172">
        <f t="shared" si="0"/>
        <v>0</v>
      </c>
      <c r="H21" s="1172">
        <f t="shared" si="0"/>
        <v>0</v>
      </c>
      <c r="I21" s="1170">
        <f t="shared" si="0"/>
        <v>0</v>
      </c>
      <c r="J21" s="240"/>
    </row>
    <row r="22" spans="1:10" ht="4.5" customHeight="1">
      <c r="A22" s="148"/>
      <c r="B22" s="59"/>
      <c r="C22" s="803"/>
      <c r="D22" s="803"/>
      <c r="E22" s="804"/>
      <c r="F22" s="805"/>
      <c r="G22" s="803"/>
      <c r="H22" s="803"/>
      <c r="I22" s="806"/>
      <c r="J22" s="240"/>
    </row>
    <row r="23" spans="1:10" ht="11.25" customHeight="1">
      <c r="A23" s="126" t="s">
        <v>755</v>
      </c>
      <c r="B23" s="59">
        <v>2</v>
      </c>
      <c r="C23" s="799"/>
      <c r="D23" s="799"/>
      <c r="E23" s="800"/>
      <c r="F23" s="801"/>
      <c r="G23" s="799"/>
      <c r="H23" s="799"/>
      <c r="I23" s="802"/>
      <c r="J23" s="240"/>
    </row>
    <row r="24" spans="1:10" ht="11.25" customHeight="1">
      <c r="A24" s="1005" t="str">
        <f>A5</f>
        <v>Vote 1 - Municipal Manager</v>
      </c>
      <c r="B24" s="59"/>
      <c r="C24" s="1402"/>
      <c r="D24" s="1402"/>
      <c r="E24" s="1403"/>
      <c r="F24" s="1958"/>
      <c r="G24" s="1402"/>
      <c r="H24" s="1402"/>
      <c r="I24" s="1957"/>
      <c r="J24" s="240"/>
    </row>
    <row r="25" spans="1:10" ht="11.25" customHeight="1">
      <c r="A25" s="1005" t="str">
        <f t="shared" ref="A25:A38" si="1">A6</f>
        <v>Vote 2 - Planning &amp; Economic Development</v>
      </c>
      <c r="B25" s="59"/>
      <c r="C25" s="1402"/>
      <c r="D25" s="1402"/>
      <c r="E25" s="1403"/>
      <c r="F25" s="1958"/>
      <c r="G25" s="1402"/>
      <c r="H25" s="1402"/>
      <c r="I25" s="1957"/>
      <c r="J25" s="240"/>
    </row>
    <row r="26" spans="1:10" ht="11.25" customHeight="1">
      <c r="A26" s="1005" t="str">
        <f t="shared" si="1"/>
        <v>Vote 3 - Financial Services</v>
      </c>
      <c r="B26" s="59"/>
      <c r="C26" s="1402"/>
      <c r="D26" s="1402"/>
      <c r="E26" s="1403"/>
      <c r="F26" s="1958"/>
      <c r="G26" s="1402"/>
      <c r="H26" s="1402"/>
      <c r="I26" s="1957"/>
      <c r="J26" s="240"/>
    </row>
    <row r="27" spans="1:10" ht="11.25" customHeight="1">
      <c r="A27" s="1005" t="str">
        <f t="shared" si="1"/>
        <v>Vote 4 - Corporate Services</v>
      </c>
      <c r="B27" s="59"/>
      <c r="C27" s="1402"/>
      <c r="D27" s="1402"/>
      <c r="E27" s="1403"/>
      <c r="F27" s="1958"/>
      <c r="G27" s="1402"/>
      <c r="H27" s="1402"/>
      <c r="I27" s="1957"/>
      <c r="J27" s="240"/>
    </row>
    <row r="28" spans="1:10" ht="11.25" customHeight="1">
      <c r="A28" s="1005" t="str">
        <f t="shared" si="1"/>
        <v>Vote 5 - Community Services</v>
      </c>
      <c r="B28" s="59"/>
      <c r="C28" s="1402"/>
      <c r="D28" s="1402"/>
      <c r="E28" s="1403"/>
      <c r="F28" s="1958"/>
      <c r="G28" s="1402"/>
      <c r="H28" s="1402"/>
      <c r="I28" s="1957"/>
      <c r="J28" s="240"/>
    </row>
    <row r="29" spans="1:10" ht="11.25" customHeight="1">
      <c r="A29" s="1005" t="str">
        <f t="shared" si="1"/>
        <v>Vote 6 - Community Services</v>
      </c>
      <c r="B29" s="59"/>
      <c r="C29" s="1402"/>
      <c r="D29" s="1402"/>
      <c r="E29" s="1403"/>
      <c r="F29" s="1958"/>
      <c r="G29" s="1402"/>
      <c r="H29" s="1402"/>
      <c r="I29" s="1957"/>
      <c r="J29" s="240"/>
    </row>
    <row r="30" spans="1:10" ht="11.25" customHeight="1">
      <c r="A30" s="1005" t="str">
        <f t="shared" si="1"/>
        <v>Vote 7 - Electrical Engineering Services</v>
      </c>
      <c r="B30" s="59"/>
      <c r="C30" s="1402"/>
      <c r="D30" s="1402"/>
      <c r="E30" s="1403"/>
      <c r="F30" s="1958"/>
      <c r="G30" s="1402"/>
      <c r="H30" s="1402"/>
      <c r="I30" s="1957"/>
      <c r="J30" s="240"/>
    </row>
    <row r="31" spans="1:10" ht="11.25" customHeight="1">
      <c r="A31" s="1005" t="str">
        <f t="shared" si="1"/>
        <v>Vote 8 - Engineering Services</v>
      </c>
      <c r="B31" s="59"/>
      <c r="C31" s="1402"/>
      <c r="D31" s="1402"/>
      <c r="E31" s="1403"/>
      <c r="F31" s="1958"/>
      <c r="G31" s="1402"/>
      <c r="H31" s="1402"/>
      <c r="I31" s="1957"/>
      <c r="J31" s="240"/>
    </row>
    <row r="32" spans="1:10" ht="11.25" customHeight="1">
      <c r="A32" s="1005" t="str">
        <f t="shared" si="1"/>
        <v>Vote 9 - [NAME OF VOTE 9]</v>
      </c>
      <c r="B32" s="59"/>
      <c r="C32" s="1402"/>
      <c r="D32" s="1402"/>
      <c r="E32" s="1403"/>
      <c r="F32" s="1958"/>
      <c r="G32" s="1402"/>
      <c r="H32" s="1402"/>
      <c r="I32" s="1957"/>
      <c r="J32" s="240"/>
    </row>
    <row r="33" spans="1:15" ht="11.25" customHeight="1">
      <c r="A33" s="1005" t="str">
        <f t="shared" si="1"/>
        <v>Vote 10 - [NAME OF VOTE 10]</v>
      </c>
      <c r="B33" s="59"/>
      <c r="C33" s="1402"/>
      <c r="D33" s="1402"/>
      <c r="E33" s="1403"/>
      <c r="F33" s="1958"/>
      <c r="G33" s="1402"/>
      <c r="H33" s="1402"/>
      <c r="I33" s="1957"/>
      <c r="J33" s="240"/>
    </row>
    <row r="34" spans="1:15" ht="11.25" customHeight="1">
      <c r="A34" s="1005" t="str">
        <f t="shared" si="1"/>
        <v>Vote 11 - [NAME OF VOTE 11]</v>
      </c>
      <c r="B34" s="59"/>
      <c r="C34" s="1402"/>
      <c r="D34" s="1402"/>
      <c r="E34" s="1403"/>
      <c r="F34" s="1958"/>
      <c r="G34" s="1402"/>
      <c r="H34" s="1402"/>
      <c r="I34" s="1957"/>
      <c r="J34" s="240"/>
    </row>
    <row r="35" spans="1:15" ht="11.25" customHeight="1">
      <c r="A35" s="1005" t="str">
        <f t="shared" si="1"/>
        <v>Vote 12 - [NAME OF VOTE 12]</v>
      </c>
      <c r="B35" s="59"/>
      <c r="C35" s="1402"/>
      <c r="D35" s="1402"/>
      <c r="E35" s="1403"/>
      <c r="F35" s="1958"/>
      <c r="G35" s="1402"/>
      <c r="H35" s="1402"/>
      <c r="I35" s="1957"/>
      <c r="J35" s="240"/>
    </row>
    <row r="36" spans="1:15" ht="11.25" customHeight="1">
      <c r="A36" s="1005" t="str">
        <f t="shared" si="1"/>
        <v>Vote 13 - [NAME OF VOTE 13]</v>
      </c>
      <c r="B36" s="59"/>
      <c r="C36" s="1402"/>
      <c r="D36" s="1402"/>
      <c r="E36" s="1403"/>
      <c r="F36" s="1958"/>
      <c r="G36" s="1402"/>
      <c r="H36" s="1402"/>
      <c r="I36" s="1957"/>
      <c r="J36" s="240"/>
    </row>
    <row r="37" spans="1:15" ht="11.25" customHeight="1">
      <c r="A37" s="1005" t="str">
        <f t="shared" si="1"/>
        <v>Vote 14 - [NAME OF VOTE 14]</v>
      </c>
      <c r="B37" s="59"/>
      <c r="C37" s="1402"/>
      <c r="D37" s="1402"/>
      <c r="E37" s="1403"/>
      <c r="F37" s="1958"/>
      <c r="G37" s="1402"/>
      <c r="H37" s="1402"/>
      <c r="I37" s="1957"/>
      <c r="J37" s="240"/>
      <c r="O37" s="240"/>
    </row>
    <row r="38" spans="1:15" ht="11.25" customHeight="1">
      <c r="A38" s="1005" t="str">
        <f t="shared" si="1"/>
        <v>Vote 15 - [NAME OF VOTE 15]</v>
      </c>
      <c r="B38" s="59"/>
      <c r="C38" s="1402"/>
      <c r="D38" s="1402"/>
      <c r="E38" s="1403"/>
      <c r="F38" s="1958"/>
      <c r="G38" s="1402"/>
      <c r="H38" s="1402"/>
      <c r="I38" s="1957"/>
      <c r="J38" s="240"/>
    </row>
    <row r="39" spans="1:15" ht="11.25" customHeight="1">
      <c r="A39" s="2292" t="s">
        <v>1305</v>
      </c>
      <c r="B39" s="59"/>
      <c r="C39" s="1402"/>
      <c r="D39" s="1402"/>
      <c r="E39" s="1403"/>
      <c r="F39" s="1958"/>
      <c r="G39" s="1402"/>
      <c r="H39" s="1402"/>
      <c r="I39" s="1957"/>
      <c r="J39" s="240"/>
    </row>
    <row r="40" spans="1:15">
      <c r="A40" s="140" t="s">
        <v>14</v>
      </c>
      <c r="B40" s="59"/>
      <c r="C40" s="1288">
        <f>SUM(C24:C39)</f>
        <v>0</v>
      </c>
      <c r="D40" s="1288">
        <f t="shared" ref="D40:I40" si="2">SUM(D24:D39)</f>
        <v>0</v>
      </c>
      <c r="E40" s="1289">
        <f t="shared" si="2"/>
        <v>0</v>
      </c>
      <c r="F40" s="1290">
        <f t="shared" si="2"/>
        <v>0</v>
      </c>
      <c r="G40" s="1288">
        <f t="shared" si="2"/>
        <v>0</v>
      </c>
      <c r="H40" s="1288">
        <f t="shared" si="2"/>
        <v>0</v>
      </c>
      <c r="I40" s="1291">
        <f t="shared" si="2"/>
        <v>0</v>
      </c>
      <c r="J40" s="240"/>
    </row>
    <row r="41" spans="1:15" ht="4.5" customHeight="1">
      <c r="A41" s="148"/>
      <c r="B41" s="59"/>
      <c r="C41" s="799"/>
      <c r="D41" s="799"/>
      <c r="E41" s="800"/>
      <c r="F41" s="801"/>
      <c r="G41" s="799"/>
      <c r="H41" s="799"/>
      <c r="I41" s="802"/>
      <c r="J41" s="240"/>
    </row>
    <row r="42" spans="1:15" ht="11.25" customHeight="1">
      <c r="A42" s="126" t="s">
        <v>756</v>
      </c>
      <c r="B42" s="59">
        <v>3</v>
      </c>
      <c r="C42" s="799"/>
      <c r="D42" s="799"/>
      <c r="E42" s="800"/>
      <c r="F42" s="801"/>
      <c r="G42" s="799"/>
      <c r="H42" s="799"/>
      <c r="I42" s="802"/>
      <c r="J42" s="240"/>
    </row>
    <row r="43" spans="1:15" ht="11.25" customHeight="1">
      <c r="A43" s="1005" t="str">
        <f>'A4-FinPerf RE'!A5</f>
        <v>Property rates</v>
      </c>
      <c r="B43" s="59"/>
      <c r="C43" s="1402"/>
      <c r="D43" s="1402"/>
      <c r="E43" s="1403"/>
      <c r="F43" s="1958"/>
      <c r="G43" s="1402"/>
      <c r="H43" s="1402"/>
      <c r="I43" s="1957"/>
      <c r="J43" s="240"/>
    </row>
    <row r="44" spans="1:15" ht="11.25" customHeight="1">
      <c r="A44" s="1005" t="str">
        <f>'A4-FinPerf RE'!A6</f>
        <v>Service charges - electricity revenue</v>
      </c>
      <c r="B44" s="59"/>
      <c r="C44" s="1402"/>
      <c r="D44" s="1402"/>
      <c r="E44" s="1403"/>
      <c r="F44" s="1958"/>
      <c r="G44" s="1402"/>
      <c r="H44" s="1402"/>
      <c r="I44" s="1957"/>
      <c r="J44" s="240"/>
    </row>
    <row r="45" spans="1:15" ht="11.25" customHeight="1">
      <c r="A45" s="1005" t="str">
        <f>'A4-FinPerf RE'!A7</f>
        <v>Service charges - water revenue</v>
      </c>
      <c r="B45" s="59"/>
      <c r="C45" s="1402"/>
      <c r="D45" s="1402"/>
      <c r="E45" s="1403"/>
      <c r="F45" s="1958"/>
      <c r="G45" s="1402"/>
      <c r="H45" s="1402"/>
      <c r="I45" s="1957"/>
      <c r="J45" s="240"/>
    </row>
    <row r="46" spans="1:15" ht="11.25" customHeight="1">
      <c r="A46" s="1005" t="str">
        <f>'A4-FinPerf RE'!A8</f>
        <v>Service charges - sanitation revenue</v>
      </c>
      <c r="B46" s="59"/>
      <c r="C46" s="1402"/>
      <c r="D46" s="1402"/>
      <c r="E46" s="1403"/>
      <c r="F46" s="1958"/>
      <c r="G46" s="1402"/>
      <c r="H46" s="1402"/>
      <c r="I46" s="1957"/>
      <c r="J46" s="240"/>
    </row>
    <row r="47" spans="1:15" ht="11.25" customHeight="1">
      <c r="A47" s="1005" t="str">
        <f>'A4-FinPerf RE'!A9</f>
        <v>Service charges - refuse revenue</v>
      </c>
      <c r="B47" s="59"/>
      <c r="C47" s="1402"/>
      <c r="D47" s="1402"/>
      <c r="E47" s="1403"/>
      <c r="F47" s="1958"/>
      <c r="G47" s="1402"/>
      <c r="H47" s="1402"/>
      <c r="I47" s="1957"/>
      <c r="J47" s="240"/>
    </row>
    <row r="48" spans="1:15" ht="1.9" customHeight="1">
      <c r="A48" s="1005"/>
      <c r="B48" s="59"/>
      <c r="C48" s="1286"/>
      <c r="D48" s="1286"/>
      <c r="E48" s="1287"/>
      <c r="F48" s="1324"/>
      <c r="G48" s="1286"/>
      <c r="H48" s="1286"/>
      <c r="I48" s="1323"/>
      <c r="J48" s="240"/>
    </row>
    <row r="49" spans="1:10" ht="11.25" customHeight="1">
      <c r="A49" s="1005" t="str">
        <f>'A4-FinPerf RE'!A11</f>
        <v>Rental of facilities and equipment</v>
      </c>
      <c r="B49" s="59"/>
      <c r="C49" s="1402"/>
      <c r="D49" s="1402"/>
      <c r="E49" s="1403"/>
      <c r="F49" s="1958"/>
      <c r="G49" s="1402"/>
      <c r="H49" s="1402"/>
      <c r="I49" s="1957"/>
      <c r="J49" s="240"/>
    </row>
    <row r="50" spans="1:10" ht="11.25" customHeight="1">
      <c r="A50" s="2292" t="s">
        <v>251</v>
      </c>
      <c r="B50" s="59"/>
      <c r="C50" s="1402"/>
      <c r="D50" s="1402"/>
      <c r="E50" s="1403"/>
      <c r="F50" s="1958"/>
      <c r="G50" s="1402"/>
      <c r="H50" s="1402"/>
      <c r="I50" s="1957"/>
      <c r="J50" s="240"/>
    </row>
    <row r="51" spans="1:10" ht="11.25" customHeight="1">
      <c r="A51" s="2292" t="s">
        <v>1305</v>
      </c>
      <c r="B51" s="59"/>
      <c r="C51" s="1402"/>
      <c r="D51" s="1402"/>
      <c r="E51" s="1403"/>
      <c r="F51" s="1958"/>
      <c r="G51" s="1402"/>
      <c r="H51" s="1402"/>
      <c r="I51" s="1957"/>
      <c r="J51" s="240"/>
    </row>
    <row r="52" spans="1:10">
      <c r="A52" s="140" t="s">
        <v>104</v>
      </c>
      <c r="B52" s="59"/>
      <c r="C52" s="1288">
        <f>SUM(C43:C47)+SUM(C49:C51)</f>
        <v>0</v>
      </c>
      <c r="D52" s="1288">
        <f t="shared" ref="D52:I52" si="3">SUM(D43:D47)+SUM(D49:D51)</f>
        <v>0</v>
      </c>
      <c r="E52" s="1289">
        <f t="shared" si="3"/>
        <v>0</v>
      </c>
      <c r="F52" s="1290">
        <f t="shared" si="3"/>
        <v>0</v>
      </c>
      <c r="G52" s="1288">
        <f t="shared" si="3"/>
        <v>0</v>
      </c>
      <c r="H52" s="1288">
        <f t="shared" si="3"/>
        <v>0</v>
      </c>
      <c r="I52" s="1291">
        <f t="shared" si="3"/>
        <v>0</v>
      </c>
      <c r="J52" s="240"/>
    </row>
    <row r="53" spans="1:10">
      <c r="A53" s="155" t="s">
        <v>757</v>
      </c>
      <c r="B53" s="102"/>
      <c r="C53" s="104">
        <f t="shared" ref="C53:I53" si="4">C21+C40-C52</f>
        <v>130973050</v>
      </c>
      <c r="D53" s="104">
        <f t="shared" si="4"/>
        <v>106148700</v>
      </c>
      <c r="E53" s="103">
        <f t="shared" si="4"/>
        <v>112325232</v>
      </c>
      <c r="F53" s="226">
        <f t="shared" si="4"/>
        <v>0</v>
      </c>
      <c r="G53" s="104">
        <f t="shared" si="4"/>
        <v>0</v>
      </c>
      <c r="H53" s="104">
        <f t="shared" si="4"/>
        <v>0</v>
      </c>
      <c r="I53" s="225">
        <f t="shared" si="4"/>
        <v>0</v>
      </c>
      <c r="J53" s="240"/>
    </row>
    <row r="54" spans="1:10" s="576" customFormat="1" ht="11.25" customHeight="1">
      <c r="A54" s="1092" t="str">
        <f>head27a</f>
        <v>References</v>
      </c>
      <c r="B54" s="919"/>
      <c r="C54" s="915"/>
      <c r="D54" s="915"/>
      <c r="E54" s="915"/>
      <c r="F54" s="915"/>
      <c r="G54" s="915"/>
      <c r="H54" s="915"/>
      <c r="I54" s="915"/>
    </row>
    <row r="55" spans="1:10" s="576" customFormat="1" ht="11.25" customHeight="1">
      <c r="A55" s="1093" t="s">
        <v>19</v>
      </c>
      <c r="B55" s="915"/>
      <c r="C55" s="915"/>
      <c r="D55" s="915"/>
      <c r="E55" s="915"/>
      <c r="F55" s="915"/>
      <c r="G55" s="915"/>
      <c r="H55" s="915"/>
      <c r="I55" s="915"/>
    </row>
    <row r="56" spans="1:10" s="576" customFormat="1" ht="11.25" customHeight="1">
      <c r="A56" s="1093" t="s">
        <v>20</v>
      </c>
      <c r="B56" s="915"/>
      <c r="C56" s="915"/>
      <c r="D56" s="915"/>
      <c r="E56" s="915"/>
      <c r="F56" s="915"/>
      <c r="G56" s="915"/>
      <c r="H56" s="915"/>
      <c r="I56" s="915"/>
    </row>
    <row r="57" spans="1:10" s="576" customFormat="1" ht="11.25" customHeight="1">
      <c r="A57" s="1245" t="s">
        <v>1304</v>
      </c>
      <c r="B57" s="925"/>
      <c r="C57" s="925"/>
      <c r="D57" s="925"/>
      <c r="E57" s="925"/>
      <c r="F57" s="925"/>
      <c r="G57" s="925"/>
      <c r="H57" s="925"/>
      <c r="I57" s="925"/>
    </row>
    <row r="58" spans="1:10" ht="11.25" customHeight="1">
      <c r="B58" s="26"/>
    </row>
    <row r="59" spans="1:10">
      <c r="A59" s="305" t="s">
        <v>1338</v>
      </c>
      <c r="B59" s="26"/>
      <c r="C59" s="800">
        <f>C21-('A5-Capex'!J21+'A5-Capex'!J39)</f>
        <v>0</v>
      </c>
      <c r="D59" s="800">
        <f>D21-('A5-Capex'!K21+'A5-Capex'!K39)</f>
        <v>0</v>
      </c>
      <c r="E59" s="800">
        <f>E21-('A5-Capex'!L21+'A5-Capex'!L39)</f>
        <v>0</v>
      </c>
      <c r="F59" s="240"/>
    </row>
    <row r="60" spans="1:10" ht="11.25" customHeight="1">
      <c r="B60" s="26"/>
    </row>
    <row r="61" spans="1:10" ht="11.25" customHeight="1">
      <c r="B61" s="26"/>
    </row>
    <row r="62" spans="1:10" ht="11.25" customHeight="1">
      <c r="B62" s="26"/>
    </row>
    <row r="63" spans="1:10" ht="11.25" customHeight="1">
      <c r="B63" s="26"/>
    </row>
    <row r="64" spans="1:10" ht="11.25" customHeight="1">
      <c r="B64" s="26"/>
    </row>
    <row r="65" spans="2:2" ht="11.25" customHeight="1">
      <c r="B65" s="26"/>
    </row>
    <row r="66" spans="2:2" ht="11.25" customHeight="1">
      <c r="B66" s="26"/>
    </row>
    <row r="67" spans="2:2" ht="11.25" customHeight="1">
      <c r="B67" s="26"/>
    </row>
    <row r="68" spans="2:2" ht="11.25" customHeight="1">
      <c r="B68" s="26"/>
    </row>
    <row r="69" spans="2:2" ht="11.25" customHeight="1">
      <c r="B69" s="26"/>
    </row>
    <row r="70" spans="2:2" ht="11.25" customHeight="1">
      <c r="B70" s="26"/>
    </row>
    <row r="71" spans="2:2" ht="11.25" customHeight="1">
      <c r="B71" s="26"/>
    </row>
    <row r="72" spans="2:2" ht="11.25" customHeight="1">
      <c r="B72" s="26"/>
    </row>
    <row r="73" spans="2:2" ht="11.25" customHeight="1">
      <c r="B73" s="26"/>
    </row>
    <row r="74" spans="2:2" ht="11.25" customHeight="1">
      <c r="B74" s="26"/>
    </row>
    <row r="75" spans="2:2" ht="11.25" customHeight="1">
      <c r="B75" s="26"/>
    </row>
    <row r="76" spans="2:2" ht="11.25" customHeight="1">
      <c r="B76" s="26"/>
    </row>
    <row r="77" spans="2:2">
      <c r="B77" s="26"/>
    </row>
    <row r="78" spans="2:2" ht="11.25" customHeight="1">
      <c r="B78" s="26"/>
    </row>
    <row r="79" spans="2:2" ht="11.25" customHeight="1">
      <c r="B79" s="26"/>
    </row>
    <row r="80" spans="2:2" ht="11.25" customHeight="1">
      <c r="B80" s="26"/>
    </row>
    <row r="81" spans="2:9" ht="11.25" customHeight="1">
      <c r="B81" s="26"/>
    </row>
    <row r="82" spans="2:9" ht="11.25" customHeight="1">
      <c r="B82" s="26"/>
    </row>
    <row r="83" spans="2:9" ht="11.25" customHeight="1">
      <c r="B83" s="26"/>
    </row>
    <row r="84" spans="2:9" ht="6" customHeight="1">
      <c r="B84" s="26"/>
    </row>
    <row r="85" spans="2:9" ht="11.25" customHeight="1">
      <c r="B85" s="26"/>
    </row>
    <row r="86" spans="2:9" ht="11.25" customHeight="1">
      <c r="B86" s="26"/>
    </row>
    <row r="87" spans="2:9" ht="11.25" customHeight="1">
      <c r="B87" s="26"/>
    </row>
    <row r="88" spans="2:9" ht="11.25" customHeight="1">
      <c r="B88" s="26"/>
    </row>
    <row r="89" spans="2:9" ht="11.25" customHeight="1">
      <c r="B89" s="26"/>
    </row>
    <row r="90" spans="2:9" ht="11.25" customHeight="1">
      <c r="B90" s="26"/>
    </row>
    <row r="91" spans="2:9" ht="11.25" customHeight="1">
      <c r="B91" s="26"/>
    </row>
    <row r="92" spans="2:9" ht="11.25" customHeight="1">
      <c r="B92" s="26"/>
    </row>
    <row r="93" spans="2:9" ht="11.25" customHeight="1">
      <c r="B93" s="26"/>
    </row>
    <row r="94" spans="2:9" ht="11.25" customHeight="1">
      <c r="B94" s="26"/>
    </row>
    <row r="95" spans="2:9" ht="11.25" customHeight="1">
      <c r="B95" s="26"/>
      <c r="I95" s="207"/>
    </row>
    <row r="96" spans="2:9" ht="11.25" customHeight="1">
      <c r="B96" s="26"/>
    </row>
    <row r="97" spans="1:8" ht="11.25" customHeight="1">
      <c r="B97" s="26"/>
    </row>
    <row r="98" spans="1:8" ht="11.25" customHeight="1">
      <c r="B98" s="26"/>
    </row>
    <row r="99" spans="1:8">
      <c r="B99" s="26"/>
    </row>
    <row r="100" spans="1:8">
      <c r="B100" s="26"/>
    </row>
    <row r="101" spans="1:8" ht="11.25" customHeight="1">
      <c r="B101" s="26"/>
    </row>
    <row r="102" spans="1:8">
      <c r="B102" s="26"/>
    </row>
    <row r="103" spans="1:8">
      <c r="B103" s="26"/>
    </row>
    <row r="104" spans="1:8">
      <c r="B104" s="26"/>
    </row>
    <row r="105" spans="1:8">
      <c r="B105" s="26"/>
    </row>
    <row r="106" spans="1:8" ht="11.25" customHeight="1">
      <c r="B106" s="26"/>
    </row>
    <row r="107" spans="1:8" s="208" customFormat="1" ht="11.25" customHeight="1">
      <c r="A107" s="26"/>
      <c r="B107" s="26"/>
      <c r="C107" s="26"/>
      <c r="D107" s="26"/>
      <c r="E107" s="26"/>
      <c r="F107" s="26"/>
      <c r="G107" s="26"/>
      <c r="H107" s="26"/>
    </row>
    <row r="108" spans="1:8" ht="11.25" customHeight="1">
      <c r="B108" s="26"/>
    </row>
    <row r="109" spans="1:8" ht="11.25" customHeight="1">
      <c r="B109" s="26"/>
    </row>
    <row r="110" spans="1:8" ht="11.25" customHeight="1">
      <c r="B110" s="26"/>
    </row>
    <row r="111" spans="1:8" ht="11.25" customHeight="1">
      <c r="B111" s="26"/>
    </row>
    <row r="112" spans="1:8" ht="11.25" customHeight="1">
      <c r="B112" s="26"/>
    </row>
    <row r="113" spans="2:2" ht="11.25" customHeight="1">
      <c r="B113" s="26"/>
    </row>
    <row r="114" spans="2:2" ht="11.25" customHeight="1">
      <c r="B114" s="26"/>
    </row>
    <row r="115" spans="2:2" ht="11.25" customHeight="1">
      <c r="B115" s="26"/>
    </row>
    <row r="116" spans="2:2" ht="11.25" customHeight="1">
      <c r="B116" s="26"/>
    </row>
    <row r="117" spans="2:2" ht="11.25" customHeight="1">
      <c r="B117" s="26"/>
    </row>
    <row r="118" spans="2:2" ht="11.25" customHeight="1">
      <c r="B118" s="26"/>
    </row>
    <row r="119" spans="2:2" ht="11.25" customHeight="1">
      <c r="B119" s="26"/>
    </row>
    <row r="120" spans="2:2" ht="11.25" customHeight="1">
      <c r="B120" s="26"/>
    </row>
    <row r="121" spans="2:2" ht="11.25" customHeight="1">
      <c r="B121" s="26"/>
    </row>
    <row r="122" spans="2:2" ht="11.25" customHeight="1">
      <c r="B122" s="26"/>
    </row>
    <row r="123" spans="2:2" ht="11.25" customHeight="1"/>
    <row r="124" spans="2:2" ht="11.25" customHeight="1"/>
    <row r="125" spans="2:2" ht="11.25" customHeight="1"/>
    <row r="126" spans="2:2" ht="11.25" customHeight="1"/>
    <row r="127" spans="2:2" ht="11.25" customHeight="1"/>
    <row r="128" spans="2:2"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mergeCells count="2">
    <mergeCell ref="F2:I2"/>
    <mergeCell ref="C2:E2"/>
  </mergeCells>
  <phoneticPr fontId="5"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290"/>
  <sheetViews>
    <sheetView showGridLines="0" zoomScaleNormal="100" workbookViewId="0">
      <pane xSplit="2" ySplit="3" topLeftCell="K216" activePane="bottomRight" state="frozen"/>
      <selection pane="topRight"/>
      <selection pane="bottomLeft"/>
      <selection pane="bottomRight" activeCell="Q141" sqref="Q141"/>
    </sheetView>
  </sheetViews>
  <sheetFormatPr defaultColWidth="9.140625" defaultRowHeight="12.75"/>
  <cols>
    <col min="1" max="1" width="23.42578125" style="26" customWidth="1"/>
    <col min="2" max="2" width="58.5703125" style="26" customWidth="1"/>
    <col min="3" max="3" width="11.7109375" style="26" customWidth="1"/>
    <col min="4" max="4" width="8.28515625" style="26" customWidth="1"/>
    <col min="5" max="5" width="24.7109375" style="26" customWidth="1"/>
    <col min="6" max="7" width="20.42578125" style="26" customWidth="1"/>
    <col min="8" max="11" width="23.42578125" style="26" customWidth="1"/>
    <col min="12" max="12" width="17.7109375" style="26" customWidth="1"/>
    <col min="13" max="17" width="9.28515625" style="26" customWidth="1"/>
    <col min="18" max="18" width="9.7109375" style="26" customWidth="1"/>
    <col min="19" max="19" width="9.42578125" style="26" customWidth="1"/>
    <col min="20" max="20" width="9.7109375" style="26" customWidth="1"/>
    <col min="21" max="23" width="9.42578125" style="26" customWidth="1"/>
    <col min="24" max="24" width="9.7109375" style="26" customWidth="1"/>
    <col min="25" max="27" width="9.42578125" style="26" customWidth="1"/>
    <col min="28" max="29" width="9.7109375" style="26" customWidth="1"/>
    <col min="30" max="16384" width="9.140625" style="26"/>
  </cols>
  <sheetData>
    <row r="1" spans="1:17" ht="13.5" customHeight="1">
      <c r="A1" s="24" t="str">
        <f>muni&amp;" - "&amp;TableA36</f>
        <v>LIM333 Greater Tzaneen - Supporting Table SA36 Consolidated detailed capital budget</v>
      </c>
      <c r="B1" s="24"/>
      <c r="C1" s="24"/>
      <c r="D1" s="24"/>
      <c r="E1" s="24"/>
      <c r="F1" s="24"/>
      <c r="G1" s="24"/>
      <c r="H1" s="24"/>
      <c r="I1" s="24"/>
      <c r="J1" s="24"/>
      <c r="K1" s="24"/>
      <c r="L1" s="24"/>
      <c r="M1" s="24"/>
      <c r="N1" s="24"/>
      <c r="O1" s="24"/>
      <c r="P1" s="24"/>
      <c r="Q1" s="24"/>
    </row>
    <row r="2" spans="1:17" ht="22.15" customHeight="1">
      <c r="A2" s="2565" t="s">
        <v>569</v>
      </c>
      <c r="B2" s="499"/>
      <c r="C2" s="499"/>
      <c r="D2" s="499"/>
      <c r="E2" s="1764"/>
      <c r="F2" s="1764"/>
      <c r="G2" s="1764"/>
      <c r="H2" s="1764"/>
      <c r="I2" s="1764"/>
      <c r="J2" s="1764"/>
      <c r="K2" s="1764"/>
      <c r="L2" s="2573"/>
      <c r="M2" s="2931"/>
      <c r="N2" s="2882"/>
      <c r="O2" s="2839" t="str">
        <f>Head3</f>
        <v>2020/21 Medium Term Revenue &amp; Expenditure Framework</v>
      </c>
      <c r="P2" s="2840"/>
      <c r="Q2" s="2841"/>
    </row>
    <row r="3" spans="1:17" s="2571" customFormat="1" ht="50.25" customHeight="1">
      <c r="A3" s="2570" t="s">
        <v>2486</v>
      </c>
      <c r="B3" s="260" t="s">
        <v>2487</v>
      </c>
      <c r="C3" s="260" t="s">
        <v>2488</v>
      </c>
      <c r="D3" s="260" t="s">
        <v>2489</v>
      </c>
      <c r="E3" s="260" t="s">
        <v>2491</v>
      </c>
      <c r="F3" s="260" t="s">
        <v>2492</v>
      </c>
      <c r="G3" s="260" t="s">
        <v>2493</v>
      </c>
      <c r="H3" s="260" t="s">
        <v>1736</v>
      </c>
      <c r="I3" s="260" t="s">
        <v>2497</v>
      </c>
      <c r="J3" s="260" t="s">
        <v>2494</v>
      </c>
      <c r="K3" s="260" t="s">
        <v>2495</v>
      </c>
      <c r="L3" s="843" t="s">
        <v>2496</v>
      </c>
      <c r="M3" s="1920" t="str">
        <f>Head5&amp;"    "&amp;Head1</f>
        <v>Audited Outcome    2018/19</v>
      </c>
      <c r="N3" s="790" t="str">
        <f>Head2 &amp; "        "&amp;Head8</f>
        <v>Current Year 2019/20        Full Year Forecast</v>
      </c>
      <c r="O3" s="172" t="str">
        <f>Head9</f>
        <v>Budget Year 2020/21</v>
      </c>
      <c r="P3" s="260" t="str">
        <f>Head10</f>
        <v>Budget Year +1 2021/22</v>
      </c>
      <c r="Q3" s="261" t="str">
        <f>Head11</f>
        <v>Budget Year +2 2022/23</v>
      </c>
    </row>
    <row r="4" spans="1:17">
      <c r="A4" s="807" t="s">
        <v>1306</v>
      </c>
      <c r="B4" s="808"/>
      <c r="C4" s="809"/>
      <c r="D4" s="809"/>
      <c r="E4" s="809"/>
      <c r="F4" s="809"/>
      <c r="G4" s="809"/>
      <c r="H4" s="810"/>
      <c r="I4" s="811"/>
      <c r="J4" s="811"/>
      <c r="K4" s="2566"/>
      <c r="L4" s="1653"/>
      <c r="M4" s="184"/>
      <c r="N4" s="185"/>
      <c r="O4" s="186"/>
      <c r="P4" s="184"/>
      <c r="Q4" s="187"/>
    </row>
    <row r="5" spans="1:17" s="576" customFormat="1">
      <c r="A5" s="1246" t="s">
        <v>2490</v>
      </c>
      <c r="B5" s="926"/>
      <c r="C5" s="927"/>
      <c r="D5" s="927"/>
      <c r="E5" s="927"/>
      <c r="F5" s="927"/>
      <c r="G5" s="927"/>
      <c r="H5" s="1247"/>
      <c r="I5" s="1248"/>
      <c r="J5" s="1248"/>
      <c r="K5" s="2567"/>
      <c r="L5" s="1654"/>
      <c r="M5" s="928"/>
      <c r="N5" s="929"/>
      <c r="O5" s="930"/>
      <c r="P5" s="928"/>
      <c r="Q5" s="931"/>
    </row>
    <row r="6" spans="1:17" ht="4.9000000000000004" customHeight="1">
      <c r="A6" s="815"/>
      <c r="B6" s="463"/>
      <c r="C6" s="812"/>
      <c r="D6" s="812"/>
      <c r="E6" s="812"/>
      <c r="F6" s="812"/>
      <c r="G6" s="812"/>
      <c r="H6" s="813"/>
      <c r="I6" s="814"/>
      <c r="J6" s="814"/>
      <c r="K6" s="2568"/>
      <c r="L6" s="1655"/>
      <c r="M6" s="80"/>
      <c r="N6" s="79"/>
      <c r="O6" s="82"/>
      <c r="P6" s="80"/>
      <c r="Q6" s="81"/>
    </row>
    <row r="7" spans="1:17" ht="12.75" customHeight="1">
      <c r="A7" s="2713" t="s">
        <v>3243</v>
      </c>
      <c r="B7" s="2714" t="s">
        <v>3244</v>
      </c>
      <c r="C7" s="2715"/>
      <c r="D7" s="2716" t="s">
        <v>3245</v>
      </c>
      <c r="E7" s="2717"/>
      <c r="F7" s="2717"/>
      <c r="G7" s="2718"/>
      <c r="H7" s="2719"/>
      <c r="I7" s="2720"/>
      <c r="J7" s="2721" t="s">
        <v>3246</v>
      </c>
      <c r="K7" s="2722"/>
      <c r="L7" s="2723"/>
      <c r="M7" s="1951">
        <v>542012.71304347832</v>
      </c>
      <c r="N7" s="1962"/>
      <c r="O7" s="1961"/>
      <c r="P7" s="1951"/>
      <c r="Q7" s="1960"/>
    </row>
    <row r="8" spans="1:17" ht="12.75" customHeight="1">
      <c r="A8" s="2713" t="s">
        <v>3247</v>
      </c>
      <c r="B8" s="2714" t="s">
        <v>3248</v>
      </c>
      <c r="C8" s="2715"/>
      <c r="D8" s="2716"/>
      <c r="E8" s="2717" t="s">
        <v>2518</v>
      </c>
      <c r="F8" s="2717" t="s">
        <v>2503</v>
      </c>
      <c r="G8" s="2718" t="s">
        <v>2732</v>
      </c>
      <c r="H8" s="2719" t="s">
        <v>2294</v>
      </c>
      <c r="I8" s="2720" t="s">
        <v>2259</v>
      </c>
      <c r="J8" s="2721"/>
      <c r="K8" s="2722"/>
      <c r="L8" s="2723"/>
      <c r="M8" s="1951">
        <v>11062929.630000001</v>
      </c>
      <c r="N8" s="1962"/>
      <c r="O8" s="1961"/>
      <c r="P8" s="1951"/>
      <c r="Q8" s="1960"/>
    </row>
    <row r="9" spans="1:17" ht="14.25" customHeight="1">
      <c r="A9" s="2713" t="s">
        <v>3247</v>
      </c>
      <c r="B9" s="2714" t="s">
        <v>3249</v>
      </c>
      <c r="C9" s="2715"/>
      <c r="D9" s="2716"/>
      <c r="E9" s="2717" t="s">
        <v>2518</v>
      </c>
      <c r="F9" s="2717" t="s">
        <v>2503</v>
      </c>
      <c r="G9" s="2718" t="s">
        <v>2732</v>
      </c>
      <c r="H9" s="2719" t="s">
        <v>2294</v>
      </c>
      <c r="I9" s="2720" t="s">
        <v>2259</v>
      </c>
      <c r="J9" s="2721"/>
      <c r="K9" s="2722"/>
      <c r="L9" s="2723"/>
      <c r="M9" s="1951">
        <v>58376.19</v>
      </c>
      <c r="N9" s="1962"/>
      <c r="O9" s="1961"/>
      <c r="P9" s="1951"/>
      <c r="Q9" s="1960"/>
    </row>
    <row r="10" spans="1:17" ht="14.25" customHeight="1">
      <c r="A10" s="2713" t="s">
        <v>3243</v>
      </c>
      <c r="B10" s="2714" t="s">
        <v>3250</v>
      </c>
      <c r="C10" s="2715"/>
      <c r="D10" s="2716"/>
      <c r="E10" s="2717" t="s">
        <v>2518</v>
      </c>
      <c r="F10" s="2717" t="s">
        <v>2503</v>
      </c>
      <c r="G10" s="2718" t="s">
        <v>2732</v>
      </c>
      <c r="H10" s="2719" t="s">
        <v>2316</v>
      </c>
      <c r="I10" s="2720"/>
      <c r="J10" s="2721"/>
      <c r="K10" s="2722"/>
      <c r="L10" s="2723"/>
      <c r="M10" s="1951">
        <v>2562574.6256521745</v>
      </c>
      <c r="N10" s="1962"/>
      <c r="O10" s="1961"/>
      <c r="P10" s="1951"/>
      <c r="Q10" s="1960"/>
    </row>
    <row r="11" spans="1:17" ht="14.25" customHeight="1">
      <c r="A11" s="2713" t="s">
        <v>3243</v>
      </c>
      <c r="B11" s="2714" t="s">
        <v>3251</v>
      </c>
      <c r="C11" s="2715"/>
      <c r="D11" s="2716"/>
      <c r="E11" s="2717" t="s">
        <v>2518</v>
      </c>
      <c r="F11" s="2717" t="s">
        <v>2503</v>
      </c>
      <c r="G11" s="2718" t="s">
        <v>2732</v>
      </c>
      <c r="H11" s="2719" t="s">
        <v>2316</v>
      </c>
      <c r="I11" s="2720"/>
      <c r="J11" s="2721"/>
      <c r="K11" s="2722"/>
      <c r="L11" s="2723"/>
      <c r="M11" s="1951">
        <v>1043403.2769565219</v>
      </c>
      <c r="N11" s="1962"/>
      <c r="O11" s="1961"/>
      <c r="P11" s="1951"/>
      <c r="Q11" s="1960"/>
    </row>
    <row r="12" spans="1:17" ht="14.25" customHeight="1">
      <c r="A12" s="2713" t="s">
        <v>3243</v>
      </c>
      <c r="B12" s="2714" t="s">
        <v>3252</v>
      </c>
      <c r="C12" s="2715"/>
      <c r="D12" s="2716"/>
      <c r="E12" s="2717" t="s">
        <v>2518</v>
      </c>
      <c r="F12" s="2717" t="s">
        <v>2503</v>
      </c>
      <c r="G12" s="2718" t="s">
        <v>2732</v>
      </c>
      <c r="H12" s="2719" t="s">
        <v>2298</v>
      </c>
      <c r="I12" s="2720"/>
      <c r="J12" s="2721"/>
      <c r="K12" s="2722"/>
      <c r="L12" s="2723"/>
      <c r="M12" s="1951">
        <v>2826147.3900000006</v>
      </c>
      <c r="N12" s="1962"/>
      <c r="O12" s="1961"/>
      <c r="P12" s="1951"/>
      <c r="Q12" s="1960"/>
    </row>
    <row r="13" spans="1:17" ht="14.25" customHeight="1">
      <c r="A13" s="2713" t="s">
        <v>3247</v>
      </c>
      <c r="B13" s="2714" t="s">
        <v>3253</v>
      </c>
      <c r="C13" s="2715"/>
      <c r="D13" s="2716"/>
      <c r="E13" s="2717" t="s">
        <v>2518</v>
      </c>
      <c r="F13" s="2717" t="s">
        <v>2503</v>
      </c>
      <c r="G13" s="2718" t="s">
        <v>2732</v>
      </c>
      <c r="H13" s="2719" t="s">
        <v>2294</v>
      </c>
      <c r="I13" s="2720" t="s">
        <v>2259</v>
      </c>
      <c r="J13" s="2721"/>
      <c r="K13" s="2722"/>
      <c r="L13" s="2723"/>
      <c r="M13" s="1951">
        <v>1013921.2978260869</v>
      </c>
      <c r="N13" s="1962"/>
      <c r="O13" s="1961"/>
      <c r="P13" s="1951"/>
      <c r="Q13" s="1960"/>
    </row>
    <row r="14" spans="1:17" ht="14.25" customHeight="1">
      <c r="A14" s="2713" t="s">
        <v>3247</v>
      </c>
      <c r="B14" s="2714" t="s">
        <v>3254</v>
      </c>
      <c r="C14" s="2715"/>
      <c r="D14" s="2716"/>
      <c r="E14" s="2717" t="s">
        <v>2518</v>
      </c>
      <c r="F14" s="2717" t="s">
        <v>2503</v>
      </c>
      <c r="G14" s="2718" t="s">
        <v>2732</v>
      </c>
      <c r="H14" s="2719" t="s">
        <v>2294</v>
      </c>
      <c r="I14" s="2720" t="s">
        <v>2259</v>
      </c>
      <c r="J14" s="2721"/>
      <c r="K14" s="2722"/>
      <c r="L14" s="2723"/>
      <c r="M14" s="1951">
        <v>677609.39695652178</v>
      </c>
      <c r="N14" s="1962"/>
      <c r="O14" s="1961"/>
      <c r="P14" s="1951"/>
      <c r="Q14" s="1960"/>
    </row>
    <row r="15" spans="1:17" ht="14.25" customHeight="1">
      <c r="A15" s="2713" t="s">
        <v>3247</v>
      </c>
      <c r="B15" s="2714" t="s">
        <v>3255</v>
      </c>
      <c r="C15" s="2715"/>
      <c r="D15" s="2716"/>
      <c r="E15" s="2717" t="s">
        <v>2518</v>
      </c>
      <c r="F15" s="2717" t="s">
        <v>2503</v>
      </c>
      <c r="G15" s="2718" t="s">
        <v>2732</v>
      </c>
      <c r="H15" s="2719" t="s">
        <v>2294</v>
      </c>
      <c r="I15" s="2720" t="s">
        <v>2259</v>
      </c>
      <c r="J15" s="2721"/>
      <c r="K15" s="2722"/>
      <c r="L15" s="2723"/>
      <c r="M15" s="1951">
        <v>798523.00347826094</v>
      </c>
      <c r="N15" s="1962"/>
      <c r="O15" s="1961"/>
      <c r="P15" s="1951"/>
      <c r="Q15" s="1960"/>
    </row>
    <row r="16" spans="1:17" ht="14.25" customHeight="1">
      <c r="A16" s="2713" t="s">
        <v>3247</v>
      </c>
      <c r="B16" s="2714" t="s">
        <v>3256</v>
      </c>
      <c r="C16" s="2715"/>
      <c r="D16" s="2716"/>
      <c r="E16" s="2717" t="s">
        <v>2518</v>
      </c>
      <c r="F16" s="2717" t="s">
        <v>2503</v>
      </c>
      <c r="G16" s="2718" t="s">
        <v>2732</v>
      </c>
      <c r="H16" s="2719" t="s">
        <v>2294</v>
      </c>
      <c r="I16" s="2720" t="s">
        <v>2259</v>
      </c>
      <c r="J16" s="2721"/>
      <c r="K16" s="2722"/>
      <c r="L16" s="2723"/>
      <c r="M16" s="1951">
        <v>397322.08652173914</v>
      </c>
      <c r="N16" s="1962"/>
      <c r="O16" s="1961"/>
      <c r="P16" s="1951"/>
      <c r="Q16" s="1960"/>
    </row>
    <row r="17" spans="1:17" ht="14.25" customHeight="1">
      <c r="A17" s="2713" t="s">
        <v>3247</v>
      </c>
      <c r="B17" s="2714" t="s">
        <v>3257</v>
      </c>
      <c r="C17" s="2715"/>
      <c r="D17" s="2716"/>
      <c r="E17" s="2717" t="s">
        <v>2518</v>
      </c>
      <c r="F17" s="2717" t="s">
        <v>2503</v>
      </c>
      <c r="G17" s="2718" t="s">
        <v>2732</v>
      </c>
      <c r="H17" s="2719" t="s">
        <v>2294</v>
      </c>
      <c r="I17" s="2720" t="s">
        <v>2259</v>
      </c>
      <c r="J17" s="2721"/>
      <c r="K17" s="2722"/>
      <c r="L17" s="2723"/>
      <c r="M17" s="1951">
        <v>8009.18</v>
      </c>
      <c r="N17" s="1962"/>
      <c r="O17" s="1961"/>
      <c r="P17" s="1951"/>
      <c r="Q17" s="1960"/>
    </row>
    <row r="18" spans="1:17" ht="14.25" customHeight="1">
      <c r="A18" s="2713" t="s">
        <v>3247</v>
      </c>
      <c r="B18" s="2714" t="s">
        <v>3258</v>
      </c>
      <c r="C18" s="2715"/>
      <c r="D18" s="2716"/>
      <c r="E18" s="2717" t="s">
        <v>2518</v>
      </c>
      <c r="F18" s="2717" t="s">
        <v>2503</v>
      </c>
      <c r="G18" s="2718" t="s">
        <v>2732</v>
      </c>
      <c r="H18" s="2719" t="s">
        <v>2294</v>
      </c>
      <c r="I18" s="2720" t="s">
        <v>2259</v>
      </c>
      <c r="J18" s="2721"/>
      <c r="K18" s="2722"/>
      <c r="L18" s="2723"/>
      <c r="M18" s="1951">
        <v>8009.18</v>
      </c>
      <c r="N18" s="1962"/>
      <c r="O18" s="1961"/>
      <c r="P18" s="1951"/>
      <c r="Q18" s="1960"/>
    </row>
    <row r="19" spans="1:17" ht="14.25" customHeight="1">
      <c r="A19" s="2713" t="s">
        <v>3247</v>
      </c>
      <c r="B19" s="2714" t="s">
        <v>3259</v>
      </c>
      <c r="C19" s="2715"/>
      <c r="D19" s="2716"/>
      <c r="E19" s="2717" t="s">
        <v>2518</v>
      </c>
      <c r="F19" s="2717" t="s">
        <v>2503</v>
      </c>
      <c r="G19" s="2718" t="s">
        <v>2732</v>
      </c>
      <c r="H19" s="2719" t="s">
        <v>2294</v>
      </c>
      <c r="I19" s="2720" t="s">
        <v>2259</v>
      </c>
      <c r="J19" s="2721"/>
      <c r="K19" s="2722"/>
      <c r="L19" s="2723"/>
      <c r="M19" s="1951">
        <v>798523.01217391319</v>
      </c>
      <c r="N19" s="1962"/>
      <c r="O19" s="1961"/>
      <c r="P19" s="1951"/>
      <c r="Q19" s="1960"/>
    </row>
    <row r="20" spans="1:17" ht="14.25" customHeight="1">
      <c r="A20" s="2713" t="s">
        <v>3247</v>
      </c>
      <c r="B20" s="2714" t="s">
        <v>3260</v>
      </c>
      <c r="C20" s="2715"/>
      <c r="D20" s="2716"/>
      <c r="E20" s="2717" t="s">
        <v>2518</v>
      </c>
      <c r="F20" s="2717" t="s">
        <v>2503</v>
      </c>
      <c r="G20" s="2718" t="s">
        <v>2732</v>
      </c>
      <c r="H20" s="2719" t="s">
        <v>2294</v>
      </c>
      <c r="I20" s="2720" t="s">
        <v>2259</v>
      </c>
      <c r="J20" s="2721"/>
      <c r="K20" s="2722"/>
      <c r="L20" s="2723"/>
      <c r="M20" s="1951">
        <v>561368.87173913047</v>
      </c>
      <c r="N20" s="1962"/>
      <c r="O20" s="1961"/>
      <c r="P20" s="1951"/>
      <c r="Q20" s="1960"/>
    </row>
    <row r="21" spans="1:17" ht="14.25" customHeight="1">
      <c r="A21" s="2713" t="s">
        <v>3247</v>
      </c>
      <c r="B21" s="2714" t="s">
        <v>3261</v>
      </c>
      <c r="C21" s="2715"/>
      <c r="D21" s="2716"/>
      <c r="E21" s="2717" t="s">
        <v>2518</v>
      </c>
      <c r="F21" s="2717" t="s">
        <v>2503</v>
      </c>
      <c r="G21" s="2718" t="s">
        <v>2732</v>
      </c>
      <c r="H21" s="2719" t="s">
        <v>2294</v>
      </c>
      <c r="I21" s="2720" t="s">
        <v>2259</v>
      </c>
      <c r="J21" s="2721"/>
      <c r="K21" s="2722"/>
      <c r="L21" s="2723"/>
      <c r="M21" s="1951">
        <v>8009.18</v>
      </c>
      <c r="N21" s="1962"/>
      <c r="O21" s="1961"/>
      <c r="P21" s="1951"/>
      <c r="Q21" s="1960"/>
    </row>
    <row r="22" spans="1:17" ht="14.25" customHeight="1">
      <c r="A22" s="2713" t="s">
        <v>3247</v>
      </c>
      <c r="B22" s="2714" t="s">
        <v>3262</v>
      </c>
      <c r="C22" s="2715"/>
      <c r="D22" s="2716"/>
      <c r="E22" s="2717" t="s">
        <v>2518</v>
      </c>
      <c r="F22" s="2717" t="s">
        <v>2503</v>
      </c>
      <c r="G22" s="2718" t="s">
        <v>2732</v>
      </c>
      <c r="H22" s="2719" t="s">
        <v>2294</v>
      </c>
      <c r="I22" s="2720" t="s">
        <v>2259</v>
      </c>
      <c r="J22" s="2721"/>
      <c r="K22" s="2722"/>
      <c r="L22" s="2723"/>
      <c r="M22" s="1951">
        <v>319407.18391304347</v>
      </c>
      <c r="N22" s="1962"/>
      <c r="O22" s="1961"/>
      <c r="P22" s="1951"/>
      <c r="Q22" s="1960"/>
    </row>
    <row r="23" spans="1:17" ht="14.25" customHeight="1">
      <c r="A23" s="2713" t="s">
        <v>3247</v>
      </c>
      <c r="B23" s="2714" t="s">
        <v>3263</v>
      </c>
      <c r="C23" s="2715"/>
      <c r="D23" s="2716"/>
      <c r="E23" s="2717" t="s">
        <v>2518</v>
      </c>
      <c r="F23" s="2717" t="s">
        <v>2503</v>
      </c>
      <c r="G23" s="2718" t="s">
        <v>2732</v>
      </c>
      <c r="H23" s="2719" t="s">
        <v>2294</v>
      </c>
      <c r="I23" s="2720" t="s">
        <v>2259</v>
      </c>
      <c r="J23" s="2721"/>
      <c r="K23" s="2722"/>
      <c r="L23" s="2723"/>
      <c r="M23" s="1951">
        <v>4004.62</v>
      </c>
      <c r="N23" s="1962"/>
      <c r="O23" s="1961"/>
      <c r="P23" s="1951"/>
      <c r="Q23" s="1960"/>
    </row>
    <row r="24" spans="1:17" ht="14.25" customHeight="1">
      <c r="A24" s="2713" t="s">
        <v>3247</v>
      </c>
      <c r="B24" s="2714" t="s">
        <v>3264</v>
      </c>
      <c r="C24" s="2715"/>
      <c r="D24" s="2716"/>
      <c r="E24" s="2717" t="s">
        <v>2518</v>
      </c>
      <c r="F24" s="2717" t="s">
        <v>2503</v>
      </c>
      <c r="G24" s="2718" t="s">
        <v>2732</v>
      </c>
      <c r="H24" s="2719" t="s">
        <v>2294</v>
      </c>
      <c r="I24" s="2720" t="s">
        <v>2259</v>
      </c>
      <c r="J24" s="2721"/>
      <c r="K24" s="2722"/>
      <c r="L24" s="2723"/>
      <c r="M24" s="1951">
        <v>996509.82347826101</v>
      </c>
      <c r="N24" s="1962"/>
      <c r="O24" s="1961"/>
      <c r="P24" s="1951"/>
      <c r="Q24" s="1960"/>
    </row>
    <row r="25" spans="1:17" ht="14.25" customHeight="1">
      <c r="A25" s="2713" t="s">
        <v>3247</v>
      </c>
      <c r="B25" s="2714" t="s">
        <v>3265</v>
      </c>
      <c r="C25" s="2715"/>
      <c r="D25" s="2716"/>
      <c r="E25" s="2717" t="s">
        <v>2518</v>
      </c>
      <c r="F25" s="2717" t="s">
        <v>2503</v>
      </c>
      <c r="G25" s="2718" t="s">
        <v>2732</v>
      </c>
      <c r="H25" s="2719" t="s">
        <v>2294</v>
      </c>
      <c r="I25" s="2720" t="s">
        <v>2259</v>
      </c>
      <c r="J25" s="2721"/>
      <c r="K25" s="2722"/>
      <c r="L25" s="2723"/>
      <c r="M25" s="1951">
        <v>347883.64739130437</v>
      </c>
      <c r="N25" s="1962"/>
      <c r="O25" s="1961"/>
      <c r="P25" s="1951"/>
      <c r="Q25" s="1960"/>
    </row>
    <row r="26" spans="1:17" ht="14.25" customHeight="1">
      <c r="A26" s="2713" t="s">
        <v>3247</v>
      </c>
      <c r="B26" s="2714" t="s">
        <v>3266</v>
      </c>
      <c r="C26" s="2715"/>
      <c r="D26" s="2716"/>
      <c r="E26" s="2717" t="s">
        <v>2518</v>
      </c>
      <c r="F26" s="2717" t="s">
        <v>2503</v>
      </c>
      <c r="G26" s="2718" t="s">
        <v>2732</v>
      </c>
      <c r="H26" s="2719" t="s">
        <v>2294</v>
      </c>
      <c r="I26" s="2720" t="s">
        <v>2259</v>
      </c>
      <c r="J26" s="2721"/>
      <c r="K26" s="2722"/>
      <c r="L26" s="2723"/>
      <c r="M26" s="1951">
        <v>572134.37956521742</v>
      </c>
      <c r="N26" s="1962"/>
      <c r="O26" s="1961"/>
      <c r="P26" s="1951"/>
      <c r="Q26" s="1960"/>
    </row>
    <row r="27" spans="1:17" ht="14.25" customHeight="1">
      <c r="A27" s="2713" t="s">
        <v>3247</v>
      </c>
      <c r="B27" s="2714" t="s">
        <v>3267</v>
      </c>
      <c r="C27" s="2715"/>
      <c r="D27" s="2716"/>
      <c r="E27" s="2717" t="s">
        <v>2518</v>
      </c>
      <c r="F27" s="2717" t="s">
        <v>2503</v>
      </c>
      <c r="G27" s="2718" t="s">
        <v>2732</v>
      </c>
      <c r="H27" s="2719" t="s">
        <v>2294</v>
      </c>
      <c r="I27" s="2720" t="s">
        <v>2259</v>
      </c>
      <c r="J27" s="2721"/>
      <c r="K27" s="2722"/>
      <c r="L27" s="2723"/>
      <c r="M27" s="1951">
        <v>705754.04043478263</v>
      </c>
      <c r="N27" s="1962"/>
      <c r="O27" s="1961"/>
      <c r="P27" s="1951"/>
      <c r="Q27" s="1960"/>
    </row>
    <row r="28" spans="1:17" ht="14.25" customHeight="1">
      <c r="A28" s="2713" t="s">
        <v>3247</v>
      </c>
      <c r="B28" s="2714" t="s">
        <v>2706</v>
      </c>
      <c r="C28" s="2715"/>
      <c r="D28" s="2716"/>
      <c r="E28" s="2717" t="s">
        <v>2518</v>
      </c>
      <c r="F28" s="2717" t="s">
        <v>2503</v>
      </c>
      <c r="G28" s="2718" t="s">
        <v>2732</v>
      </c>
      <c r="H28" s="2719" t="s">
        <v>2294</v>
      </c>
      <c r="I28" s="2720" t="s">
        <v>2259</v>
      </c>
      <c r="J28" s="2721"/>
      <c r="K28" s="2722"/>
      <c r="L28" s="2723"/>
      <c r="M28" s="1951">
        <v>445932.53217391309</v>
      </c>
      <c r="N28" s="1962"/>
      <c r="O28" s="1961"/>
      <c r="P28" s="1951"/>
      <c r="Q28" s="1960"/>
    </row>
    <row r="29" spans="1:17" ht="14.25" customHeight="1">
      <c r="A29" s="2713" t="s">
        <v>3247</v>
      </c>
      <c r="B29" s="2714" t="s">
        <v>3268</v>
      </c>
      <c r="C29" s="2715"/>
      <c r="D29" s="2716"/>
      <c r="E29" s="2717" t="s">
        <v>2518</v>
      </c>
      <c r="F29" s="2717" t="s">
        <v>2503</v>
      </c>
      <c r="G29" s="2718" t="s">
        <v>2732</v>
      </c>
      <c r="H29" s="2719" t="s">
        <v>2294</v>
      </c>
      <c r="I29" s="2720" t="s">
        <v>2259</v>
      </c>
      <c r="J29" s="2721"/>
      <c r="K29" s="2722"/>
      <c r="L29" s="2723"/>
      <c r="M29" s="1951">
        <v>1605685.41</v>
      </c>
      <c r="N29" s="1962"/>
      <c r="O29" s="1961"/>
      <c r="P29" s="1951"/>
      <c r="Q29" s="1960"/>
    </row>
    <row r="30" spans="1:17" ht="14.25" customHeight="1">
      <c r="A30" s="2713" t="s">
        <v>3247</v>
      </c>
      <c r="B30" s="2714" t="s">
        <v>3269</v>
      </c>
      <c r="C30" s="2715"/>
      <c r="D30" s="2716"/>
      <c r="E30" s="2717" t="s">
        <v>2518</v>
      </c>
      <c r="F30" s="2717" t="s">
        <v>2503</v>
      </c>
      <c r="G30" s="2718" t="s">
        <v>2732</v>
      </c>
      <c r="H30" s="2719" t="s">
        <v>2294</v>
      </c>
      <c r="I30" s="2720" t="s">
        <v>2259</v>
      </c>
      <c r="J30" s="2721"/>
      <c r="K30" s="2722"/>
      <c r="L30" s="2723"/>
      <c r="M30" s="1951">
        <v>8823836.6491304357</v>
      </c>
      <c r="N30" s="1962"/>
      <c r="O30" s="1961"/>
      <c r="P30" s="1951"/>
      <c r="Q30" s="1960"/>
    </row>
    <row r="31" spans="1:17" ht="14.25" customHeight="1">
      <c r="A31" s="2713" t="s">
        <v>3247</v>
      </c>
      <c r="B31" s="2714" t="s">
        <v>3270</v>
      </c>
      <c r="C31" s="2715"/>
      <c r="D31" s="2716"/>
      <c r="E31" s="2717" t="s">
        <v>2518</v>
      </c>
      <c r="F31" s="2717" t="s">
        <v>2503</v>
      </c>
      <c r="G31" s="2718" t="s">
        <v>2732</v>
      </c>
      <c r="H31" s="2719" t="s">
        <v>2294</v>
      </c>
      <c r="I31" s="2720" t="s">
        <v>2259</v>
      </c>
      <c r="J31" s="2721"/>
      <c r="K31" s="2722"/>
      <c r="L31" s="2723"/>
      <c r="M31" s="1951">
        <v>1247509.125652174</v>
      </c>
      <c r="N31" s="1962"/>
      <c r="O31" s="1961"/>
      <c r="P31" s="1951"/>
      <c r="Q31" s="1960"/>
    </row>
    <row r="32" spans="1:17" ht="14.25" customHeight="1">
      <c r="A32" s="2713" t="s">
        <v>3247</v>
      </c>
      <c r="B32" s="2714" t="s">
        <v>2769</v>
      </c>
      <c r="C32" s="2715"/>
      <c r="D32" s="2716"/>
      <c r="E32" s="2717" t="s">
        <v>2518</v>
      </c>
      <c r="F32" s="2717" t="s">
        <v>2503</v>
      </c>
      <c r="G32" s="2718" t="s">
        <v>2732</v>
      </c>
      <c r="H32" s="2719" t="s">
        <v>2294</v>
      </c>
      <c r="I32" s="2720" t="s">
        <v>2259</v>
      </c>
      <c r="J32" s="2721"/>
      <c r="K32" s="2722"/>
      <c r="L32" s="2723"/>
      <c r="M32" s="1951">
        <v>3207.95</v>
      </c>
      <c r="N32" s="1962"/>
      <c r="O32" s="1961"/>
      <c r="P32" s="1951"/>
      <c r="Q32" s="1960"/>
    </row>
    <row r="33" spans="1:17" ht="14.25" customHeight="1">
      <c r="A33" s="2713" t="s">
        <v>3247</v>
      </c>
      <c r="B33" s="2714" t="s">
        <v>3271</v>
      </c>
      <c r="C33" s="2715"/>
      <c r="D33" s="2716"/>
      <c r="E33" s="2717" t="s">
        <v>2518</v>
      </c>
      <c r="F33" s="2717" t="s">
        <v>2503</v>
      </c>
      <c r="G33" s="2718" t="s">
        <v>2732</v>
      </c>
      <c r="H33" s="2719" t="s">
        <v>2294</v>
      </c>
      <c r="I33" s="2720" t="s">
        <v>2259</v>
      </c>
      <c r="J33" s="2721"/>
      <c r="K33" s="2722"/>
      <c r="L33" s="2723"/>
      <c r="M33" s="1951">
        <v>142179.82869565216</v>
      </c>
      <c r="N33" s="1962"/>
      <c r="O33" s="1961"/>
      <c r="P33" s="1951"/>
      <c r="Q33" s="1960"/>
    </row>
    <row r="34" spans="1:17" ht="14.25" customHeight="1">
      <c r="A34" s="2713" t="s">
        <v>3247</v>
      </c>
      <c r="B34" s="2714" t="s">
        <v>3272</v>
      </c>
      <c r="C34" s="2715"/>
      <c r="D34" s="2716"/>
      <c r="E34" s="2717" t="s">
        <v>2518</v>
      </c>
      <c r="F34" s="2717" t="s">
        <v>2503</v>
      </c>
      <c r="G34" s="2718" t="s">
        <v>2732</v>
      </c>
      <c r="H34" s="2719" t="s">
        <v>2294</v>
      </c>
      <c r="I34" s="2720" t="s">
        <v>2259</v>
      </c>
      <c r="J34" s="2721"/>
      <c r="K34" s="2722"/>
      <c r="L34" s="2723"/>
      <c r="M34" s="1951">
        <v>224437.8243478261</v>
      </c>
      <c r="N34" s="1962"/>
      <c r="O34" s="1961"/>
      <c r="P34" s="1951"/>
      <c r="Q34" s="1960"/>
    </row>
    <row r="35" spans="1:17" ht="14.25" customHeight="1">
      <c r="A35" s="2713" t="s">
        <v>3247</v>
      </c>
      <c r="B35" s="2714" t="s">
        <v>3273</v>
      </c>
      <c r="C35" s="2715"/>
      <c r="D35" s="2716"/>
      <c r="E35" s="2717" t="s">
        <v>2518</v>
      </c>
      <c r="F35" s="2717" t="s">
        <v>2503</v>
      </c>
      <c r="G35" s="2718" t="s">
        <v>2732</v>
      </c>
      <c r="H35" s="2719" t="s">
        <v>2294</v>
      </c>
      <c r="I35" s="2720" t="s">
        <v>2259</v>
      </c>
      <c r="J35" s="2721"/>
      <c r="K35" s="2722"/>
      <c r="L35" s="2723"/>
      <c r="M35" s="1951">
        <v>1565942.76</v>
      </c>
      <c r="N35" s="1962"/>
      <c r="O35" s="1961"/>
      <c r="P35" s="1951"/>
      <c r="Q35" s="1960"/>
    </row>
    <row r="36" spans="1:17" ht="14.25" customHeight="1">
      <c r="A36" s="2713" t="s">
        <v>3243</v>
      </c>
      <c r="B36" s="2714" t="s">
        <v>3274</v>
      </c>
      <c r="C36" s="2715"/>
      <c r="D36" s="2716" t="s">
        <v>3245</v>
      </c>
      <c r="E36" s="2717" t="s">
        <v>2518</v>
      </c>
      <c r="F36" s="2717" t="s">
        <v>2503</v>
      </c>
      <c r="G36" s="2718" t="s">
        <v>3275</v>
      </c>
      <c r="H36" s="2719" t="s">
        <v>2245</v>
      </c>
      <c r="I36" s="2720" t="s">
        <v>632</v>
      </c>
      <c r="J36" s="2721" t="s">
        <v>3276</v>
      </c>
      <c r="K36" s="2722"/>
      <c r="L36" s="2723"/>
      <c r="M36" s="1951">
        <v>12801277.688695652</v>
      </c>
      <c r="N36" s="1962"/>
      <c r="O36" s="1961"/>
      <c r="P36" s="1951"/>
      <c r="Q36" s="1960"/>
    </row>
    <row r="37" spans="1:17" ht="14.25" customHeight="1">
      <c r="A37" s="2713" t="s">
        <v>3243</v>
      </c>
      <c r="B37" s="2714" t="s">
        <v>3277</v>
      </c>
      <c r="C37" s="2715"/>
      <c r="D37" s="2716" t="s">
        <v>3245</v>
      </c>
      <c r="E37" s="2717" t="s">
        <v>2518</v>
      </c>
      <c r="F37" s="2717" t="s">
        <v>2503</v>
      </c>
      <c r="G37" s="2718" t="s">
        <v>3275</v>
      </c>
      <c r="H37" s="2719" t="s">
        <v>2245</v>
      </c>
      <c r="I37" s="2720" t="s">
        <v>632</v>
      </c>
      <c r="J37" s="2721"/>
      <c r="K37" s="2722"/>
      <c r="L37" s="2723"/>
      <c r="M37" s="1951">
        <v>7381541.7130434783</v>
      </c>
      <c r="N37" s="1962"/>
      <c r="O37" s="1961"/>
      <c r="P37" s="1951"/>
      <c r="Q37" s="1960"/>
    </row>
    <row r="38" spans="1:17" ht="14.25" customHeight="1">
      <c r="A38" s="2713" t="s">
        <v>3243</v>
      </c>
      <c r="B38" s="2714" t="s">
        <v>3278</v>
      </c>
      <c r="C38" s="2715"/>
      <c r="D38" s="2716" t="s">
        <v>3245</v>
      </c>
      <c r="E38" s="2717" t="s">
        <v>2518</v>
      </c>
      <c r="F38" s="2717" t="s">
        <v>2503</v>
      </c>
      <c r="G38" s="2718" t="s">
        <v>3275</v>
      </c>
      <c r="H38" s="2719" t="s">
        <v>2245</v>
      </c>
      <c r="I38" s="2720" t="s">
        <v>632</v>
      </c>
      <c r="J38" s="2721"/>
      <c r="K38" s="2722"/>
      <c r="L38" s="2723"/>
      <c r="M38" s="1951">
        <v>1459363.9565217393</v>
      </c>
      <c r="N38" s="1962"/>
      <c r="O38" s="1961">
        <v>2942886.85</v>
      </c>
      <c r="P38" s="1951"/>
      <c r="Q38" s="1960"/>
    </row>
    <row r="39" spans="1:17" ht="14.25" customHeight="1">
      <c r="A39" s="2713" t="s">
        <v>3243</v>
      </c>
      <c r="B39" s="2714" t="s">
        <v>3279</v>
      </c>
      <c r="C39" s="2715"/>
      <c r="D39" s="2716" t="s">
        <v>3245</v>
      </c>
      <c r="E39" s="2717" t="s">
        <v>2518</v>
      </c>
      <c r="F39" s="2717" t="s">
        <v>2503</v>
      </c>
      <c r="G39" s="2718" t="s">
        <v>3275</v>
      </c>
      <c r="H39" s="2719" t="s">
        <v>2245</v>
      </c>
      <c r="I39" s="2720" t="s">
        <v>632</v>
      </c>
      <c r="J39" s="2721"/>
      <c r="K39" s="2722"/>
      <c r="L39" s="2723"/>
      <c r="M39" s="1951">
        <v>7363841.462608695</v>
      </c>
      <c r="N39" s="1962"/>
      <c r="O39" s="1961"/>
      <c r="P39" s="1951"/>
      <c r="Q39" s="1960"/>
    </row>
    <row r="40" spans="1:17" ht="14.25" customHeight="1">
      <c r="A40" s="2713" t="s">
        <v>3243</v>
      </c>
      <c r="B40" s="2714" t="s">
        <v>3280</v>
      </c>
      <c r="C40" s="2715"/>
      <c r="D40" s="2716" t="s">
        <v>3245</v>
      </c>
      <c r="E40" s="2717" t="s">
        <v>2518</v>
      </c>
      <c r="F40" s="2717" t="s">
        <v>2503</v>
      </c>
      <c r="G40" s="2718" t="s">
        <v>3275</v>
      </c>
      <c r="H40" s="2719" t="s">
        <v>2245</v>
      </c>
      <c r="I40" s="2720" t="s">
        <v>632</v>
      </c>
      <c r="J40" s="2721" t="s">
        <v>3281</v>
      </c>
      <c r="K40" s="2722"/>
      <c r="L40" s="2723"/>
      <c r="M40" s="1951">
        <v>5375337.6739130439</v>
      </c>
      <c r="N40" s="1962"/>
      <c r="O40" s="1961"/>
      <c r="P40" s="1951"/>
      <c r="Q40" s="1960"/>
    </row>
    <row r="41" spans="1:17" ht="14.25" customHeight="1">
      <c r="A41" s="2713" t="s">
        <v>3243</v>
      </c>
      <c r="B41" s="2714" t="s">
        <v>3282</v>
      </c>
      <c r="C41" s="2715"/>
      <c r="D41" s="2716" t="s">
        <v>3245</v>
      </c>
      <c r="E41" s="2717" t="s">
        <v>2518</v>
      </c>
      <c r="F41" s="2717" t="s">
        <v>2503</v>
      </c>
      <c r="G41" s="2718" t="s">
        <v>3275</v>
      </c>
      <c r="H41" s="2719" t="s">
        <v>2245</v>
      </c>
      <c r="I41" s="2720" t="s">
        <v>632</v>
      </c>
      <c r="J41" s="2721" t="s">
        <v>3283</v>
      </c>
      <c r="K41" s="2722"/>
      <c r="L41" s="2723"/>
      <c r="M41" s="1951">
        <v>2913229.6356521738</v>
      </c>
      <c r="N41" s="1962"/>
      <c r="O41" s="1961"/>
      <c r="P41" s="1951"/>
      <c r="Q41" s="1960"/>
    </row>
    <row r="42" spans="1:17" ht="14.25" customHeight="1">
      <c r="A42" s="2713" t="s">
        <v>3243</v>
      </c>
      <c r="B42" s="2714" t="s">
        <v>3284</v>
      </c>
      <c r="C42" s="2715"/>
      <c r="D42" s="2716" t="s">
        <v>3245</v>
      </c>
      <c r="E42" s="2717" t="s">
        <v>2518</v>
      </c>
      <c r="F42" s="2717" t="s">
        <v>2503</v>
      </c>
      <c r="G42" s="2718" t="s">
        <v>3275</v>
      </c>
      <c r="H42" s="2719" t="s">
        <v>2245</v>
      </c>
      <c r="I42" s="2720" t="s">
        <v>632</v>
      </c>
      <c r="J42" s="2721"/>
      <c r="K42" s="2722"/>
      <c r="L42" s="2723"/>
      <c r="M42" s="1951">
        <v>2794165.8347826088</v>
      </c>
      <c r="N42" s="1962"/>
      <c r="O42" s="1961"/>
      <c r="P42" s="1951"/>
      <c r="Q42" s="1960"/>
    </row>
    <row r="43" spans="1:17" ht="14.25" customHeight="1">
      <c r="A43" s="2713" t="s">
        <v>3243</v>
      </c>
      <c r="B43" s="2714" t="s">
        <v>3285</v>
      </c>
      <c r="C43" s="2715"/>
      <c r="D43" s="2716" t="s">
        <v>3245</v>
      </c>
      <c r="E43" s="2717" t="s">
        <v>2518</v>
      </c>
      <c r="F43" s="2717" t="s">
        <v>2503</v>
      </c>
      <c r="G43" s="2718" t="s">
        <v>3275</v>
      </c>
      <c r="H43" s="2719" t="s">
        <v>2245</v>
      </c>
      <c r="I43" s="2720" t="s">
        <v>632</v>
      </c>
      <c r="J43" s="2721" t="s">
        <v>3286</v>
      </c>
      <c r="K43" s="2722"/>
      <c r="L43" s="2723"/>
      <c r="M43" s="1951">
        <v>2148819.0608695652</v>
      </c>
      <c r="N43" s="1962"/>
      <c r="O43" s="1961"/>
      <c r="P43" s="1951"/>
      <c r="Q43" s="1960"/>
    </row>
    <row r="44" spans="1:17" ht="14.25" customHeight="1">
      <c r="A44" s="2713" t="s">
        <v>3243</v>
      </c>
      <c r="B44" s="2714" t="s">
        <v>3287</v>
      </c>
      <c r="C44" s="2715"/>
      <c r="D44" s="2716" t="s">
        <v>3245</v>
      </c>
      <c r="E44" s="2717"/>
      <c r="F44" s="2717"/>
      <c r="G44" s="2718"/>
      <c r="H44" s="2719"/>
      <c r="I44" s="2720"/>
      <c r="J44" s="2721" t="s">
        <v>3288</v>
      </c>
      <c r="K44" s="2722"/>
      <c r="L44" s="2723"/>
      <c r="M44" s="1951">
        <v>1057150.8086956523</v>
      </c>
      <c r="N44" s="1962"/>
      <c r="O44" s="1961"/>
      <c r="P44" s="1951"/>
      <c r="Q44" s="1960"/>
    </row>
    <row r="45" spans="1:17" ht="14.25" customHeight="1">
      <c r="A45" s="2713" t="s">
        <v>3243</v>
      </c>
      <c r="B45" s="2714" t="s">
        <v>3289</v>
      </c>
      <c r="C45" s="2715"/>
      <c r="D45" s="2716" t="s">
        <v>3245</v>
      </c>
      <c r="E45" s="2717" t="s">
        <v>2518</v>
      </c>
      <c r="F45" s="2717" t="s">
        <v>2503</v>
      </c>
      <c r="G45" s="2718" t="s">
        <v>3275</v>
      </c>
      <c r="H45" s="2719" t="s">
        <v>2245</v>
      </c>
      <c r="I45" s="2720" t="s">
        <v>632</v>
      </c>
      <c r="J45" s="2721"/>
      <c r="K45" s="2722"/>
      <c r="L45" s="2723"/>
      <c r="M45" s="1951">
        <v>2750326.2782608699</v>
      </c>
      <c r="N45" s="1962"/>
      <c r="O45" s="1961"/>
      <c r="P45" s="1951"/>
      <c r="Q45" s="1960"/>
    </row>
    <row r="46" spans="1:17" ht="14.25" customHeight="1">
      <c r="A46" s="2713" t="s">
        <v>3243</v>
      </c>
      <c r="B46" s="2714" t="s">
        <v>3290</v>
      </c>
      <c r="C46" s="2715"/>
      <c r="D46" s="2716" t="s">
        <v>3245</v>
      </c>
      <c r="E46" s="2717"/>
      <c r="F46" s="2717"/>
      <c r="G46" s="2718"/>
      <c r="H46" s="2719"/>
      <c r="I46" s="2720"/>
      <c r="J46" s="2721"/>
      <c r="K46" s="2722"/>
      <c r="L46" s="2723"/>
      <c r="M46" s="1951">
        <v>710776.93043478264</v>
      </c>
      <c r="N46" s="1962"/>
      <c r="O46" s="1961"/>
      <c r="P46" s="1951"/>
      <c r="Q46" s="1960"/>
    </row>
    <row r="47" spans="1:17" ht="14.25" customHeight="1">
      <c r="A47" s="2713" t="s">
        <v>3240</v>
      </c>
      <c r="B47" s="2714" t="s">
        <v>3291</v>
      </c>
      <c r="C47" s="2715"/>
      <c r="D47" s="2716"/>
      <c r="E47" s="2717"/>
      <c r="F47" s="2717"/>
      <c r="G47" s="2718"/>
      <c r="H47" s="2719"/>
      <c r="I47" s="2720"/>
      <c r="J47" s="2721" t="s">
        <v>3292</v>
      </c>
      <c r="K47" s="2722"/>
      <c r="L47" s="2723"/>
      <c r="M47" s="1951">
        <v>190170</v>
      </c>
      <c r="N47" s="1962"/>
      <c r="O47" s="1961"/>
      <c r="P47" s="1951"/>
      <c r="Q47" s="1960"/>
    </row>
    <row r="48" spans="1:17" ht="14.25" customHeight="1">
      <c r="A48" s="2713" t="s">
        <v>3247</v>
      </c>
      <c r="B48" s="2714" t="s">
        <v>3293</v>
      </c>
      <c r="C48" s="2715"/>
      <c r="D48" s="2716"/>
      <c r="E48" s="2717"/>
      <c r="F48" s="2717"/>
      <c r="G48" s="2718"/>
      <c r="H48" s="2719"/>
      <c r="I48" s="2720"/>
      <c r="J48" s="2721"/>
      <c r="K48" s="2722"/>
      <c r="L48" s="2723"/>
      <c r="M48" s="1951">
        <v>156617.55652173914</v>
      </c>
      <c r="N48" s="1962"/>
      <c r="O48" s="1961"/>
      <c r="P48" s="1951"/>
      <c r="Q48" s="1960"/>
    </row>
    <row r="49" spans="1:17" ht="14.25" customHeight="1">
      <c r="A49" s="2713" t="s">
        <v>3247</v>
      </c>
      <c r="B49" s="2714" t="s">
        <v>3294</v>
      </c>
      <c r="C49" s="2715"/>
      <c r="D49" s="2716"/>
      <c r="E49" s="2717"/>
      <c r="F49" s="2717"/>
      <c r="G49" s="2718"/>
      <c r="H49" s="2719"/>
      <c r="I49" s="2720"/>
      <c r="J49" s="2721"/>
      <c r="K49" s="2722"/>
      <c r="L49" s="2723"/>
      <c r="M49" s="1951">
        <v>2911610</v>
      </c>
      <c r="N49" s="1962"/>
      <c r="O49" s="1961"/>
      <c r="P49" s="1951"/>
      <c r="Q49" s="1960"/>
    </row>
    <row r="50" spans="1:17" ht="14.25" customHeight="1">
      <c r="A50" s="2713" t="s">
        <v>3243</v>
      </c>
      <c r="B50" s="2714" t="s">
        <v>3295</v>
      </c>
      <c r="C50" s="2715"/>
      <c r="D50" s="2716"/>
      <c r="E50" s="2717"/>
      <c r="F50" s="2717"/>
      <c r="G50" s="2718"/>
      <c r="H50" s="2719"/>
      <c r="I50" s="2720"/>
      <c r="J50" s="2721" t="s">
        <v>3283</v>
      </c>
      <c r="K50" s="2722"/>
      <c r="L50" s="2723"/>
      <c r="M50" s="1951">
        <v>129801.18</v>
      </c>
      <c r="N50" s="1962"/>
      <c r="O50" s="1961"/>
      <c r="P50" s="1951"/>
      <c r="Q50" s="1960"/>
    </row>
    <row r="51" spans="1:17" ht="14.25" customHeight="1">
      <c r="A51" s="2713" t="s">
        <v>1580</v>
      </c>
      <c r="B51" s="2714" t="s">
        <v>3296</v>
      </c>
      <c r="C51" s="2715" t="s">
        <v>3297</v>
      </c>
      <c r="D51" s="2716" t="s">
        <v>3298</v>
      </c>
      <c r="E51" s="2717" t="s">
        <v>2518</v>
      </c>
      <c r="F51" s="2717" t="s">
        <v>2503</v>
      </c>
      <c r="G51" s="2718" t="s">
        <v>3299</v>
      </c>
      <c r="H51" s="2719" t="s">
        <v>2348</v>
      </c>
      <c r="I51" s="2720" t="s">
        <v>2325</v>
      </c>
      <c r="J51" s="2721" t="s">
        <v>3288</v>
      </c>
      <c r="K51" s="2722"/>
      <c r="L51" s="2723"/>
      <c r="M51" s="1951">
        <v>13932633</v>
      </c>
      <c r="N51" s="1962"/>
      <c r="O51" s="1961"/>
      <c r="P51" s="1951"/>
      <c r="Q51" s="1960"/>
    </row>
    <row r="52" spans="1:17" ht="14.25" customHeight="1">
      <c r="A52" s="2713"/>
      <c r="B52" s="2714"/>
      <c r="C52" s="2715"/>
      <c r="D52" s="2716"/>
      <c r="E52" s="2717"/>
      <c r="F52" s="2717"/>
      <c r="G52" s="2718"/>
      <c r="H52" s="2719"/>
      <c r="I52" s="2720"/>
      <c r="J52" s="2721"/>
      <c r="K52" s="2722"/>
      <c r="L52" s="2723"/>
      <c r="M52" s="1951"/>
      <c r="N52" s="1962"/>
      <c r="O52" s="1961"/>
      <c r="P52" s="1951"/>
      <c r="Q52" s="1960"/>
    </row>
    <row r="53" spans="1:17" ht="14.25" customHeight="1">
      <c r="A53" s="2713"/>
      <c r="B53" s="2714"/>
      <c r="C53" s="2715"/>
      <c r="D53" s="2716"/>
      <c r="E53" s="2717"/>
      <c r="F53" s="2717"/>
      <c r="G53" s="2718"/>
      <c r="H53" s="2719"/>
      <c r="I53" s="2720"/>
      <c r="J53" s="2721"/>
      <c r="K53" s="2722"/>
      <c r="L53" s="2723"/>
      <c r="M53" s="1951"/>
      <c r="N53" s="1962"/>
      <c r="O53" s="1961"/>
      <c r="P53" s="1951"/>
      <c r="Q53" s="1960"/>
    </row>
    <row r="54" spans="1:17" ht="14.25" customHeight="1">
      <c r="A54" s="2713" t="s">
        <v>3243</v>
      </c>
      <c r="B54" s="2714" t="s">
        <v>2718</v>
      </c>
      <c r="C54" s="2715"/>
      <c r="D54" s="2716"/>
      <c r="E54" s="2717" t="s">
        <v>3245</v>
      </c>
      <c r="F54" s="2717" t="s">
        <v>2518</v>
      </c>
      <c r="G54" s="2718" t="s">
        <v>2503</v>
      </c>
      <c r="H54" s="2719" t="s">
        <v>3275</v>
      </c>
      <c r="I54" s="2720" t="s">
        <v>2245</v>
      </c>
      <c r="J54" s="2721" t="s">
        <v>632</v>
      </c>
      <c r="K54" s="2722"/>
      <c r="L54" s="2723"/>
      <c r="M54" s="1951"/>
      <c r="N54" s="1962">
        <v>5314812</v>
      </c>
      <c r="O54" s="1961"/>
      <c r="P54" s="1951"/>
      <c r="Q54" s="1960"/>
    </row>
    <row r="55" spans="1:17" ht="14.25" customHeight="1">
      <c r="A55" s="2713" t="s">
        <v>3243</v>
      </c>
      <c r="B55" s="2714" t="s">
        <v>3300</v>
      </c>
      <c r="C55" s="2715"/>
      <c r="D55" s="2716"/>
      <c r="E55" s="2717" t="s">
        <v>3245</v>
      </c>
      <c r="F55" s="2717" t="s">
        <v>2518</v>
      </c>
      <c r="G55" s="2718" t="s">
        <v>2503</v>
      </c>
      <c r="H55" s="2719" t="s">
        <v>3275</v>
      </c>
      <c r="I55" s="2720" t="s">
        <v>2245</v>
      </c>
      <c r="J55" s="2721" t="s">
        <v>632</v>
      </c>
      <c r="K55" s="2722"/>
      <c r="L55" s="2723"/>
      <c r="M55" s="1951"/>
      <c r="N55" s="1962">
        <v>7561513</v>
      </c>
      <c r="O55" s="1961"/>
      <c r="P55" s="1951"/>
      <c r="Q55" s="1960"/>
    </row>
    <row r="56" spans="1:17" ht="14.25" customHeight="1">
      <c r="A56" s="2713" t="s">
        <v>3243</v>
      </c>
      <c r="B56" s="2714" t="s">
        <v>3301</v>
      </c>
      <c r="C56" s="2715"/>
      <c r="D56" s="2716"/>
      <c r="E56" s="2717" t="s">
        <v>3245</v>
      </c>
      <c r="F56" s="2717" t="s">
        <v>2518</v>
      </c>
      <c r="G56" s="2718" t="s">
        <v>2503</v>
      </c>
      <c r="H56" s="2719" t="s">
        <v>3275</v>
      </c>
      <c r="I56" s="2720" t="s">
        <v>2245</v>
      </c>
      <c r="J56" s="2721" t="s">
        <v>632</v>
      </c>
      <c r="K56" s="2722"/>
      <c r="L56" s="2723"/>
      <c r="M56" s="1951"/>
      <c r="N56" s="1962">
        <v>243596</v>
      </c>
      <c r="O56" s="1961"/>
      <c r="P56" s="1951"/>
      <c r="Q56" s="1960"/>
    </row>
    <row r="57" spans="1:17" ht="14.25" customHeight="1">
      <c r="A57" s="2713" t="s">
        <v>3243</v>
      </c>
      <c r="B57" s="2714" t="s">
        <v>3302</v>
      </c>
      <c r="C57" s="2715"/>
      <c r="D57" s="2716"/>
      <c r="E57" s="2717" t="s">
        <v>3245</v>
      </c>
      <c r="F57" s="2717" t="s">
        <v>2518</v>
      </c>
      <c r="G57" s="2718" t="s">
        <v>2503</v>
      </c>
      <c r="H57" s="2719" t="s">
        <v>3275</v>
      </c>
      <c r="I57" s="2720" t="s">
        <v>2245</v>
      </c>
      <c r="J57" s="2721" t="s">
        <v>632</v>
      </c>
      <c r="K57" s="2722"/>
      <c r="L57" s="2723"/>
      <c r="M57" s="1951"/>
      <c r="N57" s="1962">
        <v>15222658</v>
      </c>
      <c r="O57" s="1961"/>
      <c r="P57" s="1951"/>
      <c r="Q57" s="1960"/>
    </row>
    <row r="58" spans="1:17" ht="14.25" customHeight="1">
      <c r="A58" s="2713" t="s">
        <v>3243</v>
      </c>
      <c r="B58" s="2714" t="s">
        <v>3303</v>
      </c>
      <c r="C58" s="2715"/>
      <c r="D58" s="2716"/>
      <c r="E58" s="2717" t="s">
        <v>3245</v>
      </c>
      <c r="F58" s="2717" t="s">
        <v>2518</v>
      </c>
      <c r="G58" s="2718" t="s">
        <v>2503</v>
      </c>
      <c r="H58" s="2719" t="s">
        <v>3275</v>
      </c>
      <c r="I58" s="2720" t="s">
        <v>2245</v>
      </c>
      <c r="J58" s="2721" t="s">
        <v>632</v>
      </c>
      <c r="K58" s="2722"/>
      <c r="L58" s="2723"/>
      <c r="M58" s="1951"/>
      <c r="N58" s="1962">
        <v>2636425</v>
      </c>
      <c r="O58" s="1961"/>
      <c r="P58" s="1951"/>
      <c r="Q58" s="1960"/>
    </row>
    <row r="59" spans="1:17" ht="14.25" customHeight="1">
      <c r="A59" s="2713" t="s">
        <v>3243</v>
      </c>
      <c r="B59" s="2714" t="s">
        <v>2726</v>
      </c>
      <c r="C59" s="2715"/>
      <c r="D59" s="2716"/>
      <c r="E59" s="2717" t="s">
        <v>3245</v>
      </c>
      <c r="F59" s="2717" t="s">
        <v>2518</v>
      </c>
      <c r="G59" s="2718" t="s">
        <v>2503</v>
      </c>
      <c r="H59" s="2719" t="s">
        <v>3275</v>
      </c>
      <c r="I59" s="2720" t="s">
        <v>2245</v>
      </c>
      <c r="J59" s="2721" t="s">
        <v>632</v>
      </c>
      <c r="K59" s="2722"/>
      <c r="L59" s="2723"/>
      <c r="M59" s="1951"/>
      <c r="N59" s="1962">
        <v>23280579</v>
      </c>
      <c r="O59" s="1961"/>
      <c r="P59" s="1951"/>
      <c r="Q59" s="1960"/>
    </row>
    <row r="60" spans="1:17" ht="14.25" customHeight="1">
      <c r="A60" s="2713" t="s">
        <v>3243</v>
      </c>
      <c r="B60" s="2714" t="s">
        <v>2728</v>
      </c>
      <c r="C60" s="2715"/>
      <c r="D60" s="2716"/>
      <c r="E60" s="2717" t="s">
        <v>3245</v>
      </c>
      <c r="F60" s="2717" t="s">
        <v>2518</v>
      </c>
      <c r="G60" s="2718" t="s">
        <v>2503</v>
      </c>
      <c r="H60" s="2719" t="s">
        <v>3275</v>
      </c>
      <c r="I60" s="2720" t="s">
        <v>2245</v>
      </c>
      <c r="J60" s="2721" t="s">
        <v>632</v>
      </c>
      <c r="K60" s="2722"/>
      <c r="L60" s="2723"/>
      <c r="M60" s="1951"/>
      <c r="N60" s="1962">
        <v>6972715</v>
      </c>
      <c r="O60" s="1961"/>
      <c r="P60" s="1951"/>
      <c r="Q60" s="1960"/>
    </row>
    <row r="61" spans="1:17" ht="14.25" customHeight="1">
      <c r="A61" s="2713" t="s">
        <v>3243</v>
      </c>
      <c r="B61" s="2714" t="s">
        <v>3304</v>
      </c>
      <c r="C61" s="2715"/>
      <c r="D61" s="2716"/>
      <c r="E61" s="2717" t="s">
        <v>3245</v>
      </c>
      <c r="F61" s="2717" t="s">
        <v>2518</v>
      </c>
      <c r="G61" s="2718" t="s">
        <v>2503</v>
      </c>
      <c r="H61" s="2719" t="s">
        <v>3275</v>
      </c>
      <c r="I61" s="2720" t="s">
        <v>2245</v>
      </c>
      <c r="J61" s="2721" t="s">
        <v>632</v>
      </c>
      <c r="K61" s="2722"/>
      <c r="L61" s="2723"/>
      <c r="M61" s="1951"/>
      <c r="N61" s="1962">
        <v>10430869</v>
      </c>
      <c r="O61" s="1961"/>
      <c r="P61" s="1951"/>
      <c r="Q61" s="1960"/>
    </row>
    <row r="62" spans="1:17" ht="14.25" customHeight="1">
      <c r="A62" s="2713" t="s">
        <v>3243</v>
      </c>
      <c r="B62" s="2714" t="s">
        <v>3305</v>
      </c>
      <c r="C62" s="2715"/>
      <c r="D62" s="2716"/>
      <c r="E62" s="2717" t="s">
        <v>3245</v>
      </c>
      <c r="F62" s="2717" t="s">
        <v>2518</v>
      </c>
      <c r="G62" s="2718" t="s">
        <v>2503</v>
      </c>
      <c r="H62" s="2719" t="s">
        <v>3275</v>
      </c>
      <c r="I62" s="2720" t="s">
        <v>2245</v>
      </c>
      <c r="J62" s="2721" t="s">
        <v>632</v>
      </c>
      <c r="K62" s="2722"/>
      <c r="L62" s="2723"/>
      <c r="M62" s="1951"/>
      <c r="N62" s="1962">
        <v>3000000</v>
      </c>
      <c r="O62" s="1961"/>
      <c r="P62" s="1951"/>
      <c r="Q62" s="1960"/>
    </row>
    <row r="63" spans="1:17" ht="14.25" customHeight="1">
      <c r="A63" s="2713" t="s">
        <v>3243</v>
      </c>
      <c r="B63" s="2714" t="s">
        <v>3306</v>
      </c>
      <c r="C63" s="2715"/>
      <c r="D63" s="2716"/>
      <c r="E63" s="2717" t="s">
        <v>3245</v>
      </c>
      <c r="F63" s="2717" t="s">
        <v>2518</v>
      </c>
      <c r="G63" s="2718" t="s">
        <v>2503</v>
      </c>
      <c r="H63" s="2719" t="s">
        <v>3275</v>
      </c>
      <c r="I63" s="2720" t="s">
        <v>2245</v>
      </c>
      <c r="J63" s="2721" t="s">
        <v>632</v>
      </c>
      <c r="K63" s="2722"/>
      <c r="L63" s="2723"/>
      <c r="M63" s="1951"/>
      <c r="N63" s="1962">
        <v>2800000</v>
      </c>
      <c r="O63" s="1961"/>
      <c r="P63" s="1951"/>
      <c r="Q63" s="1960"/>
    </row>
    <row r="64" spans="1:17" ht="14.25" customHeight="1">
      <c r="A64" s="2713" t="s">
        <v>3243</v>
      </c>
      <c r="B64" s="2714" t="s">
        <v>3307</v>
      </c>
      <c r="C64" s="2715"/>
      <c r="D64" s="2716"/>
      <c r="E64" s="2717" t="s">
        <v>3245</v>
      </c>
      <c r="F64" s="2717" t="s">
        <v>2518</v>
      </c>
      <c r="G64" s="2718" t="s">
        <v>2503</v>
      </c>
      <c r="H64" s="2719" t="s">
        <v>3275</v>
      </c>
      <c r="I64" s="2720" t="s">
        <v>2245</v>
      </c>
      <c r="J64" s="2721" t="s">
        <v>632</v>
      </c>
      <c r="K64" s="2722"/>
      <c r="L64" s="2723"/>
      <c r="M64" s="1951"/>
      <c r="N64" s="1962">
        <v>3851021</v>
      </c>
      <c r="O64" s="1961"/>
      <c r="P64" s="1951"/>
      <c r="Q64" s="1960"/>
    </row>
    <row r="65" spans="1:17" ht="14.25" customHeight="1">
      <c r="A65" s="2713" t="s">
        <v>3243</v>
      </c>
      <c r="B65" s="2714" t="s">
        <v>3308</v>
      </c>
      <c r="C65" s="2715"/>
      <c r="D65" s="2716"/>
      <c r="E65" s="2717" t="s">
        <v>3245</v>
      </c>
      <c r="F65" s="2717" t="s">
        <v>2518</v>
      </c>
      <c r="G65" s="2718" t="s">
        <v>2503</v>
      </c>
      <c r="H65" s="2719" t="s">
        <v>3275</v>
      </c>
      <c r="I65" s="2720" t="s">
        <v>2245</v>
      </c>
      <c r="J65" s="2721" t="s">
        <v>632</v>
      </c>
      <c r="K65" s="2722"/>
      <c r="L65" s="2723"/>
      <c r="M65" s="1951"/>
      <c r="N65" s="1962">
        <v>2115763</v>
      </c>
      <c r="O65" s="1961"/>
      <c r="P65" s="1951"/>
      <c r="Q65" s="1960"/>
    </row>
    <row r="66" spans="1:17" ht="14.25" customHeight="1">
      <c r="A66" s="2713" t="s">
        <v>3243</v>
      </c>
      <c r="B66" s="2714" t="s">
        <v>3309</v>
      </c>
      <c r="C66" s="2715"/>
      <c r="D66" s="2716"/>
      <c r="E66" s="2717" t="s">
        <v>3245</v>
      </c>
      <c r="F66" s="2717" t="s">
        <v>2518</v>
      </c>
      <c r="G66" s="2718" t="s">
        <v>2503</v>
      </c>
      <c r="H66" s="2719" t="s">
        <v>3275</v>
      </c>
      <c r="I66" s="2720" t="s">
        <v>2245</v>
      </c>
      <c r="J66" s="2721" t="s">
        <v>632</v>
      </c>
      <c r="K66" s="2722"/>
      <c r="L66" s="2723"/>
      <c r="M66" s="1951"/>
      <c r="N66" s="1962">
        <v>300000</v>
      </c>
      <c r="O66" s="1961"/>
      <c r="P66" s="1951"/>
      <c r="Q66" s="1960"/>
    </row>
    <row r="67" spans="1:17" ht="14.25" customHeight="1">
      <c r="A67" s="2713" t="s">
        <v>3310</v>
      </c>
      <c r="B67" s="2714" t="s">
        <v>2828</v>
      </c>
      <c r="C67" s="2715"/>
      <c r="D67" s="2716"/>
      <c r="E67" s="2717"/>
      <c r="F67" s="2717"/>
      <c r="G67" s="2718"/>
      <c r="H67" s="2719"/>
      <c r="I67" s="2720"/>
      <c r="J67" s="2721"/>
      <c r="K67" s="2722"/>
      <c r="L67" s="2723"/>
      <c r="M67" s="1951"/>
      <c r="N67" s="1962">
        <v>800000</v>
      </c>
      <c r="O67" s="1961"/>
      <c r="P67" s="1951"/>
      <c r="Q67" s="1960"/>
    </row>
    <row r="68" spans="1:17" ht="14.25" customHeight="1">
      <c r="A68" s="2713" t="s">
        <v>3247</v>
      </c>
      <c r="B68" s="2714" t="s">
        <v>3311</v>
      </c>
      <c r="C68" s="2715"/>
      <c r="D68" s="2716"/>
      <c r="E68" s="2717" t="s">
        <v>2518</v>
      </c>
      <c r="F68" s="2717" t="s">
        <v>2503</v>
      </c>
      <c r="G68" s="2718" t="s">
        <v>2732</v>
      </c>
      <c r="H68" s="2719" t="s">
        <v>2294</v>
      </c>
      <c r="I68" s="2720" t="s">
        <v>2259</v>
      </c>
      <c r="J68" s="2721"/>
      <c r="K68" s="2722"/>
      <c r="L68" s="2723"/>
      <c r="M68" s="1951"/>
      <c r="N68" s="1962">
        <v>500000</v>
      </c>
      <c r="O68" s="1961"/>
      <c r="P68" s="1951"/>
      <c r="Q68" s="1960"/>
    </row>
    <row r="69" spans="1:17" ht="14.25" customHeight="1">
      <c r="A69" s="2713" t="s">
        <v>3247</v>
      </c>
      <c r="B69" s="2714" t="s">
        <v>2829</v>
      </c>
      <c r="C69" s="2715"/>
      <c r="D69" s="2716"/>
      <c r="E69" s="2717" t="s">
        <v>2518</v>
      </c>
      <c r="F69" s="2717" t="s">
        <v>2503</v>
      </c>
      <c r="G69" s="2718" t="s">
        <v>2732</v>
      </c>
      <c r="H69" s="2719" t="s">
        <v>2294</v>
      </c>
      <c r="I69" s="2720" t="s">
        <v>2259</v>
      </c>
      <c r="J69" s="2721"/>
      <c r="K69" s="2722"/>
      <c r="L69" s="2723"/>
      <c r="M69" s="1951"/>
      <c r="N69" s="1962">
        <v>1000000</v>
      </c>
      <c r="O69" s="1961"/>
      <c r="P69" s="1951"/>
      <c r="Q69" s="1960"/>
    </row>
    <row r="70" spans="1:17" ht="14.25" customHeight="1">
      <c r="A70" s="2713" t="s">
        <v>3247</v>
      </c>
      <c r="B70" s="2714" t="s">
        <v>2735</v>
      </c>
      <c r="C70" s="2715"/>
      <c r="D70" s="2716"/>
      <c r="E70" s="2717" t="s">
        <v>2518</v>
      </c>
      <c r="F70" s="2717" t="s">
        <v>2503</v>
      </c>
      <c r="G70" s="2718" t="s">
        <v>2732</v>
      </c>
      <c r="H70" s="2719" t="s">
        <v>2294</v>
      </c>
      <c r="I70" s="2720" t="s">
        <v>2259</v>
      </c>
      <c r="J70" s="2721"/>
      <c r="K70" s="2722"/>
      <c r="L70" s="2723"/>
      <c r="M70" s="1951"/>
      <c r="N70" s="1962">
        <v>300000</v>
      </c>
      <c r="O70" s="1961"/>
      <c r="P70" s="1951"/>
      <c r="Q70" s="1960"/>
    </row>
    <row r="71" spans="1:17" ht="14.25" customHeight="1">
      <c r="A71" s="2713" t="s">
        <v>3243</v>
      </c>
      <c r="B71" s="2714" t="s">
        <v>3312</v>
      </c>
      <c r="C71" s="2715"/>
      <c r="D71" s="2716"/>
      <c r="E71" s="2717"/>
      <c r="F71" s="2717"/>
      <c r="G71" s="2718"/>
      <c r="H71" s="2719"/>
      <c r="I71" s="2720"/>
      <c r="J71" s="2721"/>
      <c r="K71" s="2722"/>
      <c r="L71" s="2723"/>
      <c r="M71" s="1951"/>
      <c r="N71" s="1962">
        <v>5700000</v>
      </c>
      <c r="O71" s="1961"/>
      <c r="P71" s="1951"/>
      <c r="Q71" s="1960"/>
    </row>
    <row r="72" spans="1:17" ht="14.25" customHeight="1">
      <c r="A72" s="2713" t="s">
        <v>3310</v>
      </c>
      <c r="B72" s="2714" t="s">
        <v>2857</v>
      </c>
      <c r="C72" s="2715"/>
      <c r="D72" s="2716"/>
      <c r="E72" s="2717"/>
      <c r="F72" s="2717"/>
      <c r="G72" s="2718"/>
      <c r="H72" s="2719"/>
      <c r="I72" s="2720"/>
      <c r="J72" s="2721"/>
      <c r="K72" s="2722"/>
      <c r="L72" s="2723"/>
      <c r="M72" s="1951"/>
      <c r="N72" s="1962">
        <v>350000</v>
      </c>
      <c r="O72" s="1961"/>
      <c r="P72" s="1951"/>
      <c r="Q72" s="1960"/>
    </row>
    <row r="73" spans="1:17" ht="14.25" customHeight="1">
      <c r="A73" s="2713" t="s">
        <v>3310</v>
      </c>
      <c r="B73" s="2714" t="s">
        <v>2858</v>
      </c>
      <c r="C73" s="2715"/>
      <c r="D73" s="2716"/>
      <c r="E73" s="2717"/>
      <c r="F73" s="2717"/>
      <c r="G73" s="2718"/>
      <c r="H73" s="2719"/>
      <c r="I73" s="2720"/>
      <c r="J73" s="2721"/>
      <c r="K73" s="2722"/>
      <c r="L73" s="2723"/>
      <c r="M73" s="1951"/>
      <c r="N73" s="1962">
        <v>150000</v>
      </c>
      <c r="O73" s="1961"/>
      <c r="P73" s="1951"/>
      <c r="Q73" s="1960"/>
    </row>
    <row r="74" spans="1:17" ht="14.25" customHeight="1">
      <c r="A74" s="2713" t="s">
        <v>3310</v>
      </c>
      <c r="B74" s="2714" t="s">
        <v>2859</v>
      </c>
      <c r="C74" s="2715"/>
      <c r="D74" s="2716"/>
      <c r="E74" s="2717"/>
      <c r="F74" s="2717"/>
      <c r="G74" s="2718"/>
      <c r="H74" s="2719"/>
      <c r="I74" s="2720"/>
      <c r="J74" s="2721"/>
      <c r="K74" s="2722"/>
      <c r="L74" s="2723"/>
      <c r="M74" s="1951"/>
      <c r="N74" s="1962">
        <v>350000</v>
      </c>
      <c r="O74" s="1961"/>
      <c r="P74" s="1951"/>
      <c r="Q74" s="1960"/>
    </row>
    <row r="75" spans="1:17" ht="14.25" customHeight="1">
      <c r="A75" s="2713" t="s">
        <v>3310</v>
      </c>
      <c r="B75" s="2714" t="s">
        <v>2860</v>
      </c>
      <c r="C75" s="2715"/>
      <c r="D75" s="2716"/>
      <c r="E75" s="2717"/>
      <c r="F75" s="2717"/>
      <c r="G75" s="2718"/>
      <c r="H75" s="2719"/>
      <c r="I75" s="2720"/>
      <c r="J75" s="2721"/>
      <c r="K75" s="2722"/>
      <c r="L75" s="2723"/>
      <c r="M75" s="1951"/>
      <c r="N75" s="1962">
        <v>150000</v>
      </c>
      <c r="O75" s="1961"/>
      <c r="P75" s="1951"/>
      <c r="Q75" s="1960"/>
    </row>
    <row r="76" spans="1:17" ht="14.25" customHeight="1">
      <c r="A76" s="2713" t="s">
        <v>3243</v>
      </c>
      <c r="B76" s="2714" t="s">
        <v>2731</v>
      </c>
      <c r="C76" s="2715"/>
      <c r="D76" s="2716"/>
      <c r="E76" s="2717"/>
      <c r="F76" s="2717"/>
      <c r="G76" s="2718"/>
      <c r="H76" s="2719"/>
      <c r="I76" s="2720"/>
      <c r="J76" s="2721"/>
      <c r="K76" s="2722"/>
      <c r="L76" s="2723"/>
      <c r="M76" s="1951"/>
      <c r="N76" s="1962">
        <v>5119900</v>
      </c>
      <c r="O76" s="1961"/>
      <c r="P76" s="1951"/>
      <c r="Q76" s="1960"/>
    </row>
    <row r="77" spans="1:17" ht="14.25" customHeight="1">
      <c r="A77" s="2713" t="s">
        <v>3243</v>
      </c>
      <c r="B77" s="2714" t="s">
        <v>3313</v>
      </c>
      <c r="C77" s="2715"/>
      <c r="D77" s="2716"/>
      <c r="E77" s="2717"/>
      <c r="F77" s="2717"/>
      <c r="G77" s="2718"/>
      <c r="H77" s="2719"/>
      <c r="I77" s="2720"/>
      <c r="J77" s="2721"/>
      <c r="K77" s="2722"/>
      <c r="L77" s="2723"/>
      <c r="M77" s="1951"/>
      <c r="N77" s="1962">
        <v>900000</v>
      </c>
      <c r="O77" s="1961"/>
      <c r="P77" s="1951"/>
      <c r="Q77" s="1960"/>
    </row>
    <row r="78" spans="1:17" ht="14.25" customHeight="1">
      <c r="A78" s="2713" t="s">
        <v>3247</v>
      </c>
      <c r="B78" s="2714" t="s">
        <v>2704</v>
      </c>
      <c r="C78" s="2715"/>
      <c r="D78" s="2716"/>
      <c r="E78" s="2717" t="s">
        <v>2518</v>
      </c>
      <c r="F78" s="2717" t="s">
        <v>2503</v>
      </c>
      <c r="G78" s="2718" t="s">
        <v>2732</v>
      </c>
      <c r="H78" s="2719" t="s">
        <v>2294</v>
      </c>
      <c r="I78" s="2720" t="s">
        <v>2259</v>
      </c>
      <c r="J78" s="2721"/>
      <c r="K78" s="2722"/>
      <c r="L78" s="2723"/>
      <c r="M78" s="1951"/>
      <c r="N78" s="1962">
        <v>8000000</v>
      </c>
      <c r="O78" s="1961"/>
      <c r="P78" s="1951"/>
      <c r="Q78" s="1960"/>
    </row>
    <row r="79" spans="1:17" ht="14.25" customHeight="1">
      <c r="A79" s="2713" t="s">
        <v>3247</v>
      </c>
      <c r="B79" s="2714" t="s">
        <v>3314</v>
      </c>
      <c r="C79" s="2715"/>
      <c r="D79" s="2716"/>
      <c r="E79" s="2717" t="s">
        <v>2518</v>
      </c>
      <c r="F79" s="2717" t="s">
        <v>2503</v>
      </c>
      <c r="G79" s="2718" t="s">
        <v>2732</v>
      </c>
      <c r="H79" s="2719" t="s">
        <v>2294</v>
      </c>
      <c r="I79" s="2720" t="s">
        <v>2259</v>
      </c>
      <c r="J79" s="2721"/>
      <c r="K79" s="2722"/>
      <c r="L79" s="2723"/>
      <c r="M79" s="1951"/>
      <c r="N79" s="1962">
        <v>300000</v>
      </c>
      <c r="O79" s="1961"/>
      <c r="P79" s="1951"/>
      <c r="Q79" s="1960"/>
    </row>
    <row r="80" spans="1:17" ht="14.25" customHeight="1">
      <c r="A80" s="2713" t="s">
        <v>3247</v>
      </c>
      <c r="B80" s="2714" t="s">
        <v>3315</v>
      </c>
      <c r="C80" s="2715"/>
      <c r="D80" s="2716"/>
      <c r="E80" s="2717" t="s">
        <v>2518</v>
      </c>
      <c r="F80" s="2717" t="s">
        <v>2503</v>
      </c>
      <c r="G80" s="2718" t="s">
        <v>2732</v>
      </c>
      <c r="H80" s="2719" t="s">
        <v>2294</v>
      </c>
      <c r="I80" s="2720" t="s">
        <v>2259</v>
      </c>
      <c r="J80" s="2721"/>
      <c r="K80" s="2722"/>
      <c r="L80" s="2723"/>
      <c r="M80" s="1951"/>
      <c r="N80" s="1962">
        <v>800000</v>
      </c>
      <c r="O80" s="1961"/>
      <c r="P80" s="1951"/>
      <c r="Q80" s="1960"/>
    </row>
    <row r="81" spans="1:17" ht="14.25" customHeight="1">
      <c r="A81" s="2713" t="s">
        <v>3247</v>
      </c>
      <c r="B81" s="2714" t="s">
        <v>3316</v>
      </c>
      <c r="C81" s="2715"/>
      <c r="D81" s="2716"/>
      <c r="E81" s="2717" t="s">
        <v>2518</v>
      </c>
      <c r="F81" s="2717" t="s">
        <v>2503</v>
      </c>
      <c r="G81" s="2718" t="s">
        <v>2732</v>
      </c>
      <c r="H81" s="2719" t="s">
        <v>2294</v>
      </c>
      <c r="I81" s="2720" t="s">
        <v>2259</v>
      </c>
      <c r="J81" s="2721"/>
      <c r="K81" s="2722"/>
      <c r="L81" s="2723"/>
      <c r="M81" s="1951"/>
      <c r="N81" s="1962">
        <v>100000</v>
      </c>
      <c r="O81" s="1961"/>
      <c r="P81" s="1951"/>
      <c r="Q81" s="1960"/>
    </row>
    <row r="82" spans="1:17" ht="14.25" customHeight="1">
      <c r="A82" s="2713" t="s">
        <v>3247</v>
      </c>
      <c r="B82" s="2714" t="s">
        <v>2740</v>
      </c>
      <c r="C82" s="2715"/>
      <c r="D82" s="2716"/>
      <c r="E82" s="2717" t="s">
        <v>2518</v>
      </c>
      <c r="F82" s="2717" t="s">
        <v>2503</v>
      </c>
      <c r="G82" s="2718" t="s">
        <v>2732</v>
      </c>
      <c r="H82" s="2719" t="s">
        <v>2294</v>
      </c>
      <c r="I82" s="2720" t="s">
        <v>2259</v>
      </c>
      <c r="J82" s="2721"/>
      <c r="K82" s="2722"/>
      <c r="L82" s="2723"/>
      <c r="M82" s="1951"/>
      <c r="N82" s="1962">
        <v>50000</v>
      </c>
      <c r="O82" s="1961"/>
      <c r="P82" s="1951"/>
      <c r="Q82" s="1960"/>
    </row>
    <row r="83" spans="1:17" ht="14.25" customHeight="1">
      <c r="A83" s="2713" t="s">
        <v>3247</v>
      </c>
      <c r="B83" s="2714" t="s">
        <v>3317</v>
      </c>
      <c r="C83" s="2715"/>
      <c r="D83" s="2716"/>
      <c r="E83" s="2717" t="s">
        <v>2518</v>
      </c>
      <c r="F83" s="2717" t="s">
        <v>2503</v>
      </c>
      <c r="G83" s="2718" t="s">
        <v>2732</v>
      </c>
      <c r="H83" s="2719" t="s">
        <v>2294</v>
      </c>
      <c r="I83" s="2720" t="s">
        <v>2259</v>
      </c>
      <c r="J83" s="2721"/>
      <c r="K83" s="2722"/>
      <c r="L83" s="2723"/>
      <c r="M83" s="1951"/>
      <c r="N83" s="1962">
        <v>50000</v>
      </c>
      <c r="O83" s="1961"/>
      <c r="P83" s="1951"/>
      <c r="Q83" s="1960"/>
    </row>
    <row r="84" spans="1:17" ht="14.25" customHeight="1">
      <c r="A84" s="2713" t="s">
        <v>3247</v>
      </c>
      <c r="B84" s="2714" t="s">
        <v>3318</v>
      </c>
      <c r="C84" s="2715"/>
      <c r="D84" s="2716"/>
      <c r="E84" s="2717" t="s">
        <v>2518</v>
      </c>
      <c r="F84" s="2717" t="s">
        <v>2503</v>
      </c>
      <c r="G84" s="2718" t="s">
        <v>2732</v>
      </c>
      <c r="H84" s="2719" t="s">
        <v>2294</v>
      </c>
      <c r="I84" s="2720" t="s">
        <v>2259</v>
      </c>
      <c r="J84" s="2721"/>
      <c r="K84" s="2722"/>
      <c r="L84" s="2723"/>
      <c r="M84" s="1951"/>
      <c r="N84" s="1962">
        <v>150000</v>
      </c>
      <c r="O84" s="1961"/>
      <c r="P84" s="1951"/>
      <c r="Q84" s="1960"/>
    </row>
    <row r="85" spans="1:17" ht="14.25" customHeight="1">
      <c r="A85" s="2713" t="s">
        <v>3247</v>
      </c>
      <c r="B85" s="2714" t="s">
        <v>3319</v>
      </c>
      <c r="C85" s="2715"/>
      <c r="D85" s="2716"/>
      <c r="E85" s="2717" t="s">
        <v>2518</v>
      </c>
      <c r="F85" s="2717" t="s">
        <v>2503</v>
      </c>
      <c r="G85" s="2718" t="s">
        <v>2732</v>
      </c>
      <c r="H85" s="2719" t="s">
        <v>2294</v>
      </c>
      <c r="I85" s="2720" t="s">
        <v>2259</v>
      </c>
      <c r="J85" s="2721"/>
      <c r="K85" s="2722"/>
      <c r="L85" s="2723"/>
      <c r="M85" s="1951"/>
      <c r="N85" s="1962">
        <v>1050000</v>
      </c>
      <c r="O85" s="1961"/>
      <c r="P85" s="1951"/>
      <c r="Q85" s="1960"/>
    </row>
    <row r="86" spans="1:17" ht="14.25" customHeight="1">
      <c r="A86" s="2713" t="s">
        <v>3247</v>
      </c>
      <c r="B86" s="2714" t="s">
        <v>3320</v>
      </c>
      <c r="C86" s="2715"/>
      <c r="D86" s="2716"/>
      <c r="E86" s="2717" t="s">
        <v>2518</v>
      </c>
      <c r="F86" s="2717" t="s">
        <v>2503</v>
      </c>
      <c r="G86" s="2718" t="s">
        <v>2732</v>
      </c>
      <c r="H86" s="2719" t="s">
        <v>2294</v>
      </c>
      <c r="I86" s="2720" t="s">
        <v>2259</v>
      </c>
      <c r="J86" s="2721"/>
      <c r="K86" s="2722"/>
      <c r="L86" s="2723"/>
      <c r="M86" s="1951"/>
      <c r="N86" s="1962">
        <v>1000000</v>
      </c>
      <c r="O86" s="1961"/>
      <c r="P86" s="1951"/>
      <c r="Q86" s="1960"/>
    </row>
    <row r="87" spans="1:17" ht="14.25" customHeight="1">
      <c r="A87" s="2713" t="s">
        <v>3247</v>
      </c>
      <c r="B87" s="2714" t="s">
        <v>3321</v>
      </c>
      <c r="C87" s="2715"/>
      <c r="D87" s="2716"/>
      <c r="E87" s="2717" t="s">
        <v>2518</v>
      </c>
      <c r="F87" s="2717" t="s">
        <v>2503</v>
      </c>
      <c r="G87" s="2718" t="s">
        <v>2732</v>
      </c>
      <c r="H87" s="2719" t="s">
        <v>2294</v>
      </c>
      <c r="I87" s="2720" t="s">
        <v>2259</v>
      </c>
      <c r="J87" s="2721"/>
      <c r="K87" s="2722"/>
      <c r="L87" s="2723"/>
      <c r="M87" s="1951"/>
      <c r="N87" s="1962">
        <v>600000</v>
      </c>
      <c r="O87" s="1961"/>
      <c r="P87" s="1951"/>
      <c r="Q87" s="1960"/>
    </row>
    <row r="88" spans="1:17" ht="14.25" customHeight="1">
      <c r="A88" s="2713" t="s">
        <v>3247</v>
      </c>
      <c r="B88" s="2714" t="s">
        <v>3322</v>
      </c>
      <c r="C88" s="2715"/>
      <c r="D88" s="2716"/>
      <c r="E88" s="2717" t="s">
        <v>2518</v>
      </c>
      <c r="F88" s="2717" t="s">
        <v>2503</v>
      </c>
      <c r="G88" s="2718" t="s">
        <v>2732</v>
      </c>
      <c r="H88" s="2719" t="s">
        <v>2294</v>
      </c>
      <c r="I88" s="2720" t="s">
        <v>2259</v>
      </c>
      <c r="J88" s="2721"/>
      <c r="K88" s="2722"/>
      <c r="L88" s="2723"/>
      <c r="M88" s="1951"/>
      <c r="N88" s="1962">
        <v>400000</v>
      </c>
      <c r="O88" s="1961"/>
      <c r="P88" s="1951"/>
      <c r="Q88" s="1960"/>
    </row>
    <row r="89" spans="1:17" ht="14.25" customHeight="1">
      <c r="A89" s="2713" t="s">
        <v>3247</v>
      </c>
      <c r="B89" s="2714" t="s">
        <v>3323</v>
      </c>
      <c r="C89" s="2715"/>
      <c r="D89" s="2716"/>
      <c r="E89" s="2717" t="s">
        <v>2518</v>
      </c>
      <c r="F89" s="2717" t="s">
        <v>2503</v>
      </c>
      <c r="G89" s="2718" t="s">
        <v>2732</v>
      </c>
      <c r="H89" s="2719" t="s">
        <v>2294</v>
      </c>
      <c r="I89" s="2720" t="s">
        <v>2259</v>
      </c>
      <c r="J89" s="2721"/>
      <c r="K89" s="2722"/>
      <c r="L89" s="2723"/>
      <c r="M89" s="1951"/>
      <c r="N89" s="1962">
        <v>600000</v>
      </c>
      <c r="O89" s="1961"/>
      <c r="P89" s="1951"/>
      <c r="Q89" s="1960"/>
    </row>
    <row r="90" spans="1:17" ht="14.25" customHeight="1">
      <c r="A90" s="2713" t="s">
        <v>3247</v>
      </c>
      <c r="B90" s="2714" t="s">
        <v>3324</v>
      </c>
      <c r="C90" s="2715"/>
      <c r="D90" s="2716"/>
      <c r="E90" s="2717" t="s">
        <v>2518</v>
      </c>
      <c r="F90" s="2717" t="s">
        <v>2503</v>
      </c>
      <c r="G90" s="2718" t="s">
        <v>2732</v>
      </c>
      <c r="H90" s="2719" t="s">
        <v>2294</v>
      </c>
      <c r="I90" s="2720" t="s">
        <v>2259</v>
      </c>
      <c r="J90" s="2721"/>
      <c r="K90" s="2722"/>
      <c r="L90" s="2723"/>
      <c r="M90" s="1951"/>
      <c r="N90" s="1962">
        <v>600000</v>
      </c>
      <c r="O90" s="1961"/>
      <c r="P90" s="1951"/>
      <c r="Q90" s="1960"/>
    </row>
    <row r="91" spans="1:17" ht="14.25" customHeight="1">
      <c r="A91" s="2713" t="s">
        <v>3247</v>
      </c>
      <c r="B91" s="2714" t="s">
        <v>3325</v>
      </c>
      <c r="C91" s="2715"/>
      <c r="D91" s="2716"/>
      <c r="E91" s="2717" t="s">
        <v>2518</v>
      </c>
      <c r="F91" s="2717" t="s">
        <v>2503</v>
      </c>
      <c r="G91" s="2718" t="s">
        <v>2732</v>
      </c>
      <c r="H91" s="2719" t="s">
        <v>2294</v>
      </c>
      <c r="I91" s="2720" t="s">
        <v>2259</v>
      </c>
      <c r="J91" s="2721"/>
      <c r="K91" s="2722"/>
      <c r="L91" s="2723"/>
      <c r="M91" s="1951"/>
      <c r="N91" s="1962">
        <v>1400000</v>
      </c>
      <c r="O91" s="1961"/>
      <c r="P91" s="1951"/>
      <c r="Q91" s="1960"/>
    </row>
    <row r="92" spans="1:17" ht="14.25" customHeight="1">
      <c r="A92" s="2713" t="s">
        <v>3247</v>
      </c>
      <c r="B92" s="2714" t="s">
        <v>3326</v>
      </c>
      <c r="C92" s="2715"/>
      <c r="D92" s="2716"/>
      <c r="E92" s="2717" t="s">
        <v>2518</v>
      </c>
      <c r="F92" s="2717" t="s">
        <v>2503</v>
      </c>
      <c r="G92" s="2718" t="s">
        <v>2732</v>
      </c>
      <c r="H92" s="2719" t="s">
        <v>2294</v>
      </c>
      <c r="I92" s="2720" t="s">
        <v>2259</v>
      </c>
      <c r="J92" s="2721"/>
      <c r="K92" s="2722"/>
      <c r="L92" s="2723"/>
      <c r="M92" s="1951"/>
      <c r="N92" s="1962">
        <v>500000</v>
      </c>
      <c r="O92" s="1961"/>
      <c r="P92" s="1951"/>
      <c r="Q92" s="1960"/>
    </row>
    <row r="93" spans="1:17" ht="14.25" customHeight="1">
      <c r="A93" s="2713" t="s">
        <v>3247</v>
      </c>
      <c r="B93" s="2714" t="s">
        <v>3327</v>
      </c>
      <c r="C93" s="2715"/>
      <c r="D93" s="2716"/>
      <c r="E93" s="2717" t="s">
        <v>2518</v>
      </c>
      <c r="F93" s="2717" t="s">
        <v>2503</v>
      </c>
      <c r="G93" s="2718" t="s">
        <v>2732</v>
      </c>
      <c r="H93" s="2719" t="s">
        <v>2294</v>
      </c>
      <c r="I93" s="2720" t="s">
        <v>2259</v>
      </c>
      <c r="J93" s="2721"/>
      <c r="K93" s="2722"/>
      <c r="L93" s="2723"/>
      <c r="M93" s="1951"/>
      <c r="N93" s="1962">
        <v>500000</v>
      </c>
      <c r="O93" s="1961"/>
      <c r="P93" s="1951"/>
      <c r="Q93" s="1960"/>
    </row>
    <row r="94" spans="1:17" ht="14.25" customHeight="1">
      <c r="A94" s="2713" t="s">
        <v>3247</v>
      </c>
      <c r="B94" s="2714" t="s">
        <v>3328</v>
      </c>
      <c r="C94" s="2715"/>
      <c r="D94" s="2716"/>
      <c r="E94" s="2717" t="s">
        <v>2518</v>
      </c>
      <c r="F94" s="2717" t="s">
        <v>2503</v>
      </c>
      <c r="G94" s="2718" t="s">
        <v>2732</v>
      </c>
      <c r="H94" s="2719" t="s">
        <v>2294</v>
      </c>
      <c r="I94" s="2720" t="s">
        <v>2259</v>
      </c>
      <c r="J94" s="2721"/>
      <c r="K94" s="2722"/>
      <c r="L94" s="2723"/>
      <c r="M94" s="1951"/>
      <c r="N94" s="1962">
        <v>500000</v>
      </c>
      <c r="O94" s="1961"/>
      <c r="P94" s="1951"/>
      <c r="Q94" s="1960"/>
    </row>
    <row r="95" spans="1:17" ht="14.25" customHeight="1">
      <c r="A95" s="2713" t="s">
        <v>3247</v>
      </c>
      <c r="B95" s="2714" t="s">
        <v>3329</v>
      </c>
      <c r="C95" s="2715"/>
      <c r="D95" s="2716"/>
      <c r="E95" s="2717" t="s">
        <v>2518</v>
      </c>
      <c r="F95" s="2717" t="s">
        <v>2503</v>
      </c>
      <c r="G95" s="2718" t="s">
        <v>2732</v>
      </c>
      <c r="H95" s="2719" t="s">
        <v>2294</v>
      </c>
      <c r="I95" s="2720" t="s">
        <v>2259</v>
      </c>
      <c r="J95" s="2721"/>
      <c r="K95" s="2722"/>
      <c r="L95" s="2723"/>
      <c r="M95" s="1951"/>
      <c r="N95" s="1962">
        <v>1000000</v>
      </c>
      <c r="O95" s="1961"/>
      <c r="P95" s="1951"/>
      <c r="Q95" s="1960"/>
    </row>
    <row r="96" spans="1:17" ht="14.25" customHeight="1">
      <c r="A96" s="2713" t="s">
        <v>3247</v>
      </c>
      <c r="B96" s="2714" t="s">
        <v>3330</v>
      </c>
      <c r="C96" s="2715"/>
      <c r="D96" s="2716"/>
      <c r="E96" s="2717" t="s">
        <v>2518</v>
      </c>
      <c r="F96" s="2717" t="s">
        <v>2503</v>
      </c>
      <c r="G96" s="2718" t="s">
        <v>2732</v>
      </c>
      <c r="H96" s="2719" t="s">
        <v>2294</v>
      </c>
      <c r="I96" s="2720" t="s">
        <v>2259</v>
      </c>
      <c r="J96" s="2721"/>
      <c r="K96" s="2722"/>
      <c r="L96" s="2723"/>
      <c r="M96" s="1951"/>
      <c r="N96" s="1962">
        <v>500000</v>
      </c>
      <c r="O96" s="1961"/>
      <c r="P96" s="1951"/>
      <c r="Q96" s="1960"/>
    </row>
    <row r="97" spans="1:17" ht="14.25" customHeight="1">
      <c r="A97" s="2713" t="s">
        <v>3247</v>
      </c>
      <c r="B97" s="2714" t="s">
        <v>3331</v>
      </c>
      <c r="C97" s="2715"/>
      <c r="D97" s="2716"/>
      <c r="E97" s="2717" t="s">
        <v>2518</v>
      </c>
      <c r="F97" s="2717" t="s">
        <v>2503</v>
      </c>
      <c r="G97" s="2718" t="s">
        <v>2732</v>
      </c>
      <c r="H97" s="2719" t="s">
        <v>2294</v>
      </c>
      <c r="I97" s="2720" t="s">
        <v>2259</v>
      </c>
      <c r="J97" s="2721"/>
      <c r="K97" s="2722"/>
      <c r="L97" s="2723"/>
      <c r="M97" s="1951"/>
      <c r="N97" s="1962">
        <v>6600000</v>
      </c>
      <c r="O97" s="1961"/>
      <c r="P97" s="1951"/>
      <c r="Q97" s="1960"/>
    </row>
    <row r="98" spans="1:17" ht="14.25" customHeight="1">
      <c r="A98" s="2713" t="s">
        <v>3247</v>
      </c>
      <c r="B98" s="2714" t="s">
        <v>3332</v>
      </c>
      <c r="C98" s="2715"/>
      <c r="D98" s="2716"/>
      <c r="E98" s="2717" t="s">
        <v>2518</v>
      </c>
      <c r="F98" s="2717" t="s">
        <v>2503</v>
      </c>
      <c r="G98" s="2718" t="s">
        <v>2732</v>
      </c>
      <c r="H98" s="2719" t="s">
        <v>2294</v>
      </c>
      <c r="I98" s="2720" t="s">
        <v>2259</v>
      </c>
      <c r="J98" s="2721"/>
      <c r="K98" s="2722"/>
      <c r="L98" s="2723"/>
      <c r="M98" s="1951"/>
      <c r="N98" s="1962">
        <v>1000000</v>
      </c>
      <c r="O98" s="1961"/>
      <c r="P98" s="1951"/>
      <c r="Q98" s="1960"/>
    </row>
    <row r="99" spans="1:17" ht="14.25" customHeight="1">
      <c r="A99" s="2713" t="s">
        <v>3247</v>
      </c>
      <c r="B99" s="2714" t="s">
        <v>3333</v>
      </c>
      <c r="C99" s="2715"/>
      <c r="D99" s="2716"/>
      <c r="E99" s="2717" t="s">
        <v>2518</v>
      </c>
      <c r="F99" s="2717" t="s">
        <v>2503</v>
      </c>
      <c r="G99" s="2718" t="s">
        <v>2732</v>
      </c>
      <c r="H99" s="2719" t="s">
        <v>2294</v>
      </c>
      <c r="I99" s="2720" t="s">
        <v>2259</v>
      </c>
      <c r="J99" s="2721"/>
      <c r="K99" s="2722"/>
      <c r="L99" s="2723"/>
      <c r="M99" s="1951"/>
      <c r="N99" s="1962">
        <v>1000000</v>
      </c>
      <c r="O99" s="1961"/>
      <c r="P99" s="1951"/>
      <c r="Q99" s="1960"/>
    </row>
    <row r="100" spans="1:17" ht="14.25" customHeight="1">
      <c r="A100" s="2713" t="s">
        <v>3247</v>
      </c>
      <c r="B100" s="2714" t="s">
        <v>3334</v>
      </c>
      <c r="C100" s="2715"/>
      <c r="D100" s="2716"/>
      <c r="E100" s="2717" t="s">
        <v>2518</v>
      </c>
      <c r="F100" s="2717" t="s">
        <v>2503</v>
      </c>
      <c r="G100" s="2718" t="s">
        <v>2732</v>
      </c>
      <c r="H100" s="2719" t="s">
        <v>2294</v>
      </c>
      <c r="I100" s="2720" t="s">
        <v>2259</v>
      </c>
      <c r="J100" s="2721"/>
      <c r="K100" s="2722"/>
      <c r="L100" s="2723"/>
      <c r="M100" s="1951"/>
      <c r="N100" s="1962">
        <v>500000</v>
      </c>
      <c r="O100" s="1961"/>
      <c r="P100" s="1951"/>
      <c r="Q100" s="1960"/>
    </row>
    <row r="101" spans="1:17" ht="14.25" customHeight="1">
      <c r="A101" s="2713" t="s">
        <v>3310</v>
      </c>
      <c r="B101" s="2714" t="s">
        <v>2842</v>
      </c>
      <c r="C101" s="2715"/>
      <c r="D101" s="2716"/>
      <c r="E101" s="2717"/>
      <c r="F101" s="2717"/>
      <c r="G101" s="2718"/>
      <c r="H101" s="2719"/>
      <c r="I101" s="2720"/>
      <c r="J101" s="2721"/>
      <c r="K101" s="2722"/>
      <c r="L101" s="2723"/>
      <c r="M101" s="1951"/>
      <c r="N101" s="1962">
        <v>85000</v>
      </c>
      <c r="O101" s="1961"/>
      <c r="P101" s="1951"/>
      <c r="Q101" s="1960"/>
    </row>
    <row r="102" spans="1:17" ht="14.25" customHeight="1">
      <c r="A102" s="2713" t="s">
        <v>1580</v>
      </c>
      <c r="B102" s="2714" t="s">
        <v>3335</v>
      </c>
      <c r="C102" s="2715" t="s">
        <v>3297</v>
      </c>
      <c r="D102" s="2716" t="s">
        <v>3298</v>
      </c>
      <c r="E102" s="2717" t="s">
        <v>2518</v>
      </c>
      <c r="F102" s="2717" t="s">
        <v>2503</v>
      </c>
      <c r="G102" s="2718" t="s">
        <v>3299</v>
      </c>
      <c r="H102" s="2719" t="s">
        <v>2348</v>
      </c>
      <c r="I102" s="2720" t="s">
        <v>2325</v>
      </c>
      <c r="J102" s="2721" t="s">
        <v>3288</v>
      </c>
      <c r="K102" s="2722"/>
      <c r="L102" s="2723"/>
      <c r="M102" s="1951"/>
      <c r="N102" s="1962">
        <v>200000</v>
      </c>
      <c r="O102" s="1961"/>
      <c r="P102" s="1951"/>
      <c r="Q102" s="1960"/>
    </row>
    <row r="103" spans="1:17" ht="14.25" customHeight="1">
      <c r="A103" s="2713" t="s">
        <v>3247</v>
      </c>
      <c r="B103" s="2714" t="s">
        <v>3336</v>
      </c>
      <c r="C103" s="2715"/>
      <c r="D103" s="2716"/>
      <c r="E103" s="2717" t="s">
        <v>2518</v>
      </c>
      <c r="F103" s="2717" t="s">
        <v>2503</v>
      </c>
      <c r="G103" s="2718" t="s">
        <v>2732</v>
      </c>
      <c r="H103" s="2719" t="s">
        <v>2294</v>
      </c>
      <c r="I103" s="2720" t="s">
        <v>2259</v>
      </c>
      <c r="J103" s="2721"/>
      <c r="K103" s="2722"/>
      <c r="L103" s="2723"/>
      <c r="M103" s="1951"/>
      <c r="N103" s="1962">
        <v>4778414.76</v>
      </c>
      <c r="O103" s="1961"/>
      <c r="P103" s="1951"/>
      <c r="Q103" s="1960"/>
    </row>
    <row r="104" spans="1:17" ht="14.25" customHeight="1">
      <c r="A104" s="2713" t="s">
        <v>3247</v>
      </c>
      <c r="B104" s="2714" t="s">
        <v>3337</v>
      </c>
      <c r="C104" s="2715"/>
      <c r="D104" s="2716"/>
      <c r="E104" s="2717" t="s">
        <v>2518</v>
      </c>
      <c r="F104" s="2717" t="s">
        <v>2503</v>
      </c>
      <c r="G104" s="2718" t="s">
        <v>2732</v>
      </c>
      <c r="H104" s="2719" t="s">
        <v>2294</v>
      </c>
      <c r="I104" s="2720" t="s">
        <v>2259</v>
      </c>
      <c r="J104" s="2721"/>
      <c r="K104" s="2722"/>
      <c r="L104" s="2723"/>
      <c r="M104" s="1951"/>
      <c r="N104" s="1962">
        <v>646591.29</v>
      </c>
      <c r="O104" s="1961"/>
      <c r="P104" s="1951"/>
      <c r="Q104" s="1960"/>
    </row>
    <row r="105" spans="1:17" ht="14.25" customHeight="1">
      <c r="A105" s="2713" t="s">
        <v>3247</v>
      </c>
      <c r="B105" s="2714" t="s">
        <v>3338</v>
      </c>
      <c r="C105" s="2715"/>
      <c r="D105" s="2716"/>
      <c r="E105" s="2717" t="s">
        <v>2518</v>
      </c>
      <c r="F105" s="2717" t="s">
        <v>2503</v>
      </c>
      <c r="G105" s="2718" t="s">
        <v>2732</v>
      </c>
      <c r="H105" s="2719" t="s">
        <v>2294</v>
      </c>
      <c r="I105" s="2720" t="s">
        <v>2260</v>
      </c>
      <c r="J105" s="2721"/>
      <c r="K105" s="2722"/>
      <c r="L105" s="2723"/>
      <c r="M105" s="1951"/>
      <c r="N105" s="1962">
        <v>87025</v>
      </c>
      <c r="O105" s="1961"/>
      <c r="P105" s="1951"/>
      <c r="Q105" s="1960"/>
    </row>
    <row r="106" spans="1:17" ht="14.25" customHeight="1">
      <c r="A106" s="2713" t="s">
        <v>3247</v>
      </c>
      <c r="B106" s="2714" t="s">
        <v>3339</v>
      </c>
      <c r="C106" s="2715"/>
      <c r="D106" s="2716"/>
      <c r="E106" s="2717" t="s">
        <v>2518</v>
      </c>
      <c r="F106" s="2717" t="s">
        <v>2503</v>
      </c>
      <c r="G106" s="2718" t="s">
        <v>2732</v>
      </c>
      <c r="H106" s="2719" t="s">
        <v>2294</v>
      </c>
      <c r="I106" s="2720" t="s">
        <v>2260</v>
      </c>
      <c r="J106" s="2721"/>
      <c r="K106" s="2722"/>
      <c r="L106" s="2723"/>
      <c r="M106" s="1951"/>
      <c r="N106" s="1962">
        <v>91574.930000000008</v>
      </c>
      <c r="O106" s="1961"/>
      <c r="P106" s="1951"/>
      <c r="Q106" s="1960"/>
    </row>
    <row r="107" spans="1:17" ht="14.25" customHeight="1">
      <c r="A107" s="2713" t="s">
        <v>3247</v>
      </c>
      <c r="B107" s="2714" t="s">
        <v>3340</v>
      </c>
      <c r="C107" s="2715"/>
      <c r="D107" s="2716"/>
      <c r="E107" s="2717" t="s">
        <v>2518</v>
      </c>
      <c r="F107" s="2717" t="s">
        <v>2503</v>
      </c>
      <c r="G107" s="2718" t="s">
        <v>2732</v>
      </c>
      <c r="H107" s="2719" t="s">
        <v>2294</v>
      </c>
      <c r="I107" s="2720" t="s">
        <v>2259</v>
      </c>
      <c r="J107" s="2721"/>
      <c r="K107" s="2722"/>
      <c r="L107" s="2723"/>
      <c r="M107" s="1951"/>
      <c r="N107" s="1962">
        <v>250000</v>
      </c>
      <c r="O107" s="1961"/>
      <c r="P107" s="1951"/>
      <c r="Q107" s="1960"/>
    </row>
    <row r="108" spans="1:17" ht="14.25" customHeight="1">
      <c r="A108" s="2713" t="s">
        <v>3247</v>
      </c>
      <c r="B108" s="2714" t="s">
        <v>3341</v>
      </c>
      <c r="C108" s="2715"/>
      <c r="D108" s="2716"/>
      <c r="E108" s="2717" t="s">
        <v>2518</v>
      </c>
      <c r="F108" s="2717" t="s">
        <v>2503</v>
      </c>
      <c r="G108" s="2718" t="s">
        <v>2732</v>
      </c>
      <c r="H108" s="2719" t="s">
        <v>2294</v>
      </c>
      <c r="I108" s="2720" t="s">
        <v>2259</v>
      </c>
      <c r="J108" s="2721"/>
      <c r="K108" s="2722"/>
      <c r="L108" s="2723"/>
      <c r="M108" s="1951"/>
      <c r="N108" s="1962">
        <v>223320.14</v>
      </c>
      <c r="O108" s="1961"/>
      <c r="P108" s="1951"/>
      <c r="Q108" s="1960"/>
    </row>
    <row r="109" spans="1:17" ht="14.25" customHeight="1">
      <c r="A109" s="2713" t="s">
        <v>3247</v>
      </c>
      <c r="B109" s="2714" t="s">
        <v>3342</v>
      </c>
      <c r="C109" s="2715"/>
      <c r="D109" s="2716"/>
      <c r="E109" s="2717" t="s">
        <v>2518</v>
      </c>
      <c r="F109" s="2717" t="s">
        <v>2503</v>
      </c>
      <c r="G109" s="2718" t="s">
        <v>2732</v>
      </c>
      <c r="H109" s="2719" t="s">
        <v>2294</v>
      </c>
      <c r="I109" s="2720" t="s">
        <v>2259</v>
      </c>
      <c r="J109" s="2721"/>
      <c r="K109" s="2722"/>
      <c r="L109" s="2723"/>
      <c r="M109" s="1951"/>
      <c r="N109" s="1962">
        <v>934782.59</v>
      </c>
      <c r="O109" s="1961"/>
      <c r="P109" s="1951"/>
      <c r="Q109" s="1960"/>
    </row>
    <row r="110" spans="1:17" ht="14.25" customHeight="1">
      <c r="A110" s="2713" t="s">
        <v>3247</v>
      </c>
      <c r="B110" s="2714" t="s">
        <v>3343</v>
      </c>
      <c r="C110" s="2715"/>
      <c r="D110" s="2716"/>
      <c r="E110" s="2717" t="s">
        <v>2518</v>
      </c>
      <c r="F110" s="2717" t="s">
        <v>2503</v>
      </c>
      <c r="G110" s="2718" t="s">
        <v>2732</v>
      </c>
      <c r="H110" s="2719" t="s">
        <v>2294</v>
      </c>
      <c r="I110" s="2720" t="s">
        <v>2259</v>
      </c>
      <c r="J110" s="2721"/>
      <c r="K110" s="2722"/>
      <c r="L110" s="2723"/>
      <c r="M110" s="1951"/>
      <c r="N110" s="1962">
        <v>315810.26</v>
      </c>
      <c r="O110" s="1961"/>
      <c r="P110" s="1951"/>
      <c r="Q110" s="1960"/>
    </row>
    <row r="111" spans="1:17" ht="14.25" customHeight="1">
      <c r="A111" s="2713" t="s">
        <v>3247</v>
      </c>
      <c r="B111" s="2714" t="s">
        <v>3344</v>
      </c>
      <c r="C111" s="2715"/>
      <c r="D111" s="2716"/>
      <c r="E111" s="2717" t="s">
        <v>2518</v>
      </c>
      <c r="F111" s="2717" t="s">
        <v>2503</v>
      </c>
      <c r="G111" s="2718" t="s">
        <v>2732</v>
      </c>
      <c r="H111" s="2719" t="s">
        <v>2294</v>
      </c>
      <c r="I111" s="2720" t="s">
        <v>2259</v>
      </c>
      <c r="J111" s="2721"/>
      <c r="K111" s="2722"/>
      <c r="L111" s="2723"/>
      <c r="M111" s="1951"/>
      <c r="N111" s="1962">
        <v>342292.47</v>
      </c>
      <c r="O111" s="1961"/>
      <c r="P111" s="1951"/>
      <c r="Q111" s="1960"/>
    </row>
    <row r="112" spans="1:17" ht="14.25" customHeight="1">
      <c r="A112" s="2713" t="s">
        <v>3247</v>
      </c>
      <c r="B112" s="2714" t="s">
        <v>3345</v>
      </c>
      <c r="C112" s="2715"/>
      <c r="D112" s="2716"/>
      <c r="E112" s="2717" t="s">
        <v>2518</v>
      </c>
      <c r="F112" s="2717" t="s">
        <v>2503</v>
      </c>
      <c r="G112" s="2718" t="s">
        <v>2732</v>
      </c>
      <c r="H112" s="2719" t="s">
        <v>2294</v>
      </c>
      <c r="I112" s="2720" t="s">
        <v>2259</v>
      </c>
      <c r="J112" s="2721"/>
      <c r="K112" s="2722"/>
      <c r="L112" s="2723"/>
      <c r="M112" s="1951"/>
      <c r="N112" s="1962">
        <v>296047.41000000003</v>
      </c>
      <c r="O112" s="1961"/>
      <c r="P112" s="1951"/>
      <c r="Q112" s="1960"/>
    </row>
    <row r="113" spans="1:17" ht="14.25" customHeight="1">
      <c r="A113" s="2713" t="s">
        <v>3247</v>
      </c>
      <c r="B113" s="2714" t="s">
        <v>3346</v>
      </c>
      <c r="C113" s="2715"/>
      <c r="D113" s="2716"/>
      <c r="E113" s="2717" t="s">
        <v>2518</v>
      </c>
      <c r="F113" s="2717" t="s">
        <v>2503</v>
      </c>
      <c r="G113" s="2718" t="s">
        <v>2732</v>
      </c>
      <c r="H113" s="2719" t="s">
        <v>2294</v>
      </c>
      <c r="I113" s="2720" t="s">
        <v>2259</v>
      </c>
      <c r="J113" s="2721"/>
      <c r="K113" s="2722"/>
      <c r="L113" s="2723"/>
      <c r="M113" s="1951"/>
      <c r="N113" s="1962">
        <v>467391.3</v>
      </c>
      <c r="O113" s="1961"/>
      <c r="P113" s="1951"/>
      <c r="Q113" s="1960"/>
    </row>
    <row r="114" spans="1:17" ht="14.25" customHeight="1">
      <c r="A114" s="2713" t="s">
        <v>3247</v>
      </c>
      <c r="B114" s="2714" t="s">
        <v>3347</v>
      </c>
      <c r="C114" s="2715"/>
      <c r="D114" s="2716"/>
      <c r="E114" s="2717" t="s">
        <v>2518</v>
      </c>
      <c r="F114" s="2717" t="s">
        <v>2503</v>
      </c>
      <c r="G114" s="2718" t="s">
        <v>2732</v>
      </c>
      <c r="H114" s="2719" t="s">
        <v>2294</v>
      </c>
      <c r="I114" s="2720" t="s">
        <v>2259</v>
      </c>
      <c r="J114" s="2721"/>
      <c r="K114" s="2722"/>
      <c r="L114" s="2723"/>
      <c r="M114" s="1951"/>
      <c r="N114" s="1962">
        <v>1800622.72</v>
      </c>
      <c r="O114" s="1961"/>
      <c r="P114" s="1951"/>
      <c r="Q114" s="1960"/>
    </row>
    <row r="115" spans="1:17" ht="14.25" customHeight="1">
      <c r="A115" s="2713" t="s">
        <v>3247</v>
      </c>
      <c r="B115" s="2714" t="s">
        <v>3348</v>
      </c>
      <c r="C115" s="2715"/>
      <c r="D115" s="2716"/>
      <c r="E115" s="2717" t="s">
        <v>2518</v>
      </c>
      <c r="F115" s="2717" t="s">
        <v>2503</v>
      </c>
      <c r="G115" s="2718" t="s">
        <v>2732</v>
      </c>
      <c r="H115" s="2719" t="s">
        <v>2294</v>
      </c>
      <c r="I115" s="2720" t="s">
        <v>2259</v>
      </c>
      <c r="J115" s="2721"/>
      <c r="K115" s="2722"/>
      <c r="L115" s="2723"/>
      <c r="M115" s="1951"/>
      <c r="N115" s="1962">
        <v>1726757.42</v>
      </c>
      <c r="O115" s="1961"/>
      <c r="P115" s="1951"/>
      <c r="Q115" s="1960"/>
    </row>
    <row r="116" spans="1:17" ht="14.25" customHeight="1">
      <c r="A116" s="2713" t="s">
        <v>3247</v>
      </c>
      <c r="B116" s="2714" t="s">
        <v>3349</v>
      </c>
      <c r="C116" s="2715"/>
      <c r="D116" s="2716"/>
      <c r="E116" s="2717" t="s">
        <v>2518</v>
      </c>
      <c r="F116" s="2717" t="s">
        <v>2503</v>
      </c>
      <c r="G116" s="2718" t="s">
        <v>2732</v>
      </c>
      <c r="H116" s="2719" t="s">
        <v>2294</v>
      </c>
      <c r="I116" s="2720" t="s">
        <v>2259</v>
      </c>
      <c r="J116" s="2721"/>
      <c r="K116" s="2722"/>
      <c r="L116" s="2723"/>
      <c r="M116" s="1951"/>
      <c r="N116" s="1962">
        <v>326537.55</v>
      </c>
      <c r="O116" s="1961"/>
      <c r="P116" s="1951"/>
      <c r="Q116" s="1960"/>
    </row>
    <row r="117" spans="1:17" ht="14.25" customHeight="1">
      <c r="A117" s="2713" t="s">
        <v>3247</v>
      </c>
      <c r="B117" s="2714" t="s">
        <v>3350</v>
      </c>
      <c r="C117" s="2715"/>
      <c r="D117" s="2716"/>
      <c r="E117" s="2717" t="s">
        <v>2518</v>
      </c>
      <c r="F117" s="2717" t="s">
        <v>2503</v>
      </c>
      <c r="G117" s="2718" t="s">
        <v>2732</v>
      </c>
      <c r="H117" s="2719" t="s">
        <v>2294</v>
      </c>
      <c r="I117" s="2720" t="s">
        <v>2259</v>
      </c>
      <c r="J117" s="2721"/>
      <c r="K117" s="2722"/>
      <c r="L117" s="2723"/>
      <c r="M117" s="1951"/>
      <c r="N117" s="1962">
        <v>511349.28</v>
      </c>
      <c r="O117" s="1961"/>
      <c r="P117" s="1951"/>
      <c r="Q117" s="1960"/>
    </row>
    <row r="118" spans="1:17" ht="14.25" customHeight="1">
      <c r="A118" s="2713" t="s">
        <v>3242</v>
      </c>
      <c r="B118" s="2714" t="s">
        <v>3351</v>
      </c>
      <c r="C118" s="2715"/>
      <c r="D118" s="2716"/>
      <c r="E118" s="2717" t="s">
        <v>3245</v>
      </c>
      <c r="F118" s="2717" t="s">
        <v>2518</v>
      </c>
      <c r="G118" s="2718" t="s">
        <v>2503</v>
      </c>
      <c r="H118" s="2719" t="s">
        <v>3275</v>
      </c>
      <c r="I118" s="2720" t="s">
        <v>2245</v>
      </c>
      <c r="J118" s="2721" t="s">
        <v>632</v>
      </c>
      <c r="K118" s="2722"/>
      <c r="L118" s="2723"/>
      <c r="M118" s="1951"/>
      <c r="N118" s="1962">
        <v>561967</v>
      </c>
      <c r="O118" s="1961"/>
      <c r="P118" s="1951"/>
      <c r="Q118" s="1960"/>
    </row>
    <row r="119" spans="1:17" ht="14.25" customHeight="1">
      <c r="A119" s="2713" t="s">
        <v>3242</v>
      </c>
      <c r="B119" s="2714" t="s">
        <v>3352</v>
      </c>
      <c r="C119" s="2715"/>
      <c r="D119" s="2716"/>
      <c r="E119" s="2717" t="s">
        <v>3245</v>
      </c>
      <c r="F119" s="2717" t="s">
        <v>2518</v>
      </c>
      <c r="G119" s="2718" t="s">
        <v>2503</v>
      </c>
      <c r="H119" s="2719" t="s">
        <v>3275</v>
      </c>
      <c r="I119" s="2720" t="s">
        <v>2245</v>
      </c>
      <c r="J119" s="2721" t="s">
        <v>632</v>
      </c>
      <c r="K119" s="2722"/>
      <c r="L119" s="2723"/>
      <c r="M119" s="1951"/>
      <c r="N119" s="1962">
        <v>1520000</v>
      </c>
      <c r="O119" s="1961"/>
      <c r="P119" s="1951"/>
      <c r="Q119" s="1960"/>
    </row>
    <row r="120" spans="1:17" ht="14.25" customHeight="1">
      <c r="A120" s="2713" t="s">
        <v>3242</v>
      </c>
      <c r="B120" s="2714" t="s">
        <v>3353</v>
      </c>
      <c r="C120" s="2715"/>
      <c r="D120" s="2716"/>
      <c r="E120" s="2717" t="s">
        <v>3245</v>
      </c>
      <c r="F120" s="2717" t="s">
        <v>2518</v>
      </c>
      <c r="G120" s="2718" t="s">
        <v>2503</v>
      </c>
      <c r="H120" s="2719" t="s">
        <v>3275</v>
      </c>
      <c r="I120" s="2720" t="s">
        <v>2245</v>
      </c>
      <c r="J120" s="2721" t="s">
        <v>632</v>
      </c>
      <c r="K120" s="2722"/>
      <c r="L120" s="2723"/>
      <c r="M120" s="1951"/>
      <c r="N120" s="1962">
        <v>2693273</v>
      </c>
      <c r="O120" s="1961"/>
      <c r="P120" s="1951"/>
      <c r="Q120" s="1960"/>
    </row>
    <row r="121" spans="1:17" ht="14.25" customHeight="1">
      <c r="A121" s="2713" t="s">
        <v>3247</v>
      </c>
      <c r="B121" s="2714" t="s">
        <v>3354</v>
      </c>
      <c r="C121" s="2715"/>
      <c r="D121" s="2716"/>
      <c r="E121" s="2717" t="s">
        <v>2518</v>
      </c>
      <c r="F121" s="2717" t="s">
        <v>2503</v>
      </c>
      <c r="G121" s="2718" t="s">
        <v>2732</v>
      </c>
      <c r="H121" s="2719" t="s">
        <v>2294</v>
      </c>
      <c r="I121" s="2720" t="s">
        <v>2259</v>
      </c>
      <c r="J121" s="2721"/>
      <c r="K121" s="2722"/>
      <c r="L121" s="2723"/>
      <c r="M121" s="1951"/>
      <c r="N121" s="1962">
        <v>1000000</v>
      </c>
      <c r="O121" s="1961"/>
      <c r="P121" s="1951"/>
      <c r="Q121" s="1960"/>
    </row>
    <row r="122" spans="1:17" ht="14.25" customHeight="1">
      <c r="A122" s="2713" t="s">
        <v>3247</v>
      </c>
      <c r="B122" s="2714" t="s">
        <v>3355</v>
      </c>
      <c r="C122" s="2715"/>
      <c r="D122" s="2716"/>
      <c r="E122" s="2717" t="s">
        <v>2518</v>
      </c>
      <c r="F122" s="2717" t="s">
        <v>2503</v>
      </c>
      <c r="G122" s="2718" t="s">
        <v>2732</v>
      </c>
      <c r="H122" s="2719" t="s">
        <v>2294</v>
      </c>
      <c r="I122" s="2720" t="s">
        <v>2259</v>
      </c>
      <c r="J122" s="2721"/>
      <c r="K122" s="2722"/>
      <c r="L122" s="2723"/>
      <c r="M122" s="1951"/>
      <c r="N122" s="1962">
        <v>1000000</v>
      </c>
      <c r="O122" s="1961"/>
      <c r="P122" s="1951"/>
      <c r="Q122" s="1960"/>
    </row>
    <row r="123" spans="1:17" ht="14.25" customHeight="1">
      <c r="A123" s="2713" t="s">
        <v>3247</v>
      </c>
      <c r="B123" s="2714" t="s">
        <v>3356</v>
      </c>
      <c r="C123" s="2715"/>
      <c r="D123" s="2716"/>
      <c r="E123" s="2717" t="s">
        <v>2518</v>
      </c>
      <c r="F123" s="2717" t="s">
        <v>2503</v>
      </c>
      <c r="G123" s="2718" t="s">
        <v>2732</v>
      </c>
      <c r="H123" s="2719" t="s">
        <v>2294</v>
      </c>
      <c r="I123" s="2720" t="s">
        <v>2259</v>
      </c>
      <c r="J123" s="2721"/>
      <c r="K123" s="2722"/>
      <c r="L123" s="2723"/>
      <c r="M123" s="1951"/>
      <c r="N123" s="1962">
        <v>4000000</v>
      </c>
      <c r="O123" s="1961"/>
      <c r="P123" s="1951"/>
      <c r="Q123" s="1960"/>
    </row>
    <row r="124" spans="1:17" ht="14.25" customHeight="1">
      <c r="A124" s="2713" t="s">
        <v>3247</v>
      </c>
      <c r="B124" s="2714" t="s">
        <v>3357</v>
      </c>
      <c r="C124" s="2715"/>
      <c r="D124" s="2716"/>
      <c r="E124" s="2717" t="s">
        <v>2518</v>
      </c>
      <c r="F124" s="2717" t="s">
        <v>2503</v>
      </c>
      <c r="G124" s="2718" t="s">
        <v>2732</v>
      </c>
      <c r="H124" s="2719" t="s">
        <v>2294</v>
      </c>
      <c r="I124" s="2720" t="s">
        <v>2259</v>
      </c>
      <c r="J124" s="2721"/>
      <c r="K124" s="2722"/>
      <c r="L124" s="2723"/>
      <c r="M124" s="1951"/>
      <c r="N124" s="1962">
        <v>4000000</v>
      </c>
      <c r="O124" s="1961"/>
      <c r="P124" s="1951"/>
      <c r="Q124" s="1960"/>
    </row>
    <row r="125" spans="1:17" ht="14.25" customHeight="1">
      <c r="A125" s="2713" t="s">
        <v>3247</v>
      </c>
      <c r="B125" s="2714" t="s">
        <v>3358</v>
      </c>
      <c r="C125" s="2715"/>
      <c r="D125" s="2716"/>
      <c r="E125" s="2717" t="s">
        <v>2518</v>
      </c>
      <c r="F125" s="2717" t="s">
        <v>2503</v>
      </c>
      <c r="G125" s="2718" t="s">
        <v>2732</v>
      </c>
      <c r="H125" s="2719" t="s">
        <v>2294</v>
      </c>
      <c r="I125" s="2720" t="s">
        <v>2260</v>
      </c>
      <c r="J125" s="2721"/>
      <c r="K125" s="2722"/>
      <c r="L125" s="2723"/>
      <c r="M125" s="1951"/>
      <c r="N125" s="1962">
        <v>49156.45</v>
      </c>
      <c r="O125" s="1961"/>
      <c r="P125" s="1951"/>
      <c r="Q125" s="1960"/>
    </row>
    <row r="126" spans="1:17" ht="14.25" customHeight="1">
      <c r="A126" s="2713" t="s">
        <v>3243</v>
      </c>
      <c r="B126" s="2714" t="s">
        <v>4020</v>
      </c>
      <c r="C126" s="2715" t="s">
        <v>4024</v>
      </c>
      <c r="D126" s="2716" t="s">
        <v>3298</v>
      </c>
      <c r="E126" s="2717" t="s">
        <v>2518</v>
      </c>
      <c r="F126" s="2717" t="s">
        <v>2503</v>
      </c>
      <c r="G126" s="2718" t="s">
        <v>3275</v>
      </c>
      <c r="H126" s="2719" t="s">
        <v>2356</v>
      </c>
      <c r="I126" s="2720" t="s">
        <v>832</v>
      </c>
      <c r="J126" s="2721"/>
      <c r="K126" s="2722"/>
      <c r="L126" s="2723"/>
      <c r="M126" s="1951"/>
      <c r="N126" s="1962"/>
      <c r="O126" s="1961">
        <v>1500000</v>
      </c>
      <c r="P126" s="1951"/>
      <c r="Q126" s="1960"/>
    </row>
    <row r="127" spans="1:17" ht="14.25" customHeight="1">
      <c r="A127" s="2713" t="s">
        <v>3243</v>
      </c>
      <c r="B127" s="2714" t="s">
        <v>4021</v>
      </c>
      <c r="C127" s="2715" t="s">
        <v>4025</v>
      </c>
      <c r="D127" s="2716" t="s">
        <v>3298</v>
      </c>
      <c r="E127" s="2717" t="s">
        <v>2518</v>
      </c>
      <c r="F127" s="2717" t="s">
        <v>2503</v>
      </c>
      <c r="G127" s="2718" t="s">
        <v>3275</v>
      </c>
      <c r="H127" s="2719" t="s">
        <v>2245</v>
      </c>
      <c r="I127" s="2720" t="s">
        <v>632</v>
      </c>
      <c r="J127" s="2721"/>
      <c r="K127" s="2722"/>
      <c r="L127" s="2723"/>
      <c r="M127" s="1951"/>
      <c r="N127" s="1962"/>
      <c r="O127" s="1961">
        <v>1500000</v>
      </c>
      <c r="P127" s="1951"/>
      <c r="Q127" s="1960"/>
    </row>
    <row r="128" spans="1:17" ht="14.25" customHeight="1">
      <c r="A128" s="2713" t="s">
        <v>3247</v>
      </c>
      <c r="B128" s="2714" t="s">
        <v>3311</v>
      </c>
      <c r="C128" s="2715" t="s">
        <v>4023</v>
      </c>
      <c r="D128" s="2716" t="s">
        <v>3298</v>
      </c>
      <c r="E128" s="2717" t="s">
        <v>2518</v>
      </c>
      <c r="F128" s="2717" t="s">
        <v>2503</v>
      </c>
      <c r="G128" s="2718" t="s">
        <v>3275</v>
      </c>
      <c r="H128" s="2719" t="s">
        <v>2294</v>
      </c>
      <c r="I128" s="2720" t="s">
        <v>2259</v>
      </c>
      <c r="J128" s="2721"/>
      <c r="K128" s="2722"/>
      <c r="L128" s="2723"/>
      <c r="M128" s="1951"/>
      <c r="N128" s="1962"/>
      <c r="O128" s="1961">
        <v>1380000</v>
      </c>
      <c r="P128" s="1951"/>
      <c r="Q128" s="1960"/>
    </row>
    <row r="129" spans="1:17" ht="14.25" customHeight="1">
      <c r="A129" s="2713" t="s">
        <v>3243</v>
      </c>
      <c r="B129" s="2714" t="s">
        <v>4014</v>
      </c>
      <c r="C129" s="2715" t="s">
        <v>4022</v>
      </c>
      <c r="D129" s="2716" t="s">
        <v>3245</v>
      </c>
      <c r="E129" s="2717" t="s">
        <v>2518</v>
      </c>
      <c r="F129" s="2717" t="s">
        <v>2503</v>
      </c>
      <c r="G129" s="2718" t="s">
        <v>3275</v>
      </c>
      <c r="H129" s="2719" t="s">
        <v>2245</v>
      </c>
      <c r="I129" s="2720" t="s">
        <v>632</v>
      </c>
      <c r="J129" s="2721"/>
      <c r="K129" s="2722"/>
      <c r="L129" s="2723"/>
      <c r="M129" s="1951"/>
      <c r="N129" s="1962"/>
      <c r="O129" s="1961">
        <v>2057113.15</v>
      </c>
      <c r="P129" s="1951"/>
      <c r="Q129" s="1960"/>
    </row>
    <row r="130" spans="1:17" ht="14.25" customHeight="1">
      <c r="A130" s="2713" t="s">
        <v>3243</v>
      </c>
      <c r="B130" s="2714" t="s">
        <v>3359</v>
      </c>
      <c r="C130" s="2715" t="s">
        <v>3360</v>
      </c>
      <c r="D130" s="2716" t="s">
        <v>3245</v>
      </c>
      <c r="E130" s="2717" t="s">
        <v>2518</v>
      </c>
      <c r="F130" s="2717" t="s">
        <v>2503</v>
      </c>
      <c r="G130" s="2718" t="s">
        <v>3275</v>
      </c>
      <c r="H130" s="2719" t="s">
        <v>2245</v>
      </c>
      <c r="I130" s="2720" t="s">
        <v>632</v>
      </c>
      <c r="J130" s="2721" t="s">
        <v>3283</v>
      </c>
      <c r="K130" s="2722"/>
      <c r="L130" s="2723"/>
      <c r="M130" s="1951"/>
      <c r="N130" s="1962"/>
      <c r="O130" s="1961">
        <v>5000000</v>
      </c>
      <c r="P130" s="1951"/>
      <c r="Q130" s="1960"/>
    </row>
    <row r="131" spans="1:17" ht="14.25" customHeight="1">
      <c r="A131" s="2713" t="s">
        <v>3243</v>
      </c>
      <c r="B131" s="2714" t="s">
        <v>3361</v>
      </c>
      <c r="C131" s="2715" t="s">
        <v>3362</v>
      </c>
      <c r="D131" s="2716" t="s">
        <v>3245</v>
      </c>
      <c r="E131" s="2717" t="s">
        <v>2518</v>
      </c>
      <c r="F131" s="2717" t="s">
        <v>2503</v>
      </c>
      <c r="G131" s="2718" t="s">
        <v>3275</v>
      </c>
      <c r="H131" s="2719" t="s">
        <v>2245</v>
      </c>
      <c r="I131" s="2720" t="s">
        <v>632</v>
      </c>
      <c r="J131" s="2721" t="s">
        <v>3363</v>
      </c>
      <c r="K131" s="2722"/>
      <c r="L131" s="2723"/>
      <c r="M131" s="1951"/>
      <c r="N131" s="1962"/>
      <c r="O131" s="1961">
        <v>12620000</v>
      </c>
      <c r="P131" s="1951">
        <v>5370050</v>
      </c>
      <c r="Q131" s="1960"/>
    </row>
    <row r="132" spans="1:17" ht="14.25" customHeight="1">
      <c r="A132" s="2713" t="s">
        <v>3243</v>
      </c>
      <c r="B132" s="2714" t="s">
        <v>2720</v>
      </c>
      <c r="C132" s="2715" t="s">
        <v>3364</v>
      </c>
      <c r="D132" s="2716" t="s">
        <v>3245</v>
      </c>
      <c r="E132" s="2717" t="s">
        <v>2518</v>
      </c>
      <c r="F132" s="2717" t="s">
        <v>2503</v>
      </c>
      <c r="G132" s="2718" t="s">
        <v>3275</v>
      </c>
      <c r="H132" s="2719" t="s">
        <v>2245</v>
      </c>
      <c r="I132" s="2720" t="s">
        <v>632</v>
      </c>
      <c r="J132" s="2721" t="s">
        <v>3365</v>
      </c>
      <c r="K132" s="2722"/>
      <c r="L132" s="2723"/>
      <c r="M132" s="1951"/>
      <c r="N132" s="1962"/>
      <c r="O132" s="1961"/>
      <c r="P132" s="1951">
        <v>2000000</v>
      </c>
      <c r="Q132" s="1960">
        <v>5500000</v>
      </c>
    </row>
    <row r="133" spans="1:17" ht="14.25" customHeight="1">
      <c r="A133" s="2713" t="s">
        <v>3243</v>
      </c>
      <c r="B133" s="2714" t="s">
        <v>3366</v>
      </c>
      <c r="C133" s="2715" t="s">
        <v>3367</v>
      </c>
      <c r="D133" s="2716" t="s">
        <v>3245</v>
      </c>
      <c r="E133" s="2717" t="s">
        <v>2518</v>
      </c>
      <c r="F133" s="2717" t="s">
        <v>2503</v>
      </c>
      <c r="G133" s="2718" t="s">
        <v>3275</v>
      </c>
      <c r="H133" s="2719" t="s">
        <v>2245</v>
      </c>
      <c r="I133" s="2720" t="s">
        <v>632</v>
      </c>
      <c r="J133" s="2721"/>
      <c r="K133" s="2722"/>
      <c r="L133" s="2723"/>
      <c r="M133" s="1951"/>
      <c r="N133" s="1962"/>
      <c r="O133" s="1961">
        <v>0</v>
      </c>
      <c r="P133" s="1951"/>
      <c r="Q133" s="1960"/>
    </row>
    <row r="134" spans="1:17" ht="14.25" customHeight="1">
      <c r="A134" s="2713" t="s">
        <v>3243</v>
      </c>
      <c r="B134" s="2714" t="s">
        <v>3301</v>
      </c>
      <c r="C134" s="2715" t="s">
        <v>3368</v>
      </c>
      <c r="D134" s="2716" t="s">
        <v>3245</v>
      </c>
      <c r="E134" s="2717" t="s">
        <v>2518</v>
      </c>
      <c r="F134" s="2717" t="s">
        <v>2503</v>
      </c>
      <c r="G134" s="2718" t="s">
        <v>3275</v>
      </c>
      <c r="H134" s="2719" t="s">
        <v>2245</v>
      </c>
      <c r="I134" s="2720" t="s">
        <v>632</v>
      </c>
      <c r="J134" s="2721" t="s">
        <v>3369</v>
      </c>
      <c r="K134" s="2722"/>
      <c r="L134" s="2723"/>
      <c r="M134" s="1951"/>
      <c r="N134" s="1962"/>
      <c r="O134" s="1961">
        <v>4478953</v>
      </c>
      <c r="P134" s="1951"/>
      <c r="Q134" s="1960"/>
    </row>
    <row r="135" spans="1:17" ht="14.25" customHeight="1">
      <c r="A135" s="2713" t="s">
        <v>3243</v>
      </c>
      <c r="B135" s="2714" t="s">
        <v>3370</v>
      </c>
      <c r="C135" s="2715" t="s">
        <v>3371</v>
      </c>
      <c r="D135" s="2716" t="s">
        <v>3245</v>
      </c>
      <c r="E135" s="2717" t="s">
        <v>2518</v>
      </c>
      <c r="F135" s="2717" t="s">
        <v>2503</v>
      </c>
      <c r="G135" s="2718" t="s">
        <v>3275</v>
      </c>
      <c r="H135" s="2719" t="s">
        <v>2245</v>
      </c>
      <c r="I135" s="2720" t="s">
        <v>632</v>
      </c>
      <c r="J135" s="2721"/>
      <c r="K135" s="2722"/>
      <c r="L135" s="2723"/>
      <c r="M135" s="1951"/>
      <c r="N135" s="1962"/>
      <c r="O135" s="1961"/>
      <c r="P135" s="1951">
        <v>2000000</v>
      </c>
      <c r="Q135" s="1960">
        <v>7752000</v>
      </c>
    </row>
    <row r="136" spans="1:17" ht="14.25" customHeight="1">
      <c r="A136" s="2713" t="s">
        <v>3243</v>
      </c>
      <c r="B136" s="2714" t="s">
        <v>3372</v>
      </c>
      <c r="C136" s="2715" t="s">
        <v>3373</v>
      </c>
      <c r="D136" s="2716" t="s">
        <v>3245</v>
      </c>
      <c r="E136" s="2717" t="s">
        <v>2518</v>
      </c>
      <c r="F136" s="2717" t="s">
        <v>2503</v>
      </c>
      <c r="G136" s="2718" t="s">
        <v>3275</v>
      </c>
      <c r="H136" s="2719" t="s">
        <v>2245</v>
      </c>
      <c r="I136" s="2720" t="s">
        <v>632</v>
      </c>
      <c r="J136" s="2721" t="s">
        <v>3374</v>
      </c>
      <c r="K136" s="2722"/>
      <c r="L136" s="2723"/>
      <c r="M136" s="1951"/>
      <c r="N136" s="1962"/>
      <c r="O136" s="1961">
        <v>1380000</v>
      </c>
      <c r="P136" s="1951">
        <v>15000000</v>
      </c>
      <c r="Q136" s="1960"/>
    </row>
    <row r="137" spans="1:17" ht="14.25" customHeight="1">
      <c r="A137" s="2713" t="s">
        <v>3243</v>
      </c>
      <c r="B137" s="2714" t="s">
        <v>3375</v>
      </c>
      <c r="C137" s="2715" t="s">
        <v>3376</v>
      </c>
      <c r="D137" s="2716" t="s">
        <v>3245</v>
      </c>
      <c r="E137" s="2717" t="s">
        <v>2518</v>
      </c>
      <c r="F137" s="2717" t="s">
        <v>2503</v>
      </c>
      <c r="G137" s="2718" t="s">
        <v>3275</v>
      </c>
      <c r="H137" s="2719" t="s">
        <v>2245</v>
      </c>
      <c r="I137" s="2720" t="s">
        <v>632</v>
      </c>
      <c r="J137" s="2721" t="s">
        <v>3377</v>
      </c>
      <c r="K137" s="2722"/>
      <c r="L137" s="2723"/>
      <c r="M137" s="1951"/>
      <c r="N137" s="1962"/>
      <c r="O137" s="1961">
        <v>0</v>
      </c>
      <c r="P137" s="1951">
        <v>2000000</v>
      </c>
      <c r="Q137" s="1960">
        <v>7000000</v>
      </c>
    </row>
    <row r="138" spans="1:17" ht="14.25" customHeight="1">
      <c r="A138" s="2713" t="s">
        <v>3243</v>
      </c>
      <c r="B138" s="2714" t="s">
        <v>3378</v>
      </c>
      <c r="C138" s="2715" t="s">
        <v>3379</v>
      </c>
      <c r="D138" s="2716" t="s">
        <v>3245</v>
      </c>
      <c r="E138" s="2717" t="s">
        <v>2518</v>
      </c>
      <c r="F138" s="2717" t="s">
        <v>2503</v>
      </c>
      <c r="G138" s="2718" t="s">
        <v>3275</v>
      </c>
      <c r="H138" s="2719" t="s">
        <v>2245</v>
      </c>
      <c r="I138" s="2720" t="s">
        <v>632</v>
      </c>
      <c r="J138" s="2721" t="s">
        <v>3281</v>
      </c>
      <c r="K138" s="2722"/>
      <c r="L138" s="2723"/>
      <c r="M138" s="1951"/>
      <c r="N138" s="1962"/>
      <c r="O138" s="1961">
        <v>13653118</v>
      </c>
      <c r="P138" s="1951"/>
      <c r="Q138" s="1960"/>
    </row>
    <row r="139" spans="1:17" ht="14.25" customHeight="1">
      <c r="A139" s="2713" t="s">
        <v>3243</v>
      </c>
      <c r="B139" s="2714" t="s">
        <v>3380</v>
      </c>
      <c r="C139" s="2715" t="s">
        <v>3381</v>
      </c>
      <c r="D139" s="2716" t="s">
        <v>3245</v>
      </c>
      <c r="E139" s="2717" t="s">
        <v>2518</v>
      </c>
      <c r="F139" s="2717" t="s">
        <v>2503</v>
      </c>
      <c r="G139" s="2718" t="s">
        <v>3275</v>
      </c>
      <c r="H139" s="2719" t="s">
        <v>2245</v>
      </c>
      <c r="I139" s="2720" t="s">
        <v>632</v>
      </c>
      <c r="J139" s="2721"/>
      <c r="K139" s="2722"/>
      <c r="L139" s="2723"/>
      <c r="M139" s="1951"/>
      <c r="N139" s="1962"/>
      <c r="O139" s="1961"/>
      <c r="P139" s="1951">
        <v>3500000</v>
      </c>
      <c r="Q139" s="1960"/>
    </row>
    <row r="140" spans="1:17" ht="14.25" customHeight="1">
      <c r="A140" s="2713" t="s">
        <v>3243</v>
      </c>
      <c r="B140" s="2714" t="s">
        <v>4017</v>
      </c>
      <c r="C140" s="2715" t="s">
        <v>4026</v>
      </c>
      <c r="D140" s="2716" t="s">
        <v>3298</v>
      </c>
      <c r="E140" s="2717" t="s">
        <v>2518</v>
      </c>
      <c r="F140" s="2717" t="s">
        <v>2503</v>
      </c>
      <c r="G140" s="2718" t="s">
        <v>3275</v>
      </c>
      <c r="H140" s="2719" t="s">
        <v>2298</v>
      </c>
      <c r="I140" s="2720" t="s">
        <v>1</v>
      </c>
      <c r="J140" s="2721"/>
      <c r="K140" s="2722"/>
      <c r="L140" s="2723"/>
      <c r="M140" s="1951"/>
      <c r="N140" s="1962"/>
      <c r="O140" s="1961"/>
      <c r="P140" s="1951"/>
      <c r="Q140" s="1960">
        <v>1000000</v>
      </c>
    </row>
    <row r="141" spans="1:17" ht="14.25" customHeight="1">
      <c r="A141" s="2713" t="s">
        <v>3243</v>
      </c>
      <c r="B141" s="2714" t="s">
        <v>4018</v>
      </c>
      <c r="C141" s="2715" t="s">
        <v>4027</v>
      </c>
      <c r="D141" s="2716" t="s">
        <v>3245</v>
      </c>
      <c r="E141" s="2717" t="s">
        <v>2518</v>
      </c>
      <c r="F141" s="2717" t="s">
        <v>2503</v>
      </c>
      <c r="G141" s="2718" t="s">
        <v>3275</v>
      </c>
      <c r="H141" s="2719" t="s">
        <v>2245</v>
      </c>
      <c r="I141" s="2720" t="s">
        <v>464</v>
      </c>
      <c r="J141" s="2721"/>
      <c r="K141" s="2722"/>
      <c r="L141" s="2723"/>
      <c r="M141" s="1951"/>
      <c r="N141" s="1962"/>
      <c r="O141" s="1961"/>
      <c r="P141" s="1951"/>
      <c r="Q141" s="1960">
        <v>1000000</v>
      </c>
    </row>
    <row r="142" spans="1:17" ht="14.25" customHeight="1">
      <c r="A142" s="2713" t="s">
        <v>3243</v>
      </c>
      <c r="B142" s="2714" t="s">
        <v>4019</v>
      </c>
      <c r="C142" s="2715" t="s">
        <v>4028</v>
      </c>
      <c r="D142" s="2716" t="s">
        <v>3298</v>
      </c>
      <c r="E142" s="2717" t="s">
        <v>2518</v>
      </c>
      <c r="F142" s="2717" t="s">
        <v>2503</v>
      </c>
      <c r="G142" s="2718" t="s">
        <v>3275</v>
      </c>
      <c r="H142" s="2719" t="s">
        <v>2298</v>
      </c>
      <c r="I142" s="2720" t="s">
        <v>1</v>
      </c>
      <c r="J142" s="2721"/>
      <c r="K142" s="2722"/>
      <c r="L142" s="2723"/>
      <c r="M142" s="1951"/>
      <c r="N142" s="1962"/>
      <c r="O142" s="1961"/>
      <c r="P142" s="1951"/>
      <c r="Q142" s="1960">
        <v>1000000</v>
      </c>
    </row>
    <row r="143" spans="1:17" ht="14.25" customHeight="1">
      <c r="A143" s="2713" t="s">
        <v>3243</v>
      </c>
      <c r="B143" s="2714" t="s">
        <v>3382</v>
      </c>
      <c r="C143" s="2715" t="s">
        <v>3383</v>
      </c>
      <c r="D143" s="2716" t="s">
        <v>3245</v>
      </c>
      <c r="E143" s="2717" t="s">
        <v>2518</v>
      </c>
      <c r="F143" s="2717" t="s">
        <v>2503</v>
      </c>
      <c r="G143" s="2718" t="s">
        <v>3275</v>
      </c>
      <c r="H143" s="2719" t="s">
        <v>2245</v>
      </c>
      <c r="I143" s="2720" t="s">
        <v>632</v>
      </c>
      <c r="J143" s="2721" t="s">
        <v>3276</v>
      </c>
      <c r="K143" s="2722"/>
      <c r="L143" s="2723"/>
      <c r="M143" s="1951"/>
      <c r="N143" s="1962"/>
      <c r="O143" s="1961">
        <v>0</v>
      </c>
      <c r="P143" s="1951">
        <v>2000000</v>
      </c>
      <c r="Q143" s="1960">
        <v>5500000</v>
      </c>
    </row>
    <row r="144" spans="1:17" ht="14.25" customHeight="1">
      <c r="A144" s="2713" t="s">
        <v>3243</v>
      </c>
      <c r="B144" s="2714" t="s">
        <v>3384</v>
      </c>
      <c r="C144" s="2715" t="s">
        <v>3385</v>
      </c>
      <c r="D144" s="2716" t="s">
        <v>3245</v>
      </c>
      <c r="E144" s="2717" t="s">
        <v>2518</v>
      </c>
      <c r="F144" s="2717" t="s">
        <v>2503</v>
      </c>
      <c r="G144" s="2718" t="s">
        <v>3275</v>
      </c>
      <c r="H144" s="2719" t="s">
        <v>2245</v>
      </c>
      <c r="I144" s="2720" t="s">
        <v>632</v>
      </c>
      <c r="J144" s="2721" t="s">
        <v>3281</v>
      </c>
      <c r="K144" s="2722"/>
      <c r="L144" s="2723"/>
      <c r="M144" s="1951"/>
      <c r="N144" s="1962"/>
      <c r="O144" s="1961"/>
      <c r="P144" s="1951"/>
      <c r="Q144" s="1960"/>
    </row>
    <row r="145" spans="1:17" ht="14.25" customHeight="1">
      <c r="A145" s="2713" t="s">
        <v>3243</v>
      </c>
      <c r="B145" s="2714" t="s">
        <v>3386</v>
      </c>
      <c r="C145" s="2715" t="s">
        <v>3387</v>
      </c>
      <c r="D145" s="2716" t="s">
        <v>3245</v>
      </c>
      <c r="E145" s="2717" t="s">
        <v>2518</v>
      </c>
      <c r="F145" s="2717" t="s">
        <v>2503</v>
      </c>
      <c r="G145" s="2718" t="s">
        <v>3275</v>
      </c>
      <c r="H145" s="2719" t="s">
        <v>2245</v>
      </c>
      <c r="I145" s="2720" t="s">
        <v>632</v>
      </c>
      <c r="J145" s="2721" t="s">
        <v>3276</v>
      </c>
      <c r="K145" s="2722"/>
      <c r="L145" s="2723"/>
      <c r="M145" s="1951"/>
      <c r="N145" s="1962"/>
      <c r="O145" s="1961"/>
      <c r="P145" s="1951"/>
      <c r="Q145" s="1960"/>
    </row>
    <row r="146" spans="1:17" ht="14.25" customHeight="1">
      <c r="A146" s="2713" t="s">
        <v>3243</v>
      </c>
      <c r="B146" s="2714" t="s">
        <v>3388</v>
      </c>
      <c r="C146" s="2715" t="s">
        <v>3389</v>
      </c>
      <c r="D146" s="2716" t="s">
        <v>3245</v>
      </c>
      <c r="E146" s="2717" t="s">
        <v>2518</v>
      </c>
      <c r="F146" s="2717" t="s">
        <v>2503</v>
      </c>
      <c r="G146" s="2718" t="s">
        <v>3275</v>
      </c>
      <c r="H146" s="2719" t="s">
        <v>2245</v>
      </c>
      <c r="I146" s="2720" t="s">
        <v>632</v>
      </c>
      <c r="J146" s="2721"/>
      <c r="K146" s="2722"/>
      <c r="L146" s="2723"/>
      <c r="M146" s="1951"/>
      <c r="N146" s="1962"/>
      <c r="O146" s="1961">
        <v>0</v>
      </c>
      <c r="P146" s="1951">
        <v>8469640</v>
      </c>
      <c r="Q146" s="1960">
        <v>7572850</v>
      </c>
    </row>
    <row r="147" spans="1:17" ht="14.25" customHeight="1">
      <c r="A147" s="2713" t="s">
        <v>3243</v>
      </c>
      <c r="B147" s="2714" t="s">
        <v>2851</v>
      </c>
      <c r="C147" s="2715" t="s">
        <v>3390</v>
      </c>
      <c r="D147" s="2716" t="s">
        <v>3245</v>
      </c>
      <c r="E147" s="2717" t="s">
        <v>2518</v>
      </c>
      <c r="F147" s="2717" t="s">
        <v>2503</v>
      </c>
      <c r="G147" s="2718" t="s">
        <v>3275</v>
      </c>
      <c r="H147" s="2719" t="s">
        <v>2245</v>
      </c>
      <c r="I147" s="2720" t="s">
        <v>632</v>
      </c>
      <c r="J147" s="2721"/>
      <c r="K147" s="2722"/>
      <c r="L147" s="2723"/>
      <c r="M147" s="1951"/>
      <c r="N147" s="1962"/>
      <c r="O147" s="1961">
        <v>6029170</v>
      </c>
      <c r="P147" s="1951">
        <v>15000000</v>
      </c>
      <c r="Q147" s="1960">
        <v>19117728</v>
      </c>
    </row>
    <row r="148" spans="1:17" ht="14.25" customHeight="1">
      <c r="A148" s="2713" t="s">
        <v>3243</v>
      </c>
      <c r="B148" s="2714" t="s">
        <v>3391</v>
      </c>
      <c r="C148" s="2715" t="s">
        <v>3392</v>
      </c>
      <c r="D148" s="2716" t="s">
        <v>3245</v>
      </c>
      <c r="E148" s="2717" t="s">
        <v>2518</v>
      </c>
      <c r="F148" s="2717" t="s">
        <v>2503</v>
      </c>
      <c r="G148" s="2718" t="s">
        <v>3275</v>
      </c>
      <c r="H148" s="2719" t="s">
        <v>2245</v>
      </c>
      <c r="I148" s="2720" t="s">
        <v>632</v>
      </c>
      <c r="J148" s="2721"/>
      <c r="K148" s="2722"/>
      <c r="L148" s="2723"/>
      <c r="M148" s="1951"/>
      <c r="N148" s="1962"/>
      <c r="O148" s="1961"/>
      <c r="P148" s="1951">
        <v>2000000</v>
      </c>
      <c r="Q148" s="1960">
        <v>7000000</v>
      </c>
    </row>
    <row r="149" spans="1:17" ht="14.25" customHeight="1">
      <c r="A149" s="2713" t="s">
        <v>3243</v>
      </c>
      <c r="B149" s="2714" t="s">
        <v>3285</v>
      </c>
      <c r="C149" s="2715" t="s">
        <v>3393</v>
      </c>
      <c r="D149" s="2716" t="s">
        <v>3245</v>
      </c>
      <c r="E149" s="2717" t="s">
        <v>2518</v>
      </c>
      <c r="F149" s="2717" t="s">
        <v>2503</v>
      </c>
      <c r="G149" s="2718" t="s">
        <v>3275</v>
      </c>
      <c r="H149" s="2719" t="s">
        <v>2245</v>
      </c>
      <c r="I149" s="2720" t="s">
        <v>632</v>
      </c>
      <c r="J149" s="2721" t="s">
        <v>3286</v>
      </c>
      <c r="K149" s="2722"/>
      <c r="L149" s="2723"/>
      <c r="M149" s="1951"/>
      <c r="N149" s="1962"/>
      <c r="O149" s="1961">
        <v>13953582</v>
      </c>
      <c r="P149" s="1951"/>
      <c r="Q149" s="1960"/>
    </row>
    <row r="150" spans="1:17" ht="14.25" customHeight="1">
      <c r="A150" s="2713" t="s">
        <v>3243</v>
      </c>
      <c r="B150" s="2714" t="s">
        <v>3394</v>
      </c>
      <c r="C150" s="2715" t="s">
        <v>3395</v>
      </c>
      <c r="D150" s="2716" t="s">
        <v>3245</v>
      </c>
      <c r="E150" s="2717" t="s">
        <v>2518</v>
      </c>
      <c r="F150" s="2717" t="s">
        <v>2503</v>
      </c>
      <c r="G150" s="2718" t="s">
        <v>3275</v>
      </c>
      <c r="H150" s="2719" t="s">
        <v>2245</v>
      </c>
      <c r="I150" s="2720" t="s">
        <v>632</v>
      </c>
      <c r="J150" s="2721" t="s">
        <v>3396</v>
      </c>
      <c r="K150" s="2722"/>
      <c r="L150" s="2723"/>
      <c r="M150" s="1951"/>
      <c r="N150" s="1962"/>
      <c r="O150" s="1961">
        <v>10793479.789999999</v>
      </c>
      <c r="P150" s="1951"/>
      <c r="Q150" s="1960"/>
    </row>
    <row r="151" spans="1:17" ht="14.25" customHeight="1">
      <c r="A151" s="2713" t="s">
        <v>3243</v>
      </c>
      <c r="B151" s="2714" t="s">
        <v>2852</v>
      </c>
      <c r="C151" s="2715" t="s">
        <v>3397</v>
      </c>
      <c r="D151" s="2716" t="s">
        <v>3245</v>
      </c>
      <c r="E151" s="2717" t="s">
        <v>2518</v>
      </c>
      <c r="F151" s="2717" t="s">
        <v>2503</v>
      </c>
      <c r="G151" s="2718" t="s">
        <v>3275</v>
      </c>
      <c r="H151" s="2719" t="s">
        <v>2245</v>
      </c>
      <c r="I151" s="2720" t="s">
        <v>632</v>
      </c>
      <c r="J151" s="2721"/>
      <c r="K151" s="2722"/>
      <c r="L151" s="2723"/>
      <c r="M151" s="1951"/>
      <c r="N151" s="1962"/>
      <c r="O151" s="1961">
        <v>6000000</v>
      </c>
      <c r="P151" s="1951">
        <v>15000000</v>
      </c>
      <c r="Q151" s="1960">
        <v>18598491</v>
      </c>
    </row>
    <row r="152" spans="1:17" ht="14.25" customHeight="1">
      <c r="A152" s="2713" t="s">
        <v>3243</v>
      </c>
      <c r="B152" s="2714" t="s">
        <v>3398</v>
      </c>
      <c r="C152" s="2715" t="s">
        <v>3399</v>
      </c>
      <c r="D152" s="2716" t="s">
        <v>3245</v>
      </c>
      <c r="E152" s="2717" t="s">
        <v>2518</v>
      </c>
      <c r="F152" s="2717" t="s">
        <v>2503</v>
      </c>
      <c r="G152" s="2718" t="s">
        <v>3275</v>
      </c>
      <c r="H152" s="2719" t="s">
        <v>2245</v>
      </c>
      <c r="I152" s="2720" t="s">
        <v>632</v>
      </c>
      <c r="J152" s="2721"/>
      <c r="K152" s="2722"/>
      <c r="L152" s="2723"/>
      <c r="M152" s="1951"/>
      <c r="N152" s="1962"/>
      <c r="O152" s="1961">
        <v>8649730</v>
      </c>
      <c r="P152" s="1951">
        <v>24490010</v>
      </c>
      <c r="Q152" s="1960">
        <v>21562731</v>
      </c>
    </row>
    <row r="153" spans="1:17" ht="14.25" customHeight="1">
      <c r="A153" s="2713" t="s">
        <v>3400</v>
      </c>
      <c r="B153" s="2714" t="s">
        <v>3401</v>
      </c>
      <c r="C153" s="2715" t="s">
        <v>3402</v>
      </c>
      <c r="D153" s="2716" t="s">
        <v>3298</v>
      </c>
      <c r="E153" s="2717" t="s">
        <v>2518</v>
      </c>
      <c r="F153" s="2717" t="s">
        <v>2503</v>
      </c>
      <c r="G153" s="2718"/>
      <c r="H153" s="2719" t="s">
        <v>2349</v>
      </c>
      <c r="I153" s="2720"/>
      <c r="J153" s="2721"/>
      <c r="K153" s="2722"/>
      <c r="L153" s="2723"/>
      <c r="M153" s="1951"/>
      <c r="N153" s="1962"/>
      <c r="O153" s="1961">
        <f>6000000-1000000</f>
        <v>5000000</v>
      </c>
      <c r="P153" s="1951"/>
      <c r="Q153" s="1960"/>
    </row>
    <row r="154" spans="1:17" ht="14.25" customHeight="1">
      <c r="A154" s="2713" t="s">
        <v>3240</v>
      </c>
      <c r="B154" s="2714" t="s">
        <v>2859</v>
      </c>
      <c r="C154" s="2715" t="s">
        <v>3403</v>
      </c>
      <c r="D154" s="2716" t="s">
        <v>3298</v>
      </c>
      <c r="E154" s="2717" t="s">
        <v>2518</v>
      </c>
      <c r="F154" s="2717" t="s">
        <v>2503</v>
      </c>
      <c r="G154" s="2718" t="s">
        <v>2732</v>
      </c>
      <c r="H154" s="2719" t="s">
        <v>2298</v>
      </c>
      <c r="I154" s="2720" t="s">
        <v>432</v>
      </c>
      <c r="J154" s="2721"/>
      <c r="K154" s="2722"/>
      <c r="L154" s="2723"/>
      <c r="M154" s="1951"/>
      <c r="N154" s="1962"/>
      <c r="O154" s="1961">
        <v>1150000</v>
      </c>
      <c r="P154" s="1951"/>
      <c r="Q154" s="1960"/>
    </row>
    <row r="155" spans="1:17" ht="14.25" customHeight="1">
      <c r="A155" s="2713" t="s">
        <v>3240</v>
      </c>
      <c r="B155" s="2714" t="s">
        <v>3404</v>
      </c>
      <c r="C155" s="2715"/>
      <c r="D155" s="2716" t="s">
        <v>3298</v>
      </c>
      <c r="E155" s="2717" t="s">
        <v>2518</v>
      </c>
      <c r="F155" s="2717" t="s">
        <v>2503</v>
      </c>
      <c r="G155" s="2718" t="s">
        <v>2732</v>
      </c>
      <c r="H155" s="2719" t="s">
        <v>2298</v>
      </c>
      <c r="I155" s="2720" t="s">
        <v>432</v>
      </c>
      <c r="J155" s="2721"/>
      <c r="K155" s="2722"/>
      <c r="L155" s="2723"/>
      <c r="M155" s="1951"/>
      <c r="N155" s="1962"/>
      <c r="O155" s="1961">
        <v>1150000</v>
      </c>
      <c r="P155" s="1951"/>
      <c r="Q155" s="1960"/>
    </row>
    <row r="156" spans="1:17" ht="14.25" customHeight="1">
      <c r="A156" s="2713" t="s">
        <v>3405</v>
      </c>
      <c r="B156" s="2714" t="s">
        <v>2840</v>
      </c>
      <c r="C156" s="2715" t="s">
        <v>3406</v>
      </c>
      <c r="D156" s="2716" t="s">
        <v>3298</v>
      </c>
      <c r="E156" s="2717" t="s">
        <v>2518</v>
      </c>
      <c r="F156" s="2717" t="s">
        <v>2503</v>
      </c>
      <c r="G156" s="2718" t="s">
        <v>3299</v>
      </c>
      <c r="H156" s="2719" t="s">
        <v>2349</v>
      </c>
      <c r="I156" s="2720" t="s">
        <v>2325</v>
      </c>
      <c r="J156" s="2721" t="s">
        <v>3288</v>
      </c>
      <c r="K156" s="2722"/>
      <c r="L156" s="2723"/>
      <c r="M156" s="1951"/>
      <c r="N156" s="1962"/>
      <c r="O156" s="1961">
        <v>1000000</v>
      </c>
      <c r="P156" s="1951"/>
      <c r="Q156" s="1960"/>
    </row>
    <row r="157" spans="1:17" ht="14.25" customHeight="1">
      <c r="A157" s="2713" t="s">
        <v>1580</v>
      </c>
      <c r="B157" s="2714" t="s">
        <v>3407</v>
      </c>
      <c r="C157" s="2715" t="s">
        <v>3297</v>
      </c>
      <c r="D157" s="2716" t="s">
        <v>3298</v>
      </c>
      <c r="E157" s="2717" t="s">
        <v>2518</v>
      </c>
      <c r="F157" s="2717" t="s">
        <v>2503</v>
      </c>
      <c r="G157" s="2718" t="s">
        <v>3299</v>
      </c>
      <c r="H157" s="2719" t="s">
        <v>2348</v>
      </c>
      <c r="I157" s="2720" t="s">
        <v>2325</v>
      </c>
      <c r="J157" s="2721" t="s">
        <v>3288</v>
      </c>
      <c r="K157" s="2722"/>
      <c r="L157" s="2723"/>
      <c r="M157" s="1951"/>
      <c r="N157" s="1962"/>
      <c r="O157" s="1961">
        <f>700000-200000</f>
        <v>500000</v>
      </c>
      <c r="P157" s="1951">
        <v>700000</v>
      </c>
      <c r="Q157" s="1960">
        <v>700000</v>
      </c>
    </row>
    <row r="158" spans="1:17" ht="14.25" customHeight="1">
      <c r="A158" s="2713" t="s">
        <v>3247</v>
      </c>
      <c r="B158" s="2714" t="s">
        <v>3408</v>
      </c>
      <c r="C158" s="2715">
        <v>1</v>
      </c>
      <c r="D158" s="2716" t="s">
        <v>3298</v>
      </c>
      <c r="E158" s="2717" t="s">
        <v>2518</v>
      </c>
      <c r="F158" s="2717" t="s">
        <v>2503</v>
      </c>
      <c r="G158" s="2718" t="s">
        <v>2732</v>
      </c>
      <c r="H158" s="2719" t="s">
        <v>2294</v>
      </c>
      <c r="I158" s="2720" t="s">
        <v>2260</v>
      </c>
      <c r="J158" s="2721"/>
      <c r="K158" s="2722"/>
      <c r="L158" s="2723"/>
      <c r="M158" s="1951"/>
      <c r="N158" s="1962"/>
      <c r="O158" s="1961">
        <v>0</v>
      </c>
      <c r="P158" s="1951"/>
      <c r="Q158" s="1960"/>
    </row>
    <row r="159" spans="1:17" ht="14.25" customHeight="1">
      <c r="A159" s="2713" t="s">
        <v>3247</v>
      </c>
      <c r="B159" s="2714" t="s">
        <v>3409</v>
      </c>
      <c r="C159" s="2715">
        <v>2</v>
      </c>
      <c r="D159" s="2716" t="s">
        <v>3298</v>
      </c>
      <c r="E159" s="2717" t="s">
        <v>2518</v>
      </c>
      <c r="F159" s="2717" t="s">
        <v>2503</v>
      </c>
      <c r="G159" s="2718" t="s">
        <v>2732</v>
      </c>
      <c r="H159" s="2719" t="s">
        <v>2294</v>
      </c>
      <c r="I159" s="2720" t="s">
        <v>2260</v>
      </c>
      <c r="J159" s="2721"/>
      <c r="K159" s="2722"/>
      <c r="L159" s="2723"/>
      <c r="M159" s="1951"/>
      <c r="N159" s="1962"/>
      <c r="O159" s="1961">
        <v>0</v>
      </c>
      <c r="P159" s="1951"/>
      <c r="Q159" s="1960"/>
    </row>
    <row r="160" spans="1:17" ht="14.25" customHeight="1">
      <c r="A160" s="2713" t="s">
        <v>3247</v>
      </c>
      <c r="B160" s="2714" t="s">
        <v>3410</v>
      </c>
      <c r="C160" s="2715">
        <v>3</v>
      </c>
      <c r="D160" s="2716" t="s">
        <v>3298</v>
      </c>
      <c r="E160" s="2717" t="s">
        <v>2518</v>
      </c>
      <c r="F160" s="2717" t="s">
        <v>2503</v>
      </c>
      <c r="G160" s="2718" t="s">
        <v>2732</v>
      </c>
      <c r="H160" s="2719" t="s">
        <v>2294</v>
      </c>
      <c r="I160" s="2720" t="s">
        <v>2260</v>
      </c>
      <c r="J160" s="2721"/>
      <c r="K160" s="2722"/>
      <c r="L160" s="2723"/>
      <c r="M160" s="1951"/>
      <c r="N160" s="1962"/>
      <c r="O160" s="1961">
        <v>0</v>
      </c>
      <c r="P160" s="1951"/>
      <c r="Q160" s="1960"/>
    </row>
    <row r="161" spans="1:17" ht="14.25" customHeight="1">
      <c r="A161" s="2713" t="s">
        <v>3247</v>
      </c>
      <c r="B161" s="2714" t="s">
        <v>3411</v>
      </c>
      <c r="C161" s="2715">
        <v>4</v>
      </c>
      <c r="D161" s="2716" t="s">
        <v>3298</v>
      </c>
      <c r="E161" s="2717" t="s">
        <v>2518</v>
      </c>
      <c r="F161" s="2717" t="s">
        <v>2503</v>
      </c>
      <c r="G161" s="2718" t="s">
        <v>2732</v>
      </c>
      <c r="H161" s="2719" t="s">
        <v>2294</v>
      </c>
      <c r="I161" s="2720" t="s">
        <v>2260</v>
      </c>
      <c r="J161" s="2721"/>
      <c r="K161" s="2722"/>
      <c r="L161" s="2723"/>
      <c r="M161" s="1951"/>
      <c r="N161" s="1962"/>
      <c r="O161" s="1961">
        <v>0</v>
      </c>
      <c r="P161" s="1951"/>
      <c r="Q161" s="1960"/>
    </row>
    <row r="162" spans="1:17" ht="14.25" customHeight="1">
      <c r="A162" s="2713" t="s">
        <v>3247</v>
      </c>
      <c r="B162" s="2714" t="s">
        <v>2735</v>
      </c>
      <c r="C162" s="2715">
        <v>5</v>
      </c>
      <c r="D162" s="2716" t="s">
        <v>3298</v>
      </c>
      <c r="E162" s="2717" t="s">
        <v>2518</v>
      </c>
      <c r="F162" s="2717" t="s">
        <v>2503</v>
      </c>
      <c r="G162" s="2718" t="s">
        <v>2732</v>
      </c>
      <c r="H162" s="2719" t="s">
        <v>2294</v>
      </c>
      <c r="I162" s="2720" t="s">
        <v>2260</v>
      </c>
      <c r="J162" s="2721"/>
      <c r="K162" s="2722"/>
      <c r="L162" s="2723"/>
      <c r="M162" s="1951"/>
      <c r="N162" s="1962"/>
      <c r="O162" s="1961">
        <v>0</v>
      </c>
      <c r="P162" s="1951"/>
      <c r="Q162" s="1960"/>
    </row>
    <row r="163" spans="1:17" ht="14.25" customHeight="1">
      <c r="A163" s="2713" t="s">
        <v>3247</v>
      </c>
      <c r="B163" s="2714" t="s">
        <v>3412</v>
      </c>
      <c r="C163" s="2715">
        <v>6</v>
      </c>
      <c r="D163" s="2716" t="s">
        <v>3245</v>
      </c>
      <c r="E163" s="2717" t="s">
        <v>2518</v>
      </c>
      <c r="F163" s="2717" t="s">
        <v>2503</v>
      </c>
      <c r="G163" s="2718" t="s">
        <v>2732</v>
      </c>
      <c r="H163" s="2719" t="s">
        <v>2294</v>
      </c>
      <c r="I163" s="2720" t="s">
        <v>2259</v>
      </c>
      <c r="J163" s="2721"/>
      <c r="K163" s="2722"/>
      <c r="L163" s="2723"/>
      <c r="M163" s="1951"/>
      <c r="N163" s="1962"/>
      <c r="O163" s="1961">
        <v>12000000</v>
      </c>
      <c r="P163" s="1951"/>
      <c r="Q163" s="1960"/>
    </row>
    <row r="164" spans="1:17" ht="14.25" customHeight="1">
      <c r="A164" s="2713" t="s">
        <v>3247</v>
      </c>
      <c r="B164" s="2714" t="s">
        <v>3413</v>
      </c>
      <c r="C164" s="2715">
        <v>7</v>
      </c>
      <c r="D164" s="2716" t="s">
        <v>3298</v>
      </c>
      <c r="E164" s="2717" t="s">
        <v>2518</v>
      </c>
      <c r="F164" s="2717" t="s">
        <v>2503</v>
      </c>
      <c r="G164" s="2718" t="s">
        <v>2732</v>
      </c>
      <c r="H164" s="2719" t="s">
        <v>2294</v>
      </c>
      <c r="I164" s="2720" t="s">
        <v>2260</v>
      </c>
      <c r="J164" s="2721"/>
      <c r="K164" s="2722"/>
      <c r="L164" s="2723"/>
      <c r="M164" s="1951"/>
      <c r="N164" s="1962"/>
      <c r="O164" s="1961">
        <v>300000</v>
      </c>
      <c r="P164" s="1951"/>
      <c r="Q164" s="1960"/>
    </row>
    <row r="165" spans="1:17" ht="14.25" customHeight="1">
      <c r="A165" s="2713" t="s">
        <v>3247</v>
      </c>
      <c r="B165" s="2714" t="s">
        <v>3414</v>
      </c>
      <c r="C165" s="2715">
        <v>8</v>
      </c>
      <c r="D165" s="2716"/>
      <c r="E165" s="2717" t="s">
        <v>2518</v>
      </c>
      <c r="F165" s="2717" t="s">
        <v>2503</v>
      </c>
      <c r="G165" s="2718" t="s">
        <v>2732</v>
      </c>
      <c r="H165" s="2719" t="s">
        <v>2294</v>
      </c>
      <c r="I165" s="2720" t="s">
        <v>2259</v>
      </c>
      <c r="J165" s="2721"/>
      <c r="K165" s="2722"/>
      <c r="L165" s="2723"/>
      <c r="M165" s="1951"/>
      <c r="N165" s="1962"/>
      <c r="O165" s="1961">
        <v>0</v>
      </c>
      <c r="P165" s="1951"/>
      <c r="Q165" s="1960"/>
    </row>
    <row r="166" spans="1:17" ht="14.25" customHeight="1">
      <c r="A166" s="2713" t="s">
        <v>3247</v>
      </c>
      <c r="B166" s="2714" t="s">
        <v>2707</v>
      </c>
      <c r="C166" s="2715">
        <v>9</v>
      </c>
      <c r="D166" s="2716"/>
      <c r="E166" s="2717" t="s">
        <v>2518</v>
      </c>
      <c r="F166" s="2717" t="s">
        <v>2503</v>
      </c>
      <c r="G166" s="2718" t="s">
        <v>2732</v>
      </c>
      <c r="H166" s="2719" t="s">
        <v>2294</v>
      </c>
      <c r="I166" s="2720" t="s">
        <v>2259</v>
      </c>
      <c r="J166" s="2721"/>
      <c r="K166" s="2722"/>
      <c r="L166" s="2723"/>
      <c r="M166" s="1951"/>
      <c r="N166" s="1962"/>
      <c r="O166" s="1961">
        <v>0</v>
      </c>
      <c r="P166" s="1951"/>
      <c r="Q166" s="1960"/>
    </row>
    <row r="167" spans="1:17" ht="14.25" customHeight="1">
      <c r="A167" s="2713" t="s">
        <v>3247</v>
      </c>
      <c r="B167" s="2714" t="s">
        <v>3415</v>
      </c>
      <c r="C167" s="2715">
        <v>10</v>
      </c>
      <c r="D167" s="2716" t="s">
        <v>3416</v>
      </c>
      <c r="E167" s="2717" t="s">
        <v>2518</v>
      </c>
      <c r="F167" s="2717" t="s">
        <v>2503</v>
      </c>
      <c r="G167" s="2718" t="s">
        <v>2732</v>
      </c>
      <c r="H167" s="2719" t="s">
        <v>2294</v>
      </c>
      <c r="I167" s="2720" t="s">
        <v>2259</v>
      </c>
      <c r="J167" s="2721"/>
      <c r="K167" s="2722"/>
      <c r="L167" s="2723"/>
      <c r="M167" s="1951"/>
      <c r="N167" s="1962"/>
      <c r="O167" s="1961">
        <v>450000</v>
      </c>
      <c r="P167" s="1951"/>
      <c r="Q167" s="1960"/>
    </row>
    <row r="168" spans="1:17" ht="14.25" customHeight="1">
      <c r="A168" s="2713" t="s">
        <v>3247</v>
      </c>
      <c r="B168" s="2714" t="s">
        <v>3417</v>
      </c>
      <c r="C168" s="2715">
        <v>11</v>
      </c>
      <c r="D168" s="2716"/>
      <c r="E168" s="2717" t="s">
        <v>2518</v>
      </c>
      <c r="F168" s="2717" t="s">
        <v>2503</v>
      </c>
      <c r="G168" s="2718" t="s">
        <v>2732</v>
      </c>
      <c r="H168" s="2719" t="s">
        <v>2294</v>
      </c>
      <c r="I168" s="2720" t="s">
        <v>2259</v>
      </c>
      <c r="J168" s="2721"/>
      <c r="K168" s="2722"/>
      <c r="L168" s="2723"/>
      <c r="M168" s="1951"/>
      <c r="N168" s="1962"/>
      <c r="O168" s="1961">
        <v>0</v>
      </c>
      <c r="P168" s="1951"/>
      <c r="Q168" s="1960"/>
    </row>
    <row r="169" spans="1:17" ht="14.25" customHeight="1">
      <c r="A169" s="2713" t="s">
        <v>3247</v>
      </c>
      <c r="B169" s="2714" t="s">
        <v>3338</v>
      </c>
      <c r="C169" s="2715">
        <v>12</v>
      </c>
      <c r="D169" s="2716" t="s">
        <v>3298</v>
      </c>
      <c r="E169" s="2717" t="s">
        <v>2518</v>
      </c>
      <c r="F169" s="2717" t="s">
        <v>2503</v>
      </c>
      <c r="G169" s="2718" t="s">
        <v>2732</v>
      </c>
      <c r="H169" s="2719" t="s">
        <v>2294</v>
      </c>
      <c r="I169" s="2720" t="s">
        <v>2260</v>
      </c>
      <c r="J169" s="2721"/>
      <c r="K169" s="2722"/>
      <c r="L169" s="2723"/>
      <c r="M169" s="1951"/>
      <c r="N169" s="1962"/>
      <c r="O169" s="1961">
        <v>100000</v>
      </c>
      <c r="P169" s="1951"/>
      <c r="Q169" s="1960"/>
    </row>
    <row r="170" spans="1:17" ht="14.25" customHeight="1">
      <c r="A170" s="2713" t="s">
        <v>3247</v>
      </c>
      <c r="B170" s="2714" t="s">
        <v>3339</v>
      </c>
      <c r="C170" s="2715">
        <v>13</v>
      </c>
      <c r="D170" s="2716" t="s">
        <v>3298</v>
      </c>
      <c r="E170" s="2717" t="s">
        <v>2518</v>
      </c>
      <c r="F170" s="2717" t="s">
        <v>2503</v>
      </c>
      <c r="G170" s="2718" t="s">
        <v>2732</v>
      </c>
      <c r="H170" s="2719" t="s">
        <v>2294</v>
      </c>
      <c r="I170" s="2720" t="s">
        <v>2260</v>
      </c>
      <c r="J170" s="2721"/>
      <c r="K170" s="2722"/>
      <c r="L170" s="2723"/>
      <c r="M170" s="1951"/>
      <c r="N170" s="1962"/>
      <c r="O170" s="1961">
        <v>100000</v>
      </c>
      <c r="P170" s="1951"/>
      <c r="Q170" s="1960"/>
    </row>
    <row r="171" spans="1:17" ht="14.25" customHeight="1">
      <c r="A171" s="2713" t="s">
        <v>3247</v>
      </c>
      <c r="B171" s="2714" t="s">
        <v>3340</v>
      </c>
      <c r="C171" s="2715">
        <v>14</v>
      </c>
      <c r="D171" s="2716" t="s">
        <v>3416</v>
      </c>
      <c r="E171" s="2717" t="s">
        <v>2518</v>
      </c>
      <c r="F171" s="2717" t="s">
        <v>2503</v>
      </c>
      <c r="G171" s="2718" t="s">
        <v>2732</v>
      </c>
      <c r="H171" s="2719" t="s">
        <v>2294</v>
      </c>
      <c r="I171" s="2720" t="s">
        <v>2259</v>
      </c>
      <c r="J171" s="2721"/>
      <c r="K171" s="2722"/>
      <c r="L171" s="2723"/>
      <c r="M171" s="1951"/>
      <c r="N171" s="1962"/>
      <c r="O171" s="1961">
        <v>150000</v>
      </c>
      <c r="P171" s="1951"/>
      <c r="Q171" s="1960"/>
    </row>
    <row r="172" spans="1:17" ht="14.25" customHeight="1">
      <c r="A172" s="2713" t="s">
        <v>3247</v>
      </c>
      <c r="B172" s="2714" t="s">
        <v>3418</v>
      </c>
      <c r="C172" s="2715">
        <v>15</v>
      </c>
      <c r="D172" s="2716"/>
      <c r="E172" s="2717" t="s">
        <v>2518</v>
      </c>
      <c r="F172" s="2717" t="s">
        <v>2503</v>
      </c>
      <c r="G172" s="2718" t="s">
        <v>2732</v>
      </c>
      <c r="H172" s="2719" t="s">
        <v>2294</v>
      </c>
      <c r="I172" s="2720" t="s">
        <v>2259</v>
      </c>
      <c r="J172" s="2721"/>
      <c r="K172" s="2722"/>
      <c r="L172" s="2723"/>
      <c r="M172" s="1951"/>
      <c r="N172" s="1962"/>
      <c r="O172" s="1961">
        <v>0</v>
      </c>
      <c r="P172" s="1951"/>
      <c r="Q172" s="1960"/>
    </row>
    <row r="173" spans="1:17" ht="14.25" customHeight="1">
      <c r="A173" s="2713" t="s">
        <v>3247</v>
      </c>
      <c r="B173" s="2714" t="s">
        <v>3419</v>
      </c>
      <c r="C173" s="2715">
        <v>16</v>
      </c>
      <c r="D173" s="2716"/>
      <c r="E173" s="2717" t="s">
        <v>2518</v>
      </c>
      <c r="F173" s="2717" t="s">
        <v>2503</v>
      </c>
      <c r="G173" s="2718" t="s">
        <v>2732</v>
      </c>
      <c r="H173" s="2719" t="s">
        <v>2294</v>
      </c>
      <c r="I173" s="2720" t="s">
        <v>2259</v>
      </c>
      <c r="J173" s="2721"/>
      <c r="K173" s="2722"/>
      <c r="L173" s="2723"/>
      <c r="M173" s="1951"/>
      <c r="N173" s="1962"/>
      <c r="O173" s="1961">
        <v>0</v>
      </c>
      <c r="P173" s="1951"/>
      <c r="Q173" s="1960"/>
    </row>
    <row r="174" spans="1:17" ht="14.25" customHeight="1">
      <c r="A174" s="2713" t="s">
        <v>3247</v>
      </c>
      <c r="B174" s="2714" t="s">
        <v>3420</v>
      </c>
      <c r="C174" s="2715">
        <v>17</v>
      </c>
      <c r="D174" s="2716"/>
      <c r="E174" s="2717" t="s">
        <v>2518</v>
      </c>
      <c r="F174" s="2717" t="s">
        <v>2503</v>
      </c>
      <c r="G174" s="2718" t="s">
        <v>2732</v>
      </c>
      <c r="H174" s="2719" t="s">
        <v>2294</v>
      </c>
      <c r="I174" s="2720" t="s">
        <v>2259</v>
      </c>
      <c r="J174" s="2721"/>
      <c r="K174" s="2722"/>
      <c r="L174" s="2723"/>
      <c r="M174" s="1951"/>
      <c r="N174" s="1962"/>
      <c r="O174" s="1961">
        <v>0</v>
      </c>
      <c r="P174" s="1951"/>
      <c r="Q174" s="1960"/>
    </row>
    <row r="175" spans="1:17" ht="14.25" customHeight="1">
      <c r="A175" s="2713" t="s">
        <v>3247</v>
      </c>
      <c r="B175" s="2714" t="s">
        <v>3421</v>
      </c>
      <c r="C175" s="2715">
        <v>18</v>
      </c>
      <c r="D175" s="2716"/>
      <c r="E175" s="2717" t="s">
        <v>2518</v>
      </c>
      <c r="F175" s="2717" t="s">
        <v>2503</v>
      </c>
      <c r="G175" s="2718" t="s">
        <v>2732</v>
      </c>
      <c r="H175" s="2719" t="s">
        <v>2294</v>
      </c>
      <c r="I175" s="2720" t="s">
        <v>2259</v>
      </c>
      <c r="J175" s="2721"/>
      <c r="K175" s="2722"/>
      <c r="L175" s="2723"/>
      <c r="M175" s="1951"/>
      <c r="N175" s="1962"/>
      <c r="O175" s="1961">
        <v>0</v>
      </c>
      <c r="P175" s="1951"/>
      <c r="Q175" s="1960"/>
    </row>
    <row r="176" spans="1:17" ht="14.25" customHeight="1">
      <c r="A176" s="2713" t="s">
        <v>3247</v>
      </c>
      <c r="B176" s="2714" t="s">
        <v>3422</v>
      </c>
      <c r="C176" s="2715">
        <v>19</v>
      </c>
      <c r="D176" s="2716" t="s">
        <v>3245</v>
      </c>
      <c r="E176" s="2717" t="s">
        <v>2518</v>
      </c>
      <c r="F176" s="2717" t="s">
        <v>2503</v>
      </c>
      <c r="G176" s="2718" t="s">
        <v>2732</v>
      </c>
      <c r="H176" s="2719" t="s">
        <v>2294</v>
      </c>
      <c r="I176" s="2720" t="s">
        <v>2259</v>
      </c>
      <c r="J176" s="2721"/>
      <c r="K176" s="2722"/>
      <c r="L176" s="2723"/>
      <c r="M176" s="1951"/>
      <c r="N176" s="1962"/>
      <c r="O176" s="1961">
        <v>600000</v>
      </c>
      <c r="P176" s="1951"/>
      <c r="Q176" s="1960"/>
    </row>
    <row r="177" spans="1:17" ht="14.25" customHeight="1">
      <c r="A177" s="2713" t="s">
        <v>3247</v>
      </c>
      <c r="B177" s="2714" t="s">
        <v>3423</v>
      </c>
      <c r="C177" s="2715">
        <v>20</v>
      </c>
      <c r="D177" s="2716" t="s">
        <v>3245</v>
      </c>
      <c r="E177" s="2717" t="s">
        <v>2518</v>
      </c>
      <c r="F177" s="2717" t="s">
        <v>2503</v>
      </c>
      <c r="G177" s="2718" t="s">
        <v>2732</v>
      </c>
      <c r="H177" s="2719" t="s">
        <v>2294</v>
      </c>
      <c r="I177" s="2720" t="s">
        <v>2259</v>
      </c>
      <c r="J177" s="2721"/>
      <c r="K177" s="2722"/>
      <c r="L177" s="2723"/>
      <c r="M177" s="1951"/>
      <c r="N177" s="1962"/>
      <c r="O177" s="1961">
        <v>600000</v>
      </c>
      <c r="P177" s="1951"/>
      <c r="Q177" s="1960"/>
    </row>
    <row r="178" spans="1:17" ht="14.25" customHeight="1">
      <c r="A178" s="2713" t="s">
        <v>3247</v>
      </c>
      <c r="B178" s="2714" t="s">
        <v>3424</v>
      </c>
      <c r="C178" s="2715">
        <v>21</v>
      </c>
      <c r="D178" s="2716" t="s">
        <v>3245</v>
      </c>
      <c r="E178" s="2717" t="s">
        <v>2518</v>
      </c>
      <c r="F178" s="2717" t="s">
        <v>2503</v>
      </c>
      <c r="G178" s="2718" t="s">
        <v>2732</v>
      </c>
      <c r="H178" s="2719" t="s">
        <v>2294</v>
      </c>
      <c r="I178" s="2720" t="s">
        <v>2259</v>
      </c>
      <c r="J178" s="2721"/>
      <c r="K178" s="2722"/>
      <c r="L178" s="2723"/>
      <c r="M178" s="1951"/>
      <c r="N178" s="1962"/>
      <c r="O178" s="1961">
        <v>500000</v>
      </c>
      <c r="P178" s="1951"/>
      <c r="Q178" s="1960"/>
    </row>
    <row r="179" spans="1:17" ht="14.25" customHeight="1">
      <c r="A179" s="2713" t="s">
        <v>3247</v>
      </c>
      <c r="B179" s="2714" t="s">
        <v>3425</v>
      </c>
      <c r="C179" s="2715">
        <v>22</v>
      </c>
      <c r="D179" s="2716"/>
      <c r="E179" s="2717" t="s">
        <v>2518</v>
      </c>
      <c r="F179" s="2717" t="s">
        <v>2503</v>
      </c>
      <c r="G179" s="2718" t="s">
        <v>2732</v>
      </c>
      <c r="H179" s="2719" t="s">
        <v>2294</v>
      </c>
      <c r="I179" s="2720" t="s">
        <v>2259</v>
      </c>
      <c r="J179" s="2721"/>
      <c r="K179" s="2722"/>
      <c r="L179" s="2723"/>
      <c r="M179" s="1951"/>
      <c r="N179" s="1962"/>
      <c r="O179" s="1961">
        <v>0</v>
      </c>
      <c r="P179" s="1951"/>
      <c r="Q179" s="1960"/>
    </row>
    <row r="180" spans="1:17" ht="14.25" customHeight="1">
      <c r="A180" s="2713" t="s">
        <v>3247</v>
      </c>
      <c r="B180" s="2714" t="s">
        <v>3426</v>
      </c>
      <c r="C180" s="2715">
        <v>23</v>
      </c>
      <c r="D180" s="2716"/>
      <c r="E180" s="2717" t="s">
        <v>2518</v>
      </c>
      <c r="F180" s="2717" t="s">
        <v>2503</v>
      </c>
      <c r="G180" s="2718" t="s">
        <v>2732</v>
      </c>
      <c r="H180" s="2719" t="s">
        <v>2294</v>
      </c>
      <c r="I180" s="2720" t="s">
        <v>2259</v>
      </c>
      <c r="J180" s="2721"/>
      <c r="K180" s="2722"/>
      <c r="L180" s="2723"/>
      <c r="M180" s="1951"/>
      <c r="N180" s="1962"/>
      <c r="O180" s="1961">
        <v>0</v>
      </c>
      <c r="P180" s="1951"/>
      <c r="Q180" s="1960"/>
    </row>
    <row r="181" spans="1:17" ht="14.25" customHeight="1">
      <c r="A181" s="2713" t="s">
        <v>3247</v>
      </c>
      <c r="B181" s="2714" t="s">
        <v>3427</v>
      </c>
      <c r="C181" s="2715">
        <v>24</v>
      </c>
      <c r="D181" s="2716"/>
      <c r="E181" s="2717" t="s">
        <v>2518</v>
      </c>
      <c r="F181" s="2717" t="s">
        <v>2503</v>
      </c>
      <c r="G181" s="2718" t="s">
        <v>2732</v>
      </c>
      <c r="H181" s="2719" t="s">
        <v>2294</v>
      </c>
      <c r="I181" s="2720" t="s">
        <v>2259</v>
      </c>
      <c r="J181" s="2721"/>
      <c r="K181" s="2722"/>
      <c r="L181" s="2723"/>
      <c r="M181" s="1951"/>
      <c r="N181" s="1962"/>
      <c r="O181" s="1961">
        <v>0</v>
      </c>
      <c r="P181" s="1951"/>
      <c r="Q181" s="1960"/>
    </row>
    <row r="182" spans="1:17" ht="14.25" customHeight="1">
      <c r="A182" s="2713" t="s">
        <v>3247</v>
      </c>
      <c r="B182" s="2714" t="s">
        <v>3341</v>
      </c>
      <c r="C182" s="2715">
        <v>25</v>
      </c>
      <c r="D182" s="2716"/>
      <c r="E182" s="2717" t="s">
        <v>2518</v>
      </c>
      <c r="F182" s="2717" t="s">
        <v>2503</v>
      </c>
      <c r="G182" s="2718" t="s">
        <v>2732</v>
      </c>
      <c r="H182" s="2719" t="s">
        <v>2294</v>
      </c>
      <c r="I182" s="2720" t="s">
        <v>2259</v>
      </c>
      <c r="J182" s="2721"/>
      <c r="K182" s="2722"/>
      <c r="L182" s="2723"/>
      <c r="M182" s="1951"/>
      <c r="N182" s="1962"/>
      <c r="O182" s="1961">
        <v>0</v>
      </c>
      <c r="P182" s="1951"/>
      <c r="Q182" s="1960"/>
    </row>
    <row r="183" spans="1:17" ht="14.25" customHeight="1">
      <c r="A183" s="2713" t="s">
        <v>3247</v>
      </c>
      <c r="B183" s="2714" t="s">
        <v>3342</v>
      </c>
      <c r="C183" s="2715">
        <v>26</v>
      </c>
      <c r="D183" s="2716"/>
      <c r="E183" s="2717" t="s">
        <v>2518</v>
      </c>
      <c r="F183" s="2717" t="s">
        <v>2503</v>
      </c>
      <c r="G183" s="2718" t="s">
        <v>2732</v>
      </c>
      <c r="H183" s="2719" t="s">
        <v>2294</v>
      </c>
      <c r="I183" s="2720" t="s">
        <v>2259</v>
      </c>
      <c r="J183" s="2721"/>
      <c r="K183" s="2722"/>
      <c r="L183" s="2723"/>
      <c r="M183" s="1951"/>
      <c r="N183" s="1962"/>
      <c r="O183" s="1961">
        <v>0</v>
      </c>
      <c r="P183" s="1951"/>
      <c r="Q183" s="1960"/>
    </row>
    <row r="184" spans="1:17" ht="14.25" customHeight="1">
      <c r="A184" s="2713" t="s">
        <v>3247</v>
      </c>
      <c r="B184" s="2714" t="s">
        <v>3343</v>
      </c>
      <c r="C184" s="2715">
        <v>27</v>
      </c>
      <c r="D184" s="2716"/>
      <c r="E184" s="2717" t="s">
        <v>2518</v>
      </c>
      <c r="F184" s="2717" t="s">
        <v>2503</v>
      </c>
      <c r="G184" s="2718" t="s">
        <v>2732</v>
      </c>
      <c r="H184" s="2719" t="s">
        <v>2294</v>
      </c>
      <c r="I184" s="2720" t="s">
        <v>2259</v>
      </c>
      <c r="J184" s="2721"/>
      <c r="K184" s="2722"/>
      <c r="L184" s="2723"/>
      <c r="M184" s="1951"/>
      <c r="N184" s="1962"/>
      <c r="O184" s="1961">
        <v>0</v>
      </c>
      <c r="P184" s="1951"/>
      <c r="Q184" s="1960"/>
    </row>
    <row r="185" spans="1:17" ht="14.25" customHeight="1">
      <c r="A185" s="2713" t="s">
        <v>3247</v>
      </c>
      <c r="B185" s="2714" t="s">
        <v>3344</v>
      </c>
      <c r="C185" s="2715">
        <v>28</v>
      </c>
      <c r="D185" s="2716"/>
      <c r="E185" s="2717" t="s">
        <v>2518</v>
      </c>
      <c r="F185" s="2717" t="s">
        <v>2503</v>
      </c>
      <c r="G185" s="2718" t="s">
        <v>2732</v>
      </c>
      <c r="H185" s="2719" t="s">
        <v>2294</v>
      </c>
      <c r="I185" s="2720" t="s">
        <v>2259</v>
      </c>
      <c r="J185" s="2721"/>
      <c r="K185" s="2722"/>
      <c r="L185" s="2723"/>
      <c r="M185" s="1951"/>
      <c r="N185" s="1962"/>
      <c r="O185" s="1961">
        <v>0</v>
      </c>
      <c r="P185" s="1951"/>
      <c r="Q185" s="1960"/>
    </row>
    <row r="186" spans="1:17" ht="14.25" customHeight="1">
      <c r="A186" s="2713" t="s">
        <v>3247</v>
      </c>
      <c r="B186" s="2714" t="s">
        <v>3345</v>
      </c>
      <c r="C186" s="2715">
        <v>29</v>
      </c>
      <c r="D186" s="2716"/>
      <c r="E186" s="2717" t="s">
        <v>2518</v>
      </c>
      <c r="F186" s="2717" t="s">
        <v>2503</v>
      </c>
      <c r="G186" s="2718" t="s">
        <v>2732</v>
      </c>
      <c r="H186" s="2719" t="s">
        <v>2294</v>
      </c>
      <c r="I186" s="2720" t="s">
        <v>2259</v>
      </c>
      <c r="J186" s="2721"/>
      <c r="K186" s="2722"/>
      <c r="L186" s="2723"/>
      <c r="M186" s="1951"/>
      <c r="N186" s="1962"/>
      <c r="O186" s="1961">
        <v>0</v>
      </c>
      <c r="P186" s="1951"/>
      <c r="Q186" s="1960"/>
    </row>
    <row r="187" spans="1:17" ht="14.25" customHeight="1">
      <c r="A187" s="2713" t="s">
        <v>3247</v>
      </c>
      <c r="B187" s="2714" t="s">
        <v>3428</v>
      </c>
      <c r="C187" s="2715">
        <v>30</v>
      </c>
      <c r="D187" s="2716"/>
      <c r="E187" s="2717" t="s">
        <v>2518</v>
      </c>
      <c r="F187" s="2717" t="s">
        <v>2503</v>
      </c>
      <c r="G187" s="2718" t="s">
        <v>2732</v>
      </c>
      <c r="H187" s="2719" t="s">
        <v>2294</v>
      </c>
      <c r="I187" s="2720" t="s">
        <v>2259</v>
      </c>
      <c r="J187" s="2721"/>
      <c r="K187" s="2722"/>
      <c r="L187" s="2723"/>
      <c r="M187" s="1951"/>
      <c r="N187" s="1962"/>
      <c r="O187" s="1961">
        <v>0</v>
      </c>
      <c r="P187" s="1951"/>
      <c r="Q187" s="1960"/>
    </row>
    <row r="188" spans="1:17" ht="14.25" customHeight="1">
      <c r="A188" s="2713" t="s">
        <v>3247</v>
      </c>
      <c r="B188" s="2714" t="s">
        <v>2708</v>
      </c>
      <c r="C188" s="2715">
        <v>31</v>
      </c>
      <c r="D188" s="2716" t="s">
        <v>3245</v>
      </c>
      <c r="E188" s="2717" t="s">
        <v>2518</v>
      </c>
      <c r="F188" s="2717" t="s">
        <v>2503</v>
      </c>
      <c r="G188" s="2718" t="s">
        <v>2732</v>
      </c>
      <c r="H188" s="2719" t="s">
        <v>2294</v>
      </c>
      <c r="I188" s="2720" t="s">
        <v>2259</v>
      </c>
      <c r="J188" s="2721"/>
      <c r="K188" s="2722"/>
      <c r="L188" s="2723"/>
      <c r="M188" s="1951"/>
      <c r="N188" s="1962"/>
      <c r="O188" s="1961">
        <v>700000</v>
      </c>
      <c r="P188" s="1951"/>
      <c r="Q188" s="1960"/>
    </row>
    <row r="189" spans="1:17" ht="14.25" customHeight="1">
      <c r="A189" s="2713" t="s">
        <v>3247</v>
      </c>
      <c r="B189" s="2714" t="s">
        <v>3346</v>
      </c>
      <c r="C189" s="2715">
        <v>32</v>
      </c>
      <c r="D189" s="2716" t="s">
        <v>3245</v>
      </c>
      <c r="E189" s="2717" t="s">
        <v>2518</v>
      </c>
      <c r="F189" s="2717" t="s">
        <v>2503</v>
      </c>
      <c r="G189" s="2718" t="s">
        <v>2732</v>
      </c>
      <c r="H189" s="2719" t="s">
        <v>2294</v>
      </c>
      <c r="I189" s="2720" t="s">
        <v>2259</v>
      </c>
      <c r="J189" s="2721"/>
      <c r="K189" s="2722"/>
      <c r="L189" s="2723"/>
      <c r="M189" s="1951"/>
      <c r="N189" s="1962"/>
      <c r="O189" s="1961"/>
      <c r="P189" s="1951"/>
      <c r="Q189" s="1960"/>
    </row>
    <row r="190" spans="1:17" ht="14.25" customHeight="1">
      <c r="A190" s="2713" t="s">
        <v>3247</v>
      </c>
      <c r="B190" s="2714" t="s">
        <v>3429</v>
      </c>
      <c r="C190" s="2715">
        <v>33</v>
      </c>
      <c r="D190" s="2716"/>
      <c r="E190" s="2717" t="s">
        <v>2518</v>
      </c>
      <c r="F190" s="2717" t="s">
        <v>2503</v>
      </c>
      <c r="G190" s="2718" t="s">
        <v>2732</v>
      </c>
      <c r="H190" s="2719" t="s">
        <v>2294</v>
      </c>
      <c r="I190" s="2720" t="s">
        <v>2259</v>
      </c>
      <c r="J190" s="2721"/>
      <c r="K190" s="2722"/>
      <c r="L190" s="2723"/>
      <c r="M190" s="1951"/>
      <c r="N190" s="1962"/>
      <c r="O190" s="1961">
        <v>1500000</v>
      </c>
      <c r="P190" s="1951"/>
      <c r="Q190" s="1960"/>
    </row>
    <row r="191" spans="1:17" ht="14.25" customHeight="1">
      <c r="A191" s="2713" t="s">
        <v>3247</v>
      </c>
      <c r="B191" s="2714" t="s">
        <v>3430</v>
      </c>
      <c r="C191" s="2715">
        <v>34</v>
      </c>
      <c r="D191" s="2716"/>
      <c r="E191" s="2717" t="s">
        <v>2518</v>
      </c>
      <c r="F191" s="2717" t="s">
        <v>2503</v>
      </c>
      <c r="G191" s="2718" t="s">
        <v>2732</v>
      </c>
      <c r="H191" s="2719" t="s">
        <v>2294</v>
      </c>
      <c r="I191" s="2720" t="s">
        <v>2259</v>
      </c>
      <c r="J191" s="2721"/>
      <c r="K191" s="2722"/>
      <c r="L191" s="2723"/>
      <c r="M191" s="1951"/>
      <c r="N191" s="1962"/>
      <c r="O191" s="1961">
        <v>0</v>
      </c>
      <c r="P191" s="1951"/>
      <c r="Q191" s="1960"/>
    </row>
    <row r="192" spans="1:17" ht="14.25" customHeight="1">
      <c r="A192" s="2713" t="s">
        <v>3247</v>
      </c>
      <c r="B192" s="2714" t="s">
        <v>3431</v>
      </c>
      <c r="C192" s="2715">
        <v>35</v>
      </c>
      <c r="D192" s="2716"/>
      <c r="E192" s="2717" t="s">
        <v>2518</v>
      </c>
      <c r="F192" s="2717" t="s">
        <v>2503</v>
      </c>
      <c r="G192" s="2718" t="s">
        <v>2732</v>
      </c>
      <c r="H192" s="2719" t="s">
        <v>2294</v>
      </c>
      <c r="I192" s="2720" t="s">
        <v>2259</v>
      </c>
      <c r="J192" s="2721"/>
      <c r="K192" s="2722"/>
      <c r="L192" s="2723"/>
      <c r="M192" s="1951"/>
      <c r="N192" s="1962"/>
      <c r="O192" s="1961">
        <v>0</v>
      </c>
      <c r="P192" s="1951"/>
      <c r="Q192" s="1960"/>
    </row>
    <row r="193" spans="1:17" ht="14.25" customHeight="1">
      <c r="A193" s="2713" t="s">
        <v>3247</v>
      </c>
      <c r="B193" s="2714" t="s">
        <v>3349</v>
      </c>
      <c r="C193" s="2715">
        <v>36</v>
      </c>
      <c r="D193" s="2716"/>
      <c r="E193" s="2717" t="s">
        <v>2518</v>
      </c>
      <c r="F193" s="2717" t="s">
        <v>2503</v>
      </c>
      <c r="G193" s="2718" t="s">
        <v>2732</v>
      </c>
      <c r="H193" s="2719" t="s">
        <v>2294</v>
      </c>
      <c r="I193" s="2720" t="s">
        <v>2259</v>
      </c>
      <c r="J193" s="2721"/>
      <c r="K193" s="2722"/>
      <c r="L193" s="2723"/>
      <c r="M193" s="1951"/>
      <c r="N193" s="1962"/>
      <c r="O193" s="1961">
        <v>0</v>
      </c>
      <c r="P193" s="1951"/>
      <c r="Q193" s="1960"/>
    </row>
    <row r="194" spans="1:17" ht="14.25" customHeight="1">
      <c r="A194" s="2713" t="s">
        <v>3247</v>
      </c>
      <c r="B194" s="2714" t="s">
        <v>2709</v>
      </c>
      <c r="C194" s="2715">
        <v>37</v>
      </c>
      <c r="D194" s="2716"/>
      <c r="E194" s="2717" t="s">
        <v>2518</v>
      </c>
      <c r="F194" s="2717" t="s">
        <v>2503</v>
      </c>
      <c r="G194" s="2718" t="s">
        <v>2732</v>
      </c>
      <c r="H194" s="2719" t="s">
        <v>2294</v>
      </c>
      <c r="I194" s="2720" t="s">
        <v>2259</v>
      </c>
      <c r="J194" s="2721"/>
      <c r="K194" s="2722"/>
      <c r="L194" s="2723"/>
      <c r="M194" s="1951"/>
      <c r="N194" s="1962"/>
      <c r="O194" s="1961">
        <v>0</v>
      </c>
      <c r="P194" s="1951"/>
      <c r="Q194" s="1960"/>
    </row>
    <row r="195" spans="1:17" ht="14.25" customHeight="1">
      <c r="A195" s="2713" t="s">
        <v>3247</v>
      </c>
      <c r="B195" s="2714" t="s">
        <v>2759</v>
      </c>
      <c r="C195" s="2715">
        <v>38</v>
      </c>
      <c r="D195" s="2716"/>
      <c r="E195" s="2717" t="s">
        <v>2518</v>
      </c>
      <c r="F195" s="2717" t="s">
        <v>2503</v>
      </c>
      <c r="G195" s="2718" t="s">
        <v>2732</v>
      </c>
      <c r="H195" s="2719" t="s">
        <v>2294</v>
      </c>
      <c r="I195" s="2720" t="s">
        <v>2259</v>
      </c>
      <c r="J195" s="2721"/>
      <c r="K195" s="2722"/>
      <c r="L195" s="2723"/>
      <c r="M195" s="1951"/>
      <c r="N195" s="1962"/>
      <c r="O195" s="1961">
        <v>0</v>
      </c>
      <c r="P195" s="1951"/>
      <c r="Q195" s="1960"/>
    </row>
    <row r="196" spans="1:17" ht="14.25" customHeight="1">
      <c r="A196" s="2713" t="s">
        <v>3247</v>
      </c>
      <c r="B196" s="2714" t="s">
        <v>3432</v>
      </c>
      <c r="C196" s="2715">
        <v>39</v>
      </c>
      <c r="D196" s="2716"/>
      <c r="E196" s="2717" t="s">
        <v>2518</v>
      </c>
      <c r="F196" s="2717" t="s">
        <v>2503</v>
      </c>
      <c r="G196" s="2718" t="s">
        <v>2732</v>
      </c>
      <c r="H196" s="2719" t="s">
        <v>2294</v>
      </c>
      <c r="I196" s="2720" t="s">
        <v>2259</v>
      </c>
      <c r="J196" s="2721"/>
      <c r="K196" s="2722"/>
      <c r="L196" s="2723"/>
      <c r="M196" s="1951"/>
      <c r="N196" s="1962"/>
      <c r="O196" s="1961">
        <v>0</v>
      </c>
      <c r="P196" s="1951"/>
      <c r="Q196" s="1960"/>
    </row>
    <row r="197" spans="1:17" ht="14.25" customHeight="1">
      <c r="A197" s="2713" t="s">
        <v>3247</v>
      </c>
      <c r="B197" s="2714" t="s">
        <v>3350</v>
      </c>
      <c r="C197" s="2715">
        <v>40</v>
      </c>
      <c r="D197" s="2716" t="s">
        <v>3298</v>
      </c>
      <c r="E197" s="2717" t="s">
        <v>2518</v>
      </c>
      <c r="F197" s="2717" t="s">
        <v>2503</v>
      </c>
      <c r="G197" s="2718" t="s">
        <v>2732</v>
      </c>
      <c r="H197" s="2719" t="s">
        <v>2294</v>
      </c>
      <c r="I197" s="2720" t="s">
        <v>2259</v>
      </c>
      <c r="J197" s="2721"/>
      <c r="K197" s="2722"/>
      <c r="L197" s="2723"/>
      <c r="M197" s="1951"/>
      <c r="N197" s="1962"/>
      <c r="O197" s="1961">
        <v>1500000</v>
      </c>
      <c r="P197" s="1951"/>
      <c r="Q197" s="1960"/>
    </row>
    <row r="198" spans="1:17" ht="14.25" customHeight="1">
      <c r="A198" s="2713" t="s">
        <v>3247</v>
      </c>
      <c r="B198" s="2714" t="s">
        <v>2762</v>
      </c>
      <c r="C198" s="2715">
        <v>41</v>
      </c>
      <c r="D198" s="2716"/>
      <c r="E198" s="2717" t="s">
        <v>2518</v>
      </c>
      <c r="F198" s="2717" t="s">
        <v>2503</v>
      </c>
      <c r="G198" s="2718" t="s">
        <v>2732</v>
      </c>
      <c r="H198" s="2719" t="s">
        <v>2294</v>
      </c>
      <c r="I198" s="2720" t="s">
        <v>2259</v>
      </c>
      <c r="J198" s="2721"/>
      <c r="K198" s="2722"/>
      <c r="L198" s="2723"/>
      <c r="M198" s="1951"/>
      <c r="N198" s="1962"/>
      <c r="O198" s="1961"/>
      <c r="P198" s="1951"/>
      <c r="Q198" s="1960"/>
    </row>
    <row r="199" spans="1:17" ht="14.25" customHeight="1">
      <c r="A199" s="2713" t="s">
        <v>3247</v>
      </c>
      <c r="B199" s="2714" t="s">
        <v>3433</v>
      </c>
      <c r="C199" s="2715">
        <v>42</v>
      </c>
      <c r="D199" s="2716" t="s">
        <v>3245</v>
      </c>
      <c r="E199" s="2717" t="s">
        <v>2518</v>
      </c>
      <c r="F199" s="2717" t="s">
        <v>2503</v>
      </c>
      <c r="G199" s="2718" t="s">
        <v>2732</v>
      </c>
      <c r="H199" s="2719" t="s">
        <v>2294</v>
      </c>
      <c r="I199" s="2720" t="s">
        <v>2259</v>
      </c>
      <c r="J199" s="2721"/>
      <c r="K199" s="2722"/>
      <c r="L199" s="2723"/>
      <c r="M199" s="1951"/>
      <c r="N199" s="1962"/>
      <c r="O199" s="1961">
        <v>1500000</v>
      </c>
      <c r="P199" s="1951"/>
      <c r="Q199" s="1960"/>
    </row>
    <row r="200" spans="1:17" ht="14.25" customHeight="1">
      <c r="A200" s="2713" t="s">
        <v>3247</v>
      </c>
      <c r="B200" s="2714" t="s">
        <v>2710</v>
      </c>
      <c r="C200" s="2715">
        <v>43</v>
      </c>
      <c r="D200" s="2716" t="s">
        <v>3298</v>
      </c>
      <c r="E200" s="2717" t="s">
        <v>2518</v>
      </c>
      <c r="F200" s="2717" t="s">
        <v>2503</v>
      </c>
      <c r="G200" s="2718" t="s">
        <v>2732</v>
      </c>
      <c r="H200" s="2719" t="s">
        <v>2294</v>
      </c>
      <c r="I200" s="2720" t="s">
        <v>2259</v>
      </c>
      <c r="J200" s="2721"/>
      <c r="K200" s="2722"/>
      <c r="L200" s="2723"/>
      <c r="M200" s="1951"/>
      <c r="N200" s="1962"/>
      <c r="O200" s="1961">
        <v>2000000</v>
      </c>
      <c r="P200" s="1951"/>
      <c r="Q200" s="1960"/>
    </row>
    <row r="201" spans="1:17" ht="14.25" customHeight="1">
      <c r="A201" s="2713" t="s">
        <v>3247</v>
      </c>
      <c r="B201" s="2714" t="s">
        <v>2711</v>
      </c>
      <c r="C201" s="2715">
        <v>44</v>
      </c>
      <c r="D201" s="2716"/>
      <c r="E201" s="2717" t="s">
        <v>2518</v>
      </c>
      <c r="F201" s="2717" t="s">
        <v>2503</v>
      </c>
      <c r="G201" s="2718" t="s">
        <v>2732</v>
      </c>
      <c r="H201" s="2719" t="s">
        <v>2294</v>
      </c>
      <c r="I201" s="2720" t="s">
        <v>2259</v>
      </c>
      <c r="J201" s="2721"/>
      <c r="K201" s="2722"/>
      <c r="L201" s="2723"/>
      <c r="M201" s="1951"/>
      <c r="N201" s="1962"/>
      <c r="O201" s="1961">
        <v>0</v>
      </c>
      <c r="P201" s="1951"/>
      <c r="Q201" s="1960"/>
    </row>
    <row r="202" spans="1:17" ht="14.25" customHeight="1">
      <c r="A202" s="2713" t="s">
        <v>3247</v>
      </c>
      <c r="B202" s="2714" t="s">
        <v>2704</v>
      </c>
      <c r="C202" s="2715" t="s">
        <v>3434</v>
      </c>
      <c r="D202" s="2716"/>
      <c r="E202" s="2717" t="s">
        <v>2518</v>
      </c>
      <c r="F202" s="2717" t="s">
        <v>2503</v>
      </c>
      <c r="G202" s="2718" t="s">
        <v>2732</v>
      </c>
      <c r="H202" s="2719" t="s">
        <v>2294</v>
      </c>
      <c r="I202" s="2720" t="s">
        <v>2259</v>
      </c>
      <c r="J202" s="2721"/>
      <c r="K202" s="2722"/>
      <c r="L202" s="2723"/>
      <c r="M202" s="1951"/>
      <c r="N202" s="1962"/>
      <c r="O202" s="1961">
        <v>8000000</v>
      </c>
      <c r="P202" s="1951">
        <v>8384000</v>
      </c>
      <c r="Q202" s="1960">
        <v>8786432</v>
      </c>
    </row>
    <row r="203" spans="1:17" ht="12.75" customHeight="1">
      <c r="A203" s="2337"/>
      <c r="B203" s="2336"/>
      <c r="C203" s="1406"/>
      <c r="D203" s="2296"/>
      <c r="E203" s="2333"/>
      <c r="F203" s="2333"/>
      <c r="G203" s="2185"/>
      <c r="H203" s="2333"/>
      <c r="I203" s="2334"/>
      <c r="J203" s="2185"/>
      <c r="K203" s="2336"/>
      <c r="L203" s="2335"/>
      <c r="M203" s="1951"/>
      <c r="N203" s="1962"/>
      <c r="O203" s="1961"/>
      <c r="P203" s="1951"/>
      <c r="Q203" s="1960"/>
    </row>
    <row r="204" spans="1:17">
      <c r="A204" s="659" t="s">
        <v>1746</v>
      </c>
      <c r="B204" s="1571"/>
      <c r="C204" s="1572"/>
      <c r="D204" s="1572"/>
      <c r="E204" s="1572"/>
      <c r="F204" s="1572"/>
      <c r="G204" s="1572"/>
      <c r="H204" s="1573"/>
      <c r="I204" s="1574"/>
      <c r="J204" s="1574"/>
      <c r="K204" s="1581"/>
      <c r="L204" s="2569"/>
      <c r="M204" s="150">
        <f>SUM(M7:M203)</f>
        <v>103447827.58913046</v>
      </c>
      <c r="N204" s="149">
        <f>SUM(N7:N203)</f>
        <v>154157764.57000002</v>
      </c>
      <c r="O204" s="153">
        <f>SUM(O7:O203)</f>
        <v>130738032.78999999</v>
      </c>
      <c r="P204" s="150">
        <f>SUM(P7:P203)</f>
        <v>105913700</v>
      </c>
      <c r="Q204" s="671">
        <f>SUM(Q7:Q203)</f>
        <v>112090232</v>
      </c>
    </row>
    <row r="205" spans="1:17">
      <c r="A205" s="815"/>
      <c r="B205" s="463"/>
      <c r="C205" s="812"/>
      <c r="D205" s="812"/>
      <c r="E205" s="812"/>
      <c r="F205" s="812"/>
      <c r="G205" s="812"/>
      <c r="H205" s="813"/>
      <c r="I205" s="814"/>
      <c r="J205" s="2572"/>
      <c r="K205" s="2568"/>
      <c r="L205" s="1655"/>
      <c r="M205" s="80"/>
      <c r="N205" s="79"/>
      <c r="O205" s="82"/>
      <c r="P205" s="80"/>
      <c r="Q205" s="81"/>
    </row>
    <row r="206" spans="1:17">
      <c r="A206" s="517" t="s">
        <v>16</v>
      </c>
      <c r="B206" s="463"/>
      <c r="C206" s="812"/>
      <c r="D206" s="812"/>
      <c r="E206" s="812"/>
      <c r="F206" s="812"/>
      <c r="G206" s="812"/>
      <c r="H206" s="813"/>
      <c r="I206" s="814"/>
      <c r="J206" s="813"/>
      <c r="K206" s="2568"/>
      <c r="L206" s="1655"/>
      <c r="M206" s="80"/>
      <c r="N206" s="79"/>
      <c r="O206" s="82"/>
      <c r="P206" s="80"/>
      <c r="Q206" s="81"/>
    </row>
    <row r="207" spans="1:17" ht="11.25" customHeight="1">
      <c r="A207" s="241" t="s">
        <v>1307</v>
      </c>
      <c r="B207" s="463"/>
      <c r="C207" s="812"/>
      <c r="D207" s="812"/>
      <c r="E207" s="812"/>
      <c r="F207" s="812"/>
      <c r="G207" s="812"/>
      <c r="H207" s="813"/>
      <c r="I207" s="814"/>
      <c r="J207" s="813"/>
      <c r="K207" s="2568"/>
      <c r="L207" s="1655"/>
      <c r="M207" s="188"/>
      <c r="N207" s="189"/>
      <c r="O207" s="190"/>
      <c r="P207" s="188"/>
      <c r="Q207" s="191"/>
    </row>
    <row r="208" spans="1:17" ht="4.9000000000000004" customHeight="1">
      <c r="A208" s="815"/>
      <c r="B208" s="463"/>
      <c r="C208" s="812"/>
      <c r="D208" s="812"/>
      <c r="E208" s="812"/>
      <c r="F208" s="812"/>
      <c r="G208" s="812"/>
      <c r="H208" s="813"/>
      <c r="I208" s="814"/>
      <c r="J208" s="813"/>
      <c r="K208" s="2568"/>
      <c r="L208" s="1655"/>
      <c r="M208" s="80"/>
      <c r="N208" s="79"/>
      <c r="O208" s="82"/>
      <c r="P208" s="80"/>
      <c r="Q208" s="81"/>
    </row>
    <row r="209" spans="1:17" ht="11.25" customHeight="1">
      <c r="A209" s="2338" t="s">
        <v>3442</v>
      </c>
      <c r="B209" s="2185"/>
      <c r="C209" s="2296"/>
      <c r="D209" s="2296"/>
      <c r="E209" s="2333"/>
      <c r="F209" s="2333"/>
      <c r="G209" s="2185"/>
      <c r="H209" s="2333"/>
      <c r="I209" s="2334"/>
      <c r="J209" s="2185"/>
      <c r="K209" s="2336"/>
      <c r="L209" s="2335"/>
      <c r="M209" s="1951"/>
      <c r="N209" s="1962"/>
      <c r="O209" s="1961"/>
      <c r="P209" s="1951"/>
      <c r="Q209" s="1960"/>
    </row>
    <row r="210" spans="1:17" ht="11.25" customHeight="1">
      <c r="A210" s="2265" t="s">
        <v>3443</v>
      </c>
      <c r="B210" s="2265" t="s">
        <v>3444</v>
      </c>
      <c r="C210" s="2294" t="s">
        <v>3445</v>
      </c>
      <c r="D210" s="2296" t="s">
        <v>3298</v>
      </c>
      <c r="E210" s="2333" t="s">
        <v>2518</v>
      </c>
      <c r="F210" s="2333" t="s">
        <v>2503</v>
      </c>
      <c r="G210" s="2185" t="s">
        <v>2687</v>
      </c>
      <c r="H210" s="2333" t="s">
        <v>2348</v>
      </c>
      <c r="I210" s="2334" t="s">
        <v>2344</v>
      </c>
      <c r="J210" s="2185" t="s">
        <v>3288</v>
      </c>
      <c r="K210" s="2336"/>
      <c r="L210" s="2335"/>
      <c r="M210" s="1951">
        <v>34610</v>
      </c>
      <c r="N210" s="1962">
        <v>235000</v>
      </c>
      <c r="O210" s="1961">
        <v>235000</v>
      </c>
      <c r="P210" s="1951">
        <v>235000</v>
      </c>
      <c r="Q210" s="1960">
        <v>235000</v>
      </c>
    </row>
    <row r="211" spans="1:17" ht="4.9000000000000004" customHeight="1">
      <c r="A211" s="2337"/>
      <c r="B211" s="2336"/>
      <c r="C211" s="2294"/>
      <c r="D211" s="2296"/>
      <c r="E211" s="2333"/>
      <c r="F211" s="2333"/>
      <c r="G211" s="2185"/>
      <c r="H211" s="2333"/>
      <c r="I211" s="2334"/>
      <c r="J211" s="2185"/>
      <c r="K211" s="2336"/>
      <c r="L211" s="2335"/>
      <c r="M211" s="1951"/>
      <c r="N211" s="1962"/>
      <c r="O211" s="1961"/>
      <c r="P211" s="1951"/>
      <c r="Q211" s="1960"/>
    </row>
    <row r="212" spans="1:17" ht="11.25" customHeight="1">
      <c r="A212" s="2338" t="s">
        <v>1310</v>
      </c>
      <c r="B212" s="2336"/>
      <c r="C212" s="2294"/>
      <c r="D212" s="2296"/>
      <c r="E212" s="2333"/>
      <c r="F212" s="2333"/>
      <c r="G212" s="2185"/>
      <c r="H212" s="2333"/>
      <c r="I212" s="2334"/>
      <c r="J212" s="2185"/>
      <c r="K212" s="2336"/>
      <c r="L212" s="2335"/>
      <c r="M212" s="1951"/>
      <c r="N212" s="1962"/>
      <c r="O212" s="1961"/>
      <c r="P212" s="1951"/>
      <c r="Q212" s="1960"/>
    </row>
    <row r="213" spans="1:17" ht="11.25" customHeight="1">
      <c r="A213" s="2265" t="s">
        <v>1311</v>
      </c>
      <c r="B213" s="2336"/>
      <c r="C213" s="2294"/>
      <c r="D213" s="2296"/>
      <c r="E213" s="2333"/>
      <c r="F213" s="2333"/>
      <c r="G213" s="2185"/>
      <c r="H213" s="2333"/>
      <c r="I213" s="2334"/>
      <c r="J213" s="2185"/>
      <c r="K213" s="2336"/>
      <c r="L213" s="2335"/>
      <c r="M213" s="1951"/>
      <c r="N213" s="1962"/>
      <c r="O213" s="1961"/>
      <c r="P213" s="1951"/>
      <c r="Q213" s="1960"/>
    </row>
    <row r="214" spans="1:17" ht="11.25" customHeight="1">
      <c r="A214" s="2265"/>
      <c r="B214" s="2336"/>
      <c r="C214" s="2294"/>
      <c r="D214" s="2296"/>
      <c r="E214" s="2333"/>
      <c r="F214" s="2333"/>
      <c r="G214" s="2185"/>
      <c r="H214" s="2333"/>
      <c r="I214" s="2334"/>
      <c r="J214" s="2185"/>
      <c r="K214" s="2336"/>
      <c r="L214" s="2335"/>
      <c r="M214" s="1951"/>
      <c r="N214" s="1962"/>
      <c r="O214" s="1961"/>
      <c r="P214" s="1951"/>
      <c r="Q214" s="1960"/>
    </row>
    <row r="215" spans="1:17" ht="11.25" customHeight="1">
      <c r="A215" s="2265"/>
      <c r="B215" s="2336"/>
      <c r="C215" s="1406"/>
      <c r="D215" s="2296"/>
      <c r="E215" s="2333"/>
      <c r="F215" s="2333"/>
      <c r="G215" s="2185"/>
      <c r="H215" s="2333"/>
      <c r="I215" s="2334"/>
      <c r="J215" s="2185"/>
      <c r="K215" s="2336"/>
      <c r="L215" s="2335"/>
      <c r="M215" s="1951"/>
      <c r="N215" s="1962"/>
      <c r="O215" s="1961"/>
      <c r="P215" s="1951"/>
      <c r="Q215" s="1960"/>
    </row>
    <row r="216" spans="1:17" ht="11.25" customHeight="1">
      <c r="A216" s="2337"/>
      <c r="B216" s="2336"/>
      <c r="C216" s="1406"/>
      <c r="D216" s="2296"/>
      <c r="E216" s="2333"/>
      <c r="F216" s="2333"/>
      <c r="G216" s="2185"/>
      <c r="H216" s="2333"/>
      <c r="I216" s="2334"/>
      <c r="J216" s="2185"/>
      <c r="K216" s="2336"/>
      <c r="L216" s="2335"/>
      <c r="M216" s="1951"/>
      <c r="N216" s="1962"/>
      <c r="O216" s="1961"/>
      <c r="P216" s="1951"/>
      <c r="Q216" s="1960"/>
    </row>
    <row r="217" spans="1:17">
      <c r="A217" s="1573" t="s">
        <v>1745</v>
      </c>
      <c r="B217" s="1579"/>
      <c r="C217" s="1581"/>
      <c r="D217" s="1581"/>
      <c r="E217" s="1581"/>
      <c r="F217" s="1581"/>
      <c r="G217" s="1581"/>
      <c r="H217" s="1581"/>
      <c r="I217" s="1581"/>
      <c r="J217" s="1581"/>
      <c r="K217" s="1581"/>
      <c r="L217" s="1575"/>
      <c r="M217" s="150">
        <f>SUM(M209:M216)</f>
        <v>34610</v>
      </c>
      <c r="N217" s="671">
        <f>SUM(N209:N216)</f>
        <v>235000</v>
      </c>
      <c r="O217" s="153">
        <f>SUM(O209:O216)</f>
        <v>235000</v>
      </c>
      <c r="P217" s="150">
        <f>SUM(P209:P216)</f>
        <v>235000</v>
      </c>
      <c r="Q217" s="671">
        <f>SUM(Q209:Q216)</f>
        <v>235000</v>
      </c>
    </row>
    <row r="218" spans="1:17">
      <c r="A218" s="1573" t="s">
        <v>797</v>
      </c>
      <c r="B218" s="1579"/>
      <c r="C218" s="1581"/>
      <c r="D218" s="1581"/>
      <c r="E218" s="1581"/>
      <c r="F218" s="1581"/>
      <c r="G218" s="1581"/>
      <c r="H218" s="1581"/>
      <c r="I218" s="1581"/>
      <c r="J218" s="1581"/>
      <c r="K218" s="1581"/>
      <c r="L218" s="1575"/>
      <c r="M218" s="107">
        <f>SUM(M7:M203)+SUM(M209:M216)</f>
        <v>103482437.58913046</v>
      </c>
      <c r="N218" s="1580">
        <f>SUM(N7:N203)+SUM(N209:N216)</f>
        <v>154392764.57000002</v>
      </c>
      <c r="O218" s="109">
        <f>SUM(O7:O203)+SUM(O209:O216)</f>
        <v>130973032.78999999</v>
      </c>
      <c r="P218" s="107">
        <f>SUM(P7:P203)+SUM(P209:P216)</f>
        <v>106148700</v>
      </c>
      <c r="Q218" s="1580">
        <f>SUM(Q7:Q203)+SUM(Q209:Q216)</f>
        <v>112325232</v>
      </c>
    </row>
    <row r="219" spans="1:17" s="576" customFormat="1" ht="11.25" customHeight="1">
      <c r="A219" s="1063" t="str">
        <f>head27a</f>
        <v>References</v>
      </c>
      <c r="B219" s="898"/>
    </row>
    <row r="220" spans="1:17" s="576" customFormat="1" ht="11.25" customHeight="1">
      <c r="A220" s="1025" t="s">
        <v>2498</v>
      </c>
    </row>
    <row r="221" spans="1:17" s="576" customFormat="1" ht="11.25" customHeight="1">
      <c r="A221" s="26" t="s">
        <v>2499</v>
      </c>
    </row>
    <row r="222" spans="1:17" ht="11.25" customHeight="1">
      <c r="A222" s="26" t="s">
        <v>2524</v>
      </c>
    </row>
    <row r="223" spans="1:17" ht="11.25" customHeight="1">
      <c r="A223" s="26" t="s">
        <v>2500</v>
      </c>
    </row>
    <row r="224" spans="1:17">
      <c r="A224" s="26" t="s">
        <v>2501</v>
      </c>
      <c r="L224" s="26" t="s">
        <v>1338</v>
      </c>
      <c r="M224" s="235">
        <f>SUM(SA34a!E167+SA34b!E167+SA34e!E167)-'SA36'!M218</f>
        <v>2.0195651948451996</v>
      </c>
      <c r="N224" s="235">
        <f>SUM(SA34a!H167+SA34b!H167+SA34e!H167)-'SA36'!N218</f>
        <v>3.429999977350235</v>
      </c>
      <c r="O224" s="235">
        <f>SUM(SA34a!I167+SA34b!I167+SA34e!I167)-'SA36'!O218</f>
        <v>17.21000000834465</v>
      </c>
      <c r="P224" s="235">
        <f>SUM(SA34a!J167+SA34b!J167+SA34e!J167)-'SA36'!P218</f>
        <v>0</v>
      </c>
      <c r="Q224" s="235">
        <f>SUM(SA34a!K167+SA34b!K167+SA34e!K167)-'SA36'!Q218</f>
        <v>0</v>
      </c>
    </row>
    <row r="225" spans="1:1" ht="11.25" customHeight="1">
      <c r="A225" s="26" t="s">
        <v>2526</v>
      </c>
    </row>
    <row r="226" spans="1:1" ht="11.25" customHeight="1"/>
    <row r="227" spans="1:1" ht="11.25" customHeight="1"/>
    <row r="228" spans="1:1" ht="11.25" customHeight="1"/>
    <row r="229" spans="1:1" ht="11.25" customHeight="1"/>
    <row r="230" spans="1:1" ht="11.25" customHeight="1"/>
    <row r="231" spans="1:1" ht="11.25" customHeight="1"/>
    <row r="232" spans="1:1" ht="11.25" customHeight="1"/>
    <row r="233" spans="1:1" ht="11.25" customHeight="1"/>
    <row r="234" spans="1:1" ht="11.25" customHeight="1"/>
    <row r="235" spans="1:1" ht="11.25" customHeight="1"/>
    <row r="236" spans="1:1" ht="11.25" customHeight="1"/>
    <row r="237" spans="1:1" ht="11.25" customHeight="1"/>
    <row r="238" spans="1:1" ht="11.25" customHeight="1"/>
    <row r="239" spans="1:1" ht="11.25" customHeight="1"/>
    <row r="240" spans="1:1" ht="11.25" customHeight="1"/>
    <row r="241" ht="11.25" customHeight="1"/>
    <row r="242" ht="11.25" customHeight="1"/>
    <row r="243" ht="11.25" customHeight="1"/>
    <row r="244" ht="11.25" customHeight="1"/>
    <row r="245" ht="11.25" customHeight="1"/>
    <row r="246" ht="11.25" customHeight="1"/>
    <row r="247" ht="11.25" customHeight="1"/>
    <row r="250" ht="11.25" customHeight="1"/>
    <row r="251" ht="2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sheetData>
  <mergeCells count="2">
    <mergeCell ref="M2:N2"/>
    <mergeCell ref="O2:Q2"/>
  </mergeCells>
  <phoneticPr fontId="5" type="noConversion"/>
  <dataValidations xWindow="526" yWindow="412" count="7">
    <dataValidation type="list" allowBlank="1" showInputMessage="1" showErrorMessage="1" promptTitle="Select Asset Class" prompt="Select asset class from list" sqref="H209:H216 H203">
      <formula1>asset_class1</formula1>
    </dataValidation>
    <dataValidation type="list" allowBlank="1" showInputMessage="1" showErrorMessage="1" promptTitle="Select Asset Sub-Class" prompt="Select asset sub class from list" sqref="I209:I216 I203">
      <formula1>asset_subclass1</formula1>
    </dataValidation>
    <dataValidation type="list" allowBlank="1" showInputMessage="1" showErrorMessage="1" sqref="D209:D216 D7:D203">
      <formula1>"New,Renewal,Upgrading"</formula1>
    </dataValidation>
    <dataValidation type="list" allowBlank="1" showInputMessage="1" showErrorMessage="1" promptTitle="Select IUDF" prompt="Select IUDF from list" sqref="F209:F216 F7:F203">
      <formula1>IUDF</formula1>
    </dataValidation>
    <dataValidation type="list" allowBlank="1" showInputMessage="1" showErrorMessage="1" promptTitle="Select MTSF Service Outcome" prompt="Select MTSF from list" sqref="E209:E216 E7:E203">
      <formula1>MTSF</formula1>
    </dataValidation>
    <dataValidation type="list" allowBlank="1" showInputMessage="1" showErrorMessage="1" promptTitle="Asset Sub-Class" prompt="Please select" sqref="I7:I202">
      <formula1>Asset_sub_class</formula1>
    </dataValidation>
    <dataValidation type="list" allowBlank="1" showInputMessage="1" showErrorMessage="1" promptTitle="Asset Class" prompt="Please select" sqref="H7:H202">
      <formula1>Asset_Class</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78"/>
  <sheetViews>
    <sheetView showGridLines="0" zoomScaleNormal="100" workbookViewId="0">
      <pane xSplit="2" ySplit="3" topLeftCell="C16" activePane="bottomRight" state="frozen"/>
      <selection pane="topRight"/>
      <selection pane="bottomLeft"/>
      <selection pane="bottomRight" activeCell="A9" sqref="A9"/>
    </sheetView>
  </sheetViews>
  <sheetFormatPr defaultColWidth="9.140625" defaultRowHeight="12.75"/>
  <cols>
    <col min="1" max="2" width="26.42578125" style="26" customWidth="1"/>
    <col min="3" max="7" width="10.7109375" style="26" customWidth="1"/>
    <col min="8" max="10" width="26.42578125" style="26" customWidth="1"/>
    <col min="11" max="12" width="17.7109375" style="26" customWidth="1"/>
    <col min="13" max="18" width="9.28515625" style="26" customWidth="1"/>
    <col min="19" max="19" width="7.42578125" style="26" bestFit="1" customWidth="1"/>
    <col min="20" max="20" width="9.7109375" style="26" customWidth="1"/>
    <col min="21" max="21" width="9.42578125" style="26" customWidth="1"/>
    <col min="22" max="22" width="9.7109375" style="26" customWidth="1"/>
    <col min="23" max="25" width="9.42578125" style="26" customWidth="1"/>
    <col min="26" max="26" width="9.7109375" style="26" customWidth="1"/>
    <col min="27" max="29" width="9.42578125" style="26" customWidth="1"/>
    <col min="30" max="31" width="9.7109375" style="26" customWidth="1"/>
    <col min="32" max="16384" width="9.140625" style="26"/>
  </cols>
  <sheetData>
    <row r="1" spans="1:18" ht="13.5" customHeight="1">
      <c r="A1" s="24" t="str">
        <f>muni&amp;" - "&amp;TableA37</f>
        <v>LIM333 Greater Tzaneen - Supporting Table SA37 Consolidated projects delayed from previous financial year/s</v>
      </c>
      <c r="B1" s="24"/>
      <c r="C1" s="24"/>
      <c r="D1" s="24"/>
      <c r="E1" s="24"/>
      <c r="F1" s="24"/>
      <c r="G1" s="24"/>
      <c r="H1" s="24"/>
      <c r="I1" s="24"/>
      <c r="J1" s="24"/>
      <c r="K1" s="24"/>
      <c r="L1" s="24"/>
      <c r="M1" s="24"/>
      <c r="N1" s="24"/>
      <c r="O1" s="24"/>
      <c r="P1" s="24"/>
      <c r="Q1" s="24"/>
      <c r="R1" s="24"/>
    </row>
    <row r="2" spans="1:18" ht="23.25" customHeight="1">
      <c r="A2" s="2565" t="s">
        <v>569</v>
      </c>
      <c r="D2" s="499"/>
      <c r="E2" s="499"/>
      <c r="F2" s="499"/>
      <c r="G2" s="499"/>
      <c r="H2" s="499"/>
      <c r="I2" s="2532"/>
      <c r="J2" s="499"/>
      <c r="K2" s="499"/>
      <c r="L2" s="788"/>
      <c r="M2" s="2929" t="str">
        <f>Head47</f>
        <v>Previous target year to complete</v>
      </c>
      <c r="N2" s="2922" t="str">
        <f>Head2</f>
        <v>Current Year 2019/20</v>
      </c>
      <c r="O2" s="2840"/>
      <c r="P2" s="2839" t="str">
        <f>Head3</f>
        <v>2020/21 Medium Term Revenue &amp; Expenditure Framework</v>
      </c>
      <c r="Q2" s="2840"/>
      <c r="R2" s="2841"/>
    </row>
    <row r="3" spans="1:18" ht="25.5">
      <c r="A3" s="2570" t="s">
        <v>2486</v>
      </c>
      <c r="B3" s="29" t="s">
        <v>1192</v>
      </c>
      <c r="C3" s="29" t="s">
        <v>1193</v>
      </c>
      <c r="D3" s="260" t="s">
        <v>2489</v>
      </c>
      <c r="E3" s="260" t="s">
        <v>2491</v>
      </c>
      <c r="F3" s="260" t="s">
        <v>2492</v>
      </c>
      <c r="G3" s="260" t="s">
        <v>2493</v>
      </c>
      <c r="H3" s="260" t="s">
        <v>1736</v>
      </c>
      <c r="I3" s="843" t="s">
        <v>2497</v>
      </c>
      <c r="J3" s="260" t="s">
        <v>2494</v>
      </c>
      <c r="K3" s="260" t="s">
        <v>2495</v>
      </c>
      <c r="L3" s="2531" t="s">
        <v>2496</v>
      </c>
      <c r="M3" s="2932"/>
      <c r="N3" s="527" t="str">
        <f>Head6</f>
        <v>Original Budget</v>
      </c>
      <c r="O3" s="817" t="str">
        <f>Head8</f>
        <v>Full Year Forecast</v>
      </c>
      <c r="P3" s="28" t="str">
        <f>Head9</f>
        <v>Budget Year 2020/21</v>
      </c>
      <c r="Q3" s="29" t="str">
        <f>Head10</f>
        <v>Budget Year +1 2021/22</v>
      </c>
      <c r="R3" s="30" t="str">
        <f>Head11</f>
        <v>Budget Year +2 2022/23</v>
      </c>
    </row>
    <row r="4" spans="1:18" ht="11.25" customHeight="1">
      <c r="A4" s="807" t="s">
        <v>1306</v>
      </c>
      <c r="B4" s="1576"/>
      <c r="C4" s="809"/>
      <c r="D4" s="809"/>
      <c r="E4" s="809"/>
      <c r="F4" s="809"/>
      <c r="G4" s="809"/>
      <c r="H4" s="810"/>
      <c r="I4" s="811"/>
      <c r="J4" s="810"/>
      <c r="K4" s="810"/>
      <c r="L4" s="1653"/>
      <c r="M4" s="818"/>
      <c r="N4" s="797"/>
      <c r="O4" s="819"/>
      <c r="P4" s="820"/>
      <c r="Q4" s="797"/>
      <c r="R4" s="821"/>
    </row>
    <row r="5" spans="1:18" ht="11.25" customHeight="1">
      <c r="A5" s="1246" t="s">
        <v>2490</v>
      </c>
      <c r="B5" s="1577"/>
      <c r="C5" s="812"/>
      <c r="D5" s="812"/>
      <c r="E5" s="812"/>
      <c r="F5" s="812"/>
      <c r="G5" s="812"/>
      <c r="H5" s="813"/>
      <c r="I5" s="814"/>
      <c r="J5" s="813"/>
      <c r="K5" s="813"/>
      <c r="L5" s="1655"/>
      <c r="M5" s="822"/>
      <c r="N5" s="823"/>
      <c r="O5" s="824"/>
      <c r="P5" s="825"/>
      <c r="Q5" s="823"/>
      <c r="R5" s="826"/>
    </row>
    <row r="6" spans="1:18" ht="5.65" customHeight="1">
      <c r="A6" s="241"/>
      <c r="B6" s="1577"/>
      <c r="C6" s="812"/>
      <c r="D6" s="812"/>
      <c r="E6" s="812"/>
      <c r="F6" s="812"/>
      <c r="G6" s="812"/>
      <c r="H6" s="813"/>
      <c r="I6" s="814"/>
      <c r="J6" s="813"/>
      <c r="K6" s="813"/>
      <c r="L6" s="1655"/>
      <c r="M6" s="822"/>
      <c r="N6" s="823"/>
      <c r="O6" s="824"/>
      <c r="P6" s="825"/>
      <c r="Q6" s="823"/>
      <c r="R6" s="826"/>
    </row>
    <row r="7" spans="1:18" ht="11.25" customHeight="1">
      <c r="A7" s="2338" t="s">
        <v>3450</v>
      </c>
      <c r="B7" s="2185" t="s">
        <v>3450</v>
      </c>
      <c r="C7" s="2296" t="s">
        <v>3450</v>
      </c>
      <c r="D7" s="2296"/>
      <c r="E7" s="2333"/>
      <c r="F7" s="2333"/>
      <c r="G7" s="2296"/>
      <c r="H7" s="2333"/>
      <c r="I7" s="2334"/>
      <c r="J7" s="2333"/>
      <c r="K7" s="2333"/>
      <c r="L7" s="2335"/>
      <c r="M7" s="2339"/>
      <c r="N7" s="2327"/>
      <c r="O7" s="2340"/>
      <c r="P7" s="2329"/>
      <c r="Q7" s="2327"/>
      <c r="R7" s="2330"/>
    </row>
    <row r="8" spans="1:18" ht="11.25" customHeight="1">
      <c r="A8" s="2265"/>
      <c r="B8" s="2336"/>
      <c r="C8" s="2294"/>
      <c r="D8" s="2296"/>
      <c r="E8" s="2333"/>
      <c r="F8" s="2333"/>
      <c r="G8" s="2294"/>
      <c r="H8" s="2333"/>
      <c r="I8" s="2334"/>
      <c r="J8" s="2333"/>
      <c r="K8" s="2333"/>
      <c r="L8" s="2335"/>
      <c r="M8" s="2212"/>
      <c r="N8" s="1951"/>
      <c r="O8" s="1952"/>
      <c r="P8" s="1961"/>
      <c r="Q8" s="1951"/>
      <c r="R8" s="1960"/>
    </row>
    <row r="9" spans="1:18" ht="11.25" customHeight="1">
      <c r="A9" s="2265"/>
      <c r="B9" s="2336"/>
      <c r="C9" s="2294"/>
      <c r="D9" s="2296"/>
      <c r="E9" s="2333"/>
      <c r="F9" s="2333"/>
      <c r="G9" s="2294"/>
      <c r="H9" s="2333"/>
      <c r="I9" s="2334"/>
      <c r="J9" s="2574"/>
      <c r="K9" s="2574"/>
      <c r="L9" s="2341"/>
      <c r="M9" s="2212"/>
      <c r="N9" s="1951"/>
      <c r="O9" s="1952"/>
      <c r="P9" s="1961"/>
      <c r="Q9" s="1951"/>
      <c r="R9" s="1960"/>
    </row>
    <row r="10" spans="1:18" ht="11.25" customHeight="1">
      <c r="A10" s="2338"/>
      <c r="B10" s="2336"/>
      <c r="C10" s="2294"/>
      <c r="D10" s="2296"/>
      <c r="E10" s="2333"/>
      <c r="F10" s="2333"/>
      <c r="G10" s="2294"/>
      <c r="H10" s="2333"/>
      <c r="I10" s="2334"/>
      <c r="J10" s="2333"/>
      <c r="K10" s="2333"/>
      <c r="L10" s="2335"/>
      <c r="M10" s="2212"/>
      <c r="N10" s="1951"/>
      <c r="O10" s="1952"/>
      <c r="P10" s="1961"/>
      <c r="Q10" s="1951"/>
      <c r="R10" s="1960"/>
    </row>
    <row r="11" spans="1:18" ht="11.25" customHeight="1">
      <c r="A11" s="2265"/>
      <c r="B11" s="2336"/>
      <c r="C11" s="2294"/>
      <c r="D11" s="2296"/>
      <c r="E11" s="2333"/>
      <c r="F11" s="2333"/>
      <c r="G11" s="2294"/>
      <c r="H11" s="2333"/>
      <c r="I11" s="2334"/>
      <c r="J11" s="2333"/>
      <c r="K11" s="2333"/>
      <c r="L11" s="2335"/>
      <c r="M11" s="2212"/>
      <c r="N11" s="1951"/>
      <c r="O11" s="2342"/>
      <c r="P11" s="1961"/>
      <c r="Q11" s="1951"/>
      <c r="R11" s="1960"/>
    </row>
    <row r="12" spans="1:18" ht="11.25" customHeight="1">
      <c r="A12" s="2265"/>
      <c r="B12" s="2336"/>
      <c r="C12" s="2294"/>
      <c r="D12" s="2296"/>
      <c r="E12" s="2333"/>
      <c r="F12" s="2333"/>
      <c r="G12" s="2294"/>
      <c r="H12" s="2333"/>
      <c r="I12" s="2334"/>
      <c r="J12" s="2333"/>
      <c r="K12" s="2333"/>
      <c r="L12" s="2335"/>
      <c r="M12" s="2212"/>
      <c r="N12" s="1951"/>
      <c r="O12" s="1952"/>
      <c r="P12" s="1961"/>
      <c r="Q12" s="1951"/>
      <c r="R12" s="1960"/>
    </row>
    <row r="13" spans="1:18" ht="11.25" customHeight="1">
      <c r="A13" s="2343"/>
      <c r="B13" s="2578"/>
      <c r="C13" s="2344"/>
      <c r="D13" s="2577"/>
      <c r="E13" s="2575"/>
      <c r="F13" s="2575"/>
      <c r="G13" s="2344"/>
      <c r="H13" s="2575"/>
      <c r="I13" s="2575"/>
      <c r="J13" s="2575"/>
      <c r="K13" s="2575"/>
      <c r="L13" s="2345"/>
      <c r="M13" s="2346"/>
      <c r="N13" s="1981"/>
      <c r="O13" s="2347"/>
      <c r="P13" s="2331"/>
      <c r="Q13" s="1981"/>
      <c r="R13" s="1984"/>
    </row>
    <row r="14" spans="1:18" ht="11.25" customHeight="1">
      <c r="A14" s="140" t="s">
        <v>16</v>
      </c>
      <c r="B14" s="1578"/>
      <c r="C14" s="701"/>
      <c r="D14" s="701"/>
      <c r="E14" s="701"/>
      <c r="F14" s="701"/>
      <c r="G14" s="701"/>
      <c r="H14" s="816"/>
      <c r="I14" s="1626"/>
      <c r="J14" s="816"/>
      <c r="K14" s="816"/>
      <c r="L14" s="1656"/>
      <c r="M14" s="488"/>
      <c r="N14" s="84"/>
      <c r="O14" s="425"/>
      <c r="P14" s="128"/>
      <c r="Q14" s="84"/>
      <c r="R14" s="139"/>
    </row>
    <row r="15" spans="1:18" ht="11.25" customHeight="1">
      <c r="A15" s="241" t="s">
        <v>1307</v>
      </c>
      <c r="B15" s="1578"/>
      <c r="C15" s="701"/>
      <c r="D15" s="701"/>
      <c r="E15" s="701"/>
      <c r="F15" s="701"/>
      <c r="G15" s="701"/>
      <c r="H15" s="816"/>
      <c r="I15" s="1626"/>
      <c r="J15" s="816"/>
      <c r="K15" s="816"/>
      <c r="L15" s="1656"/>
      <c r="M15" s="488"/>
      <c r="N15" s="84"/>
      <c r="O15" s="425"/>
      <c r="P15" s="128"/>
      <c r="Q15" s="84"/>
      <c r="R15" s="139"/>
    </row>
    <row r="16" spans="1:18" ht="6" customHeight="1">
      <c r="A16" s="827"/>
      <c r="B16" s="1578"/>
      <c r="C16" s="701"/>
      <c r="D16" s="701"/>
      <c r="E16" s="701"/>
      <c r="F16" s="701"/>
      <c r="G16" s="701"/>
      <c r="H16" s="816"/>
      <c r="I16" s="1626"/>
      <c r="J16" s="816"/>
      <c r="K16" s="816"/>
      <c r="L16" s="1656"/>
      <c r="M16" s="488"/>
      <c r="N16" s="84"/>
      <c r="O16" s="425"/>
      <c r="P16" s="128"/>
      <c r="Q16" s="84"/>
      <c r="R16" s="139"/>
    </row>
    <row r="17" spans="1:18" ht="11.25" customHeight="1">
      <c r="A17" s="2348" t="s">
        <v>1312</v>
      </c>
      <c r="B17" s="2336"/>
      <c r="C17" s="2294"/>
      <c r="D17" s="2296"/>
      <c r="E17" s="2333"/>
      <c r="F17" s="2333"/>
      <c r="G17" s="2294"/>
      <c r="H17" s="2333"/>
      <c r="I17" s="2334"/>
      <c r="J17" s="2333"/>
      <c r="K17" s="2333"/>
      <c r="L17" s="2335"/>
      <c r="M17" s="2212"/>
      <c r="N17" s="1951"/>
      <c r="O17" s="1952"/>
      <c r="P17" s="1961"/>
      <c r="Q17" s="1951"/>
      <c r="R17" s="1960"/>
    </row>
    <row r="18" spans="1:18" ht="11.25" customHeight="1">
      <c r="A18" s="2292" t="s">
        <v>1192</v>
      </c>
      <c r="B18" s="2336"/>
      <c r="C18" s="2294"/>
      <c r="D18" s="2296"/>
      <c r="E18" s="2333"/>
      <c r="F18" s="2333"/>
      <c r="G18" s="2294"/>
      <c r="H18" s="2333"/>
      <c r="I18" s="2334"/>
      <c r="J18" s="2333"/>
      <c r="K18" s="2333"/>
      <c r="L18" s="2335"/>
      <c r="M18" s="2212"/>
      <c r="N18" s="1951"/>
      <c r="O18" s="1952"/>
      <c r="P18" s="1961"/>
      <c r="Q18" s="1951"/>
      <c r="R18" s="1960"/>
    </row>
    <row r="19" spans="1:18" ht="11.25" customHeight="1">
      <c r="A19" s="2293"/>
      <c r="B19" s="2336"/>
      <c r="C19" s="2294"/>
      <c r="D19" s="2296"/>
      <c r="E19" s="2333"/>
      <c r="F19" s="2333"/>
      <c r="G19" s="2294"/>
      <c r="H19" s="2333"/>
      <c r="I19" s="2334"/>
      <c r="J19" s="2333"/>
      <c r="K19" s="2333"/>
      <c r="L19" s="2335"/>
      <c r="M19" s="2212"/>
      <c r="N19" s="1951"/>
      <c r="O19" s="1952"/>
      <c r="P19" s="1961"/>
      <c r="Q19" s="1951"/>
      <c r="R19" s="1960"/>
    </row>
    <row r="20" spans="1:18" ht="11.25" customHeight="1">
      <c r="A20" s="2265"/>
      <c r="B20" s="2336"/>
      <c r="C20" s="2294"/>
      <c r="D20" s="2296"/>
      <c r="E20" s="2333"/>
      <c r="F20" s="2333"/>
      <c r="G20" s="2294"/>
      <c r="H20" s="2333"/>
      <c r="I20" s="2334"/>
      <c r="J20" s="2333"/>
      <c r="K20" s="2333"/>
      <c r="L20" s="2335"/>
      <c r="M20" s="2212"/>
      <c r="N20" s="1951"/>
      <c r="O20" s="1952"/>
      <c r="P20" s="1961"/>
      <c r="Q20" s="1951"/>
      <c r="R20" s="1960"/>
    </row>
    <row r="21" spans="1:18" ht="11.25" customHeight="1">
      <c r="A21" s="2265"/>
      <c r="B21" s="2336"/>
      <c r="C21" s="2294"/>
      <c r="D21" s="2296"/>
      <c r="E21" s="2333"/>
      <c r="F21" s="2333"/>
      <c r="G21" s="2294"/>
      <c r="H21" s="2333"/>
      <c r="I21" s="2334"/>
      <c r="J21" s="2333"/>
      <c r="K21" s="2333"/>
      <c r="L21" s="2335"/>
      <c r="M21" s="2212"/>
      <c r="N21" s="1951"/>
      <c r="O21" s="1952"/>
      <c r="P21" s="1961"/>
      <c r="Q21" s="1951"/>
      <c r="R21" s="1960"/>
    </row>
    <row r="22" spans="1:18" ht="11.25" customHeight="1">
      <c r="A22" s="2576"/>
      <c r="B22" s="2578"/>
      <c r="C22" s="2344"/>
      <c r="D22" s="2577"/>
      <c r="E22" s="2575"/>
      <c r="F22" s="2575"/>
      <c r="G22" s="2344"/>
      <c r="H22" s="2575"/>
      <c r="I22" s="2575"/>
      <c r="J22" s="2575"/>
      <c r="K22" s="2575"/>
      <c r="L22" s="2345"/>
      <c r="M22" s="2346"/>
      <c r="N22" s="1981"/>
      <c r="O22" s="2347"/>
      <c r="P22" s="2331"/>
      <c r="Q22" s="1981"/>
      <c r="R22" s="1984"/>
    </row>
    <row r="23" spans="1:18" ht="11.25" customHeight="1">
      <c r="A23" s="180" t="str">
        <f>head27a</f>
        <v>References</v>
      </c>
      <c r="H23" s="123"/>
      <c r="I23" s="123"/>
      <c r="J23" s="123"/>
      <c r="K23" s="123"/>
      <c r="L23" s="123"/>
      <c r="M23" s="123"/>
      <c r="N23" s="123"/>
      <c r="O23" s="123"/>
    </row>
    <row r="24" spans="1:18" ht="11.25" customHeight="1">
      <c r="A24" s="181" t="s">
        <v>2525</v>
      </c>
    </row>
    <row r="25" spans="1:18" ht="11.25" customHeight="1">
      <c r="A25" s="26" t="s">
        <v>2524</v>
      </c>
    </row>
    <row r="26" spans="1:18" ht="11.25" customHeight="1">
      <c r="A26" s="26" t="s">
        <v>2500</v>
      </c>
    </row>
    <row r="27" spans="1:18" ht="11.25" customHeight="1">
      <c r="A27" s="26" t="s">
        <v>2526</v>
      </c>
    </row>
    <row r="28" spans="1:18" ht="11.25" customHeight="1"/>
    <row r="29" spans="1:18" ht="11.25" customHeight="1"/>
    <row r="30" spans="1:18" ht="11.25" customHeight="1"/>
    <row r="31" spans="1:18" ht="11.25" customHeight="1"/>
    <row r="32" spans="1:18" ht="11.25" customHeight="1"/>
    <row r="33" ht="11.25" customHeight="1"/>
    <row r="34" ht="11.25" customHeight="1"/>
    <row r="35" ht="11.25" customHeight="1"/>
    <row r="38" ht="11.25" customHeight="1"/>
    <row r="39" ht="2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sheetData>
  <mergeCells count="3">
    <mergeCell ref="M2:M3"/>
    <mergeCell ref="N2:O2"/>
    <mergeCell ref="P2:R2"/>
  </mergeCells>
  <phoneticPr fontId="5"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772"/>
  <sheetViews>
    <sheetView showGridLines="0" tabSelected="1" zoomScaleNormal="100" workbookViewId="0">
      <pane xSplit="2" ySplit="6" topLeftCell="I1698" activePane="bottomRight" state="frozen"/>
      <selection pane="topRight" activeCell="C1" sqref="C1"/>
      <selection pane="bottomLeft" activeCell="A7" sqref="A7"/>
      <selection pane="bottomRight" activeCell="O434" sqref="O434"/>
    </sheetView>
  </sheetViews>
  <sheetFormatPr defaultColWidth="9.140625" defaultRowHeight="12.75"/>
  <cols>
    <col min="1" max="1" width="23.42578125" style="26" customWidth="1"/>
    <col min="2" max="2" width="45.28515625" style="26" customWidth="1"/>
    <col min="3" max="3" width="11.7109375" style="26" customWidth="1"/>
    <col min="4" max="4" width="16.42578125" style="26" customWidth="1"/>
    <col min="5" max="5" width="20.42578125" style="26" customWidth="1"/>
    <col min="6" max="7" width="23.42578125" style="26" customWidth="1"/>
    <col min="8" max="8" width="17.7109375" style="26" customWidth="1"/>
    <col min="9" max="14" width="9.28515625" style="26" customWidth="1"/>
    <col min="15" max="15" width="12.140625" style="26" customWidth="1"/>
    <col min="16" max="16" width="9.7109375" style="26" customWidth="1"/>
    <col min="17" max="17" width="9.42578125" style="26" customWidth="1"/>
    <col min="18" max="18" width="9.7109375" style="26" customWidth="1"/>
    <col min="19" max="21" width="9.42578125" style="26" customWidth="1"/>
    <col min="22" max="22" width="9.7109375" style="26" customWidth="1"/>
    <col min="23" max="25" width="9.42578125" style="26" customWidth="1"/>
    <col min="26" max="27" width="9.7109375" style="26" customWidth="1"/>
    <col min="28" max="16384" width="9.140625" style="26"/>
  </cols>
  <sheetData>
    <row r="1" spans="1:17" ht="13.5" customHeight="1">
      <c r="A1" s="24" t="str">
        <f>muni&amp;" - "&amp;TableA38</f>
        <v>LIM333 Greater Tzaneen - Supporting Table SA38 Consolidated detailed operational projects</v>
      </c>
      <c r="B1" s="24"/>
      <c r="C1" s="24"/>
      <c r="D1" s="24"/>
      <c r="E1" s="24"/>
      <c r="F1" s="24"/>
      <c r="G1" s="24"/>
      <c r="H1" s="24"/>
      <c r="I1" s="24"/>
      <c r="J1" s="24"/>
      <c r="K1" s="24"/>
      <c r="L1" s="24"/>
      <c r="M1" s="24"/>
      <c r="N1" s="24"/>
      <c r="O1" s="24"/>
    </row>
    <row r="2" spans="1:17" ht="22.15" customHeight="1">
      <c r="A2" s="2565" t="s">
        <v>569</v>
      </c>
      <c r="B2" s="499"/>
      <c r="C2" s="499"/>
      <c r="D2" s="499"/>
      <c r="E2" s="1764"/>
      <c r="F2" s="1764"/>
      <c r="G2" s="1764"/>
      <c r="H2" s="1764"/>
      <c r="I2" s="1764"/>
      <c r="J2" s="1764"/>
      <c r="K2" s="1764"/>
      <c r="L2" s="1764"/>
      <c r="M2" s="2901" t="s">
        <v>1194</v>
      </c>
      <c r="N2" s="2899"/>
      <c r="O2" s="2839" t="str">
        <f>Head3</f>
        <v>2020/21 Medium Term Revenue &amp; Expenditure Framework</v>
      </c>
      <c r="P2" s="2840"/>
      <c r="Q2" s="2841"/>
    </row>
    <row r="3" spans="1:17" s="2571" customFormat="1" ht="50.25" customHeight="1">
      <c r="A3" s="2570" t="s">
        <v>2486</v>
      </c>
      <c r="B3" s="260" t="s">
        <v>2487</v>
      </c>
      <c r="C3" s="260" t="s">
        <v>2488</v>
      </c>
      <c r="D3" s="260" t="s">
        <v>2489</v>
      </c>
      <c r="E3" s="260" t="s">
        <v>2491</v>
      </c>
      <c r="F3" s="260" t="s">
        <v>2492</v>
      </c>
      <c r="G3" s="260" t="s">
        <v>2493</v>
      </c>
      <c r="H3" s="260" t="s">
        <v>1736</v>
      </c>
      <c r="I3" s="260" t="s">
        <v>2497</v>
      </c>
      <c r="J3" s="260" t="s">
        <v>2494</v>
      </c>
      <c r="K3" s="260" t="s">
        <v>2495</v>
      </c>
      <c r="L3" s="260" t="s">
        <v>2496</v>
      </c>
      <c r="M3" s="789" t="str">
        <f>Head5&amp;"    "&amp;Head1</f>
        <v>Audited Outcome    2018/19</v>
      </c>
      <c r="N3" s="790" t="str">
        <f>Head2 &amp; "        "&amp;Head8</f>
        <v>Current Year 2019/20        Full Year Forecast</v>
      </c>
      <c r="O3" s="172" t="str">
        <f>Head9</f>
        <v>Budget Year 2020/21</v>
      </c>
      <c r="P3" s="260" t="str">
        <f>Head10</f>
        <v>Budget Year +1 2021/22</v>
      </c>
      <c r="Q3" s="261" t="str">
        <f>Head11</f>
        <v>Budget Year +2 2022/23</v>
      </c>
    </row>
    <row r="4" spans="1:17">
      <c r="A4" s="807" t="s">
        <v>1306</v>
      </c>
      <c r="B4" s="808"/>
      <c r="C4" s="809"/>
      <c r="D4" s="809"/>
      <c r="E4" s="809"/>
      <c r="F4" s="809"/>
      <c r="G4" s="809"/>
      <c r="H4" s="810"/>
      <c r="I4" s="811"/>
      <c r="J4" s="811"/>
      <c r="K4" s="2566"/>
      <c r="L4" s="1653"/>
      <c r="M4" s="184"/>
      <c r="N4" s="185"/>
      <c r="O4" s="186"/>
      <c r="P4" s="184"/>
      <c r="Q4" s="187"/>
    </row>
    <row r="5" spans="1:17" s="576" customFormat="1">
      <c r="A5" s="1246" t="s">
        <v>2521</v>
      </c>
      <c r="B5" s="926"/>
      <c r="C5" s="927"/>
      <c r="D5" s="927"/>
      <c r="E5" s="927"/>
      <c r="F5" s="927"/>
      <c r="G5" s="927"/>
      <c r="H5" s="1247"/>
      <c r="I5" s="1248"/>
      <c r="J5" s="1248"/>
      <c r="K5" s="2567"/>
      <c r="L5" s="1654"/>
      <c r="M5" s="928"/>
      <c r="N5" s="929"/>
      <c r="O5" s="930"/>
      <c r="P5" s="928"/>
      <c r="Q5" s="931"/>
    </row>
    <row r="6" spans="1:17" ht="4.9000000000000004" customHeight="1">
      <c r="A6" s="815"/>
      <c r="B6" s="463"/>
      <c r="C6" s="812"/>
      <c r="D6" s="812"/>
      <c r="E6" s="812"/>
      <c r="F6" s="812"/>
      <c r="G6" s="812"/>
      <c r="H6" s="813"/>
      <c r="I6" s="814"/>
      <c r="J6" s="814"/>
      <c r="K6" s="2568"/>
      <c r="L6" s="1655"/>
      <c r="M6" s="80"/>
      <c r="N6" s="79"/>
      <c r="O6" s="82"/>
      <c r="P6" s="80"/>
      <c r="Q6" s="81"/>
    </row>
    <row r="7" spans="1:17" ht="12.75" customHeight="1">
      <c r="A7" s="2332" t="s">
        <v>3451</v>
      </c>
      <c r="B7" s="2185" t="s">
        <v>3452</v>
      </c>
      <c r="C7" s="2296" t="s">
        <v>3453</v>
      </c>
      <c r="D7" s="2296"/>
      <c r="E7" s="2333"/>
      <c r="F7" s="2333"/>
      <c r="G7" s="2185"/>
      <c r="H7" s="2333"/>
      <c r="I7" s="2334"/>
      <c r="J7" s="2185"/>
      <c r="K7" s="2336"/>
      <c r="L7" s="2335"/>
      <c r="M7" s="1951"/>
      <c r="N7" s="1962"/>
      <c r="O7" s="1961">
        <v>29457</v>
      </c>
      <c r="P7" s="1951">
        <v>30813</v>
      </c>
      <c r="Q7" s="1960">
        <v>32230</v>
      </c>
    </row>
    <row r="8" spans="1:17" ht="12.75" customHeight="1">
      <c r="A8" s="2332" t="s">
        <v>3454</v>
      </c>
      <c r="B8" s="2185" t="s">
        <v>3455</v>
      </c>
      <c r="C8" s="2296" t="s">
        <v>3453</v>
      </c>
      <c r="D8" s="2296"/>
      <c r="E8" s="2333" t="s">
        <v>3456</v>
      </c>
      <c r="F8" s="2333" t="s">
        <v>3457</v>
      </c>
      <c r="G8" s="2185" t="s">
        <v>3458</v>
      </c>
      <c r="H8" s="2333"/>
      <c r="I8" s="2334"/>
      <c r="J8" s="2185"/>
      <c r="K8" s="2336"/>
      <c r="L8" s="2335"/>
      <c r="M8" s="1951"/>
      <c r="N8" s="1962"/>
      <c r="O8" s="1961">
        <v>28403</v>
      </c>
      <c r="P8" s="1951">
        <v>29710</v>
      </c>
      <c r="Q8" s="1960">
        <v>31077</v>
      </c>
    </row>
    <row r="9" spans="1:17" ht="12.75" customHeight="1">
      <c r="A9" s="2332" t="s">
        <v>3459</v>
      </c>
      <c r="B9" s="2185" t="s">
        <v>3460</v>
      </c>
      <c r="C9" s="2296" t="s">
        <v>3453</v>
      </c>
      <c r="D9" s="2296"/>
      <c r="E9" s="2333" t="s">
        <v>3456</v>
      </c>
      <c r="F9" s="2333" t="s">
        <v>3457</v>
      </c>
      <c r="G9" s="2185" t="s">
        <v>3461</v>
      </c>
      <c r="H9" s="2333"/>
      <c r="I9" s="2334"/>
      <c r="J9" s="2185"/>
      <c r="K9" s="2336"/>
      <c r="L9" s="2335"/>
      <c r="M9" s="1951"/>
      <c r="N9" s="1962"/>
      <c r="O9" s="1961">
        <v>88065</v>
      </c>
      <c r="P9" s="1951">
        <v>92116</v>
      </c>
      <c r="Q9" s="1960">
        <v>96354</v>
      </c>
    </row>
    <row r="10" spans="1:17" ht="12.75" customHeight="1">
      <c r="A10" s="2332" t="s">
        <v>3459</v>
      </c>
      <c r="B10" s="2185" t="s">
        <v>3462</v>
      </c>
      <c r="C10" s="2296" t="s">
        <v>3463</v>
      </c>
      <c r="D10" s="2296"/>
      <c r="E10" s="2333" t="s">
        <v>3456</v>
      </c>
      <c r="F10" s="2333" t="s">
        <v>3457</v>
      </c>
      <c r="G10" s="2185" t="s">
        <v>3461</v>
      </c>
      <c r="H10" s="2333"/>
      <c r="I10" s="2334"/>
      <c r="J10" s="2185"/>
      <c r="K10" s="2336"/>
      <c r="L10" s="2335"/>
      <c r="M10" s="1951"/>
      <c r="N10" s="1962"/>
      <c r="O10" s="1961">
        <v>0</v>
      </c>
      <c r="P10" s="1951">
        <v>0</v>
      </c>
      <c r="Q10" s="1960">
        <v>0</v>
      </c>
    </row>
    <row r="11" spans="1:17" ht="12.75" customHeight="1">
      <c r="A11" s="2332" t="s">
        <v>3464</v>
      </c>
      <c r="B11" s="2185" t="s">
        <v>3465</v>
      </c>
      <c r="C11" s="2296" t="s">
        <v>3466</v>
      </c>
      <c r="D11" s="2296"/>
      <c r="E11" s="2333" t="s">
        <v>3467</v>
      </c>
      <c r="F11" s="2333" t="s">
        <v>3468</v>
      </c>
      <c r="G11" s="2185" t="s">
        <v>3469</v>
      </c>
      <c r="H11" s="2333"/>
      <c r="I11" s="2334"/>
      <c r="J11" s="2185"/>
      <c r="K11" s="2336"/>
      <c r="L11" s="2335"/>
      <c r="M11" s="1951"/>
      <c r="N11" s="1962"/>
      <c r="O11" s="1961">
        <v>296000</v>
      </c>
      <c r="P11" s="1951">
        <v>309616</v>
      </c>
      <c r="Q11" s="1960">
        <v>323859</v>
      </c>
    </row>
    <row r="12" spans="1:17" ht="12.75" customHeight="1">
      <c r="A12" s="2332" t="s">
        <v>3470</v>
      </c>
      <c r="B12" s="2185" t="s">
        <v>3471</v>
      </c>
      <c r="C12" s="2296" t="s">
        <v>3472</v>
      </c>
      <c r="D12" s="2296"/>
      <c r="E12" s="2333" t="s">
        <v>3467</v>
      </c>
      <c r="F12" s="2333" t="s">
        <v>3468</v>
      </c>
      <c r="G12" s="2185" t="s">
        <v>3469</v>
      </c>
      <c r="H12" s="2333"/>
      <c r="I12" s="2334"/>
      <c r="J12" s="2185"/>
      <c r="K12" s="2336"/>
      <c r="L12" s="2335"/>
      <c r="M12" s="1951"/>
      <c r="N12" s="1962"/>
      <c r="O12" s="1961">
        <v>3507</v>
      </c>
      <c r="P12" s="1951">
        <v>3669</v>
      </c>
      <c r="Q12" s="1960">
        <v>3838</v>
      </c>
    </row>
    <row r="13" spans="1:17" ht="12.75" customHeight="1">
      <c r="A13" s="2332" t="s">
        <v>3473</v>
      </c>
      <c r="B13" s="2185" t="s">
        <v>3474</v>
      </c>
      <c r="C13" s="2296" t="s">
        <v>3453</v>
      </c>
      <c r="D13" s="2296"/>
      <c r="E13" s="2333" t="s">
        <v>3467</v>
      </c>
      <c r="F13" s="2333" t="s">
        <v>3468</v>
      </c>
      <c r="G13" s="2185" t="s">
        <v>3475</v>
      </c>
      <c r="H13" s="2333"/>
      <c r="I13" s="2334"/>
      <c r="J13" s="2185"/>
      <c r="K13" s="2336"/>
      <c r="L13" s="2335"/>
      <c r="M13" s="1951"/>
      <c r="N13" s="1962"/>
      <c r="O13" s="1961">
        <v>20079</v>
      </c>
      <c r="P13" s="1951">
        <v>21003</v>
      </c>
      <c r="Q13" s="1960">
        <v>21969</v>
      </c>
    </row>
    <row r="14" spans="1:17" ht="12.75" customHeight="1">
      <c r="A14" s="2332" t="s">
        <v>3464</v>
      </c>
      <c r="B14" s="2185" t="s">
        <v>3476</v>
      </c>
      <c r="C14" s="2296" t="s">
        <v>3453</v>
      </c>
      <c r="D14" s="2296"/>
      <c r="E14" s="2333" t="s">
        <v>3467</v>
      </c>
      <c r="F14" s="2333" t="s">
        <v>3468</v>
      </c>
      <c r="G14" s="2185" t="s">
        <v>2676</v>
      </c>
      <c r="H14" s="2333"/>
      <c r="I14" s="2334"/>
      <c r="J14" s="2185"/>
      <c r="K14" s="2336"/>
      <c r="L14" s="2335"/>
      <c r="M14" s="1951"/>
      <c r="N14" s="1962"/>
      <c r="O14" s="1961">
        <v>56549</v>
      </c>
      <c r="P14" s="1951">
        <v>59151</v>
      </c>
      <c r="Q14" s="1960">
        <v>61872</v>
      </c>
    </row>
    <row r="15" spans="1:17" ht="12.75" customHeight="1">
      <c r="A15" s="2332" t="s">
        <v>3477</v>
      </c>
      <c r="B15" s="2185" t="s">
        <v>3478</v>
      </c>
      <c r="C15" s="2296" t="s">
        <v>3453</v>
      </c>
      <c r="D15" s="2296"/>
      <c r="E15" s="2333" t="s">
        <v>3467</v>
      </c>
      <c r="F15" s="2333" t="s">
        <v>3468</v>
      </c>
      <c r="G15" s="2185" t="s">
        <v>2676</v>
      </c>
      <c r="H15" s="2333"/>
      <c r="I15" s="2334"/>
      <c r="J15" s="2185"/>
      <c r="K15" s="2336"/>
      <c r="L15" s="2335"/>
      <c r="M15" s="1951"/>
      <c r="N15" s="1962"/>
      <c r="O15" s="1961">
        <v>20447</v>
      </c>
      <c r="P15" s="1951">
        <v>21383</v>
      </c>
      <c r="Q15" s="1960">
        <v>22371</v>
      </c>
    </row>
    <row r="16" spans="1:17" ht="12.75" customHeight="1">
      <c r="A16" s="2332" t="s">
        <v>3479</v>
      </c>
      <c r="B16" s="2185" t="s">
        <v>3480</v>
      </c>
      <c r="C16" s="2296" t="s">
        <v>3453</v>
      </c>
      <c r="D16" s="2296"/>
      <c r="E16" s="2333" t="s">
        <v>3456</v>
      </c>
      <c r="F16" s="2333" t="s">
        <v>3457</v>
      </c>
      <c r="G16" s="2185" t="s">
        <v>3481</v>
      </c>
      <c r="H16" s="2333"/>
      <c r="I16" s="2334"/>
      <c r="J16" s="2185"/>
      <c r="K16" s="2336"/>
      <c r="L16" s="2335"/>
      <c r="M16" s="1951"/>
      <c r="N16" s="1962"/>
      <c r="O16" s="1961">
        <v>101531</v>
      </c>
      <c r="P16" s="1951">
        <v>106202</v>
      </c>
      <c r="Q16" s="1960">
        <v>111087</v>
      </c>
    </row>
    <row r="17" spans="1:17" ht="12.75" customHeight="1">
      <c r="A17" s="2332" t="s">
        <v>3464</v>
      </c>
      <c r="B17" s="2185" t="s">
        <v>3482</v>
      </c>
      <c r="C17" s="2296" t="s">
        <v>3453</v>
      </c>
      <c r="D17" s="2296"/>
      <c r="E17" s="2333" t="s">
        <v>3467</v>
      </c>
      <c r="F17" s="2333" t="s">
        <v>3468</v>
      </c>
      <c r="G17" s="2185" t="s">
        <v>3469</v>
      </c>
      <c r="H17" s="2333"/>
      <c r="I17" s="2334"/>
      <c r="J17" s="2185"/>
      <c r="K17" s="2336"/>
      <c r="L17" s="2335"/>
      <c r="M17" s="1951"/>
      <c r="N17" s="1962"/>
      <c r="O17" s="1961">
        <v>80242</v>
      </c>
      <c r="P17" s="1951">
        <v>83934</v>
      </c>
      <c r="Q17" s="1960">
        <v>87795</v>
      </c>
    </row>
    <row r="18" spans="1:17" ht="12.75" customHeight="1">
      <c r="A18" s="2332" t="s">
        <v>3483</v>
      </c>
      <c r="B18" s="2185" t="s">
        <v>3484</v>
      </c>
      <c r="C18" s="2296" t="s">
        <v>3453</v>
      </c>
      <c r="D18" s="2296"/>
      <c r="E18" s="2333" t="s">
        <v>3456</v>
      </c>
      <c r="F18" s="2333" t="s">
        <v>3457</v>
      </c>
      <c r="G18" s="2185" t="s">
        <v>3461</v>
      </c>
      <c r="H18" s="2333"/>
      <c r="I18" s="2334"/>
      <c r="J18" s="2185"/>
      <c r="K18" s="2336"/>
      <c r="L18" s="2335"/>
      <c r="M18" s="1951"/>
      <c r="N18" s="1962"/>
      <c r="O18" s="1961">
        <v>461770</v>
      </c>
      <c r="P18" s="1951">
        <v>483012</v>
      </c>
      <c r="Q18" s="1960">
        <v>505230</v>
      </c>
    </row>
    <row r="19" spans="1:17" ht="12.75" customHeight="1">
      <c r="A19" s="2332" t="s">
        <v>3485</v>
      </c>
      <c r="B19" s="2185" t="s">
        <v>3486</v>
      </c>
      <c r="C19" s="2296" t="s">
        <v>3453</v>
      </c>
      <c r="D19" s="2296"/>
      <c r="E19" s="2333" t="s">
        <v>3467</v>
      </c>
      <c r="F19" s="2333" t="s">
        <v>3468</v>
      </c>
      <c r="G19" s="2185" t="s">
        <v>3469</v>
      </c>
      <c r="H19" s="2333"/>
      <c r="I19" s="2334"/>
      <c r="J19" s="2185"/>
      <c r="K19" s="2336"/>
      <c r="L19" s="2335"/>
      <c r="M19" s="1951"/>
      <c r="N19" s="1962"/>
      <c r="O19" s="1961">
        <v>8762311</v>
      </c>
      <c r="P19" s="1951">
        <v>9165378</v>
      </c>
      <c r="Q19" s="1960">
        <v>9586985</v>
      </c>
    </row>
    <row r="20" spans="1:17" ht="12.75" customHeight="1">
      <c r="A20" s="2332" t="s">
        <v>3487</v>
      </c>
      <c r="B20" s="2185" t="s">
        <v>3488</v>
      </c>
      <c r="C20" s="2296" t="s">
        <v>3453</v>
      </c>
      <c r="D20" s="2296"/>
      <c r="E20" s="2333" t="s">
        <v>3467</v>
      </c>
      <c r="F20" s="2333" t="s">
        <v>3468</v>
      </c>
      <c r="G20" s="2185" t="s">
        <v>3469</v>
      </c>
      <c r="H20" s="2333"/>
      <c r="I20" s="2334"/>
      <c r="J20" s="2185"/>
      <c r="K20" s="2336"/>
      <c r="L20" s="2335"/>
      <c r="M20" s="1951"/>
      <c r="N20" s="1962"/>
      <c r="O20" s="1961">
        <v>1124</v>
      </c>
      <c r="P20" s="1951">
        <v>1176</v>
      </c>
      <c r="Q20" s="1960">
        <v>1230</v>
      </c>
    </row>
    <row r="21" spans="1:17" ht="12.75" customHeight="1">
      <c r="A21" s="2332" t="s">
        <v>3464</v>
      </c>
      <c r="B21" s="2185" t="s">
        <v>3489</v>
      </c>
      <c r="C21" s="2296" t="s">
        <v>3453</v>
      </c>
      <c r="D21" s="2296"/>
      <c r="E21" s="2333" t="s">
        <v>3467</v>
      </c>
      <c r="F21" s="2333" t="s">
        <v>3468</v>
      </c>
      <c r="G21" s="2185" t="s">
        <v>3469</v>
      </c>
      <c r="H21" s="2333"/>
      <c r="I21" s="2334"/>
      <c r="J21" s="2185"/>
      <c r="K21" s="2336"/>
      <c r="L21" s="2335"/>
      <c r="M21" s="1951"/>
      <c r="N21" s="1962"/>
      <c r="O21" s="1961">
        <v>874038</v>
      </c>
      <c r="P21" s="1951">
        <v>914244</v>
      </c>
      <c r="Q21" s="1960">
        <v>956299</v>
      </c>
    </row>
    <row r="22" spans="1:17" ht="12.75" customHeight="1">
      <c r="A22" s="2332" t="s">
        <v>3490</v>
      </c>
      <c r="B22" s="2185" t="s">
        <v>3491</v>
      </c>
      <c r="C22" s="2296" t="s">
        <v>3492</v>
      </c>
      <c r="D22" s="2296"/>
      <c r="E22" s="2333" t="s">
        <v>3456</v>
      </c>
      <c r="F22" s="2333" t="s">
        <v>3457</v>
      </c>
      <c r="G22" s="2185" t="s">
        <v>3461</v>
      </c>
      <c r="H22" s="2333"/>
      <c r="I22" s="2334"/>
      <c r="J22" s="2185"/>
      <c r="K22" s="2336"/>
      <c r="L22" s="2335"/>
      <c r="M22" s="1951"/>
      <c r="N22" s="1962"/>
      <c r="O22" s="1961">
        <v>0</v>
      </c>
      <c r="P22" s="1951">
        <v>0</v>
      </c>
      <c r="Q22" s="1960">
        <v>0</v>
      </c>
    </row>
    <row r="23" spans="1:17" ht="12.75" customHeight="1">
      <c r="A23" s="2332" t="s">
        <v>3490</v>
      </c>
      <c r="B23" s="2185" t="s">
        <v>3493</v>
      </c>
      <c r="C23" s="2296" t="s">
        <v>3453</v>
      </c>
      <c r="D23" s="2296"/>
      <c r="E23" s="2333" t="s">
        <v>3456</v>
      </c>
      <c r="F23" s="2333" t="s">
        <v>3457</v>
      </c>
      <c r="G23" s="2185" t="s">
        <v>3461</v>
      </c>
      <c r="H23" s="2333"/>
      <c r="I23" s="2334"/>
      <c r="J23" s="2185"/>
      <c r="K23" s="2336"/>
      <c r="L23" s="2335"/>
      <c r="M23" s="1951"/>
      <c r="N23" s="1962"/>
      <c r="O23" s="1961">
        <v>17124654</v>
      </c>
      <c r="P23" s="1951">
        <v>17912389</v>
      </c>
      <c r="Q23" s="1960">
        <v>18736358</v>
      </c>
    </row>
    <row r="24" spans="1:17" ht="12.75" customHeight="1">
      <c r="A24" s="2332" t="s">
        <v>3490</v>
      </c>
      <c r="B24" s="2185" t="s">
        <v>3494</v>
      </c>
      <c r="C24" s="2296" t="s">
        <v>3453</v>
      </c>
      <c r="D24" s="2296"/>
      <c r="E24" s="2333" t="s">
        <v>3467</v>
      </c>
      <c r="F24" s="2333" t="s">
        <v>3468</v>
      </c>
      <c r="G24" s="2185" t="s">
        <v>3469</v>
      </c>
      <c r="H24" s="2333"/>
      <c r="I24" s="2334"/>
      <c r="J24" s="2185"/>
      <c r="K24" s="2336"/>
      <c r="L24" s="2335"/>
      <c r="M24" s="1951"/>
      <c r="N24" s="1962"/>
      <c r="O24" s="1961">
        <v>161128</v>
      </c>
      <c r="P24" s="1951">
        <v>168540</v>
      </c>
      <c r="Q24" s="1960">
        <v>176293</v>
      </c>
    </row>
    <row r="25" spans="1:17" ht="12.75" customHeight="1">
      <c r="A25" s="2332" t="s">
        <v>3464</v>
      </c>
      <c r="B25" s="2185" t="s">
        <v>3495</v>
      </c>
      <c r="C25" s="2296" t="s">
        <v>3453</v>
      </c>
      <c r="D25" s="2296"/>
      <c r="E25" s="2333" t="s">
        <v>3456</v>
      </c>
      <c r="F25" s="2333" t="s">
        <v>3457</v>
      </c>
      <c r="G25" s="2185" t="s">
        <v>3461</v>
      </c>
      <c r="H25" s="2333"/>
      <c r="I25" s="2334"/>
      <c r="J25" s="2185"/>
      <c r="K25" s="2336"/>
      <c r="L25" s="2335"/>
      <c r="M25" s="1951"/>
      <c r="N25" s="1962"/>
      <c r="O25" s="1961">
        <v>58372758</v>
      </c>
      <c r="P25" s="1951">
        <v>50941938</v>
      </c>
      <c r="Q25" s="1960">
        <v>53285268</v>
      </c>
    </row>
    <row r="26" spans="1:17" ht="12.75" customHeight="1">
      <c r="A26" s="2332" t="s">
        <v>3487</v>
      </c>
      <c r="B26" s="2185" t="s">
        <v>3496</v>
      </c>
      <c r="C26" s="2296" t="s">
        <v>3497</v>
      </c>
      <c r="D26" s="2296"/>
      <c r="E26" s="2333" t="s">
        <v>3467</v>
      </c>
      <c r="F26" s="2333" t="s">
        <v>3468</v>
      </c>
      <c r="G26" s="2185" t="s">
        <v>3469</v>
      </c>
      <c r="H26" s="2333"/>
      <c r="I26" s="2334"/>
      <c r="J26" s="2185"/>
      <c r="K26" s="2336"/>
      <c r="L26" s="2335"/>
      <c r="M26" s="1951"/>
      <c r="N26" s="1962"/>
      <c r="O26" s="1961">
        <v>1000</v>
      </c>
      <c r="P26" s="1951">
        <v>1046</v>
      </c>
      <c r="Q26" s="1960">
        <v>1095</v>
      </c>
    </row>
    <row r="27" spans="1:17" ht="12.75" customHeight="1">
      <c r="A27" s="2332" t="s">
        <v>3459</v>
      </c>
      <c r="B27" s="2185" t="s">
        <v>3498</v>
      </c>
      <c r="C27" s="2296" t="s">
        <v>3453</v>
      </c>
      <c r="D27" s="2296"/>
      <c r="E27" s="2333" t="s">
        <v>3456</v>
      </c>
      <c r="F27" s="2333" t="s">
        <v>3457</v>
      </c>
      <c r="G27" s="2185" t="s">
        <v>3458</v>
      </c>
      <c r="H27" s="2333"/>
      <c r="I27" s="2334"/>
      <c r="J27" s="2185"/>
      <c r="K27" s="2336"/>
      <c r="L27" s="2335"/>
      <c r="M27" s="1951"/>
      <c r="N27" s="1962"/>
      <c r="O27" s="1961">
        <v>51606</v>
      </c>
      <c r="P27" s="1951">
        <v>53980</v>
      </c>
      <c r="Q27" s="1960">
        <v>56463</v>
      </c>
    </row>
    <row r="28" spans="1:17" ht="12.75" customHeight="1">
      <c r="A28" s="2332" t="s">
        <v>3499</v>
      </c>
      <c r="B28" s="2185" t="s">
        <v>3500</v>
      </c>
      <c r="C28" s="2296" t="s">
        <v>3453</v>
      </c>
      <c r="D28" s="2296"/>
      <c r="E28" s="2333" t="s">
        <v>3467</v>
      </c>
      <c r="F28" s="2333" t="s">
        <v>3468</v>
      </c>
      <c r="G28" s="2185" t="s">
        <v>3469</v>
      </c>
      <c r="H28" s="2333"/>
      <c r="I28" s="2334"/>
      <c r="J28" s="2185"/>
      <c r="K28" s="2336"/>
      <c r="L28" s="2335"/>
      <c r="M28" s="1951"/>
      <c r="N28" s="1962"/>
      <c r="O28" s="1961">
        <v>27141</v>
      </c>
      <c r="P28" s="1951">
        <v>28390</v>
      </c>
      <c r="Q28" s="1960">
        <v>29696</v>
      </c>
    </row>
    <row r="29" spans="1:17" ht="12.75" customHeight="1">
      <c r="A29" s="2332" t="s">
        <v>3501</v>
      </c>
      <c r="B29" s="2185" t="s">
        <v>3502</v>
      </c>
      <c r="C29" s="2296" t="s">
        <v>3453</v>
      </c>
      <c r="D29" s="2296"/>
      <c r="E29" s="2333" t="s">
        <v>3456</v>
      </c>
      <c r="F29" s="2333" t="s">
        <v>3457</v>
      </c>
      <c r="G29" s="2185" t="s">
        <v>3461</v>
      </c>
      <c r="H29" s="2333"/>
      <c r="I29" s="2334"/>
      <c r="J29" s="2185"/>
      <c r="K29" s="2336"/>
      <c r="L29" s="2335"/>
      <c r="M29" s="1951"/>
      <c r="N29" s="1962"/>
      <c r="O29" s="1961">
        <v>548632</v>
      </c>
      <c r="P29" s="1951">
        <v>573870</v>
      </c>
      <c r="Q29" s="1960">
        <v>600268</v>
      </c>
    </row>
    <row r="30" spans="1:17" ht="12.75" customHeight="1">
      <c r="A30" s="2332" t="s">
        <v>3464</v>
      </c>
      <c r="B30" s="2185" t="s">
        <v>3503</v>
      </c>
      <c r="C30" s="2296" t="s">
        <v>3504</v>
      </c>
      <c r="D30" s="2296"/>
      <c r="E30" s="2333" t="s">
        <v>3456</v>
      </c>
      <c r="F30" s="2333" t="s">
        <v>3457</v>
      </c>
      <c r="G30" s="2185" t="s">
        <v>3461</v>
      </c>
      <c r="H30" s="2333"/>
      <c r="I30" s="2334"/>
      <c r="J30" s="2185"/>
      <c r="K30" s="2336"/>
      <c r="L30" s="2335"/>
      <c r="M30" s="1951"/>
      <c r="N30" s="1962"/>
      <c r="O30" s="1961">
        <v>7075000</v>
      </c>
      <c r="P30" s="1951">
        <v>7400450</v>
      </c>
      <c r="Q30" s="1960">
        <v>7740871</v>
      </c>
    </row>
    <row r="31" spans="1:17" ht="12.75" customHeight="1">
      <c r="A31" s="2332" t="s">
        <v>3485</v>
      </c>
      <c r="B31" s="2185" t="s">
        <v>3505</v>
      </c>
      <c r="C31" s="2296" t="s">
        <v>3453</v>
      </c>
      <c r="D31" s="2296"/>
      <c r="E31" s="2333" t="s">
        <v>3456</v>
      </c>
      <c r="F31" s="2333" t="s">
        <v>3457</v>
      </c>
      <c r="G31" s="2185" t="s">
        <v>3458</v>
      </c>
      <c r="H31" s="2333"/>
      <c r="I31" s="2334"/>
      <c r="J31" s="2185"/>
      <c r="K31" s="2336"/>
      <c r="L31" s="2335"/>
      <c r="M31" s="1951"/>
      <c r="N31" s="1962"/>
      <c r="O31" s="1961">
        <v>3000</v>
      </c>
      <c r="P31" s="1951">
        <v>3138</v>
      </c>
      <c r="Q31" s="1960">
        <v>3282</v>
      </c>
    </row>
    <row r="32" spans="1:17" ht="12.75" customHeight="1">
      <c r="A32" s="2332" t="s">
        <v>3506</v>
      </c>
      <c r="B32" s="2185" t="s">
        <v>3507</v>
      </c>
      <c r="C32" s="2296" t="s">
        <v>3453</v>
      </c>
      <c r="D32" s="2296"/>
      <c r="E32" s="2333" t="s">
        <v>3467</v>
      </c>
      <c r="F32" s="2333" t="s">
        <v>3468</v>
      </c>
      <c r="G32" s="2185" t="s">
        <v>3469</v>
      </c>
      <c r="H32" s="2333"/>
      <c r="I32" s="2334"/>
      <c r="J32" s="2185"/>
      <c r="K32" s="2336"/>
      <c r="L32" s="2335"/>
      <c r="M32" s="1951"/>
      <c r="N32" s="1962"/>
      <c r="O32" s="1961">
        <v>140000</v>
      </c>
      <c r="P32" s="1951">
        <v>146440</v>
      </c>
      <c r="Q32" s="1960">
        <v>153177</v>
      </c>
    </row>
    <row r="33" spans="1:17" ht="12.75" customHeight="1">
      <c r="A33" s="2332" t="s">
        <v>3508</v>
      </c>
      <c r="B33" s="2185" t="s">
        <v>3509</v>
      </c>
      <c r="C33" s="2296" t="s">
        <v>3453</v>
      </c>
      <c r="D33" s="2296"/>
      <c r="E33" s="2333" t="s">
        <v>3467</v>
      </c>
      <c r="F33" s="2333" t="s">
        <v>3468</v>
      </c>
      <c r="G33" s="2185" t="s">
        <v>3475</v>
      </c>
      <c r="H33" s="2333"/>
      <c r="I33" s="2334"/>
      <c r="J33" s="2185"/>
      <c r="K33" s="2336"/>
      <c r="L33" s="2335"/>
      <c r="M33" s="1951"/>
      <c r="N33" s="1962"/>
      <c r="O33" s="1961">
        <v>0</v>
      </c>
      <c r="P33" s="1951">
        <v>0</v>
      </c>
      <c r="Q33" s="1960">
        <v>0</v>
      </c>
    </row>
    <row r="34" spans="1:17" ht="12.75" customHeight="1">
      <c r="A34" s="2332" t="s">
        <v>3510</v>
      </c>
      <c r="B34" s="2185" t="s">
        <v>3511</v>
      </c>
      <c r="C34" s="2296" t="s">
        <v>3453</v>
      </c>
      <c r="D34" s="2296"/>
      <c r="E34" s="2333" t="s">
        <v>3467</v>
      </c>
      <c r="F34" s="2333" t="s">
        <v>3468</v>
      </c>
      <c r="G34" s="2185" t="s">
        <v>3469</v>
      </c>
      <c r="H34" s="2333"/>
      <c r="I34" s="2334"/>
      <c r="J34" s="2185"/>
      <c r="K34" s="2336"/>
      <c r="L34" s="2335"/>
      <c r="M34" s="1951"/>
      <c r="N34" s="1962"/>
      <c r="O34" s="1961">
        <v>10282</v>
      </c>
      <c r="P34" s="1951">
        <v>10755</v>
      </c>
      <c r="Q34" s="1960">
        <v>11250</v>
      </c>
    </row>
    <row r="35" spans="1:17" ht="12.75" customHeight="1">
      <c r="A35" s="2332" t="s">
        <v>3454</v>
      </c>
      <c r="B35" s="2185" t="s">
        <v>3512</v>
      </c>
      <c r="C35" s="2296" t="s">
        <v>3453</v>
      </c>
      <c r="D35" s="2296"/>
      <c r="E35" s="2333" t="s">
        <v>3513</v>
      </c>
      <c r="F35" s="2333" t="s">
        <v>3514</v>
      </c>
      <c r="G35" s="2185" t="s">
        <v>3515</v>
      </c>
      <c r="H35" s="2333"/>
      <c r="I35" s="2334"/>
      <c r="J35" s="2185"/>
      <c r="K35" s="2336"/>
      <c r="L35" s="2335"/>
      <c r="M35" s="1951"/>
      <c r="N35" s="1962"/>
      <c r="O35" s="1961">
        <v>0</v>
      </c>
      <c r="P35" s="1951">
        <v>0</v>
      </c>
      <c r="Q35" s="1960">
        <v>0</v>
      </c>
    </row>
    <row r="36" spans="1:17" ht="12.75" customHeight="1">
      <c r="A36" s="2332" t="s">
        <v>3479</v>
      </c>
      <c r="B36" s="2185" t="s">
        <v>3516</v>
      </c>
      <c r="C36" s="2296" t="s">
        <v>3453</v>
      </c>
      <c r="D36" s="2296"/>
      <c r="E36" s="2333" t="s">
        <v>3456</v>
      </c>
      <c r="F36" s="2333" t="s">
        <v>3457</v>
      </c>
      <c r="G36" s="2185" t="s">
        <v>3461</v>
      </c>
      <c r="H36" s="2333"/>
      <c r="I36" s="2334"/>
      <c r="J36" s="2185"/>
      <c r="K36" s="2336"/>
      <c r="L36" s="2335"/>
      <c r="M36" s="1951"/>
      <c r="N36" s="1962"/>
      <c r="O36" s="1961">
        <v>48</v>
      </c>
      <c r="P36" s="1951">
        <v>51</v>
      </c>
      <c r="Q36" s="1960">
        <v>53</v>
      </c>
    </row>
    <row r="37" spans="1:17" ht="12.75" customHeight="1">
      <c r="A37" s="2332" t="s">
        <v>3454</v>
      </c>
      <c r="B37" s="2185" t="s">
        <v>3512</v>
      </c>
      <c r="C37" s="2296" t="s">
        <v>3453</v>
      </c>
      <c r="D37" s="2296"/>
      <c r="E37" s="2333" t="s">
        <v>3456</v>
      </c>
      <c r="F37" s="2333" t="s">
        <v>3457</v>
      </c>
      <c r="G37" s="2185" t="s">
        <v>3461</v>
      </c>
      <c r="H37" s="2333"/>
      <c r="I37" s="2334"/>
      <c r="J37" s="2185"/>
      <c r="K37" s="2336"/>
      <c r="L37" s="2335"/>
      <c r="M37" s="1951"/>
      <c r="N37" s="1962"/>
      <c r="O37" s="1961">
        <v>0</v>
      </c>
      <c r="P37" s="1951">
        <v>0</v>
      </c>
      <c r="Q37" s="1960">
        <v>0</v>
      </c>
    </row>
    <row r="38" spans="1:17" ht="12.75" customHeight="1">
      <c r="A38" s="2332" t="s">
        <v>3510</v>
      </c>
      <c r="B38" s="2185" t="s">
        <v>3517</v>
      </c>
      <c r="C38" s="2296" t="s">
        <v>3518</v>
      </c>
      <c r="D38" s="2296"/>
      <c r="E38" s="2333" t="s">
        <v>3467</v>
      </c>
      <c r="F38" s="2333" t="s">
        <v>3468</v>
      </c>
      <c r="G38" s="2185" t="s">
        <v>3469</v>
      </c>
      <c r="H38" s="2333"/>
      <c r="I38" s="2334"/>
      <c r="J38" s="2185"/>
      <c r="K38" s="2336"/>
      <c r="L38" s="2335"/>
      <c r="M38" s="1951"/>
      <c r="N38" s="1962"/>
      <c r="O38" s="1961">
        <v>1753446</v>
      </c>
      <c r="P38" s="1951">
        <v>1834105</v>
      </c>
      <c r="Q38" s="1960">
        <v>1918474</v>
      </c>
    </row>
    <row r="39" spans="1:17" ht="12.75" customHeight="1">
      <c r="A39" s="2332" t="s">
        <v>3459</v>
      </c>
      <c r="B39" s="2185" t="s">
        <v>3519</v>
      </c>
      <c r="C39" s="2296" t="s">
        <v>3463</v>
      </c>
      <c r="D39" s="2296"/>
      <c r="E39" s="2333" t="s">
        <v>3467</v>
      </c>
      <c r="F39" s="2333" t="s">
        <v>3468</v>
      </c>
      <c r="G39" s="2185" t="s">
        <v>3469</v>
      </c>
      <c r="H39" s="2333"/>
      <c r="I39" s="2334"/>
      <c r="J39" s="2185"/>
      <c r="K39" s="2336"/>
      <c r="L39" s="2335"/>
      <c r="M39" s="1951"/>
      <c r="N39" s="1962"/>
      <c r="O39" s="1961">
        <v>0</v>
      </c>
      <c r="P39" s="1951">
        <v>0</v>
      </c>
      <c r="Q39" s="1960">
        <v>0</v>
      </c>
    </row>
    <row r="40" spans="1:17" ht="12.75" customHeight="1">
      <c r="A40" s="2332" t="s">
        <v>3520</v>
      </c>
      <c r="B40" s="2185" t="s">
        <v>3521</v>
      </c>
      <c r="C40" s="2296" t="s">
        <v>3453</v>
      </c>
      <c r="D40" s="2296"/>
      <c r="E40" s="2333" t="s">
        <v>3467</v>
      </c>
      <c r="F40" s="2333" t="s">
        <v>3468</v>
      </c>
      <c r="G40" s="2185" t="s">
        <v>3469</v>
      </c>
      <c r="H40" s="2333"/>
      <c r="I40" s="2334"/>
      <c r="J40" s="2185"/>
      <c r="K40" s="2336"/>
      <c r="L40" s="2335"/>
      <c r="M40" s="1951"/>
      <c r="N40" s="1962"/>
      <c r="O40" s="1961">
        <v>18000</v>
      </c>
      <c r="P40" s="1951">
        <v>18828</v>
      </c>
      <c r="Q40" s="1960">
        <v>19695</v>
      </c>
    </row>
    <row r="41" spans="1:17" ht="12.75" customHeight="1">
      <c r="A41" s="2332" t="s">
        <v>3451</v>
      </c>
      <c r="B41" s="2185" t="s">
        <v>3452</v>
      </c>
      <c r="C41" s="2296" t="s">
        <v>3453</v>
      </c>
      <c r="D41" s="2296"/>
      <c r="E41" s="2333"/>
      <c r="F41" s="2333"/>
      <c r="G41" s="2185"/>
      <c r="H41" s="2333"/>
      <c r="I41" s="2334"/>
      <c r="J41" s="2185"/>
      <c r="K41" s="2336"/>
      <c r="L41" s="2335"/>
      <c r="M41" s="1951"/>
      <c r="N41" s="1962"/>
      <c r="O41" s="1961">
        <v>60272</v>
      </c>
      <c r="P41" s="1951">
        <v>63045</v>
      </c>
      <c r="Q41" s="1960">
        <v>65945</v>
      </c>
    </row>
    <row r="42" spans="1:17" ht="12.75" customHeight="1">
      <c r="A42" s="2332" t="s">
        <v>3490</v>
      </c>
      <c r="B42" s="2185" t="s">
        <v>3494</v>
      </c>
      <c r="C42" s="2296" t="s">
        <v>3453</v>
      </c>
      <c r="D42" s="2296"/>
      <c r="E42" s="2333" t="s">
        <v>3467</v>
      </c>
      <c r="F42" s="2333" t="s">
        <v>3468</v>
      </c>
      <c r="G42" s="2185" t="s">
        <v>3475</v>
      </c>
      <c r="H42" s="2333"/>
      <c r="I42" s="2334"/>
      <c r="J42" s="2185"/>
      <c r="K42" s="2336"/>
      <c r="L42" s="2335"/>
      <c r="M42" s="1951"/>
      <c r="N42" s="1962"/>
      <c r="O42" s="1961">
        <v>146797</v>
      </c>
      <c r="P42" s="1951">
        <v>153550</v>
      </c>
      <c r="Q42" s="1960">
        <v>160613</v>
      </c>
    </row>
    <row r="43" spans="1:17" ht="12.75" customHeight="1">
      <c r="A43" s="2332" t="s">
        <v>3454</v>
      </c>
      <c r="B43" s="2185" t="s">
        <v>3455</v>
      </c>
      <c r="C43" s="2296" t="s">
        <v>3453</v>
      </c>
      <c r="D43" s="2296"/>
      <c r="E43" s="2333" t="s">
        <v>3456</v>
      </c>
      <c r="F43" s="2333" t="s">
        <v>3457</v>
      </c>
      <c r="G43" s="2185" t="s">
        <v>3481</v>
      </c>
      <c r="H43" s="2333"/>
      <c r="I43" s="2334"/>
      <c r="J43" s="2185"/>
      <c r="K43" s="2336"/>
      <c r="L43" s="2335"/>
      <c r="M43" s="1951"/>
      <c r="N43" s="1962"/>
      <c r="O43" s="1961">
        <v>43445</v>
      </c>
      <c r="P43" s="1951">
        <v>45444</v>
      </c>
      <c r="Q43" s="1960">
        <v>47534</v>
      </c>
    </row>
    <row r="44" spans="1:17" ht="12.75" customHeight="1">
      <c r="A44" s="2332" t="s">
        <v>3464</v>
      </c>
      <c r="B44" s="2185" t="s">
        <v>3522</v>
      </c>
      <c r="C44" s="2296" t="s">
        <v>3453</v>
      </c>
      <c r="D44" s="2296"/>
      <c r="E44" s="2333" t="s">
        <v>3467</v>
      </c>
      <c r="F44" s="2333" t="s">
        <v>3468</v>
      </c>
      <c r="G44" s="2185" t="s">
        <v>3469</v>
      </c>
      <c r="H44" s="2333"/>
      <c r="I44" s="2334"/>
      <c r="J44" s="2185"/>
      <c r="K44" s="2336"/>
      <c r="L44" s="2335"/>
      <c r="M44" s="1951"/>
      <c r="N44" s="1962"/>
      <c r="O44" s="1961">
        <v>2000</v>
      </c>
      <c r="P44" s="1951">
        <v>2000</v>
      </c>
      <c r="Q44" s="1960">
        <v>2000</v>
      </c>
    </row>
    <row r="45" spans="1:17" ht="12.75" customHeight="1">
      <c r="A45" s="2332" t="s">
        <v>3490</v>
      </c>
      <c r="B45" s="2185" t="s">
        <v>3494</v>
      </c>
      <c r="C45" s="2296" t="s">
        <v>3453</v>
      </c>
      <c r="D45" s="2296"/>
      <c r="E45" s="2333" t="s">
        <v>3456</v>
      </c>
      <c r="F45" s="2333" t="s">
        <v>3457</v>
      </c>
      <c r="G45" s="2185" t="s">
        <v>3461</v>
      </c>
      <c r="H45" s="2333"/>
      <c r="I45" s="2334"/>
      <c r="J45" s="2185"/>
      <c r="K45" s="2336"/>
      <c r="L45" s="2335"/>
      <c r="M45" s="1951"/>
      <c r="N45" s="1962"/>
      <c r="O45" s="1961">
        <v>17000</v>
      </c>
      <c r="P45" s="1951">
        <v>17782</v>
      </c>
      <c r="Q45" s="1960">
        <v>18600</v>
      </c>
    </row>
    <row r="46" spans="1:17" ht="12.75" customHeight="1">
      <c r="A46" s="2332" t="s">
        <v>3523</v>
      </c>
      <c r="B46" s="2185" t="s">
        <v>3524</v>
      </c>
      <c r="C46" s="2296" t="s">
        <v>3453</v>
      </c>
      <c r="D46" s="2296"/>
      <c r="E46" s="2333" t="s">
        <v>3525</v>
      </c>
      <c r="F46" s="2333" t="s">
        <v>3457</v>
      </c>
      <c r="G46" s="2185" t="s">
        <v>3526</v>
      </c>
      <c r="H46" s="2333"/>
      <c r="I46" s="2334"/>
      <c r="J46" s="2185"/>
      <c r="K46" s="2336"/>
      <c r="L46" s="2335"/>
      <c r="M46" s="1951"/>
      <c r="N46" s="1962"/>
      <c r="O46" s="1961">
        <v>13330</v>
      </c>
      <c r="P46" s="1951">
        <v>13944</v>
      </c>
      <c r="Q46" s="1960">
        <v>14585</v>
      </c>
    </row>
    <row r="47" spans="1:17" ht="12.75" customHeight="1">
      <c r="A47" s="2332" t="s">
        <v>3464</v>
      </c>
      <c r="B47" s="2185" t="s">
        <v>3527</v>
      </c>
      <c r="C47" s="2296" t="s">
        <v>3453</v>
      </c>
      <c r="D47" s="2296"/>
      <c r="E47" s="2333" t="s">
        <v>3467</v>
      </c>
      <c r="F47" s="2333" t="s">
        <v>3468</v>
      </c>
      <c r="G47" s="2185" t="s">
        <v>3469</v>
      </c>
      <c r="H47" s="2333"/>
      <c r="I47" s="2334"/>
      <c r="J47" s="2185"/>
      <c r="K47" s="2336"/>
      <c r="L47" s="2335"/>
      <c r="M47" s="1951"/>
      <c r="N47" s="1962"/>
      <c r="O47" s="1961">
        <v>10417</v>
      </c>
      <c r="P47" s="1951">
        <v>10897</v>
      </c>
      <c r="Q47" s="1960">
        <v>11398</v>
      </c>
    </row>
    <row r="48" spans="1:17" ht="12.75" customHeight="1">
      <c r="A48" s="2332" t="s">
        <v>3454</v>
      </c>
      <c r="B48" s="2185" t="s">
        <v>3528</v>
      </c>
      <c r="C48" s="2296" t="s">
        <v>3453</v>
      </c>
      <c r="D48" s="2296"/>
      <c r="E48" s="2333" t="s">
        <v>3456</v>
      </c>
      <c r="F48" s="2333" t="s">
        <v>3457</v>
      </c>
      <c r="G48" s="2185" t="s">
        <v>3461</v>
      </c>
      <c r="H48" s="2333"/>
      <c r="I48" s="2334"/>
      <c r="J48" s="2185"/>
      <c r="K48" s="2336"/>
      <c r="L48" s="2335"/>
      <c r="M48" s="1951"/>
      <c r="N48" s="1962"/>
      <c r="O48" s="1961">
        <v>0</v>
      </c>
      <c r="P48" s="1951">
        <v>0</v>
      </c>
      <c r="Q48" s="1960">
        <v>0</v>
      </c>
    </row>
    <row r="49" spans="1:17" ht="12.75" customHeight="1">
      <c r="A49" s="2332" t="s">
        <v>3479</v>
      </c>
      <c r="B49" s="2185" t="s">
        <v>3529</v>
      </c>
      <c r="C49" s="2296" t="s">
        <v>3453</v>
      </c>
      <c r="D49" s="2296"/>
      <c r="E49" s="2333" t="s">
        <v>3456</v>
      </c>
      <c r="F49" s="2333" t="s">
        <v>3457</v>
      </c>
      <c r="G49" s="2185" t="s">
        <v>3461</v>
      </c>
      <c r="H49" s="2333"/>
      <c r="I49" s="2334"/>
      <c r="J49" s="2185"/>
      <c r="K49" s="2336"/>
      <c r="L49" s="2335"/>
      <c r="M49" s="1951"/>
      <c r="N49" s="1962"/>
      <c r="O49" s="1961">
        <v>63</v>
      </c>
      <c r="P49" s="1951">
        <v>66</v>
      </c>
      <c r="Q49" s="1960">
        <v>69</v>
      </c>
    </row>
    <row r="50" spans="1:17" ht="12.75" customHeight="1">
      <c r="A50" s="2332" t="s">
        <v>3501</v>
      </c>
      <c r="B50" s="2185" t="s">
        <v>3502</v>
      </c>
      <c r="C50" s="2296" t="s">
        <v>3453</v>
      </c>
      <c r="D50" s="2296"/>
      <c r="E50" s="2333" t="s">
        <v>3467</v>
      </c>
      <c r="F50" s="2333" t="s">
        <v>3468</v>
      </c>
      <c r="G50" s="2185" t="s">
        <v>3469</v>
      </c>
      <c r="H50" s="2333"/>
      <c r="I50" s="2334"/>
      <c r="J50" s="2185"/>
      <c r="K50" s="2336"/>
      <c r="L50" s="2335"/>
      <c r="M50" s="1951"/>
      <c r="N50" s="1962"/>
      <c r="O50" s="1961">
        <v>475662</v>
      </c>
      <c r="P50" s="1951">
        <v>497543</v>
      </c>
      <c r="Q50" s="1960">
        <v>520430</v>
      </c>
    </row>
    <row r="51" spans="1:17" ht="12.75" customHeight="1">
      <c r="A51" s="2332" t="s">
        <v>3459</v>
      </c>
      <c r="B51" s="2185" t="s">
        <v>3498</v>
      </c>
      <c r="C51" s="2296" t="s">
        <v>3453</v>
      </c>
      <c r="D51" s="2296"/>
      <c r="E51" s="2333" t="s">
        <v>3456</v>
      </c>
      <c r="F51" s="2333" t="s">
        <v>3457</v>
      </c>
      <c r="G51" s="2185" t="s">
        <v>3461</v>
      </c>
      <c r="H51" s="2333"/>
      <c r="I51" s="2334"/>
      <c r="J51" s="2185"/>
      <c r="K51" s="2336"/>
      <c r="L51" s="2335"/>
      <c r="M51" s="1951"/>
      <c r="N51" s="1962"/>
      <c r="O51" s="1961">
        <v>364005</v>
      </c>
      <c r="P51" s="1951">
        <v>380750</v>
      </c>
      <c r="Q51" s="1960">
        <v>398264</v>
      </c>
    </row>
    <row r="52" spans="1:17" ht="12.75" customHeight="1">
      <c r="A52" s="2332" t="s">
        <v>3490</v>
      </c>
      <c r="B52" s="2185" t="s">
        <v>3530</v>
      </c>
      <c r="C52" s="2296" t="s">
        <v>3453</v>
      </c>
      <c r="D52" s="2296"/>
      <c r="E52" s="2333" t="s">
        <v>3456</v>
      </c>
      <c r="F52" s="2333" t="s">
        <v>3457</v>
      </c>
      <c r="G52" s="2185" t="s">
        <v>3458</v>
      </c>
      <c r="H52" s="2333"/>
      <c r="I52" s="2334"/>
      <c r="J52" s="2185"/>
      <c r="K52" s="2336"/>
      <c r="L52" s="2335"/>
      <c r="M52" s="1951"/>
      <c r="N52" s="1962"/>
      <c r="O52" s="1961">
        <v>2000</v>
      </c>
      <c r="P52" s="1951">
        <v>2000</v>
      </c>
      <c r="Q52" s="1960">
        <v>2000</v>
      </c>
    </row>
    <row r="53" spans="1:17" ht="12.75" customHeight="1">
      <c r="A53" s="2332" t="s">
        <v>3531</v>
      </c>
      <c r="B53" s="2185" t="s">
        <v>3532</v>
      </c>
      <c r="C53" s="2296" t="s">
        <v>3453</v>
      </c>
      <c r="D53" s="2296"/>
      <c r="E53" s="2333" t="s">
        <v>3467</v>
      </c>
      <c r="F53" s="2333" t="s">
        <v>3468</v>
      </c>
      <c r="G53" s="2185" t="s">
        <v>2676</v>
      </c>
      <c r="H53" s="2333"/>
      <c r="I53" s="2334"/>
      <c r="J53" s="2185"/>
      <c r="K53" s="2336"/>
      <c r="L53" s="2335"/>
      <c r="M53" s="1951"/>
      <c r="N53" s="1962"/>
      <c r="O53" s="1961">
        <v>0</v>
      </c>
      <c r="P53" s="1951">
        <v>0</v>
      </c>
      <c r="Q53" s="1960">
        <v>0</v>
      </c>
    </row>
    <row r="54" spans="1:17" ht="12.75" customHeight="1">
      <c r="A54" s="2332" t="s">
        <v>3487</v>
      </c>
      <c r="B54" s="2185" t="s">
        <v>3488</v>
      </c>
      <c r="C54" s="2296" t="s">
        <v>3453</v>
      </c>
      <c r="D54" s="2296"/>
      <c r="E54" s="2333" t="s">
        <v>3456</v>
      </c>
      <c r="F54" s="2333" t="s">
        <v>3457</v>
      </c>
      <c r="G54" s="2185" t="s">
        <v>3458</v>
      </c>
      <c r="H54" s="2333"/>
      <c r="I54" s="2334"/>
      <c r="J54" s="2185"/>
      <c r="K54" s="2336"/>
      <c r="L54" s="2335"/>
      <c r="M54" s="1951"/>
      <c r="N54" s="1962"/>
      <c r="O54" s="1961">
        <v>14197</v>
      </c>
      <c r="P54" s="1951">
        <v>14851</v>
      </c>
      <c r="Q54" s="1960">
        <v>15534</v>
      </c>
    </row>
    <row r="55" spans="1:17" ht="12.75" customHeight="1">
      <c r="A55" s="2332" t="s">
        <v>3533</v>
      </c>
      <c r="B55" s="2185" t="s">
        <v>3534</v>
      </c>
      <c r="C55" s="2296" t="s">
        <v>3453</v>
      </c>
      <c r="D55" s="2296"/>
      <c r="E55" s="2333" t="s">
        <v>3456</v>
      </c>
      <c r="F55" s="2333" t="s">
        <v>3457</v>
      </c>
      <c r="G55" s="2185" t="s">
        <v>3461</v>
      </c>
      <c r="H55" s="2333"/>
      <c r="I55" s="2334"/>
      <c r="J55" s="2185"/>
      <c r="K55" s="2336"/>
      <c r="L55" s="2335"/>
      <c r="M55" s="1951"/>
      <c r="N55" s="1962"/>
      <c r="O55" s="1961">
        <v>11683790</v>
      </c>
      <c r="P55" s="1951">
        <v>12221244</v>
      </c>
      <c r="Q55" s="1960">
        <v>12783422</v>
      </c>
    </row>
    <row r="56" spans="1:17" ht="12.75" customHeight="1">
      <c r="A56" s="2332" t="s">
        <v>3523</v>
      </c>
      <c r="B56" s="2185" t="s">
        <v>3535</v>
      </c>
      <c r="C56" s="2296" t="s">
        <v>3453</v>
      </c>
      <c r="D56" s="2296"/>
      <c r="E56" s="2333"/>
      <c r="F56" s="2333"/>
      <c r="G56" s="2185"/>
      <c r="H56" s="2333"/>
      <c r="I56" s="2334"/>
      <c r="J56" s="2185"/>
      <c r="K56" s="2336"/>
      <c r="L56" s="2335"/>
      <c r="M56" s="1951"/>
      <c r="N56" s="1962"/>
      <c r="O56" s="1961">
        <v>3598</v>
      </c>
      <c r="P56" s="1951">
        <v>3764</v>
      </c>
      <c r="Q56" s="1960">
        <v>3937</v>
      </c>
    </row>
    <row r="57" spans="1:17" ht="12.75" customHeight="1">
      <c r="A57" s="2332" t="s">
        <v>3536</v>
      </c>
      <c r="B57" s="2185" t="s">
        <v>3537</v>
      </c>
      <c r="C57" s="2296" t="s">
        <v>3453</v>
      </c>
      <c r="D57" s="2296"/>
      <c r="E57" s="2333" t="s">
        <v>3456</v>
      </c>
      <c r="F57" s="2333" t="s">
        <v>3457</v>
      </c>
      <c r="G57" s="2185" t="s">
        <v>3461</v>
      </c>
      <c r="H57" s="2333"/>
      <c r="I57" s="2334"/>
      <c r="J57" s="2185"/>
      <c r="K57" s="2336"/>
      <c r="L57" s="2335"/>
      <c r="M57" s="1951"/>
      <c r="N57" s="1962"/>
      <c r="O57" s="1961">
        <v>33108</v>
      </c>
      <c r="P57" s="1951">
        <v>34631</v>
      </c>
      <c r="Q57" s="1960">
        <v>36224</v>
      </c>
    </row>
    <row r="58" spans="1:17" ht="12.75" customHeight="1">
      <c r="A58" s="2332" t="s">
        <v>3538</v>
      </c>
      <c r="B58" s="2185" t="s">
        <v>3539</v>
      </c>
      <c r="C58" s="2296" t="s">
        <v>3453</v>
      </c>
      <c r="D58" s="2296"/>
      <c r="E58" s="2333" t="s">
        <v>3456</v>
      </c>
      <c r="F58" s="2333" t="s">
        <v>3457</v>
      </c>
      <c r="G58" s="2185" t="s">
        <v>3461</v>
      </c>
      <c r="H58" s="2333"/>
      <c r="I58" s="2334"/>
      <c r="J58" s="2185"/>
      <c r="K58" s="2336"/>
      <c r="L58" s="2335"/>
      <c r="M58" s="1951"/>
      <c r="N58" s="1962"/>
      <c r="O58" s="1961">
        <v>93945</v>
      </c>
      <c r="P58" s="1951">
        <v>98267</v>
      </c>
      <c r="Q58" s="1960">
        <v>102787</v>
      </c>
    </row>
    <row r="59" spans="1:17" ht="12.75" customHeight="1">
      <c r="A59" s="2332" t="s">
        <v>3454</v>
      </c>
      <c r="B59" s="2185" t="s">
        <v>3540</v>
      </c>
      <c r="C59" s="2296" t="s">
        <v>3453</v>
      </c>
      <c r="D59" s="2296"/>
      <c r="E59" s="2333" t="s">
        <v>3456</v>
      </c>
      <c r="F59" s="2333" t="s">
        <v>3457</v>
      </c>
      <c r="G59" s="2185" t="s">
        <v>3458</v>
      </c>
      <c r="H59" s="2333"/>
      <c r="I59" s="2334"/>
      <c r="J59" s="2185"/>
      <c r="K59" s="2336"/>
      <c r="L59" s="2335"/>
      <c r="M59" s="1951"/>
      <c r="N59" s="1962"/>
      <c r="O59" s="1961">
        <v>18917</v>
      </c>
      <c r="P59" s="1951">
        <v>18917</v>
      </c>
      <c r="Q59" s="1960">
        <v>19788</v>
      </c>
    </row>
    <row r="60" spans="1:17" ht="12.75" customHeight="1">
      <c r="A60" s="2332" t="s">
        <v>3541</v>
      </c>
      <c r="B60" s="2185" t="s">
        <v>3542</v>
      </c>
      <c r="C60" s="2296" t="s">
        <v>3453</v>
      </c>
      <c r="D60" s="2296"/>
      <c r="E60" s="2333" t="s">
        <v>3456</v>
      </c>
      <c r="F60" s="2333" t="s">
        <v>3457</v>
      </c>
      <c r="G60" s="2185" t="s">
        <v>3461</v>
      </c>
      <c r="H60" s="2333"/>
      <c r="I60" s="2334"/>
      <c r="J60" s="2185"/>
      <c r="K60" s="2336"/>
      <c r="L60" s="2335"/>
      <c r="M60" s="1951"/>
      <c r="N60" s="1962"/>
      <c r="O60" s="1961">
        <v>2000</v>
      </c>
      <c r="P60" s="1951">
        <v>2000</v>
      </c>
      <c r="Q60" s="1960">
        <v>2000</v>
      </c>
    </row>
    <row r="61" spans="1:17" ht="12.75" customHeight="1">
      <c r="A61" s="2332" t="s">
        <v>3543</v>
      </c>
      <c r="B61" s="2185" t="s">
        <v>3544</v>
      </c>
      <c r="C61" s="2296" t="s">
        <v>3497</v>
      </c>
      <c r="D61" s="2296"/>
      <c r="E61" s="2333" t="s">
        <v>3467</v>
      </c>
      <c r="F61" s="2333" t="s">
        <v>3468</v>
      </c>
      <c r="G61" s="2185" t="s">
        <v>3469</v>
      </c>
      <c r="H61" s="2333"/>
      <c r="I61" s="2334"/>
      <c r="J61" s="2185"/>
      <c r="K61" s="2336"/>
      <c r="L61" s="2335"/>
      <c r="M61" s="1951"/>
      <c r="N61" s="1962"/>
      <c r="O61" s="1961">
        <v>1323</v>
      </c>
      <c r="P61" s="1951">
        <v>1384</v>
      </c>
      <c r="Q61" s="1960">
        <v>1448</v>
      </c>
    </row>
    <row r="62" spans="1:17" ht="12.75" customHeight="1">
      <c r="A62" s="2332" t="s">
        <v>3454</v>
      </c>
      <c r="B62" s="2185" t="s">
        <v>3545</v>
      </c>
      <c r="C62" s="2296" t="s">
        <v>3453</v>
      </c>
      <c r="D62" s="2296"/>
      <c r="E62" s="2333" t="s">
        <v>3467</v>
      </c>
      <c r="F62" s="2333" t="s">
        <v>3468</v>
      </c>
      <c r="G62" s="2185" t="s">
        <v>3469</v>
      </c>
      <c r="H62" s="2333"/>
      <c r="I62" s="2334"/>
      <c r="J62" s="2185"/>
      <c r="K62" s="2336"/>
      <c r="L62" s="2335"/>
      <c r="M62" s="1951"/>
      <c r="N62" s="1962"/>
      <c r="O62" s="1961">
        <v>0</v>
      </c>
      <c r="P62" s="1951">
        <v>0</v>
      </c>
      <c r="Q62" s="1960">
        <v>0</v>
      </c>
    </row>
    <row r="63" spans="1:17" ht="12.75" customHeight="1">
      <c r="A63" s="2332" t="s">
        <v>3451</v>
      </c>
      <c r="B63" s="2185" t="s">
        <v>3452</v>
      </c>
      <c r="C63" s="2296" t="s">
        <v>3453</v>
      </c>
      <c r="D63" s="2296"/>
      <c r="E63" s="2333" t="s">
        <v>3456</v>
      </c>
      <c r="F63" s="2333" t="s">
        <v>3457</v>
      </c>
      <c r="G63" s="2185" t="s">
        <v>3481</v>
      </c>
      <c r="H63" s="2333"/>
      <c r="I63" s="2334"/>
      <c r="J63" s="2185"/>
      <c r="K63" s="2336"/>
      <c r="L63" s="2335"/>
      <c r="M63" s="1951"/>
      <c r="N63" s="1962"/>
      <c r="O63" s="1961">
        <v>240</v>
      </c>
      <c r="P63" s="1951">
        <v>252</v>
      </c>
      <c r="Q63" s="1960">
        <v>263</v>
      </c>
    </row>
    <row r="64" spans="1:17" ht="12.75" customHeight="1">
      <c r="A64" s="2332" t="s">
        <v>3459</v>
      </c>
      <c r="B64" s="2185" t="s">
        <v>3546</v>
      </c>
      <c r="C64" s="2296" t="s">
        <v>3453</v>
      </c>
      <c r="D64" s="2296"/>
      <c r="E64" s="2333" t="s">
        <v>3456</v>
      </c>
      <c r="F64" s="2333" t="s">
        <v>3457</v>
      </c>
      <c r="G64" s="2185" t="s">
        <v>3458</v>
      </c>
      <c r="H64" s="2333"/>
      <c r="I64" s="2334"/>
      <c r="J64" s="2185"/>
      <c r="K64" s="2336"/>
      <c r="L64" s="2335"/>
      <c r="M64" s="1951"/>
      <c r="N64" s="1962"/>
      <c r="O64" s="1961">
        <v>0</v>
      </c>
      <c r="P64" s="1951">
        <v>0</v>
      </c>
      <c r="Q64" s="1960">
        <v>0</v>
      </c>
    </row>
    <row r="65" spans="1:17" ht="12.75" customHeight="1">
      <c r="A65" s="2332" t="s">
        <v>3454</v>
      </c>
      <c r="B65" s="2185" t="s">
        <v>3455</v>
      </c>
      <c r="C65" s="2296" t="s">
        <v>3453</v>
      </c>
      <c r="D65" s="2296"/>
      <c r="E65" s="2333" t="s">
        <v>3467</v>
      </c>
      <c r="F65" s="2333" t="s">
        <v>3468</v>
      </c>
      <c r="G65" s="2185" t="s">
        <v>2676</v>
      </c>
      <c r="H65" s="2333"/>
      <c r="I65" s="2334"/>
      <c r="J65" s="2185"/>
      <c r="K65" s="2336"/>
      <c r="L65" s="2335"/>
      <c r="M65" s="1951"/>
      <c r="N65" s="1962"/>
      <c r="O65" s="1961">
        <v>453173</v>
      </c>
      <c r="P65" s="1951">
        <v>474019</v>
      </c>
      <c r="Q65" s="1960">
        <v>495824</v>
      </c>
    </row>
    <row r="66" spans="1:17" ht="12.75" customHeight="1">
      <c r="A66" s="2332" t="s">
        <v>3459</v>
      </c>
      <c r="B66" s="2185" t="s">
        <v>3547</v>
      </c>
      <c r="C66" s="2296" t="s">
        <v>3472</v>
      </c>
      <c r="D66" s="2296"/>
      <c r="E66" s="2333" t="s">
        <v>3467</v>
      </c>
      <c r="F66" s="2333" t="s">
        <v>3468</v>
      </c>
      <c r="G66" s="2185" t="s">
        <v>3469</v>
      </c>
      <c r="H66" s="2333"/>
      <c r="I66" s="2334"/>
      <c r="J66" s="2185"/>
      <c r="K66" s="2336"/>
      <c r="L66" s="2335"/>
      <c r="M66" s="1951"/>
      <c r="N66" s="1962"/>
      <c r="O66" s="1961">
        <v>447</v>
      </c>
      <c r="P66" s="1951">
        <v>468</v>
      </c>
      <c r="Q66" s="1960">
        <v>490</v>
      </c>
    </row>
    <row r="67" spans="1:17" ht="12.75" customHeight="1">
      <c r="A67" s="2332" t="s">
        <v>3454</v>
      </c>
      <c r="B67" s="2185" t="s">
        <v>3512</v>
      </c>
      <c r="C67" s="2296" t="s">
        <v>3453</v>
      </c>
      <c r="D67" s="2296"/>
      <c r="E67" s="2333" t="s">
        <v>3456</v>
      </c>
      <c r="F67" s="2333" t="s">
        <v>3457</v>
      </c>
      <c r="G67" s="2185" t="s">
        <v>3458</v>
      </c>
      <c r="H67" s="2333"/>
      <c r="I67" s="2334"/>
      <c r="J67" s="2185"/>
      <c r="K67" s="2336"/>
      <c r="L67" s="2335"/>
      <c r="M67" s="1951"/>
      <c r="N67" s="1962"/>
      <c r="O67" s="1961">
        <v>0</v>
      </c>
      <c r="P67" s="1951">
        <v>0</v>
      </c>
      <c r="Q67" s="1960">
        <v>0</v>
      </c>
    </row>
    <row r="68" spans="1:17" ht="12.75" customHeight="1">
      <c r="A68" s="2332" t="s">
        <v>3499</v>
      </c>
      <c r="B68" s="2185" t="s">
        <v>3500</v>
      </c>
      <c r="C68" s="2296" t="s">
        <v>3453</v>
      </c>
      <c r="D68" s="2296"/>
      <c r="E68" s="2333" t="s">
        <v>3467</v>
      </c>
      <c r="F68" s="2333" t="s">
        <v>3468</v>
      </c>
      <c r="G68" s="2185" t="s">
        <v>3469</v>
      </c>
      <c r="H68" s="2333"/>
      <c r="I68" s="2334"/>
      <c r="J68" s="2185"/>
      <c r="K68" s="2336"/>
      <c r="L68" s="2335"/>
      <c r="M68" s="1951"/>
      <c r="N68" s="1962"/>
      <c r="O68" s="1961">
        <v>1800</v>
      </c>
      <c r="P68" s="1951">
        <v>1883</v>
      </c>
      <c r="Q68" s="1960">
        <v>1970</v>
      </c>
    </row>
    <row r="69" spans="1:17" ht="12.75" customHeight="1">
      <c r="A69" s="2332" t="s">
        <v>3536</v>
      </c>
      <c r="B69" s="2185" t="s">
        <v>3548</v>
      </c>
      <c r="C69" s="2296" t="s">
        <v>3453</v>
      </c>
      <c r="D69" s="2296"/>
      <c r="E69" s="2333" t="s">
        <v>3456</v>
      </c>
      <c r="F69" s="2333" t="s">
        <v>3457</v>
      </c>
      <c r="G69" s="2185" t="s">
        <v>3461</v>
      </c>
      <c r="H69" s="2333"/>
      <c r="I69" s="2334"/>
      <c r="J69" s="2185"/>
      <c r="K69" s="2336"/>
      <c r="L69" s="2335"/>
      <c r="M69" s="1951"/>
      <c r="N69" s="1962"/>
      <c r="O69" s="1961">
        <v>910</v>
      </c>
      <c r="P69" s="1951">
        <v>952</v>
      </c>
      <c r="Q69" s="1960">
        <v>996</v>
      </c>
    </row>
    <row r="70" spans="1:17" ht="12.75" customHeight="1">
      <c r="A70" s="2332" t="s">
        <v>3523</v>
      </c>
      <c r="B70" s="2185" t="s">
        <v>3549</v>
      </c>
      <c r="C70" s="2296" t="s">
        <v>3472</v>
      </c>
      <c r="D70" s="2296"/>
      <c r="E70" s="2333" t="s">
        <v>3456</v>
      </c>
      <c r="F70" s="2333" t="s">
        <v>3457</v>
      </c>
      <c r="G70" s="2185" t="s">
        <v>3461</v>
      </c>
      <c r="H70" s="2333"/>
      <c r="I70" s="2334"/>
      <c r="J70" s="2185"/>
      <c r="K70" s="2336"/>
      <c r="L70" s="2335"/>
      <c r="M70" s="1951"/>
      <c r="N70" s="1962"/>
      <c r="O70" s="1961">
        <v>82533</v>
      </c>
      <c r="P70" s="1951">
        <v>86330</v>
      </c>
      <c r="Q70" s="1960">
        <v>90301</v>
      </c>
    </row>
    <row r="71" spans="1:17" ht="12.75" customHeight="1">
      <c r="A71" s="2332" t="s">
        <v>3454</v>
      </c>
      <c r="B71" s="2185" t="s">
        <v>3545</v>
      </c>
      <c r="C71" s="2296" t="s">
        <v>3453</v>
      </c>
      <c r="D71" s="2296"/>
      <c r="E71" s="2333" t="s">
        <v>3467</v>
      </c>
      <c r="F71" s="2333" t="s">
        <v>3468</v>
      </c>
      <c r="G71" s="2185" t="s">
        <v>3469</v>
      </c>
      <c r="H71" s="2333"/>
      <c r="I71" s="2334"/>
      <c r="J71" s="2185"/>
      <c r="K71" s="2336"/>
      <c r="L71" s="2335"/>
      <c r="M71" s="1951"/>
      <c r="N71" s="1962"/>
      <c r="O71" s="1961">
        <v>0</v>
      </c>
      <c r="P71" s="1951">
        <v>0</v>
      </c>
      <c r="Q71" s="1960">
        <v>0</v>
      </c>
    </row>
    <row r="72" spans="1:17" ht="12.75" customHeight="1">
      <c r="A72" s="2332" t="s">
        <v>3479</v>
      </c>
      <c r="B72" s="2185" t="s">
        <v>3550</v>
      </c>
      <c r="C72" s="2296" t="s">
        <v>3453</v>
      </c>
      <c r="D72" s="2296"/>
      <c r="E72" s="2333" t="s">
        <v>3456</v>
      </c>
      <c r="F72" s="2333" t="s">
        <v>3457</v>
      </c>
      <c r="G72" s="2185" t="s">
        <v>3458</v>
      </c>
      <c r="H72" s="2333"/>
      <c r="I72" s="2334"/>
      <c r="J72" s="2185"/>
      <c r="K72" s="2336"/>
      <c r="L72" s="2335"/>
      <c r="M72" s="1951"/>
      <c r="N72" s="1962"/>
      <c r="O72" s="1961">
        <v>273160</v>
      </c>
      <c r="P72" s="1951">
        <v>285726</v>
      </c>
      <c r="Q72" s="1960">
        <v>298869</v>
      </c>
    </row>
    <row r="73" spans="1:17" ht="12.75" customHeight="1">
      <c r="A73" s="2332" t="s">
        <v>3531</v>
      </c>
      <c r="B73" s="2185" t="s">
        <v>3532</v>
      </c>
      <c r="C73" s="2296" t="s">
        <v>3453</v>
      </c>
      <c r="D73" s="2296"/>
      <c r="E73" s="2333"/>
      <c r="F73" s="2333"/>
      <c r="G73" s="2185"/>
      <c r="H73" s="2333"/>
      <c r="I73" s="2334"/>
      <c r="J73" s="2185"/>
      <c r="K73" s="2336"/>
      <c r="L73" s="2335"/>
      <c r="M73" s="1951"/>
      <c r="N73" s="1962"/>
      <c r="O73" s="1961">
        <v>0</v>
      </c>
      <c r="P73" s="1951">
        <v>0</v>
      </c>
      <c r="Q73" s="1960">
        <v>0</v>
      </c>
    </row>
    <row r="74" spans="1:17" ht="12.75" customHeight="1">
      <c r="A74" s="2332" t="s">
        <v>3464</v>
      </c>
      <c r="B74" s="2185" t="s">
        <v>3551</v>
      </c>
      <c r="C74" s="2296" t="s">
        <v>3463</v>
      </c>
      <c r="D74" s="2296"/>
      <c r="E74" s="2333" t="s">
        <v>3456</v>
      </c>
      <c r="F74" s="2333" t="s">
        <v>3457</v>
      </c>
      <c r="G74" s="2185" t="s">
        <v>3461</v>
      </c>
      <c r="H74" s="2333"/>
      <c r="I74" s="2334"/>
      <c r="J74" s="2185"/>
      <c r="K74" s="2336"/>
      <c r="L74" s="2335"/>
      <c r="M74" s="1951"/>
      <c r="N74" s="1962"/>
      <c r="O74" s="1961">
        <v>822</v>
      </c>
      <c r="P74" s="1951">
        <v>860</v>
      </c>
      <c r="Q74" s="1960">
        <v>900</v>
      </c>
    </row>
    <row r="75" spans="1:17" ht="12.75" customHeight="1">
      <c r="A75" s="2332" t="s">
        <v>3464</v>
      </c>
      <c r="B75" s="2185" t="s">
        <v>3482</v>
      </c>
      <c r="C75" s="2296" t="s">
        <v>3453</v>
      </c>
      <c r="D75" s="2296"/>
      <c r="E75" s="2333" t="s">
        <v>3456</v>
      </c>
      <c r="F75" s="2333" t="s">
        <v>3457</v>
      </c>
      <c r="G75" s="2185" t="s">
        <v>3458</v>
      </c>
      <c r="H75" s="2333"/>
      <c r="I75" s="2334"/>
      <c r="J75" s="2185"/>
      <c r="K75" s="2336"/>
      <c r="L75" s="2335"/>
      <c r="M75" s="1951"/>
      <c r="N75" s="1962"/>
      <c r="O75" s="1961">
        <v>861146</v>
      </c>
      <c r="P75" s="1951">
        <v>900759</v>
      </c>
      <c r="Q75" s="1960">
        <v>942194</v>
      </c>
    </row>
    <row r="76" spans="1:17" ht="12.75" customHeight="1">
      <c r="A76" s="2332" t="s">
        <v>3531</v>
      </c>
      <c r="B76" s="2185" t="s">
        <v>3532</v>
      </c>
      <c r="C76" s="2296" t="s">
        <v>3453</v>
      </c>
      <c r="D76" s="2296"/>
      <c r="E76" s="2333"/>
      <c r="F76" s="2333"/>
      <c r="G76" s="2185"/>
      <c r="H76" s="2333"/>
      <c r="I76" s="2334"/>
      <c r="J76" s="2185"/>
      <c r="K76" s="2336"/>
      <c r="L76" s="2335"/>
      <c r="M76" s="1951"/>
      <c r="N76" s="1962"/>
      <c r="O76" s="1961">
        <v>0</v>
      </c>
      <c r="P76" s="1951">
        <v>0</v>
      </c>
      <c r="Q76" s="1960">
        <v>0</v>
      </c>
    </row>
    <row r="77" spans="1:17" ht="12.75" customHeight="1">
      <c r="A77" s="2332" t="s">
        <v>3473</v>
      </c>
      <c r="B77" s="2185" t="s">
        <v>3552</v>
      </c>
      <c r="C77" s="2296" t="s">
        <v>3453</v>
      </c>
      <c r="D77" s="2296"/>
      <c r="E77" s="2333" t="s">
        <v>3456</v>
      </c>
      <c r="F77" s="2333" t="s">
        <v>3457</v>
      </c>
      <c r="G77" s="2185" t="s">
        <v>3458</v>
      </c>
      <c r="H77" s="2333"/>
      <c r="I77" s="2334"/>
      <c r="J77" s="2185"/>
      <c r="K77" s="2336"/>
      <c r="L77" s="2335"/>
      <c r="M77" s="1951"/>
      <c r="N77" s="1962"/>
      <c r="O77" s="1961">
        <v>49981</v>
      </c>
      <c r="P77" s="1951">
        <v>52281</v>
      </c>
      <c r="Q77" s="1960">
        <v>54686</v>
      </c>
    </row>
    <row r="78" spans="1:17" ht="12.75" customHeight="1">
      <c r="A78" s="2332" t="s">
        <v>3454</v>
      </c>
      <c r="B78" s="2185" t="s">
        <v>3545</v>
      </c>
      <c r="C78" s="2296" t="s">
        <v>3453</v>
      </c>
      <c r="D78" s="2296"/>
      <c r="E78" s="2333"/>
      <c r="F78" s="2333"/>
      <c r="G78" s="2185"/>
      <c r="H78" s="2333"/>
      <c r="I78" s="2334"/>
      <c r="J78" s="2185"/>
      <c r="K78" s="2336"/>
      <c r="L78" s="2335"/>
      <c r="M78" s="1951"/>
      <c r="N78" s="1962"/>
      <c r="O78" s="1961">
        <v>0</v>
      </c>
      <c r="P78" s="1951">
        <v>0</v>
      </c>
      <c r="Q78" s="1960">
        <v>0</v>
      </c>
    </row>
    <row r="79" spans="1:17" ht="12.75" customHeight="1">
      <c r="A79" s="2332" t="s">
        <v>3501</v>
      </c>
      <c r="B79" s="2185" t="s">
        <v>3553</v>
      </c>
      <c r="C79" s="2296" t="s">
        <v>3453</v>
      </c>
      <c r="D79" s="2296"/>
      <c r="E79" s="2333" t="s">
        <v>3456</v>
      </c>
      <c r="F79" s="2333" t="s">
        <v>3457</v>
      </c>
      <c r="G79" s="2185" t="s">
        <v>3526</v>
      </c>
      <c r="H79" s="2333"/>
      <c r="I79" s="2334"/>
      <c r="J79" s="2185"/>
      <c r="K79" s="2336"/>
      <c r="L79" s="2335"/>
      <c r="M79" s="1951"/>
      <c r="N79" s="1962"/>
      <c r="O79" s="1961">
        <v>0</v>
      </c>
      <c r="P79" s="1951">
        <v>0</v>
      </c>
      <c r="Q79" s="1960">
        <v>0</v>
      </c>
    </row>
    <row r="80" spans="1:17" ht="12.75" customHeight="1">
      <c r="A80" s="2332" t="s">
        <v>3531</v>
      </c>
      <c r="B80" s="2185" t="s">
        <v>3532</v>
      </c>
      <c r="C80" s="2296" t="s">
        <v>3453</v>
      </c>
      <c r="D80" s="2296"/>
      <c r="E80" s="2333" t="s">
        <v>3467</v>
      </c>
      <c r="F80" s="2333" t="s">
        <v>3468</v>
      </c>
      <c r="G80" s="2185" t="s">
        <v>3469</v>
      </c>
      <c r="H80" s="2333"/>
      <c r="I80" s="2334"/>
      <c r="J80" s="2185"/>
      <c r="K80" s="2336"/>
      <c r="L80" s="2335"/>
      <c r="M80" s="1951"/>
      <c r="N80" s="1962"/>
      <c r="O80" s="1961">
        <v>0</v>
      </c>
      <c r="P80" s="1951">
        <v>0</v>
      </c>
      <c r="Q80" s="1960">
        <v>0</v>
      </c>
    </row>
    <row r="81" spans="1:17" ht="12.75" customHeight="1">
      <c r="A81" s="2332" t="s">
        <v>3470</v>
      </c>
      <c r="B81" s="2185" t="s">
        <v>3554</v>
      </c>
      <c r="C81" s="2296" t="s">
        <v>3453</v>
      </c>
      <c r="D81" s="2296"/>
      <c r="E81" s="2333" t="s">
        <v>3467</v>
      </c>
      <c r="F81" s="2333" t="s">
        <v>3468</v>
      </c>
      <c r="G81" s="2185" t="s">
        <v>2676</v>
      </c>
      <c r="H81" s="2333"/>
      <c r="I81" s="2334"/>
      <c r="J81" s="2185"/>
      <c r="K81" s="2336"/>
      <c r="L81" s="2335"/>
      <c r="M81" s="1951"/>
      <c r="N81" s="1962"/>
      <c r="O81" s="1961">
        <v>137061</v>
      </c>
      <c r="P81" s="1951">
        <v>143366</v>
      </c>
      <c r="Q81" s="1960">
        <v>149961</v>
      </c>
    </row>
    <row r="82" spans="1:17" ht="12.75" customHeight="1">
      <c r="A82" s="2332" t="s">
        <v>3508</v>
      </c>
      <c r="B82" s="2185" t="s">
        <v>3555</v>
      </c>
      <c r="C82" s="2296" t="s">
        <v>3453</v>
      </c>
      <c r="D82" s="2296"/>
      <c r="E82" s="2333" t="s">
        <v>3456</v>
      </c>
      <c r="F82" s="2333" t="s">
        <v>3457</v>
      </c>
      <c r="G82" s="2185" t="s">
        <v>3461</v>
      </c>
      <c r="H82" s="2333"/>
      <c r="I82" s="2334"/>
      <c r="J82" s="2185"/>
      <c r="K82" s="2336"/>
      <c r="L82" s="2335"/>
      <c r="M82" s="1951"/>
      <c r="N82" s="1962"/>
      <c r="O82" s="1961">
        <v>30845</v>
      </c>
      <c r="P82" s="1951">
        <v>32264</v>
      </c>
      <c r="Q82" s="1960">
        <v>33749</v>
      </c>
    </row>
    <row r="83" spans="1:17" ht="12.75" customHeight="1">
      <c r="A83" s="2332" t="s">
        <v>3464</v>
      </c>
      <c r="B83" s="2185" t="s">
        <v>3556</v>
      </c>
      <c r="C83" s="2296" t="s">
        <v>3453</v>
      </c>
      <c r="D83" s="2296"/>
      <c r="E83" s="2333" t="s">
        <v>3467</v>
      </c>
      <c r="F83" s="2333" t="s">
        <v>3468</v>
      </c>
      <c r="G83" s="2185" t="s">
        <v>3469</v>
      </c>
      <c r="H83" s="2333"/>
      <c r="I83" s="2334"/>
      <c r="J83" s="2185"/>
      <c r="K83" s="2336"/>
      <c r="L83" s="2335"/>
      <c r="M83" s="1951"/>
      <c r="N83" s="1962"/>
      <c r="O83" s="1961">
        <v>3833</v>
      </c>
      <c r="P83" s="1951">
        <v>4010</v>
      </c>
      <c r="Q83" s="1960">
        <v>4194</v>
      </c>
    </row>
    <row r="84" spans="1:17" ht="12.75" customHeight="1">
      <c r="A84" s="2332" t="s">
        <v>3459</v>
      </c>
      <c r="B84" s="2185" t="s">
        <v>3557</v>
      </c>
      <c r="C84" s="2296" t="s">
        <v>3453</v>
      </c>
      <c r="D84" s="2296"/>
      <c r="E84" s="2333" t="s">
        <v>3467</v>
      </c>
      <c r="F84" s="2333" t="s">
        <v>3468</v>
      </c>
      <c r="G84" s="2185" t="s">
        <v>3469</v>
      </c>
      <c r="H84" s="2333"/>
      <c r="I84" s="2334"/>
      <c r="J84" s="2185"/>
      <c r="K84" s="2336"/>
      <c r="L84" s="2335"/>
      <c r="M84" s="1951"/>
      <c r="N84" s="1962"/>
      <c r="O84" s="1961">
        <v>18800000</v>
      </c>
      <c r="P84" s="1951">
        <v>19664800</v>
      </c>
      <c r="Q84" s="1960">
        <v>20569381</v>
      </c>
    </row>
    <row r="85" spans="1:17" ht="12.75" customHeight="1">
      <c r="A85" s="2332" t="s">
        <v>3479</v>
      </c>
      <c r="B85" s="2185" t="s">
        <v>3516</v>
      </c>
      <c r="C85" s="2296" t="s">
        <v>3453</v>
      </c>
      <c r="D85" s="2296"/>
      <c r="E85" s="2333" t="s">
        <v>3456</v>
      </c>
      <c r="F85" s="2333" t="s">
        <v>3457</v>
      </c>
      <c r="G85" s="2185" t="s">
        <v>3461</v>
      </c>
      <c r="H85" s="2333"/>
      <c r="I85" s="2334"/>
      <c r="J85" s="2185"/>
      <c r="K85" s="2336"/>
      <c r="L85" s="2335"/>
      <c r="M85" s="1951"/>
      <c r="N85" s="1962"/>
      <c r="O85" s="1961">
        <v>103415</v>
      </c>
      <c r="P85" s="1951">
        <v>108173</v>
      </c>
      <c r="Q85" s="1960">
        <v>113149</v>
      </c>
    </row>
    <row r="86" spans="1:17" ht="12.75" customHeight="1">
      <c r="A86" s="2332" t="s">
        <v>3558</v>
      </c>
      <c r="B86" s="2185" t="s">
        <v>3559</v>
      </c>
      <c r="C86" s="2296" t="s">
        <v>3453</v>
      </c>
      <c r="D86" s="2296"/>
      <c r="E86" s="2333" t="s">
        <v>3456</v>
      </c>
      <c r="F86" s="2333" t="s">
        <v>3457</v>
      </c>
      <c r="G86" s="2185" t="s">
        <v>3458</v>
      </c>
      <c r="H86" s="2333"/>
      <c r="I86" s="2334"/>
      <c r="J86" s="2185"/>
      <c r="K86" s="2336"/>
      <c r="L86" s="2335"/>
      <c r="M86" s="1951"/>
      <c r="N86" s="1962"/>
      <c r="O86" s="1961">
        <v>0</v>
      </c>
      <c r="P86" s="1951">
        <v>0</v>
      </c>
      <c r="Q86" s="1960">
        <v>0</v>
      </c>
    </row>
    <row r="87" spans="1:17" ht="12.75" customHeight="1">
      <c r="A87" s="2332" t="s">
        <v>3543</v>
      </c>
      <c r="B87" s="2185" t="s">
        <v>3560</v>
      </c>
      <c r="C87" s="2296" t="s">
        <v>3453</v>
      </c>
      <c r="D87" s="2296"/>
      <c r="E87" s="2333" t="s">
        <v>3456</v>
      </c>
      <c r="F87" s="2333" t="s">
        <v>3457</v>
      </c>
      <c r="G87" s="2185" t="s">
        <v>3458</v>
      </c>
      <c r="H87" s="2333"/>
      <c r="I87" s="2334"/>
      <c r="J87" s="2185"/>
      <c r="K87" s="2336"/>
      <c r="L87" s="2335"/>
      <c r="M87" s="1951"/>
      <c r="N87" s="1962"/>
      <c r="O87" s="1961">
        <v>3543</v>
      </c>
      <c r="P87" s="1951">
        <v>3706</v>
      </c>
      <c r="Q87" s="1960">
        <v>3877</v>
      </c>
    </row>
    <row r="88" spans="1:17" ht="12.75" customHeight="1">
      <c r="A88" s="2332" t="s">
        <v>3490</v>
      </c>
      <c r="B88" s="2185" t="s">
        <v>3561</v>
      </c>
      <c r="C88" s="2296" t="s">
        <v>3562</v>
      </c>
      <c r="D88" s="2296"/>
      <c r="E88" s="2333" t="s">
        <v>3467</v>
      </c>
      <c r="F88" s="2333" t="s">
        <v>3468</v>
      </c>
      <c r="G88" s="2185" t="s">
        <v>3469</v>
      </c>
      <c r="H88" s="2333"/>
      <c r="I88" s="2334"/>
      <c r="J88" s="2185"/>
      <c r="K88" s="2336"/>
      <c r="L88" s="2335"/>
      <c r="M88" s="1951"/>
      <c r="N88" s="1962"/>
      <c r="O88" s="1961">
        <v>3869</v>
      </c>
      <c r="P88" s="1951">
        <v>4047</v>
      </c>
      <c r="Q88" s="1960">
        <v>4234</v>
      </c>
    </row>
    <row r="89" spans="1:17" ht="12.75" customHeight="1">
      <c r="A89" s="2332" t="s">
        <v>3563</v>
      </c>
      <c r="B89" s="2185" t="s">
        <v>3564</v>
      </c>
      <c r="C89" s="2296" t="s">
        <v>3453</v>
      </c>
      <c r="D89" s="2296"/>
      <c r="E89" s="2333" t="s">
        <v>3456</v>
      </c>
      <c r="F89" s="2333" t="s">
        <v>3457</v>
      </c>
      <c r="G89" s="2185" t="s">
        <v>3458</v>
      </c>
      <c r="H89" s="2333"/>
      <c r="I89" s="2334"/>
      <c r="J89" s="2185"/>
      <c r="K89" s="2336"/>
      <c r="L89" s="2335"/>
      <c r="M89" s="1951"/>
      <c r="N89" s="1962"/>
      <c r="O89" s="1961">
        <v>15624</v>
      </c>
      <c r="P89" s="1951">
        <v>16343</v>
      </c>
      <c r="Q89" s="1960">
        <v>17095</v>
      </c>
    </row>
    <row r="90" spans="1:17" ht="12.75" customHeight="1">
      <c r="A90" s="2332" t="s">
        <v>3473</v>
      </c>
      <c r="B90" s="2185" t="s">
        <v>3552</v>
      </c>
      <c r="C90" s="2296" t="s">
        <v>3453</v>
      </c>
      <c r="D90" s="2296"/>
      <c r="E90" s="2333" t="s">
        <v>3467</v>
      </c>
      <c r="F90" s="2333" t="s">
        <v>3468</v>
      </c>
      <c r="G90" s="2185" t="s">
        <v>3475</v>
      </c>
      <c r="H90" s="2333"/>
      <c r="I90" s="2334"/>
      <c r="J90" s="2185"/>
      <c r="K90" s="2336"/>
      <c r="L90" s="2335"/>
      <c r="M90" s="1951"/>
      <c r="N90" s="1962"/>
      <c r="O90" s="1961">
        <v>3823</v>
      </c>
      <c r="P90" s="1951">
        <v>3999</v>
      </c>
      <c r="Q90" s="1960">
        <v>4183</v>
      </c>
    </row>
    <row r="91" spans="1:17" ht="12.75" customHeight="1">
      <c r="A91" s="2332" t="s">
        <v>3565</v>
      </c>
      <c r="B91" s="2185" t="s">
        <v>3566</v>
      </c>
      <c r="C91" s="2296" t="s">
        <v>3453</v>
      </c>
      <c r="D91" s="2296"/>
      <c r="E91" s="2333" t="s">
        <v>3467</v>
      </c>
      <c r="F91" s="2333" t="s">
        <v>3468</v>
      </c>
      <c r="G91" s="2185" t="s">
        <v>3469</v>
      </c>
      <c r="H91" s="2333"/>
      <c r="I91" s="2334"/>
      <c r="J91" s="2185"/>
      <c r="K91" s="2336"/>
      <c r="L91" s="2335"/>
      <c r="M91" s="1951"/>
      <c r="N91" s="1962"/>
      <c r="O91" s="1961">
        <v>1458</v>
      </c>
      <c r="P91" s="1951">
        <v>1526</v>
      </c>
      <c r="Q91" s="1960">
        <v>1596</v>
      </c>
    </row>
    <row r="92" spans="1:17" ht="12.75" customHeight="1">
      <c r="A92" s="2332" t="s">
        <v>3565</v>
      </c>
      <c r="B92" s="2185" t="s">
        <v>3567</v>
      </c>
      <c r="C92" s="2296" t="s">
        <v>3453</v>
      </c>
      <c r="D92" s="2296"/>
      <c r="E92" s="2333" t="s">
        <v>3467</v>
      </c>
      <c r="F92" s="2333" t="s">
        <v>3468</v>
      </c>
      <c r="G92" s="2185" t="s">
        <v>3469</v>
      </c>
      <c r="H92" s="2333"/>
      <c r="I92" s="2334"/>
      <c r="J92" s="2185"/>
      <c r="K92" s="2336"/>
      <c r="L92" s="2335"/>
      <c r="M92" s="1951"/>
      <c r="N92" s="1962"/>
      <c r="O92" s="1961">
        <v>507327</v>
      </c>
      <c r="P92" s="1951">
        <v>530665</v>
      </c>
      <c r="Q92" s="1960">
        <v>555075</v>
      </c>
    </row>
    <row r="93" spans="1:17" ht="12.75" customHeight="1">
      <c r="A93" s="2332" t="s">
        <v>3464</v>
      </c>
      <c r="B93" s="2185" t="s">
        <v>3568</v>
      </c>
      <c r="C93" s="2296" t="s">
        <v>3569</v>
      </c>
      <c r="D93" s="2296"/>
      <c r="E93" s="2333" t="s">
        <v>3467</v>
      </c>
      <c r="F93" s="2333" t="s">
        <v>3468</v>
      </c>
      <c r="G93" s="2185" t="s">
        <v>3475</v>
      </c>
      <c r="H93" s="2333"/>
      <c r="I93" s="2334"/>
      <c r="J93" s="2185"/>
      <c r="K93" s="2336"/>
      <c r="L93" s="2335"/>
      <c r="M93" s="1951"/>
      <c r="N93" s="1962"/>
      <c r="O93" s="1961">
        <v>1500000</v>
      </c>
      <c r="P93" s="1951">
        <v>1569000</v>
      </c>
      <c r="Q93" s="1960">
        <v>1641174</v>
      </c>
    </row>
    <row r="94" spans="1:17" ht="12.75" customHeight="1">
      <c r="A94" s="2332" t="s">
        <v>3483</v>
      </c>
      <c r="B94" s="2185" t="s">
        <v>3570</v>
      </c>
      <c r="C94" s="2296" t="s">
        <v>3453</v>
      </c>
      <c r="D94" s="2296"/>
      <c r="E94" s="2333" t="s">
        <v>3456</v>
      </c>
      <c r="F94" s="2333" t="s">
        <v>3457</v>
      </c>
      <c r="G94" s="2185" t="s">
        <v>3481</v>
      </c>
      <c r="H94" s="2333"/>
      <c r="I94" s="2334"/>
      <c r="J94" s="2185"/>
      <c r="K94" s="2336"/>
      <c r="L94" s="2335"/>
      <c r="M94" s="1951"/>
      <c r="N94" s="1962"/>
      <c r="O94" s="1961">
        <v>33926</v>
      </c>
      <c r="P94" s="1951">
        <v>35487</v>
      </c>
      <c r="Q94" s="1960">
        <v>37119</v>
      </c>
    </row>
    <row r="95" spans="1:17" ht="12.75" customHeight="1">
      <c r="A95" s="2332" t="s">
        <v>3479</v>
      </c>
      <c r="B95" s="2185" t="s">
        <v>3571</v>
      </c>
      <c r="C95" s="2296" t="s">
        <v>3453</v>
      </c>
      <c r="D95" s="2296"/>
      <c r="E95" s="2333" t="s">
        <v>3456</v>
      </c>
      <c r="F95" s="2333" t="s">
        <v>3457</v>
      </c>
      <c r="G95" s="2185" t="s">
        <v>3458</v>
      </c>
      <c r="H95" s="2333"/>
      <c r="I95" s="2334"/>
      <c r="J95" s="2185"/>
      <c r="K95" s="2336"/>
      <c r="L95" s="2335"/>
      <c r="M95" s="1951"/>
      <c r="N95" s="1962"/>
      <c r="O95" s="1961">
        <v>125086</v>
      </c>
      <c r="P95" s="1951">
        <v>125086</v>
      </c>
      <c r="Q95" s="1960">
        <v>130840</v>
      </c>
    </row>
    <row r="96" spans="1:17" ht="12.75" customHeight="1">
      <c r="A96" s="2332" t="s">
        <v>3572</v>
      </c>
      <c r="B96" s="2185" t="s">
        <v>3573</v>
      </c>
      <c r="C96" s="2296" t="s">
        <v>3453</v>
      </c>
      <c r="D96" s="2296"/>
      <c r="E96" s="2333" t="s">
        <v>3456</v>
      </c>
      <c r="F96" s="2333" t="s">
        <v>3457</v>
      </c>
      <c r="G96" s="2185" t="s">
        <v>3461</v>
      </c>
      <c r="H96" s="2333"/>
      <c r="I96" s="2334"/>
      <c r="J96" s="2185"/>
      <c r="K96" s="2336"/>
      <c r="L96" s="2335"/>
      <c r="M96" s="1951"/>
      <c r="N96" s="1962"/>
      <c r="O96" s="1961">
        <v>160291</v>
      </c>
      <c r="P96" s="1951">
        <v>167665</v>
      </c>
      <c r="Q96" s="1960">
        <v>175377</v>
      </c>
    </row>
    <row r="97" spans="1:17" ht="12.75" customHeight="1">
      <c r="A97" s="2332" t="s">
        <v>3454</v>
      </c>
      <c r="B97" s="2185" t="s">
        <v>3574</v>
      </c>
      <c r="C97" s="2296" t="s">
        <v>3453</v>
      </c>
      <c r="D97" s="2296"/>
      <c r="E97" s="2333" t="s">
        <v>3467</v>
      </c>
      <c r="F97" s="2333" t="s">
        <v>3468</v>
      </c>
      <c r="G97" s="2185" t="s">
        <v>3469</v>
      </c>
      <c r="H97" s="2333"/>
      <c r="I97" s="2334"/>
      <c r="J97" s="2185"/>
      <c r="K97" s="2336"/>
      <c r="L97" s="2335"/>
      <c r="M97" s="1951"/>
      <c r="N97" s="1962"/>
      <c r="O97" s="1961">
        <v>0</v>
      </c>
      <c r="P97" s="1951">
        <v>0</v>
      </c>
      <c r="Q97" s="1960">
        <v>0</v>
      </c>
    </row>
    <row r="98" spans="1:17" ht="12.75" customHeight="1">
      <c r="A98" s="2332" t="s">
        <v>3454</v>
      </c>
      <c r="B98" s="2185" t="s">
        <v>3455</v>
      </c>
      <c r="C98" s="2296" t="s">
        <v>3453</v>
      </c>
      <c r="D98" s="2296"/>
      <c r="E98" s="2333" t="s">
        <v>3467</v>
      </c>
      <c r="F98" s="2333" t="s">
        <v>3468</v>
      </c>
      <c r="G98" s="2185" t="s">
        <v>3475</v>
      </c>
      <c r="H98" s="2333"/>
      <c r="I98" s="2334"/>
      <c r="J98" s="2185"/>
      <c r="K98" s="2336"/>
      <c r="L98" s="2335"/>
      <c r="M98" s="1951"/>
      <c r="N98" s="1962"/>
      <c r="O98" s="1961">
        <v>7645</v>
      </c>
      <c r="P98" s="1951">
        <v>7997</v>
      </c>
      <c r="Q98" s="1960">
        <v>8365</v>
      </c>
    </row>
    <row r="99" spans="1:17" ht="12.75" customHeight="1">
      <c r="A99" s="2332" t="s">
        <v>3479</v>
      </c>
      <c r="B99" s="2185" t="s">
        <v>3550</v>
      </c>
      <c r="C99" s="2296" t="s">
        <v>3453</v>
      </c>
      <c r="D99" s="2296"/>
      <c r="E99" s="2333" t="s">
        <v>3467</v>
      </c>
      <c r="F99" s="2333" t="s">
        <v>3468</v>
      </c>
      <c r="G99" s="2185" t="s">
        <v>3469</v>
      </c>
      <c r="H99" s="2333"/>
      <c r="I99" s="2334"/>
      <c r="J99" s="2185"/>
      <c r="K99" s="2336"/>
      <c r="L99" s="2335"/>
      <c r="M99" s="1951"/>
      <c r="N99" s="1962"/>
      <c r="O99" s="1961">
        <v>468052</v>
      </c>
      <c r="P99" s="1951">
        <v>489583</v>
      </c>
      <c r="Q99" s="1960">
        <v>512104</v>
      </c>
    </row>
    <row r="100" spans="1:17" ht="12.75" customHeight="1">
      <c r="A100" s="2332" t="s">
        <v>3477</v>
      </c>
      <c r="B100" s="2185" t="s">
        <v>3575</v>
      </c>
      <c r="C100" s="2296" t="s">
        <v>3453</v>
      </c>
      <c r="D100" s="2296"/>
      <c r="E100" s="2333" t="s">
        <v>3456</v>
      </c>
      <c r="F100" s="2333" t="s">
        <v>3457</v>
      </c>
      <c r="G100" s="2185" t="s">
        <v>3461</v>
      </c>
      <c r="H100" s="2333"/>
      <c r="I100" s="2334"/>
      <c r="J100" s="2185"/>
      <c r="K100" s="2336"/>
      <c r="L100" s="2335"/>
      <c r="M100" s="1951"/>
      <c r="N100" s="1962"/>
      <c r="O100" s="1961">
        <v>58914</v>
      </c>
      <c r="P100" s="1951">
        <v>61625</v>
      </c>
      <c r="Q100" s="1960">
        <v>64459</v>
      </c>
    </row>
    <row r="101" spans="1:17" ht="12.75" customHeight="1">
      <c r="A101" s="2332" t="s">
        <v>3576</v>
      </c>
      <c r="B101" s="2185" t="s">
        <v>3577</v>
      </c>
      <c r="C101" s="2296" t="s">
        <v>3453</v>
      </c>
      <c r="D101" s="2296"/>
      <c r="E101" s="2333" t="s">
        <v>3456</v>
      </c>
      <c r="F101" s="2333" t="s">
        <v>3457</v>
      </c>
      <c r="G101" s="2185" t="s">
        <v>3458</v>
      </c>
      <c r="H101" s="2333"/>
      <c r="I101" s="2334"/>
      <c r="J101" s="2185"/>
      <c r="K101" s="2336"/>
      <c r="L101" s="2335"/>
      <c r="M101" s="1951"/>
      <c r="N101" s="1962"/>
      <c r="O101" s="1961">
        <v>0</v>
      </c>
      <c r="P101" s="1951">
        <v>0</v>
      </c>
      <c r="Q101" s="1960">
        <v>0</v>
      </c>
    </row>
    <row r="102" spans="1:17" ht="12.75" customHeight="1">
      <c r="A102" s="2332" t="s">
        <v>3451</v>
      </c>
      <c r="B102" s="2185" t="s">
        <v>3578</v>
      </c>
      <c r="C102" s="2296" t="s">
        <v>3453</v>
      </c>
      <c r="D102" s="2296"/>
      <c r="E102" s="2333" t="s">
        <v>3467</v>
      </c>
      <c r="F102" s="2333" t="s">
        <v>3468</v>
      </c>
      <c r="G102" s="2185" t="s">
        <v>3469</v>
      </c>
      <c r="H102" s="2333"/>
      <c r="I102" s="2334"/>
      <c r="J102" s="2185"/>
      <c r="K102" s="2336"/>
      <c r="L102" s="2335"/>
      <c r="M102" s="1951"/>
      <c r="N102" s="1962"/>
      <c r="O102" s="1961">
        <v>129319</v>
      </c>
      <c r="P102" s="1951">
        <v>135268</v>
      </c>
      <c r="Q102" s="1960">
        <v>141490</v>
      </c>
    </row>
    <row r="103" spans="1:17" ht="12.75" customHeight="1">
      <c r="A103" s="2332" t="s">
        <v>3479</v>
      </c>
      <c r="B103" s="2185" t="s">
        <v>3579</v>
      </c>
      <c r="C103" s="2296" t="s">
        <v>3453</v>
      </c>
      <c r="D103" s="2296"/>
      <c r="E103" s="2333" t="s">
        <v>3456</v>
      </c>
      <c r="F103" s="2333" t="s">
        <v>3457</v>
      </c>
      <c r="G103" s="2185" t="s">
        <v>3461</v>
      </c>
      <c r="H103" s="2333"/>
      <c r="I103" s="2334"/>
      <c r="J103" s="2185"/>
      <c r="K103" s="2336"/>
      <c r="L103" s="2335"/>
      <c r="M103" s="1951"/>
      <c r="N103" s="1962"/>
      <c r="O103" s="1961">
        <v>0</v>
      </c>
      <c r="P103" s="1951">
        <v>0</v>
      </c>
      <c r="Q103" s="1960">
        <v>1</v>
      </c>
    </row>
    <row r="104" spans="1:17" ht="12.75" customHeight="1">
      <c r="A104" s="2332" t="s">
        <v>3523</v>
      </c>
      <c r="B104" s="2185" t="s">
        <v>3580</v>
      </c>
      <c r="C104" s="2296" t="s">
        <v>3453</v>
      </c>
      <c r="D104" s="2296"/>
      <c r="E104" s="2333" t="s">
        <v>3456</v>
      </c>
      <c r="F104" s="2333" t="s">
        <v>3457</v>
      </c>
      <c r="G104" s="2185" t="s">
        <v>3458</v>
      </c>
      <c r="H104" s="2333"/>
      <c r="I104" s="2334"/>
      <c r="J104" s="2185"/>
      <c r="K104" s="2336"/>
      <c r="L104" s="2335"/>
      <c r="M104" s="1951"/>
      <c r="N104" s="1962"/>
      <c r="O104" s="1961">
        <v>16500000</v>
      </c>
      <c r="P104" s="1951">
        <v>17259000</v>
      </c>
      <c r="Q104" s="1960">
        <v>18052914</v>
      </c>
    </row>
    <row r="105" spans="1:17" ht="12.75" customHeight="1">
      <c r="A105" s="2332" t="s">
        <v>3499</v>
      </c>
      <c r="B105" s="2185" t="s">
        <v>3581</v>
      </c>
      <c r="C105" s="2296" t="s">
        <v>3582</v>
      </c>
      <c r="D105" s="2296"/>
      <c r="E105" s="2333" t="s">
        <v>3467</v>
      </c>
      <c r="F105" s="2333" t="s">
        <v>3468</v>
      </c>
      <c r="G105" s="2185" t="s">
        <v>3469</v>
      </c>
      <c r="H105" s="2333"/>
      <c r="I105" s="2334"/>
      <c r="J105" s="2185"/>
      <c r="K105" s="2336"/>
      <c r="L105" s="2335"/>
      <c r="M105" s="1951"/>
      <c r="N105" s="1962"/>
      <c r="O105" s="1961">
        <v>48321</v>
      </c>
      <c r="P105" s="1951">
        <v>50544</v>
      </c>
      <c r="Q105" s="1960">
        <v>52869</v>
      </c>
    </row>
    <row r="106" spans="1:17" ht="12.75" customHeight="1">
      <c r="A106" s="2332" t="s">
        <v>3483</v>
      </c>
      <c r="B106" s="2185" t="s">
        <v>3583</v>
      </c>
      <c r="C106" s="2296" t="s">
        <v>3453</v>
      </c>
      <c r="D106" s="2296"/>
      <c r="E106" s="2333" t="s">
        <v>3456</v>
      </c>
      <c r="F106" s="2333" t="s">
        <v>3457</v>
      </c>
      <c r="G106" s="2185" t="s">
        <v>3461</v>
      </c>
      <c r="H106" s="2333"/>
      <c r="I106" s="2334"/>
      <c r="J106" s="2185"/>
      <c r="K106" s="2336"/>
      <c r="L106" s="2335"/>
      <c r="M106" s="1951"/>
      <c r="N106" s="1962"/>
      <c r="O106" s="1961">
        <v>2000</v>
      </c>
      <c r="P106" s="1951">
        <v>2000</v>
      </c>
      <c r="Q106" s="1960">
        <v>2000</v>
      </c>
    </row>
    <row r="107" spans="1:17" ht="12.75" customHeight="1">
      <c r="A107" s="2332" t="s">
        <v>3584</v>
      </c>
      <c r="B107" s="2185" t="s">
        <v>3585</v>
      </c>
      <c r="C107" s="2296" t="s">
        <v>3453</v>
      </c>
      <c r="D107" s="2296"/>
      <c r="E107" s="2333" t="s">
        <v>3456</v>
      </c>
      <c r="F107" s="2333" t="s">
        <v>3457</v>
      </c>
      <c r="G107" s="2185" t="s">
        <v>3461</v>
      </c>
      <c r="H107" s="2333"/>
      <c r="I107" s="2334"/>
      <c r="J107" s="2185"/>
      <c r="K107" s="2336"/>
      <c r="L107" s="2335"/>
      <c r="M107" s="1951"/>
      <c r="N107" s="1962"/>
      <c r="O107" s="1961">
        <v>190945</v>
      </c>
      <c r="P107" s="1951">
        <v>199729</v>
      </c>
      <c r="Q107" s="1960">
        <v>208916</v>
      </c>
    </row>
    <row r="108" spans="1:17" ht="12.75" customHeight="1">
      <c r="A108" s="2332" t="s">
        <v>3490</v>
      </c>
      <c r="B108" s="2185" t="s">
        <v>3586</v>
      </c>
      <c r="C108" s="2296" t="s">
        <v>3453</v>
      </c>
      <c r="D108" s="2296"/>
      <c r="E108" s="2333" t="s">
        <v>3456</v>
      </c>
      <c r="F108" s="2333" t="s">
        <v>3457</v>
      </c>
      <c r="G108" s="2185" t="s">
        <v>3461</v>
      </c>
      <c r="H108" s="2333"/>
      <c r="I108" s="2334"/>
      <c r="J108" s="2185"/>
      <c r="K108" s="2336"/>
      <c r="L108" s="2335"/>
      <c r="M108" s="1951"/>
      <c r="N108" s="1962"/>
      <c r="O108" s="1961">
        <v>0</v>
      </c>
      <c r="P108" s="1951">
        <v>0</v>
      </c>
      <c r="Q108" s="1960">
        <v>1</v>
      </c>
    </row>
    <row r="109" spans="1:17" ht="12.75" customHeight="1">
      <c r="A109" s="2332" t="s">
        <v>3543</v>
      </c>
      <c r="B109" s="2185" t="s">
        <v>3587</v>
      </c>
      <c r="C109" s="2296" t="s">
        <v>3453</v>
      </c>
      <c r="D109" s="2296"/>
      <c r="E109" s="2333" t="s">
        <v>3456</v>
      </c>
      <c r="F109" s="2333" t="s">
        <v>3457</v>
      </c>
      <c r="G109" s="2185" t="s">
        <v>3458</v>
      </c>
      <c r="H109" s="2333"/>
      <c r="I109" s="2334"/>
      <c r="J109" s="2185"/>
      <c r="K109" s="2336"/>
      <c r="L109" s="2335"/>
      <c r="M109" s="1951"/>
      <c r="N109" s="1962"/>
      <c r="O109" s="1961">
        <v>0</v>
      </c>
      <c r="P109" s="1951">
        <v>0</v>
      </c>
      <c r="Q109" s="1960">
        <v>0</v>
      </c>
    </row>
    <row r="110" spans="1:17" ht="12.75" customHeight="1">
      <c r="A110" s="2332" t="s">
        <v>3501</v>
      </c>
      <c r="B110" s="2185" t="s">
        <v>3588</v>
      </c>
      <c r="C110" s="2296" t="s">
        <v>3453</v>
      </c>
      <c r="D110" s="2296"/>
      <c r="E110" s="2333" t="s">
        <v>3456</v>
      </c>
      <c r="F110" s="2333" t="s">
        <v>3457</v>
      </c>
      <c r="G110" s="2185" t="s">
        <v>3461</v>
      </c>
      <c r="H110" s="2333"/>
      <c r="I110" s="2334"/>
      <c r="J110" s="2185"/>
      <c r="K110" s="2336"/>
      <c r="L110" s="2335"/>
      <c r="M110" s="1951"/>
      <c r="N110" s="1962"/>
      <c r="O110" s="1961">
        <v>6408</v>
      </c>
      <c r="P110" s="1951">
        <v>6703</v>
      </c>
      <c r="Q110" s="1960">
        <v>7012</v>
      </c>
    </row>
    <row r="111" spans="1:17" ht="12.75" customHeight="1">
      <c r="A111" s="2332" t="s">
        <v>3541</v>
      </c>
      <c r="B111" s="2185" t="s">
        <v>3542</v>
      </c>
      <c r="C111" s="2296" t="s">
        <v>3453</v>
      </c>
      <c r="D111" s="2296"/>
      <c r="E111" s="2333" t="s">
        <v>3456</v>
      </c>
      <c r="F111" s="2333" t="s">
        <v>3457</v>
      </c>
      <c r="G111" s="2185" t="s">
        <v>3461</v>
      </c>
      <c r="H111" s="2333"/>
      <c r="I111" s="2334"/>
      <c r="J111" s="2185"/>
      <c r="K111" s="2336"/>
      <c r="L111" s="2335"/>
      <c r="M111" s="1951"/>
      <c r="N111" s="1962"/>
      <c r="O111" s="1961">
        <v>25704</v>
      </c>
      <c r="P111" s="1951">
        <v>26887</v>
      </c>
      <c r="Q111" s="1960">
        <v>28124</v>
      </c>
    </row>
    <row r="112" spans="1:17" ht="12.75" customHeight="1">
      <c r="A112" s="2332" t="s">
        <v>3451</v>
      </c>
      <c r="B112" s="2185" t="s">
        <v>3452</v>
      </c>
      <c r="C112" s="2296" t="s">
        <v>3453</v>
      </c>
      <c r="D112" s="2296"/>
      <c r="E112" s="2333" t="s">
        <v>3456</v>
      </c>
      <c r="F112" s="2333" t="s">
        <v>3457</v>
      </c>
      <c r="G112" s="2185" t="s">
        <v>3461</v>
      </c>
      <c r="H112" s="2333"/>
      <c r="I112" s="2334"/>
      <c r="J112" s="2185"/>
      <c r="K112" s="2336"/>
      <c r="L112" s="2335"/>
      <c r="M112" s="1951"/>
      <c r="N112" s="1962"/>
      <c r="O112" s="1961">
        <v>3823</v>
      </c>
      <c r="P112" s="1951">
        <v>3999</v>
      </c>
      <c r="Q112" s="1960">
        <v>4183</v>
      </c>
    </row>
    <row r="113" spans="1:17" ht="12.75" customHeight="1">
      <c r="A113" s="2332" t="s">
        <v>3499</v>
      </c>
      <c r="B113" s="2185" t="s">
        <v>3589</v>
      </c>
      <c r="C113" s="2296" t="s">
        <v>3453</v>
      </c>
      <c r="D113" s="2296"/>
      <c r="E113" s="2333" t="s">
        <v>3456</v>
      </c>
      <c r="F113" s="2333" t="s">
        <v>3457</v>
      </c>
      <c r="G113" s="2185" t="s">
        <v>3458</v>
      </c>
      <c r="H113" s="2333"/>
      <c r="I113" s="2334"/>
      <c r="J113" s="2185"/>
      <c r="K113" s="2336"/>
      <c r="L113" s="2335"/>
      <c r="M113" s="1951"/>
      <c r="N113" s="1962"/>
      <c r="O113" s="1961">
        <v>788131</v>
      </c>
      <c r="P113" s="1951">
        <v>824386</v>
      </c>
      <c r="Q113" s="1960">
        <v>862307</v>
      </c>
    </row>
    <row r="114" spans="1:17" ht="12.75" customHeight="1">
      <c r="A114" s="2332" t="s">
        <v>3454</v>
      </c>
      <c r="B114" s="2185" t="s">
        <v>3545</v>
      </c>
      <c r="C114" s="2296" t="s">
        <v>3453</v>
      </c>
      <c r="D114" s="2296"/>
      <c r="E114" s="2333" t="s">
        <v>3467</v>
      </c>
      <c r="F114" s="2333" t="s">
        <v>3468</v>
      </c>
      <c r="G114" s="2185" t="s">
        <v>3469</v>
      </c>
      <c r="H114" s="2333"/>
      <c r="I114" s="2334"/>
      <c r="J114" s="2185"/>
      <c r="K114" s="2336"/>
      <c r="L114" s="2335"/>
      <c r="M114" s="1951"/>
      <c r="N114" s="1962"/>
      <c r="O114" s="1961">
        <v>0</v>
      </c>
      <c r="P114" s="1951">
        <v>0</v>
      </c>
      <c r="Q114" s="1960">
        <v>0</v>
      </c>
    </row>
    <row r="115" spans="1:17" ht="12.75" customHeight="1">
      <c r="A115" s="2332" t="s">
        <v>3490</v>
      </c>
      <c r="B115" s="2185" t="s">
        <v>3586</v>
      </c>
      <c r="C115" s="2296" t="s">
        <v>3453</v>
      </c>
      <c r="D115" s="2296"/>
      <c r="E115" s="2333" t="s">
        <v>3456</v>
      </c>
      <c r="F115" s="2333" t="s">
        <v>3457</v>
      </c>
      <c r="G115" s="2185" t="s">
        <v>3526</v>
      </c>
      <c r="H115" s="2333"/>
      <c r="I115" s="2334"/>
      <c r="J115" s="2185"/>
      <c r="K115" s="2336"/>
      <c r="L115" s="2335"/>
      <c r="M115" s="1951"/>
      <c r="N115" s="1962"/>
      <c r="O115" s="1961">
        <v>22557</v>
      </c>
      <c r="P115" s="1951">
        <v>23596</v>
      </c>
      <c r="Q115" s="1960">
        <v>24681</v>
      </c>
    </row>
    <row r="116" spans="1:17" ht="12.75" customHeight="1">
      <c r="A116" s="2332" t="s">
        <v>3464</v>
      </c>
      <c r="B116" s="2185" t="s">
        <v>3489</v>
      </c>
      <c r="C116" s="2296" t="s">
        <v>3453</v>
      </c>
      <c r="D116" s="2296"/>
      <c r="E116" s="2333" t="s">
        <v>3467</v>
      </c>
      <c r="F116" s="2333" t="s">
        <v>3468</v>
      </c>
      <c r="G116" s="2185" t="s">
        <v>3469</v>
      </c>
      <c r="H116" s="2333"/>
      <c r="I116" s="2334"/>
      <c r="J116" s="2185"/>
      <c r="K116" s="2336"/>
      <c r="L116" s="2335"/>
      <c r="M116" s="1951"/>
      <c r="N116" s="1962"/>
      <c r="O116" s="1961">
        <v>359</v>
      </c>
      <c r="P116" s="1951">
        <v>376</v>
      </c>
      <c r="Q116" s="1960">
        <v>393</v>
      </c>
    </row>
    <row r="117" spans="1:17" ht="12.75" customHeight="1">
      <c r="A117" s="2332" t="s">
        <v>3459</v>
      </c>
      <c r="B117" s="2185" t="s">
        <v>3590</v>
      </c>
      <c r="C117" s="2296" t="s">
        <v>3453</v>
      </c>
      <c r="D117" s="2296"/>
      <c r="E117" s="2333" t="s">
        <v>3456</v>
      </c>
      <c r="F117" s="2333" t="s">
        <v>3457</v>
      </c>
      <c r="G117" s="2185" t="s">
        <v>3458</v>
      </c>
      <c r="H117" s="2333"/>
      <c r="I117" s="2334"/>
      <c r="J117" s="2185"/>
      <c r="K117" s="2336"/>
      <c r="L117" s="2335"/>
      <c r="M117" s="1951"/>
      <c r="N117" s="1962"/>
      <c r="O117" s="1961">
        <v>0</v>
      </c>
      <c r="P117" s="1951">
        <v>0</v>
      </c>
      <c r="Q117" s="1960">
        <v>0</v>
      </c>
    </row>
    <row r="118" spans="1:17" ht="12.75" customHeight="1">
      <c r="A118" s="2332" t="s">
        <v>3523</v>
      </c>
      <c r="B118" s="2185" t="s">
        <v>3535</v>
      </c>
      <c r="C118" s="2296" t="s">
        <v>3453</v>
      </c>
      <c r="D118" s="2296"/>
      <c r="E118" s="2333" t="s">
        <v>3456</v>
      </c>
      <c r="F118" s="2333" t="s">
        <v>3457</v>
      </c>
      <c r="G118" s="2185" t="s">
        <v>3458</v>
      </c>
      <c r="H118" s="2333"/>
      <c r="I118" s="2334"/>
      <c r="J118" s="2185"/>
      <c r="K118" s="2336"/>
      <c r="L118" s="2335"/>
      <c r="M118" s="1951"/>
      <c r="N118" s="1962"/>
      <c r="O118" s="1961">
        <v>0</v>
      </c>
      <c r="P118" s="1951">
        <v>0</v>
      </c>
      <c r="Q118" s="1960">
        <v>0</v>
      </c>
    </row>
    <row r="119" spans="1:17" ht="12.75" customHeight="1">
      <c r="A119" s="2332" t="s">
        <v>3572</v>
      </c>
      <c r="B119" s="2185" t="s">
        <v>3573</v>
      </c>
      <c r="C119" s="2296" t="s">
        <v>3453</v>
      </c>
      <c r="D119" s="2296"/>
      <c r="E119" s="2333" t="s">
        <v>3456</v>
      </c>
      <c r="F119" s="2333" t="s">
        <v>3457</v>
      </c>
      <c r="G119" s="2185" t="s">
        <v>3458</v>
      </c>
      <c r="H119" s="2333"/>
      <c r="I119" s="2334"/>
      <c r="J119" s="2185"/>
      <c r="K119" s="2336"/>
      <c r="L119" s="2335"/>
      <c r="M119" s="1951"/>
      <c r="N119" s="1962"/>
      <c r="O119" s="1961">
        <v>33797</v>
      </c>
      <c r="P119" s="1951">
        <v>35352</v>
      </c>
      <c r="Q119" s="1960">
        <v>36978</v>
      </c>
    </row>
    <row r="120" spans="1:17" ht="12.75" customHeight="1">
      <c r="A120" s="2332" t="s">
        <v>3479</v>
      </c>
      <c r="B120" s="2185" t="s">
        <v>3550</v>
      </c>
      <c r="C120" s="2296" t="s">
        <v>3453</v>
      </c>
      <c r="D120" s="2296"/>
      <c r="E120" s="2333" t="s">
        <v>3456</v>
      </c>
      <c r="F120" s="2333" t="s">
        <v>3457</v>
      </c>
      <c r="G120" s="2185" t="s">
        <v>3461</v>
      </c>
      <c r="H120" s="2333"/>
      <c r="I120" s="2334"/>
      <c r="J120" s="2185"/>
      <c r="K120" s="2336"/>
      <c r="L120" s="2335"/>
      <c r="M120" s="1951"/>
      <c r="N120" s="1962"/>
      <c r="O120" s="1961">
        <v>1142657</v>
      </c>
      <c r="P120" s="1951">
        <v>1195220</v>
      </c>
      <c r="Q120" s="1960">
        <v>1250200</v>
      </c>
    </row>
    <row r="121" spans="1:17" ht="12.75" customHeight="1">
      <c r="A121" s="2332" t="s">
        <v>3536</v>
      </c>
      <c r="B121" s="2185" t="s">
        <v>3537</v>
      </c>
      <c r="C121" s="2296" t="s">
        <v>3453</v>
      </c>
      <c r="D121" s="2296"/>
      <c r="E121" s="2333" t="s">
        <v>3456</v>
      </c>
      <c r="F121" s="2333" t="s">
        <v>3457</v>
      </c>
      <c r="G121" s="2185" t="s">
        <v>3461</v>
      </c>
      <c r="H121" s="2333"/>
      <c r="I121" s="2334"/>
      <c r="J121" s="2185"/>
      <c r="K121" s="2336"/>
      <c r="L121" s="2335"/>
      <c r="M121" s="1951"/>
      <c r="N121" s="1962"/>
      <c r="O121" s="1961">
        <v>110517</v>
      </c>
      <c r="P121" s="1951">
        <v>115601</v>
      </c>
      <c r="Q121" s="1960">
        <v>120919</v>
      </c>
    </row>
    <row r="122" spans="1:17" ht="12.75" customHeight="1">
      <c r="A122" s="2332" t="s">
        <v>3499</v>
      </c>
      <c r="B122" s="2185" t="s">
        <v>3500</v>
      </c>
      <c r="C122" s="2296" t="s">
        <v>3453</v>
      </c>
      <c r="D122" s="2296"/>
      <c r="E122" s="2333" t="s">
        <v>3467</v>
      </c>
      <c r="F122" s="2333" t="s">
        <v>3468</v>
      </c>
      <c r="G122" s="2185" t="s">
        <v>2676</v>
      </c>
      <c r="H122" s="2333"/>
      <c r="I122" s="2334"/>
      <c r="J122" s="2185"/>
      <c r="K122" s="2336"/>
      <c r="L122" s="2335"/>
      <c r="M122" s="1951"/>
      <c r="N122" s="1962"/>
      <c r="O122" s="1961">
        <v>39841</v>
      </c>
      <c r="P122" s="1951">
        <v>41674</v>
      </c>
      <c r="Q122" s="1960">
        <v>43591</v>
      </c>
    </row>
    <row r="123" spans="1:17" ht="12.75" customHeight="1">
      <c r="A123" s="2332" t="s">
        <v>3541</v>
      </c>
      <c r="B123" s="2185" t="s">
        <v>3542</v>
      </c>
      <c r="C123" s="2296" t="s">
        <v>3453</v>
      </c>
      <c r="D123" s="2296"/>
      <c r="E123" s="2333" t="s">
        <v>3467</v>
      </c>
      <c r="F123" s="2333" t="s">
        <v>3468</v>
      </c>
      <c r="G123" s="2185" t="s">
        <v>3469</v>
      </c>
      <c r="H123" s="2333"/>
      <c r="I123" s="2334"/>
      <c r="J123" s="2185"/>
      <c r="K123" s="2336"/>
      <c r="L123" s="2335"/>
      <c r="M123" s="1951"/>
      <c r="N123" s="1962"/>
      <c r="O123" s="1961">
        <v>52641</v>
      </c>
      <c r="P123" s="1951">
        <v>55062</v>
      </c>
      <c r="Q123" s="1960">
        <v>57595</v>
      </c>
    </row>
    <row r="124" spans="1:17" ht="12.75" customHeight="1">
      <c r="A124" s="2332" t="s">
        <v>3459</v>
      </c>
      <c r="B124" s="2185" t="s">
        <v>3591</v>
      </c>
      <c r="C124" s="2296" t="s">
        <v>3453</v>
      </c>
      <c r="D124" s="2296"/>
      <c r="E124" s="2333" t="s">
        <v>3456</v>
      </c>
      <c r="F124" s="2333" t="s">
        <v>3457</v>
      </c>
      <c r="G124" s="2185" t="s">
        <v>3461</v>
      </c>
      <c r="H124" s="2333"/>
      <c r="I124" s="2334"/>
      <c r="J124" s="2185"/>
      <c r="K124" s="2336"/>
      <c r="L124" s="2335"/>
      <c r="M124" s="1951"/>
      <c r="N124" s="1962"/>
      <c r="O124" s="1961">
        <v>39053</v>
      </c>
      <c r="P124" s="1951">
        <v>39053</v>
      </c>
      <c r="Q124" s="1960">
        <v>40850</v>
      </c>
    </row>
    <row r="125" spans="1:17" ht="12.75" customHeight="1">
      <c r="A125" s="2332" t="s">
        <v>3499</v>
      </c>
      <c r="B125" s="2185" t="s">
        <v>3592</v>
      </c>
      <c r="C125" s="2296" t="s">
        <v>3453</v>
      </c>
      <c r="D125" s="2296"/>
      <c r="E125" s="2333" t="s">
        <v>3513</v>
      </c>
      <c r="F125" s="2333" t="s">
        <v>3514</v>
      </c>
      <c r="G125" s="2185" t="s">
        <v>3515</v>
      </c>
      <c r="H125" s="2333"/>
      <c r="I125" s="2334"/>
      <c r="J125" s="2185"/>
      <c r="K125" s="2336"/>
      <c r="L125" s="2335"/>
      <c r="M125" s="1951"/>
      <c r="N125" s="1962"/>
      <c r="O125" s="1961">
        <v>14000</v>
      </c>
      <c r="P125" s="1951">
        <v>14644</v>
      </c>
      <c r="Q125" s="1960">
        <v>15318</v>
      </c>
    </row>
    <row r="126" spans="1:17" ht="12.75" customHeight="1">
      <c r="A126" s="2332" t="s">
        <v>3531</v>
      </c>
      <c r="B126" s="2185" t="s">
        <v>3593</v>
      </c>
      <c r="C126" s="2296" t="s">
        <v>3453</v>
      </c>
      <c r="D126" s="2296"/>
      <c r="E126" s="2333" t="s">
        <v>3456</v>
      </c>
      <c r="F126" s="2333" t="s">
        <v>3457</v>
      </c>
      <c r="G126" s="2185" t="s">
        <v>3458</v>
      </c>
      <c r="H126" s="2333"/>
      <c r="I126" s="2334"/>
      <c r="J126" s="2185"/>
      <c r="K126" s="2336"/>
      <c r="L126" s="2335"/>
      <c r="M126" s="1951"/>
      <c r="N126" s="1962"/>
      <c r="O126" s="1961">
        <v>481420</v>
      </c>
      <c r="P126" s="1951">
        <v>507417</v>
      </c>
      <c r="Q126" s="1960">
        <v>534817</v>
      </c>
    </row>
    <row r="127" spans="1:17" ht="12.75" customHeight="1">
      <c r="A127" s="2332" t="s">
        <v>3464</v>
      </c>
      <c r="B127" s="2185" t="s">
        <v>3489</v>
      </c>
      <c r="C127" s="2296" t="s">
        <v>3453</v>
      </c>
      <c r="D127" s="2296"/>
      <c r="E127" s="2333" t="s">
        <v>3467</v>
      </c>
      <c r="F127" s="2333" t="s">
        <v>3468</v>
      </c>
      <c r="G127" s="2185" t="s">
        <v>3475</v>
      </c>
      <c r="H127" s="2333"/>
      <c r="I127" s="2334"/>
      <c r="J127" s="2185"/>
      <c r="K127" s="2336"/>
      <c r="L127" s="2335"/>
      <c r="M127" s="1951"/>
      <c r="N127" s="1962"/>
      <c r="O127" s="1961">
        <v>58257</v>
      </c>
      <c r="P127" s="1951">
        <v>60937</v>
      </c>
      <c r="Q127" s="1960">
        <v>63740</v>
      </c>
    </row>
    <row r="128" spans="1:17" ht="12.75" customHeight="1">
      <c r="A128" s="2332" t="s">
        <v>3558</v>
      </c>
      <c r="B128" s="2185" t="s">
        <v>3594</v>
      </c>
      <c r="C128" s="2296" t="s">
        <v>3595</v>
      </c>
      <c r="D128" s="2296"/>
      <c r="E128" s="2333" t="s">
        <v>3456</v>
      </c>
      <c r="F128" s="2333" t="s">
        <v>3457</v>
      </c>
      <c r="G128" s="2185" t="s">
        <v>3458</v>
      </c>
      <c r="H128" s="2333"/>
      <c r="I128" s="2334"/>
      <c r="J128" s="2185"/>
      <c r="K128" s="2336"/>
      <c r="L128" s="2335"/>
      <c r="M128" s="1951"/>
      <c r="N128" s="1962"/>
      <c r="O128" s="1961">
        <v>954511</v>
      </c>
      <c r="P128" s="1951">
        <v>998419</v>
      </c>
      <c r="Q128" s="1960">
        <v>1044346</v>
      </c>
    </row>
    <row r="129" spans="1:17" ht="12.75" customHeight="1">
      <c r="A129" s="2332" t="s">
        <v>3576</v>
      </c>
      <c r="B129" s="2185" t="s">
        <v>3596</v>
      </c>
      <c r="C129" s="2296" t="s">
        <v>3453</v>
      </c>
      <c r="D129" s="2296"/>
      <c r="E129" s="2333" t="s">
        <v>3456</v>
      </c>
      <c r="F129" s="2333" t="s">
        <v>3457</v>
      </c>
      <c r="G129" s="2185" t="s">
        <v>3461</v>
      </c>
      <c r="H129" s="2333"/>
      <c r="I129" s="2334"/>
      <c r="J129" s="2185"/>
      <c r="K129" s="2336"/>
      <c r="L129" s="2335"/>
      <c r="M129" s="1951"/>
      <c r="N129" s="1962"/>
      <c r="O129" s="1961">
        <v>30582</v>
      </c>
      <c r="P129" s="1951">
        <v>31989</v>
      </c>
      <c r="Q129" s="1960">
        <v>33461</v>
      </c>
    </row>
    <row r="130" spans="1:17" ht="12.75" customHeight="1">
      <c r="A130" s="2332" t="s">
        <v>3501</v>
      </c>
      <c r="B130" s="2185" t="s">
        <v>3502</v>
      </c>
      <c r="C130" s="2296" t="s">
        <v>3453</v>
      </c>
      <c r="D130" s="2296"/>
      <c r="E130" s="2333" t="s">
        <v>3456</v>
      </c>
      <c r="F130" s="2333" t="s">
        <v>3457</v>
      </c>
      <c r="G130" s="2185" t="s">
        <v>3461</v>
      </c>
      <c r="H130" s="2333"/>
      <c r="I130" s="2334"/>
      <c r="J130" s="2185"/>
      <c r="K130" s="2336"/>
      <c r="L130" s="2335"/>
      <c r="M130" s="1951"/>
      <c r="N130" s="1962"/>
      <c r="O130" s="1961">
        <v>2828716</v>
      </c>
      <c r="P130" s="1951">
        <v>2958837</v>
      </c>
      <c r="Q130" s="1960">
        <v>3094944</v>
      </c>
    </row>
    <row r="131" spans="1:17" ht="12.75" customHeight="1">
      <c r="A131" s="2332" t="s">
        <v>3538</v>
      </c>
      <c r="B131" s="2185" t="s">
        <v>3597</v>
      </c>
      <c r="C131" s="2296" t="s">
        <v>3497</v>
      </c>
      <c r="D131" s="2296"/>
      <c r="E131" s="2333" t="s">
        <v>3513</v>
      </c>
      <c r="F131" s="2333" t="s">
        <v>3514</v>
      </c>
      <c r="G131" s="2185" t="s">
        <v>3515</v>
      </c>
      <c r="H131" s="2333"/>
      <c r="I131" s="2334"/>
      <c r="J131" s="2185"/>
      <c r="K131" s="2336"/>
      <c r="L131" s="2335"/>
      <c r="M131" s="1951"/>
      <c r="N131" s="1962"/>
      <c r="O131" s="1961">
        <v>789</v>
      </c>
      <c r="P131" s="1951">
        <v>826</v>
      </c>
      <c r="Q131" s="1960">
        <v>864</v>
      </c>
    </row>
    <row r="132" spans="1:17" ht="12.75" customHeight="1">
      <c r="A132" s="2332" t="s">
        <v>3464</v>
      </c>
      <c r="B132" s="2185" t="s">
        <v>3598</v>
      </c>
      <c r="C132" s="2296" t="s">
        <v>3453</v>
      </c>
      <c r="D132" s="2296"/>
      <c r="E132" s="2333" t="s">
        <v>3467</v>
      </c>
      <c r="F132" s="2333" t="s">
        <v>3468</v>
      </c>
      <c r="G132" s="2185" t="s">
        <v>3469</v>
      </c>
      <c r="H132" s="2333"/>
      <c r="I132" s="2334"/>
      <c r="J132" s="2185"/>
      <c r="K132" s="2336"/>
      <c r="L132" s="2335"/>
      <c r="M132" s="1951"/>
      <c r="N132" s="1962"/>
      <c r="O132" s="1961">
        <v>18000000</v>
      </c>
      <c r="P132" s="1951">
        <v>18828000</v>
      </c>
      <c r="Q132" s="1960">
        <v>19694088</v>
      </c>
    </row>
    <row r="133" spans="1:17" ht="12.75" customHeight="1">
      <c r="A133" s="2332" t="s">
        <v>3459</v>
      </c>
      <c r="B133" s="2185" t="s">
        <v>3599</v>
      </c>
      <c r="C133" s="2296" t="s">
        <v>3453</v>
      </c>
      <c r="D133" s="2296"/>
      <c r="E133" s="2333" t="s">
        <v>3467</v>
      </c>
      <c r="F133" s="2333" t="s">
        <v>3468</v>
      </c>
      <c r="G133" s="2185" t="s">
        <v>2676</v>
      </c>
      <c r="H133" s="2333"/>
      <c r="I133" s="2334"/>
      <c r="J133" s="2185"/>
      <c r="K133" s="2336"/>
      <c r="L133" s="2335"/>
      <c r="M133" s="1951"/>
      <c r="N133" s="1962"/>
      <c r="O133" s="1961">
        <v>51784</v>
      </c>
      <c r="P133" s="1951">
        <v>51784</v>
      </c>
      <c r="Q133" s="1960">
        <v>54167</v>
      </c>
    </row>
    <row r="134" spans="1:17" ht="12.75" customHeight="1">
      <c r="A134" s="2332" t="s">
        <v>3470</v>
      </c>
      <c r="B134" s="2185" t="s">
        <v>3600</v>
      </c>
      <c r="C134" s="2296" t="s">
        <v>3453</v>
      </c>
      <c r="D134" s="2296"/>
      <c r="E134" s="2333" t="s">
        <v>3467</v>
      </c>
      <c r="F134" s="2333" t="s">
        <v>3468</v>
      </c>
      <c r="G134" s="2185" t="s">
        <v>3475</v>
      </c>
      <c r="H134" s="2333"/>
      <c r="I134" s="2334"/>
      <c r="J134" s="2185"/>
      <c r="K134" s="2336"/>
      <c r="L134" s="2335"/>
      <c r="M134" s="1951"/>
      <c r="N134" s="1962"/>
      <c r="O134" s="1961">
        <v>13033</v>
      </c>
      <c r="P134" s="1951">
        <v>13633</v>
      </c>
      <c r="Q134" s="1960">
        <v>14260</v>
      </c>
    </row>
    <row r="135" spans="1:17" ht="12.75" customHeight="1">
      <c r="A135" s="2332" t="s">
        <v>3479</v>
      </c>
      <c r="B135" s="2185" t="s">
        <v>3601</v>
      </c>
      <c r="C135" s="2296" t="s">
        <v>3602</v>
      </c>
      <c r="D135" s="2296"/>
      <c r="E135" s="2333" t="s">
        <v>3467</v>
      </c>
      <c r="F135" s="2333" t="s">
        <v>3468</v>
      </c>
      <c r="G135" s="2185" t="s">
        <v>3469</v>
      </c>
      <c r="H135" s="2333"/>
      <c r="I135" s="2334"/>
      <c r="J135" s="2185"/>
      <c r="K135" s="2336"/>
      <c r="L135" s="2335"/>
      <c r="M135" s="1951"/>
      <c r="N135" s="1962"/>
      <c r="O135" s="1961">
        <v>140000</v>
      </c>
      <c r="P135" s="1951">
        <v>146440</v>
      </c>
      <c r="Q135" s="1960">
        <v>153177</v>
      </c>
    </row>
    <row r="136" spans="1:17" ht="12.75" customHeight="1">
      <c r="A136" s="2332" t="s">
        <v>3520</v>
      </c>
      <c r="B136" s="2185" t="s">
        <v>3603</v>
      </c>
      <c r="C136" s="2296" t="s">
        <v>3453</v>
      </c>
      <c r="D136" s="2296"/>
      <c r="E136" s="2333" t="s">
        <v>3467</v>
      </c>
      <c r="F136" s="2333" t="s">
        <v>3468</v>
      </c>
      <c r="G136" s="2185" t="s">
        <v>3475</v>
      </c>
      <c r="H136" s="2333"/>
      <c r="I136" s="2334"/>
      <c r="J136" s="2185"/>
      <c r="K136" s="2336"/>
      <c r="L136" s="2335"/>
      <c r="M136" s="1951"/>
      <c r="N136" s="1962"/>
      <c r="O136" s="1961">
        <v>461636</v>
      </c>
      <c r="P136" s="1951">
        <v>482871</v>
      </c>
      <c r="Q136" s="1960">
        <v>505083</v>
      </c>
    </row>
    <row r="137" spans="1:17" ht="12.75" customHeight="1">
      <c r="A137" s="2332" t="s">
        <v>3459</v>
      </c>
      <c r="B137" s="2185" t="s">
        <v>3604</v>
      </c>
      <c r="C137" s="2296" t="s">
        <v>3453</v>
      </c>
      <c r="D137" s="2296"/>
      <c r="E137" s="2333" t="s">
        <v>3513</v>
      </c>
      <c r="F137" s="2333" t="s">
        <v>3514</v>
      </c>
      <c r="G137" s="2185" t="s">
        <v>3515</v>
      </c>
      <c r="H137" s="2333"/>
      <c r="I137" s="2334"/>
      <c r="J137" s="2185"/>
      <c r="K137" s="2336"/>
      <c r="L137" s="2335"/>
      <c r="M137" s="1951"/>
      <c r="N137" s="1962"/>
      <c r="O137" s="1961">
        <v>2366</v>
      </c>
      <c r="P137" s="1951">
        <v>2475</v>
      </c>
      <c r="Q137" s="1960">
        <v>2589</v>
      </c>
    </row>
    <row r="138" spans="1:17" ht="12.75" customHeight="1">
      <c r="A138" s="2332" t="s">
        <v>3464</v>
      </c>
      <c r="B138" s="2185" t="s">
        <v>3605</v>
      </c>
      <c r="C138" s="2296" t="s">
        <v>3453</v>
      </c>
      <c r="D138" s="2296"/>
      <c r="E138" s="2333" t="s">
        <v>3467</v>
      </c>
      <c r="F138" s="2333" t="s">
        <v>3468</v>
      </c>
      <c r="G138" s="2185" t="s">
        <v>3475</v>
      </c>
      <c r="H138" s="2333"/>
      <c r="I138" s="2334"/>
      <c r="J138" s="2185"/>
      <c r="K138" s="2336"/>
      <c r="L138" s="2335"/>
      <c r="M138" s="1951"/>
      <c r="N138" s="1962"/>
      <c r="O138" s="1961">
        <v>1103</v>
      </c>
      <c r="P138" s="1951">
        <v>1154</v>
      </c>
      <c r="Q138" s="1960">
        <v>1207</v>
      </c>
    </row>
    <row r="139" spans="1:17" ht="12.75" customHeight="1">
      <c r="A139" s="2332" t="s">
        <v>3541</v>
      </c>
      <c r="B139" s="2185" t="s">
        <v>3606</v>
      </c>
      <c r="C139" s="2296" t="s">
        <v>3453</v>
      </c>
      <c r="D139" s="2296"/>
      <c r="E139" s="2333" t="s">
        <v>3467</v>
      </c>
      <c r="F139" s="2333" t="s">
        <v>3468</v>
      </c>
      <c r="G139" s="2185" t="s">
        <v>3469</v>
      </c>
      <c r="H139" s="2333"/>
      <c r="I139" s="2334"/>
      <c r="J139" s="2185"/>
      <c r="K139" s="2336"/>
      <c r="L139" s="2335"/>
      <c r="M139" s="1951"/>
      <c r="N139" s="1962"/>
      <c r="O139" s="1961">
        <v>40475</v>
      </c>
      <c r="P139" s="1951">
        <v>42337</v>
      </c>
      <c r="Q139" s="1960">
        <v>44285</v>
      </c>
    </row>
    <row r="140" spans="1:17" ht="12.75" customHeight="1">
      <c r="A140" s="2332" t="s">
        <v>3490</v>
      </c>
      <c r="B140" s="2185" t="s">
        <v>3607</v>
      </c>
      <c r="C140" s="2296" t="s">
        <v>3453</v>
      </c>
      <c r="D140" s="2296"/>
      <c r="E140" s="2333" t="s">
        <v>3467</v>
      </c>
      <c r="F140" s="2333" t="s">
        <v>3468</v>
      </c>
      <c r="G140" s="2185" t="s">
        <v>3469</v>
      </c>
      <c r="H140" s="2333"/>
      <c r="I140" s="2334"/>
      <c r="J140" s="2185"/>
      <c r="K140" s="2336"/>
      <c r="L140" s="2335"/>
      <c r="M140" s="1951"/>
      <c r="N140" s="1962"/>
      <c r="O140" s="1961">
        <v>0</v>
      </c>
      <c r="P140" s="1951">
        <v>0</v>
      </c>
      <c r="Q140" s="1960">
        <v>0</v>
      </c>
    </row>
    <row r="141" spans="1:17" ht="12.75" customHeight="1">
      <c r="A141" s="2332" t="s">
        <v>3454</v>
      </c>
      <c r="B141" s="2185" t="s">
        <v>3455</v>
      </c>
      <c r="C141" s="2296" t="s">
        <v>3453</v>
      </c>
      <c r="D141" s="2296"/>
      <c r="E141" s="2333" t="s">
        <v>3467</v>
      </c>
      <c r="F141" s="2333" t="s">
        <v>3468</v>
      </c>
      <c r="G141" s="2185" t="s">
        <v>3475</v>
      </c>
      <c r="H141" s="2333"/>
      <c r="I141" s="2334"/>
      <c r="J141" s="2185"/>
      <c r="K141" s="2336"/>
      <c r="L141" s="2335"/>
      <c r="M141" s="1951"/>
      <c r="N141" s="1962"/>
      <c r="O141" s="1961">
        <v>479</v>
      </c>
      <c r="P141" s="1951">
        <v>502</v>
      </c>
      <c r="Q141" s="1960">
        <v>525</v>
      </c>
    </row>
    <row r="142" spans="1:17" ht="12.75" customHeight="1">
      <c r="A142" s="2332" t="s">
        <v>3584</v>
      </c>
      <c r="B142" s="2185" t="s">
        <v>3608</v>
      </c>
      <c r="C142" s="2296" t="s">
        <v>3453</v>
      </c>
      <c r="D142" s="2296"/>
      <c r="E142" s="2333" t="s">
        <v>3456</v>
      </c>
      <c r="F142" s="2333" t="s">
        <v>3457</v>
      </c>
      <c r="G142" s="2185" t="s">
        <v>3481</v>
      </c>
      <c r="H142" s="2333"/>
      <c r="I142" s="2334"/>
      <c r="J142" s="2185"/>
      <c r="K142" s="2336"/>
      <c r="L142" s="2335"/>
      <c r="M142" s="1951"/>
      <c r="N142" s="1962"/>
      <c r="O142" s="1961">
        <v>38556</v>
      </c>
      <c r="P142" s="1951">
        <v>40330</v>
      </c>
      <c r="Q142" s="1960">
        <v>42185</v>
      </c>
    </row>
    <row r="143" spans="1:17" ht="12.75" customHeight="1">
      <c r="A143" s="2332" t="s">
        <v>3520</v>
      </c>
      <c r="B143" s="2185" t="s">
        <v>3603</v>
      </c>
      <c r="C143" s="2296" t="s">
        <v>3453</v>
      </c>
      <c r="D143" s="2296"/>
      <c r="E143" s="2333" t="s">
        <v>3467</v>
      </c>
      <c r="F143" s="2333" t="s">
        <v>3468</v>
      </c>
      <c r="G143" s="2185" t="s">
        <v>2676</v>
      </c>
      <c r="H143" s="2333"/>
      <c r="I143" s="2334"/>
      <c r="J143" s="2185"/>
      <c r="K143" s="2336"/>
      <c r="L143" s="2335"/>
      <c r="M143" s="1951"/>
      <c r="N143" s="1962"/>
      <c r="O143" s="1961">
        <v>5734</v>
      </c>
      <c r="P143" s="1951">
        <v>5998</v>
      </c>
      <c r="Q143" s="1960">
        <v>6274</v>
      </c>
    </row>
    <row r="144" spans="1:17" ht="12.75" customHeight="1">
      <c r="A144" s="2332" t="s">
        <v>3533</v>
      </c>
      <c r="B144" s="2185" t="s">
        <v>3573</v>
      </c>
      <c r="C144" s="2296" t="s">
        <v>3453</v>
      </c>
      <c r="D144" s="2296"/>
      <c r="E144" s="2333" t="s">
        <v>3456</v>
      </c>
      <c r="F144" s="2333" t="s">
        <v>3457</v>
      </c>
      <c r="G144" s="2185" t="s">
        <v>3458</v>
      </c>
      <c r="H144" s="2333"/>
      <c r="I144" s="2334"/>
      <c r="J144" s="2185"/>
      <c r="K144" s="2336"/>
      <c r="L144" s="2335"/>
      <c r="M144" s="1951"/>
      <c r="N144" s="1962"/>
      <c r="O144" s="1961">
        <v>188803</v>
      </c>
      <c r="P144" s="1951">
        <v>197488</v>
      </c>
      <c r="Q144" s="1960">
        <v>206573</v>
      </c>
    </row>
    <row r="145" spans="1:17" ht="12.75" customHeight="1">
      <c r="A145" s="2332" t="s">
        <v>3459</v>
      </c>
      <c r="B145" s="2185" t="s">
        <v>3609</v>
      </c>
      <c r="C145" s="2296" t="s">
        <v>3453</v>
      </c>
      <c r="D145" s="2296"/>
      <c r="E145" s="2333" t="s">
        <v>3456</v>
      </c>
      <c r="F145" s="2333" t="s">
        <v>3457</v>
      </c>
      <c r="G145" s="2185" t="s">
        <v>3458</v>
      </c>
      <c r="H145" s="2333"/>
      <c r="I145" s="2334"/>
      <c r="J145" s="2185"/>
      <c r="K145" s="2336"/>
      <c r="L145" s="2335"/>
      <c r="M145" s="1951"/>
      <c r="N145" s="1962"/>
      <c r="O145" s="1961">
        <v>0</v>
      </c>
      <c r="P145" s="1951">
        <v>0</v>
      </c>
      <c r="Q145" s="1960">
        <v>0</v>
      </c>
    </row>
    <row r="146" spans="1:17" ht="12.75" customHeight="1">
      <c r="A146" s="2332" t="s">
        <v>3454</v>
      </c>
      <c r="B146" s="2185" t="s">
        <v>3512</v>
      </c>
      <c r="C146" s="2296" t="s">
        <v>3453</v>
      </c>
      <c r="D146" s="2296"/>
      <c r="E146" s="2333" t="s">
        <v>3467</v>
      </c>
      <c r="F146" s="2333" t="s">
        <v>3468</v>
      </c>
      <c r="G146" s="2185" t="s">
        <v>3475</v>
      </c>
      <c r="H146" s="2333"/>
      <c r="I146" s="2334"/>
      <c r="J146" s="2185"/>
      <c r="K146" s="2336"/>
      <c r="L146" s="2335"/>
      <c r="M146" s="1951"/>
      <c r="N146" s="1962"/>
      <c r="O146" s="1961">
        <v>0</v>
      </c>
      <c r="P146" s="1951">
        <v>0</v>
      </c>
      <c r="Q146" s="1960">
        <v>0</v>
      </c>
    </row>
    <row r="147" spans="1:17" ht="12.75" customHeight="1">
      <c r="A147" s="2332" t="s">
        <v>3485</v>
      </c>
      <c r="B147" s="2185" t="s">
        <v>3486</v>
      </c>
      <c r="C147" s="2296" t="s">
        <v>3453</v>
      </c>
      <c r="D147" s="2296"/>
      <c r="E147" s="2333" t="s">
        <v>3467</v>
      </c>
      <c r="F147" s="2333" t="s">
        <v>3468</v>
      </c>
      <c r="G147" s="2185" t="s">
        <v>3475</v>
      </c>
      <c r="H147" s="2333"/>
      <c r="I147" s="2334"/>
      <c r="J147" s="2185"/>
      <c r="K147" s="2336"/>
      <c r="L147" s="2335"/>
      <c r="M147" s="1951"/>
      <c r="N147" s="1962"/>
      <c r="O147" s="1961">
        <v>42611</v>
      </c>
      <c r="P147" s="1951">
        <v>44572</v>
      </c>
      <c r="Q147" s="1960">
        <v>46622</v>
      </c>
    </row>
    <row r="148" spans="1:17" ht="12.75" customHeight="1">
      <c r="A148" s="2332" t="s">
        <v>3506</v>
      </c>
      <c r="B148" s="2185" t="s">
        <v>3610</v>
      </c>
      <c r="C148" s="2296" t="s">
        <v>3453</v>
      </c>
      <c r="D148" s="2296"/>
      <c r="E148" s="2333" t="s">
        <v>3467</v>
      </c>
      <c r="F148" s="2333" t="s">
        <v>3468</v>
      </c>
      <c r="G148" s="2185" t="s">
        <v>3469</v>
      </c>
      <c r="H148" s="2333"/>
      <c r="I148" s="2334"/>
      <c r="J148" s="2185"/>
      <c r="K148" s="2336"/>
      <c r="L148" s="2335"/>
      <c r="M148" s="1951"/>
      <c r="N148" s="1962"/>
      <c r="O148" s="1961">
        <v>13178126</v>
      </c>
      <c r="P148" s="1951">
        <v>13784320</v>
      </c>
      <c r="Q148" s="1960">
        <v>14418399</v>
      </c>
    </row>
    <row r="149" spans="1:17" ht="12.75" customHeight="1">
      <c r="A149" s="2332" t="s">
        <v>3501</v>
      </c>
      <c r="B149" s="2185" t="s">
        <v>3502</v>
      </c>
      <c r="C149" s="2296" t="s">
        <v>3453</v>
      </c>
      <c r="D149" s="2296"/>
      <c r="E149" s="2333" t="s">
        <v>3467</v>
      </c>
      <c r="F149" s="2333" t="s">
        <v>3468</v>
      </c>
      <c r="G149" s="2185" t="s">
        <v>3469</v>
      </c>
      <c r="H149" s="2333"/>
      <c r="I149" s="2334"/>
      <c r="J149" s="2185"/>
      <c r="K149" s="2336"/>
      <c r="L149" s="2335"/>
      <c r="M149" s="1951"/>
      <c r="N149" s="1962"/>
      <c r="O149" s="1961">
        <v>131382</v>
      </c>
      <c r="P149" s="1951">
        <v>137426</v>
      </c>
      <c r="Q149" s="1960">
        <v>143748</v>
      </c>
    </row>
    <row r="150" spans="1:17" ht="12.75" customHeight="1">
      <c r="A150" s="2332" t="s">
        <v>3464</v>
      </c>
      <c r="B150" s="2185" t="s">
        <v>3611</v>
      </c>
      <c r="C150" s="2296" t="s">
        <v>3492</v>
      </c>
      <c r="D150" s="2296"/>
      <c r="E150" s="2333" t="s">
        <v>3456</v>
      </c>
      <c r="F150" s="2333" t="s">
        <v>3457</v>
      </c>
      <c r="G150" s="2185" t="s">
        <v>3461</v>
      </c>
      <c r="H150" s="2333"/>
      <c r="I150" s="2334"/>
      <c r="J150" s="2185"/>
      <c r="K150" s="2336"/>
      <c r="L150" s="2335"/>
      <c r="M150" s="1951"/>
      <c r="N150" s="1962"/>
      <c r="O150" s="1961">
        <v>0</v>
      </c>
      <c r="P150" s="1951">
        <v>0</v>
      </c>
      <c r="Q150" s="1960">
        <v>0</v>
      </c>
    </row>
    <row r="151" spans="1:17" ht="12.75" customHeight="1">
      <c r="A151" s="2332" t="s">
        <v>3531</v>
      </c>
      <c r="B151" s="2185" t="s">
        <v>3532</v>
      </c>
      <c r="C151" s="2296" t="s">
        <v>3453</v>
      </c>
      <c r="D151" s="2296"/>
      <c r="E151" s="2333" t="s">
        <v>3467</v>
      </c>
      <c r="F151" s="2333" t="s">
        <v>3468</v>
      </c>
      <c r="G151" s="2185" t="s">
        <v>3469</v>
      </c>
      <c r="H151" s="2333"/>
      <c r="I151" s="2334"/>
      <c r="J151" s="2185"/>
      <c r="K151" s="2336"/>
      <c r="L151" s="2335"/>
      <c r="M151" s="1951"/>
      <c r="N151" s="1962"/>
      <c r="O151" s="1961">
        <v>0</v>
      </c>
      <c r="P151" s="1951">
        <v>0</v>
      </c>
      <c r="Q151" s="1960">
        <v>0</v>
      </c>
    </row>
    <row r="152" spans="1:17" ht="12.75" customHeight="1">
      <c r="A152" s="2332" t="s">
        <v>3464</v>
      </c>
      <c r="B152" s="2185" t="s">
        <v>3489</v>
      </c>
      <c r="C152" s="2296" t="s">
        <v>3453</v>
      </c>
      <c r="D152" s="2296"/>
      <c r="E152" s="2333" t="s">
        <v>3467</v>
      </c>
      <c r="F152" s="2333" t="s">
        <v>3468</v>
      </c>
      <c r="G152" s="2185" t="s">
        <v>3475</v>
      </c>
      <c r="H152" s="2333"/>
      <c r="I152" s="2334"/>
      <c r="J152" s="2185"/>
      <c r="K152" s="2336"/>
      <c r="L152" s="2335"/>
      <c r="M152" s="1951"/>
      <c r="N152" s="1962"/>
      <c r="O152" s="1961">
        <v>1541019</v>
      </c>
      <c r="P152" s="1951">
        <v>1611907</v>
      </c>
      <c r="Q152" s="1960">
        <v>1686055</v>
      </c>
    </row>
    <row r="153" spans="1:17" ht="12.75" customHeight="1">
      <c r="A153" s="2332" t="s">
        <v>3454</v>
      </c>
      <c r="B153" s="2185" t="s">
        <v>3545</v>
      </c>
      <c r="C153" s="2296" t="s">
        <v>3453</v>
      </c>
      <c r="D153" s="2296"/>
      <c r="E153" s="2333" t="s">
        <v>3467</v>
      </c>
      <c r="F153" s="2333" t="s">
        <v>3468</v>
      </c>
      <c r="G153" s="2185" t="s">
        <v>3469</v>
      </c>
      <c r="H153" s="2333"/>
      <c r="I153" s="2334"/>
      <c r="J153" s="2185"/>
      <c r="K153" s="2336"/>
      <c r="L153" s="2335"/>
      <c r="M153" s="1951"/>
      <c r="N153" s="1962"/>
      <c r="O153" s="1961">
        <v>0</v>
      </c>
      <c r="P153" s="1951">
        <v>0</v>
      </c>
      <c r="Q153" s="1960">
        <v>0</v>
      </c>
    </row>
    <row r="154" spans="1:17" ht="12.75" customHeight="1">
      <c r="A154" s="2332" t="s">
        <v>3483</v>
      </c>
      <c r="B154" s="2185" t="s">
        <v>3583</v>
      </c>
      <c r="C154" s="2296" t="s">
        <v>3453</v>
      </c>
      <c r="D154" s="2296"/>
      <c r="E154" s="2333" t="s">
        <v>3467</v>
      </c>
      <c r="F154" s="2333" t="s">
        <v>3468</v>
      </c>
      <c r="G154" s="2185" t="s">
        <v>3469</v>
      </c>
      <c r="H154" s="2333"/>
      <c r="I154" s="2334"/>
      <c r="J154" s="2185"/>
      <c r="K154" s="2336"/>
      <c r="L154" s="2335"/>
      <c r="M154" s="1951"/>
      <c r="N154" s="1962"/>
      <c r="O154" s="1961">
        <v>50123</v>
      </c>
      <c r="P154" s="1951">
        <v>52429</v>
      </c>
      <c r="Q154" s="1960">
        <v>54841</v>
      </c>
    </row>
    <row r="155" spans="1:17" ht="12.75" customHeight="1">
      <c r="A155" s="2332" t="s">
        <v>3536</v>
      </c>
      <c r="B155" s="2185" t="s">
        <v>3537</v>
      </c>
      <c r="C155" s="2296" t="s">
        <v>3453</v>
      </c>
      <c r="D155" s="2296"/>
      <c r="E155" s="2333" t="s">
        <v>3456</v>
      </c>
      <c r="F155" s="2333" t="s">
        <v>3457</v>
      </c>
      <c r="G155" s="2185" t="s">
        <v>3461</v>
      </c>
      <c r="H155" s="2333"/>
      <c r="I155" s="2334"/>
      <c r="J155" s="2185"/>
      <c r="K155" s="2336"/>
      <c r="L155" s="2335"/>
      <c r="M155" s="1951"/>
      <c r="N155" s="1962"/>
      <c r="O155" s="1961">
        <v>177244</v>
      </c>
      <c r="P155" s="1951">
        <v>185398</v>
      </c>
      <c r="Q155" s="1960">
        <v>193926</v>
      </c>
    </row>
    <row r="156" spans="1:17" ht="12.75" customHeight="1">
      <c r="A156" s="2332" t="s">
        <v>3459</v>
      </c>
      <c r="B156" s="2185" t="s">
        <v>3612</v>
      </c>
      <c r="C156" s="2296" t="s">
        <v>3453</v>
      </c>
      <c r="D156" s="2296"/>
      <c r="E156" s="2333" t="s">
        <v>3456</v>
      </c>
      <c r="F156" s="2333" t="s">
        <v>3457</v>
      </c>
      <c r="G156" s="2185" t="s">
        <v>3461</v>
      </c>
      <c r="H156" s="2333"/>
      <c r="I156" s="2334"/>
      <c r="J156" s="2185"/>
      <c r="K156" s="2336"/>
      <c r="L156" s="2335"/>
      <c r="M156" s="1951"/>
      <c r="N156" s="1962"/>
      <c r="O156" s="1961">
        <v>0</v>
      </c>
      <c r="P156" s="1951">
        <v>0</v>
      </c>
      <c r="Q156" s="1960">
        <v>0</v>
      </c>
    </row>
    <row r="157" spans="1:17" ht="12.75" customHeight="1">
      <c r="A157" s="2332" t="s">
        <v>3487</v>
      </c>
      <c r="B157" s="2185" t="s">
        <v>3488</v>
      </c>
      <c r="C157" s="2296" t="s">
        <v>3453</v>
      </c>
      <c r="D157" s="2296"/>
      <c r="E157" s="2333" t="s">
        <v>3456</v>
      </c>
      <c r="F157" s="2333" t="s">
        <v>3457</v>
      </c>
      <c r="G157" s="2185" t="s">
        <v>3458</v>
      </c>
      <c r="H157" s="2333"/>
      <c r="I157" s="2334"/>
      <c r="J157" s="2185"/>
      <c r="K157" s="2336"/>
      <c r="L157" s="2335"/>
      <c r="M157" s="1951"/>
      <c r="N157" s="1962"/>
      <c r="O157" s="1961">
        <v>3519</v>
      </c>
      <c r="P157" s="1951">
        <v>3681</v>
      </c>
      <c r="Q157" s="1960">
        <v>3851</v>
      </c>
    </row>
    <row r="158" spans="1:17" ht="12.75" customHeight="1">
      <c r="A158" s="2332" t="s">
        <v>3533</v>
      </c>
      <c r="B158" s="2185" t="s">
        <v>3534</v>
      </c>
      <c r="C158" s="2296" t="s">
        <v>3453</v>
      </c>
      <c r="D158" s="2296"/>
      <c r="E158" s="2333" t="s">
        <v>3456</v>
      </c>
      <c r="F158" s="2333" t="s">
        <v>3457</v>
      </c>
      <c r="G158" s="2185" t="s">
        <v>3461</v>
      </c>
      <c r="H158" s="2333"/>
      <c r="I158" s="2334"/>
      <c r="J158" s="2185"/>
      <c r="K158" s="2336"/>
      <c r="L158" s="2335"/>
      <c r="M158" s="1951"/>
      <c r="N158" s="1962"/>
      <c r="O158" s="1961">
        <v>10282</v>
      </c>
      <c r="P158" s="1951">
        <v>10755</v>
      </c>
      <c r="Q158" s="1960">
        <v>11250</v>
      </c>
    </row>
    <row r="159" spans="1:17" ht="12.75" customHeight="1">
      <c r="A159" s="2332" t="s">
        <v>3531</v>
      </c>
      <c r="B159" s="2185" t="s">
        <v>3532</v>
      </c>
      <c r="C159" s="2296" t="s">
        <v>3453</v>
      </c>
      <c r="D159" s="2296"/>
      <c r="E159" s="2333" t="s">
        <v>3456</v>
      </c>
      <c r="F159" s="2333" t="s">
        <v>3457</v>
      </c>
      <c r="G159" s="2185" t="s">
        <v>3458</v>
      </c>
      <c r="H159" s="2333"/>
      <c r="I159" s="2334"/>
      <c r="J159" s="2185"/>
      <c r="K159" s="2336"/>
      <c r="L159" s="2335"/>
      <c r="M159" s="1951"/>
      <c r="N159" s="1962"/>
      <c r="O159" s="1961">
        <v>0</v>
      </c>
      <c r="P159" s="1951">
        <v>0</v>
      </c>
      <c r="Q159" s="1960">
        <v>0</v>
      </c>
    </row>
    <row r="160" spans="1:17" ht="12.75" customHeight="1">
      <c r="A160" s="2332" t="s">
        <v>3536</v>
      </c>
      <c r="B160" s="2185" t="s">
        <v>3613</v>
      </c>
      <c r="C160" s="2296" t="s">
        <v>3453</v>
      </c>
      <c r="D160" s="2296"/>
      <c r="E160" s="2333" t="s">
        <v>3456</v>
      </c>
      <c r="F160" s="2333" t="s">
        <v>3457</v>
      </c>
      <c r="G160" s="2185" t="s">
        <v>3458</v>
      </c>
      <c r="H160" s="2333"/>
      <c r="I160" s="2334"/>
      <c r="J160" s="2185"/>
      <c r="K160" s="2336"/>
      <c r="L160" s="2335"/>
      <c r="M160" s="1951"/>
      <c r="N160" s="1962"/>
      <c r="O160" s="1961">
        <v>8024</v>
      </c>
      <c r="P160" s="1951">
        <v>8394</v>
      </c>
      <c r="Q160" s="1960">
        <v>8780</v>
      </c>
    </row>
    <row r="161" spans="1:17" ht="12.75" customHeight="1">
      <c r="A161" s="2332" t="s">
        <v>3479</v>
      </c>
      <c r="B161" s="2185" t="s">
        <v>3480</v>
      </c>
      <c r="C161" s="2296" t="s">
        <v>3453</v>
      </c>
      <c r="D161" s="2296"/>
      <c r="E161" s="2333"/>
      <c r="F161" s="2333"/>
      <c r="G161" s="2185"/>
      <c r="H161" s="2333"/>
      <c r="I161" s="2334"/>
      <c r="J161" s="2185"/>
      <c r="K161" s="2336"/>
      <c r="L161" s="2335"/>
      <c r="M161" s="1951"/>
      <c r="N161" s="1962"/>
      <c r="O161" s="1961">
        <v>358606</v>
      </c>
      <c r="P161" s="1951">
        <v>375102</v>
      </c>
      <c r="Q161" s="1960">
        <v>392357</v>
      </c>
    </row>
    <row r="162" spans="1:17" ht="12.75" customHeight="1">
      <c r="A162" s="2332" t="s">
        <v>3499</v>
      </c>
      <c r="B162" s="2185" t="s">
        <v>3589</v>
      </c>
      <c r="C162" s="2296" t="s">
        <v>3453</v>
      </c>
      <c r="D162" s="2296"/>
      <c r="E162" s="2333" t="s">
        <v>3456</v>
      </c>
      <c r="F162" s="2333" t="s">
        <v>3457</v>
      </c>
      <c r="G162" s="2185" t="s">
        <v>3458</v>
      </c>
      <c r="H162" s="2333"/>
      <c r="I162" s="2334"/>
      <c r="J162" s="2185"/>
      <c r="K162" s="2336"/>
      <c r="L162" s="2335"/>
      <c r="M162" s="1951"/>
      <c r="N162" s="1962"/>
      <c r="O162" s="1961">
        <v>1053296</v>
      </c>
      <c r="P162" s="1951">
        <v>1101748</v>
      </c>
      <c r="Q162" s="1960">
        <v>1152429</v>
      </c>
    </row>
    <row r="163" spans="1:17" ht="12.75" customHeight="1">
      <c r="A163" s="2332" t="s">
        <v>3490</v>
      </c>
      <c r="B163" s="2185" t="s">
        <v>3614</v>
      </c>
      <c r="C163" s="2296" t="s">
        <v>3615</v>
      </c>
      <c r="D163" s="2296"/>
      <c r="E163" s="2333" t="s">
        <v>3467</v>
      </c>
      <c r="F163" s="2333" t="s">
        <v>3468</v>
      </c>
      <c r="G163" s="2185" t="s">
        <v>3469</v>
      </c>
      <c r="H163" s="2333"/>
      <c r="I163" s="2334"/>
      <c r="J163" s="2185"/>
      <c r="K163" s="2336"/>
      <c r="L163" s="2335"/>
      <c r="M163" s="1951"/>
      <c r="N163" s="1962"/>
      <c r="O163" s="1961">
        <v>0</v>
      </c>
      <c r="P163" s="1951">
        <v>0</v>
      </c>
      <c r="Q163" s="1960">
        <v>1</v>
      </c>
    </row>
    <row r="164" spans="1:17" ht="12.75" customHeight="1">
      <c r="A164" s="2332" t="s">
        <v>3470</v>
      </c>
      <c r="B164" s="2185" t="s">
        <v>3554</v>
      </c>
      <c r="C164" s="2296" t="s">
        <v>3453</v>
      </c>
      <c r="D164" s="2296"/>
      <c r="E164" s="2333" t="s">
        <v>3456</v>
      </c>
      <c r="F164" s="2333" t="s">
        <v>3457</v>
      </c>
      <c r="G164" s="2185" t="s">
        <v>3461</v>
      </c>
      <c r="H164" s="2333"/>
      <c r="I164" s="2334"/>
      <c r="J164" s="2185"/>
      <c r="K164" s="2336"/>
      <c r="L164" s="2335"/>
      <c r="M164" s="1951"/>
      <c r="N164" s="1962"/>
      <c r="O164" s="1961">
        <v>285136</v>
      </c>
      <c r="P164" s="1951">
        <v>298253</v>
      </c>
      <c r="Q164" s="1960">
        <v>311972</v>
      </c>
    </row>
    <row r="165" spans="1:17" ht="12.75" customHeight="1">
      <c r="A165" s="2332" t="s">
        <v>3454</v>
      </c>
      <c r="B165" s="2185" t="s">
        <v>3545</v>
      </c>
      <c r="C165" s="2296" t="s">
        <v>3453</v>
      </c>
      <c r="D165" s="2296"/>
      <c r="E165" s="2333" t="s">
        <v>3456</v>
      </c>
      <c r="F165" s="2333" t="s">
        <v>3457</v>
      </c>
      <c r="G165" s="2185" t="s">
        <v>3458</v>
      </c>
      <c r="H165" s="2333"/>
      <c r="I165" s="2334"/>
      <c r="J165" s="2185"/>
      <c r="K165" s="2336"/>
      <c r="L165" s="2335"/>
      <c r="M165" s="1951"/>
      <c r="N165" s="1962"/>
      <c r="O165" s="1961">
        <v>0</v>
      </c>
      <c r="P165" s="1951">
        <v>0</v>
      </c>
      <c r="Q165" s="1960">
        <v>0</v>
      </c>
    </row>
    <row r="166" spans="1:17" ht="12.75" customHeight="1">
      <c r="A166" s="2332" t="s">
        <v>3459</v>
      </c>
      <c r="B166" s="2185" t="s">
        <v>3616</v>
      </c>
      <c r="C166" s="2296" t="s">
        <v>3453</v>
      </c>
      <c r="D166" s="2296"/>
      <c r="E166" s="2333" t="s">
        <v>3467</v>
      </c>
      <c r="F166" s="2333" t="s">
        <v>3468</v>
      </c>
      <c r="G166" s="2185" t="s">
        <v>3469</v>
      </c>
      <c r="H166" s="2333"/>
      <c r="I166" s="2334"/>
      <c r="J166" s="2185"/>
      <c r="K166" s="2336"/>
      <c r="L166" s="2335"/>
      <c r="M166" s="1951"/>
      <c r="N166" s="1962"/>
      <c r="O166" s="1961">
        <v>391227</v>
      </c>
      <c r="P166" s="1951">
        <v>409224</v>
      </c>
      <c r="Q166" s="1960">
        <v>428048</v>
      </c>
    </row>
    <row r="167" spans="1:17" ht="12.75" customHeight="1">
      <c r="A167" s="2332" t="s">
        <v>3499</v>
      </c>
      <c r="B167" s="2185" t="s">
        <v>3617</v>
      </c>
      <c r="C167" s="2296" t="s">
        <v>3618</v>
      </c>
      <c r="D167" s="2296"/>
      <c r="E167" s="2333" t="s">
        <v>3456</v>
      </c>
      <c r="F167" s="2333" t="s">
        <v>3457</v>
      </c>
      <c r="G167" s="2185" t="s">
        <v>3461</v>
      </c>
      <c r="H167" s="2333"/>
      <c r="I167" s="2334"/>
      <c r="J167" s="2185"/>
      <c r="K167" s="2336"/>
      <c r="L167" s="2335"/>
      <c r="M167" s="1951"/>
      <c r="N167" s="1962"/>
      <c r="O167" s="1961">
        <v>69625</v>
      </c>
      <c r="P167" s="1951">
        <v>72828</v>
      </c>
      <c r="Q167" s="1960">
        <v>76178</v>
      </c>
    </row>
    <row r="168" spans="1:17" ht="12.75" customHeight="1">
      <c r="A168" s="2332" t="s">
        <v>3459</v>
      </c>
      <c r="B168" s="2185" t="s">
        <v>3619</v>
      </c>
      <c r="C168" s="2296" t="s">
        <v>3453</v>
      </c>
      <c r="D168" s="2296"/>
      <c r="E168" s="2333" t="s">
        <v>3467</v>
      </c>
      <c r="F168" s="2333" t="s">
        <v>3468</v>
      </c>
      <c r="G168" s="2185" t="s">
        <v>3469</v>
      </c>
      <c r="H168" s="2333"/>
      <c r="I168" s="2334"/>
      <c r="J168" s="2185"/>
      <c r="K168" s="2336"/>
      <c r="L168" s="2335"/>
      <c r="M168" s="1951"/>
      <c r="N168" s="1962"/>
      <c r="O168" s="1961">
        <v>0</v>
      </c>
      <c r="P168" s="1951">
        <v>0</v>
      </c>
      <c r="Q168" s="1960">
        <v>0</v>
      </c>
    </row>
    <row r="169" spans="1:17" ht="12.75" customHeight="1">
      <c r="A169" s="2332" t="s">
        <v>3479</v>
      </c>
      <c r="B169" s="2185" t="s">
        <v>3620</v>
      </c>
      <c r="C169" s="2296" t="s">
        <v>3453</v>
      </c>
      <c r="D169" s="2296"/>
      <c r="E169" s="2333" t="s">
        <v>3467</v>
      </c>
      <c r="F169" s="2333" t="s">
        <v>3468</v>
      </c>
      <c r="G169" s="2185" t="s">
        <v>3469</v>
      </c>
      <c r="H169" s="2333"/>
      <c r="I169" s="2334"/>
      <c r="J169" s="2185"/>
      <c r="K169" s="2336"/>
      <c r="L169" s="2335"/>
      <c r="M169" s="1951"/>
      <c r="N169" s="1962"/>
      <c r="O169" s="1961">
        <v>2000</v>
      </c>
      <c r="P169" s="1951">
        <v>2092</v>
      </c>
      <c r="Q169" s="1960">
        <v>2189</v>
      </c>
    </row>
    <row r="170" spans="1:17" ht="12.75" customHeight="1">
      <c r="A170" s="2332" t="s">
        <v>3520</v>
      </c>
      <c r="B170" s="2185" t="s">
        <v>3603</v>
      </c>
      <c r="C170" s="2296" t="s">
        <v>3453</v>
      </c>
      <c r="D170" s="2296"/>
      <c r="E170" s="2333"/>
      <c r="F170" s="2333"/>
      <c r="G170" s="2185"/>
      <c r="H170" s="2333"/>
      <c r="I170" s="2334"/>
      <c r="J170" s="2185"/>
      <c r="K170" s="2336"/>
      <c r="L170" s="2335"/>
      <c r="M170" s="1951"/>
      <c r="N170" s="1962"/>
      <c r="O170" s="1961">
        <v>94929</v>
      </c>
      <c r="P170" s="1951">
        <v>99296</v>
      </c>
      <c r="Q170" s="1960">
        <v>103864</v>
      </c>
    </row>
    <row r="171" spans="1:17" ht="12.75" customHeight="1">
      <c r="A171" s="2332" t="s">
        <v>3520</v>
      </c>
      <c r="B171" s="2185" t="s">
        <v>3621</v>
      </c>
      <c r="C171" s="2296" t="s">
        <v>3622</v>
      </c>
      <c r="D171" s="2296"/>
      <c r="E171" s="2333" t="s">
        <v>3467</v>
      </c>
      <c r="F171" s="2333" t="s">
        <v>3468</v>
      </c>
      <c r="G171" s="2185" t="s">
        <v>3469</v>
      </c>
      <c r="H171" s="2333"/>
      <c r="I171" s="2334"/>
      <c r="J171" s="2185"/>
      <c r="K171" s="2336"/>
      <c r="L171" s="2335"/>
      <c r="M171" s="1951"/>
      <c r="N171" s="1962"/>
      <c r="O171" s="1961">
        <v>47000</v>
      </c>
      <c r="P171" s="1951">
        <v>49162</v>
      </c>
      <c r="Q171" s="1960">
        <v>51424</v>
      </c>
    </row>
    <row r="172" spans="1:17" ht="12.75" customHeight="1">
      <c r="A172" s="2332" t="s">
        <v>3543</v>
      </c>
      <c r="B172" s="2185" t="s">
        <v>3623</v>
      </c>
      <c r="C172" s="2296" t="s">
        <v>3453</v>
      </c>
      <c r="D172" s="2296"/>
      <c r="E172" s="2333" t="s">
        <v>3456</v>
      </c>
      <c r="F172" s="2333" t="s">
        <v>3457</v>
      </c>
      <c r="G172" s="2185" t="s">
        <v>3458</v>
      </c>
      <c r="H172" s="2333"/>
      <c r="I172" s="2334"/>
      <c r="J172" s="2185"/>
      <c r="K172" s="2336"/>
      <c r="L172" s="2335"/>
      <c r="M172" s="1951"/>
      <c r="N172" s="1962"/>
      <c r="O172" s="1961">
        <v>6122</v>
      </c>
      <c r="P172" s="1951">
        <v>6404</v>
      </c>
      <c r="Q172" s="1960">
        <v>6699</v>
      </c>
    </row>
    <row r="173" spans="1:17" ht="12.75" customHeight="1">
      <c r="A173" s="2332" t="s">
        <v>3479</v>
      </c>
      <c r="B173" s="2185" t="s">
        <v>3516</v>
      </c>
      <c r="C173" s="2296" t="s">
        <v>3453</v>
      </c>
      <c r="D173" s="2296"/>
      <c r="E173" s="2333" t="s">
        <v>3456</v>
      </c>
      <c r="F173" s="2333" t="s">
        <v>3457</v>
      </c>
      <c r="G173" s="2185" t="s">
        <v>3461</v>
      </c>
      <c r="H173" s="2333"/>
      <c r="I173" s="2334"/>
      <c r="J173" s="2185"/>
      <c r="K173" s="2336"/>
      <c r="L173" s="2335"/>
      <c r="M173" s="1951"/>
      <c r="N173" s="1962"/>
      <c r="O173" s="1961">
        <v>82158</v>
      </c>
      <c r="P173" s="1951">
        <v>85938</v>
      </c>
      <c r="Q173" s="1960">
        <v>89891</v>
      </c>
    </row>
    <row r="174" spans="1:17" ht="12.75" customHeight="1">
      <c r="A174" s="2332" t="s">
        <v>3501</v>
      </c>
      <c r="B174" s="2185" t="s">
        <v>3624</v>
      </c>
      <c r="C174" s="2296" t="s">
        <v>3453</v>
      </c>
      <c r="D174" s="2296"/>
      <c r="E174" s="2333" t="s">
        <v>3467</v>
      </c>
      <c r="F174" s="2333" t="s">
        <v>3468</v>
      </c>
      <c r="G174" s="2185" t="s">
        <v>3469</v>
      </c>
      <c r="H174" s="2333"/>
      <c r="I174" s="2334"/>
      <c r="J174" s="2185"/>
      <c r="K174" s="2336"/>
      <c r="L174" s="2335"/>
      <c r="M174" s="1951"/>
      <c r="N174" s="1962"/>
      <c r="O174" s="1961">
        <v>3783</v>
      </c>
      <c r="P174" s="1951">
        <v>3958</v>
      </c>
      <c r="Q174" s="1960">
        <v>4140</v>
      </c>
    </row>
    <row r="175" spans="1:17" ht="12.75" customHeight="1">
      <c r="A175" s="2332" t="s">
        <v>3454</v>
      </c>
      <c r="B175" s="2185" t="s">
        <v>3512</v>
      </c>
      <c r="C175" s="2296" t="s">
        <v>3453</v>
      </c>
      <c r="D175" s="2296"/>
      <c r="E175" s="2333" t="s">
        <v>3467</v>
      </c>
      <c r="F175" s="2333" t="s">
        <v>3468</v>
      </c>
      <c r="G175" s="2185" t="s">
        <v>2676</v>
      </c>
      <c r="H175" s="2333"/>
      <c r="I175" s="2334"/>
      <c r="J175" s="2185"/>
      <c r="K175" s="2336"/>
      <c r="L175" s="2335"/>
      <c r="M175" s="1951"/>
      <c r="N175" s="1962"/>
      <c r="O175" s="1961">
        <v>0</v>
      </c>
      <c r="P175" s="1951">
        <v>0</v>
      </c>
      <c r="Q175" s="1960">
        <v>0</v>
      </c>
    </row>
    <row r="176" spans="1:17" ht="12.75" customHeight="1">
      <c r="A176" s="2332" t="s">
        <v>3454</v>
      </c>
      <c r="B176" s="2185" t="s">
        <v>3574</v>
      </c>
      <c r="C176" s="2296" t="s">
        <v>3453</v>
      </c>
      <c r="D176" s="2296"/>
      <c r="E176" s="2333" t="s">
        <v>3456</v>
      </c>
      <c r="F176" s="2333" t="s">
        <v>3457</v>
      </c>
      <c r="G176" s="2185" t="s">
        <v>3461</v>
      </c>
      <c r="H176" s="2333"/>
      <c r="I176" s="2334"/>
      <c r="J176" s="2185"/>
      <c r="K176" s="2336"/>
      <c r="L176" s="2335"/>
      <c r="M176" s="1951"/>
      <c r="N176" s="1962"/>
      <c r="O176" s="1961">
        <v>0</v>
      </c>
      <c r="P176" s="1951">
        <v>0</v>
      </c>
      <c r="Q176" s="1960">
        <v>0</v>
      </c>
    </row>
    <row r="177" spans="1:17" ht="12.75" customHeight="1">
      <c r="A177" s="2332" t="s">
        <v>3501</v>
      </c>
      <c r="B177" s="2185" t="s">
        <v>3625</v>
      </c>
      <c r="C177" s="2296" t="s">
        <v>3453</v>
      </c>
      <c r="D177" s="2296"/>
      <c r="E177" s="2333" t="s">
        <v>3467</v>
      </c>
      <c r="F177" s="2333" t="s">
        <v>3468</v>
      </c>
      <c r="G177" s="2185" t="s">
        <v>3469</v>
      </c>
      <c r="H177" s="2333"/>
      <c r="I177" s="2334"/>
      <c r="J177" s="2185"/>
      <c r="K177" s="2336"/>
      <c r="L177" s="2335"/>
      <c r="M177" s="1951"/>
      <c r="N177" s="1962"/>
      <c r="O177" s="1961">
        <v>14969882</v>
      </c>
      <c r="P177" s="1951">
        <v>15658497</v>
      </c>
      <c r="Q177" s="1960">
        <v>16378788</v>
      </c>
    </row>
    <row r="178" spans="1:17" ht="12.75" customHeight="1">
      <c r="A178" s="2332" t="s">
        <v>3536</v>
      </c>
      <c r="B178" s="2185" t="s">
        <v>3537</v>
      </c>
      <c r="C178" s="2296" t="s">
        <v>3453</v>
      </c>
      <c r="D178" s="2296"/>
      <c r="E178" s="2333" t="s">
        <v>3467</v>
      </c>
      <c r="F178" s="2333" t="s">
        <v>3468</v>
      </c>
      <c r="G178" s="2185" t="s">
        <v>2676</v>
      </c>
      <c r="H178" s="2333"/>
      <c r="I178" s="2334"/>
      <c r="J178" s="2185"/>
      <c r="K178" s="2336"/>
      <c r="L178" s="2335"/>
      <c r="M178" s="1951"/>
      <c r="N178" s="1962"/>
      <c r="O178" s="1961">
        <v>49718</v>
      </c>
      <c r="P178" s="1951">
        <v>52006</v>
      </c>
      <c r="Q178" s="1960">
        <v>54398</v>
      </c>
    </row>
    <row r="179" spans="1:17" ht="12.75" customHeight="1">
      <c r="A179" s="2332" t="s">
        <v>3523</v>
      </c>
      <c r="B179" s="2185" t="s">
        <v>3626</v>
      </c>
      <c r="C179" s="2296" t="s">
        <v>3453</v>
      </c>
      <c r="D179" s="2296"/>
      <c r="E179" s="2333" t="s">
        <v>3467</v>
      </c>
      <c r="F179" s="2333" t="s">
        <v>3468</v>
      </c>
      <c r="G179" s="2185" t="s">
        <v>3469</v>
      </c>
      <c r="H179" s="2333"/>
      <c r="I179" s="2334"/>
      <c r="J179" s="2185"/>
      <c r="K179" s="2336"/>
      <c r="L179" s="2335"/>
      <c r="M179" s="1951"/>
      <c r="N179" s="1962"/>
      <c r="O179" s="1961">
        <v>166081</v>
      </c>
      <c r="P179" s="1951">
        <v>173721</v>
      </c>
      <c r="Q179" s="1960">
        <v>181712</v>
      </c>
    </row>
    <row r="180" spans="1:17" ht="12.75" customHeight="1">
      <c r="A180" s="2332" t="s">
        <v>3510</v>
      </c>
      <c r="B180" s="2185" t="s">
        <v>3511</v>
      </c>
      <c r="C180" s="2296" t="s">
        <v>3453</v>
      </c>
      <c r="D180" s="2296"/>
      <c r="E180" s="2333" t="s">
        <v>3456</v>
      </c>
      <c r="F180" s="2333" t="s">
        <v>3457</v>
      </c>
      <c r="G180" s="2185" t="s">
        <v>3458</v>
      </c>
      <c r="H180" s="2333"/>
      <c r="I180" s="2334"/>
      <c r="J180" s="2185"/>
      <c r="K180" s="2336"/>
      <c r="L180" s="2335"/>
      <c r="M180" s="1951"/>
      <c r="N180" s="1962"/>
      <c r="O180" s="1961">
        <v>105130</v>
      </c>
      <c r="P180" s="1951">
        <v>109966</v>
      </c>
      <c r="Q180" s="1960">
        <v>115025</v>
      </c>
    </row>
    <row r="181" spans="1:17" ht="12.75" customHeight="1">
      <c r="A181" s="2332" t="s">
        <v>3454</v>
      </c>
      <c r="B181" s="2185" t="s">
        <v>3545</v>
      </c>
      <c r="C181" s="2296" t="s">
        <v>3453</v>
      </c>
      <c r="D181" s="2296"/>
      <c r="E181" s="2333" t="s">
        <v>3467</v>
      </c>
      <c r="F181" s="2333" t="s">
        <v>3468</v>
      </c>
      <c r="G181" s="2185" t="s">
        <v>3469</v>
      </c>
      <c r="H181" s="2333"/>
      <c r="I181" s="2334"/>
      <c r="J181" s="2185"/>
      <c r="K181" s="2336"/>
      <c r="L181" s="2335"/>
      <c r="M181" s="1951"/>
      <c r="N181" s="1962"/>
      <c r="O181" s="1961">
        <v>0</v>
      </c>
      <c r="P181" s="1951">
        <v>0</v>
      </c>
      <c r="Q181" s="1960">
        <v>0</v>
      </c>
    </row>
    <row r="182" spans="1:17" ht="12.75" customHeight="1">
      <c r="A182" s="2332" t="s">
        <v>3490</v>
      </c>
      <c r="B182" s="2185" t="s">
        <v>3627</v>
      </c>
      <c r="C182" s="2296" t="s">
        <v>3463</v>
      </c>
      <c r="D182" s="2296"/>
      <c r="E182" s="2333" t="s">
        <v>3467</v>
      </c>
      <c r="F182" s="2333" t="s">
        <v>3468</v>
      </c>
      <c r="G182" s="2185" t="s">
        <v>3469</v>
      </c>
      <c r="H182" s="2333"/>
      <c r="I182" s="2334"/>
      <c r="J182" s="2185"/>
      <c r="K182" s="2336"/>
      <c r="L182" s="2335"/>
      <c r="M182" s="1951"/>
      <c r="N182" s="1962"/>
      <c r="O182" s="1961">
        <v>4280</v>
      </c>
      <c r="P182" s="1951">
        <v>4477</v>
      </c>
      <c r="Q182" s="1960">
        <v>4683</v>
      </c>
    </row>
    <row r="183" spans="1:17" ht="12.75" customHeight="1">
      <c r="A183" s="2332" t="s">
        <v>3531</v>
      </c>
      <c r="B183" s="2185" t="s">
        <v>3532</v>
      </c>
      <c r="C183" s="2296" t="s">
        <v>3453</v>
      </c>
      <c r="D183" s="2296"/>
      <c r="E183" s="2333" t="s">
        <v>3456</v>
      </c>
      <c r="F183" s="2333" t="s">
        <v>3457</v>
      </c>
      <c r="G183" s="2185" t="s">
        <v>3461</v>
      </c>
      <c r="H183" s="2333"/>
      <c r="I183" s="2334"/>
      <c r="J183" s="2185"/>
      <c r="K183" s="2336"/>
      <c r="L183" s="2335"/>
      <c r="M183" s="1951"/>
      <c r="N183" s="1962"/>
      <c r="O183" s="1961">
        <v>0</v>
      </c>
      <c r="P183" s="1951">
        <v>0</v>
      </c>
      <c r="Q183" s="1960">
        <v>0</v>
      </c>
    </row>
    <row r="184" spans="1:17" ht="12.75" customHeight="1">
      <c r="A184" s="2332" t="s">
        <v>3508</v>
      </c>
      <c r="B184" s="2185" t="s">
        <v>3555</v>
      </c>
      <c r="C184" s="2296" t="s">
        <v>3453</v>
      </c>
      <c r="D184" s="2296"/>
      <c r="E184" s="2333" t="s">
        <v>3456</v>
      </c>
      <c r="F184" s="2333" t="s">
        <v>3457</v>
      </c>
      <c r="G184" s="2185" t="s">
        <v>3458</v>
      </c>
      <c r="H184" s="2333"/>
      <c r="I184" s="2334"/>
      <c r="J184" s="2185"/>
      <c r="K184" s="2336"/>
      <c r="L184" s="2335"/>
      <c r="M184" s="1951"/>
      <c r="N184" s="1962"/>
      <c r="O184" s="1961">
        <v>0</v>
      </c>
      <c r="P184" s="1951">
        <v>0</v>
      </c>
      <c r="Q184" s="1960">
        <v>0</v>
      </c>
    </row>
    <row r="185" spans="1:17" ht="12.75" customHeight="1">
      <c r="A185" s="2332" t="s">
        <v>3565</v>
      </c>
      <c r="B185" s="2185" t="s">
        <v>3628</v>
      </c>
      <c r="C185" s="2296" t="s">
        <v>3453</v>
      </c>
      <c r="D185" s="2296"/>
      <c r="E185" s="2333" t="s">
        <v>3456</v>
      </c>
      <c r="F185" s="2333" t="s">
        <v>3457</v>
      </c>
      <c r="G185" s="2185" t="s">
        <v>3458</v>
      </c>
      <c r="H185" s="2333"/>
      <c r="I185" s="2334"/>
      <c r="J185" s="2185"/>
      <c r="K185" s="2336"/>
      <c r="L185" s="2335"/>
      <c r="M185" s="1951"/>
      <c r="N185" s="1962"/>
      <c r="O185" s="1961">
        <v>2060247</v>
      </c>
      <c r="P185" s="1951">
        <v>2155019</v>
      </c>
      <c r="Q185" s="1960">
        <v>2254150</v>
      </c>
    </row>
    <row r="186" spans="1:17" ht="12.75" customHeight="1">
      <c r="A186" s="2332" t="s">
        <v>3490</v>
      </c>
      <c r="B186" s="2185" t="s">
        <v>3629</v>
      </c>
      <c r="C186" s="2296" t="s">
        <v>3453</v>
      </c>
      <c r="D186" s="2296"/>
      <c r="E186" s="2333" t="s">
        <v>3456</v>
      </c>
      <c r="F186" s="2333" t="s">
        <v>3457</v>
      </c>
      <c r="G186" s="2185" t="s">
        <v>3481</v>
      </c>
      <c r="H186" s="2333"/>
      <c r="I186" s="2334"/>
      <c r="J186" s="2185"/>
      <c r="K186" s="2336"/>
      <c r="L186" s="2335"/>
      <c r="M186" s="1951"/>
      <c r="N186" s="1962"/>
      <c r="O186" s="1961">
        <v>2927698</v>
      </c>
      <c r="P186" s="1951">
        <v>2692004</v>
      </c>
      <c r="Q186" s="1960">
        <v>2434661</v>
      </c>
    </row>
    <row r="187" spans="1:17" ht="12.75" customHeight="1">
      <c r="A187" s="2332" t="s">
        <v>3536</v>
      </c>
      <c r="B187" s="2185" t="s">
        <v>3548</v>
      </c>
      <c r="C187" s="2296" t="s">
        <v>3453</v>
      </c>
      <c r="D187" s="2296"/>
      <c r="E187" s="2333" t="s">
        <v>3467</v>
      </c>
      <c r="F187" s="2333" t="s">
        <v>3468</v>
      </c>
      <c r="G187" s="2185" t="s">
        <v>3469</v>
      </c>
      <c r="H187" s="2333"/>
      <c r="I187" s="2334"/>
      <c r="J187" s="2185"/>
      <c r="K187" s="2336"/>
      <c r="L187" s="2335"/>
      <c r="M187" s="1951"/>
      <c r="N187" s="1962"/>
      <c r="O187" s="1961">
        <v>4390</v>
      </c>
      <c r="P187" s="1951">
        <v>4592</v>
      </c>
      <c r="Q187" s="1960">
        <v>4804</v>
      </c>
    </row>
    <row r="188" spans="1:17" ht="12.75" customHeight="1">
      <c r="A188" s="2332" t="s">
        <v>3531</v>
      </c>
      <c r="B188" s="2185" t="s">
        <v>3593</v>
      </c>
      <c r="C188" s="2296" t="s">
        <v>3453</v>
      </c>
      <c r="D188" s="2296"/>
      <c r="E188" s="2333" t="s">
        <v>3456</v>
      </c>
      <c r="F188" s="2333" t="s">
        <v>3457</v>
      </c>
      <c r="G188" s="2185" t="s">
        <v>3458</v>
      </c>
      <c r="H188" s="2333"/>
      <c r="I188" s="2334"/>
      <c r="J188" s="2185"/>
      <c r="K188" s="2336"/>
      <c r="L188" s="2335"/>
      <c r="M188" s="1951"/>
      <c r="N188" s="1962"/>
      <c r="O188" s="1961">
        <v>218484</v>
      </c>
      <c r="P188" s="1951">
        <v>230282</v>
      </c>
      <c r="Q188" s="1960">
        <v>242717</v>
      </c>
    </row>
    <row r="189" spans="1:17" ht="12.75" customHeight="1">
      <c r="A189" s="2332" t="s">
        <v>3464</v>
      </c>
      <c r="B189" s="2185" t="s">
        <v>3630</v>
      </c>
      <c r="C189" s="2296" t="s">
        <v>3453</v>
      </c>
      <c r="D189" s="2296"/>
      <c r="E189" s="2333" t="s">
        <v>3467</v>
      </c>
      <c r="F189" s="2333" t="s">
        <v>3468</v>
      </c>
      <c r="G189" s="2185" t="s">
        <v>3469</v>
      </c>
      <c r="H189" s="2333"/>
      <c r="I189" s="2334"/>
      <c r="J189" s="2185"/>
      <c r="K189" s="2336"/>
      <c r="L189" s="2335"/>
      <c r="M189" s="1951"/>
      <c r="N189" s="1962"/>
      <c r="O189" s="1961">
        <v>104591</v>
      </c>
      <c r="P189" s="1951">
        <v>109403</v>
      </c>
      <c r="Q189" s="1960">
        <v>114435</v>
      </c>
    </row>
    <row r="190" spans="1:17" ht="12.75" customHeight="1">
      <c r="A190" s="2332" t="s">
        <v>3523</v>
      </c>
      <c r="B190" s="2185" t="s">
        <v>3535</v>
      </c>
      <c r="C190" s="2296" t="s">
        <v>3453</v>
      </c>
      <c r="D190" s="2296"/>
      <c r="E190" s="2333" t="s">
        <v>3467</v>
      </c>
      <c r="F190" s="2333" t="s">
        <v>3468</v>
      </c>
      <c r="G190" s="2185" t="s">
        <v>3469</v>
      </c>
      <c r="H190" s="2333"/>
      <c r="I190" s="2334"/>
      <c r="J190" s="2185"/>
      <c r="K190" s="2336"/>
      <c r="L190" s="2335"/>
      <c r="M190" s="1951"/>
      <c r="N190" s="1962"/>
      <c r="O190" s="1961">
        <v>667</v>
      </c>
      <c r="P190" s="1951">
        <v>698</v>
      </c>
      <c r="Q190" s="1960">
        <v>730</v>
      </c>
    </row>
    <row r="191" spans="1:17" ht="12.75" customHeight="1">
      <c r="A191" s="2332" t="s">
        <v>3470</v>
      </c>
      <c r="B191" s="2185" t="s">
        <v>3631</v>
      </c>
      <c r="C191" s="2296" t="s">
        <v>3453</v>
      </c>
      <c r="D191" s="2296"/>
      <c r="E191" s="2333" t="s">
        <v>3456</v>
      </c>
      <c r="F191" s="2333" t="s">
        <v>3457</v>
      </c>
      <c r="G191" s="2185" t="s">
        <v>3461</v>
      </c>
      <c r="H191" s="2333"/>
      <c r="I191" s="2334"/>
      <c r="J191" s="2185"/>
      <c r="K191" s="2336"/>
      <c r="L191" s="2335"/>
      <c r="M191" s="1951"/>
      <c r="N191" s="1962"/>
      <c r="O191" s="1961">
        <v>0</v>
      </c>
      <c r="P191" s="1951">
        <v>0</v>
      </c>
      <c r="Q191" s="1960">
        <v>0</v>
      </c>
    </row>
    <row r="192" spans="1:17" ht="12.75" customHeight="1">
      <c r="A192" s="2332" t="s">
        <v>3464</v>
      </c>
      <c r="B192" s="2185" t="s">
        <v>3632</v>
      </c>
      <c r="C192" s="2296" t="s">
        <v>3453</v>
      </c>
      <c r="D192" s="2296"/>
      <c r="E192" s="2333" t="s">
        <v>3456</v>
      </c>
      <c r="F192" s="2333" t="s">
        <v>3457</v>
      </c>
      <c r="G192" s="2185" t="s">
        <v>3461</v>
      </c>
      <c r="H192" s="2333"/>
      <c r="I192" s="2334"/>
      <c r="J192" s="2185"/>
      <c r="K192" s="2336"/>
      <c r="L192" s="2335"/>
      <c r="M192" s="1951"/>
      <c r="N192" s="1962"/>
      <c r="O192" s="1961">
        <v>34920</v>
      </c>
      <c r="P192" s="1951">
        <v>36527</v>
      </c>
      <c r="Q192" s="1960">
        <v>38207</v>
      </c>
    </row>
    <row r="193" spans="1:17" ht="12.75" customHeight="1">
      <c r="A193" s="2332" t="s">
        <v>3543</v>
      </c>
      <c r="B193" s="2185" t="s">
        <v>3623</v>
      </c>
      <c r="C193" s="2296" t="s">
        <v>3453</v>
      </c>
      <c r="D193" s="2296"/>
      <c r="E193" s="2333" t="s">
        <v>3456</v>
      </c>
      <c r="F193" s="2333" t="s">
        <v>3457</v>
      </c>
      <c r="G193" s="2185" t="s">
        <v>3458</v>
      </c>
      <c r="H193" s="2333"/>
      <c r="I193" s="2334"/>
      <c r="J193" s="2185"/>
      <c r="K193" s="2336"/>
      <c r="L193" s="2335"/>
      <c r="M193" s="1951"/>
      <c r="N193" s="1962"/>
      <c r="O193" s="1961">
        <v>2000</v>
      </c>
      <c r="P193" s="1951">
        <v>2000</v>
      </c>
      <c r="Q193" s="1960">
        <v>2000</v>
      </c>
    </row>
    <row r="194" spans="1:17" ht="12.75" customHeight="1">
      <c r="A194" s="2332" t="s">
        <v>3483</v>
      </c>
      <c r="B194" s="2185" t="s">
        <v>3633</v>
      </c>
      <c r="C194" s="2296" t="s">
        <v>3634</v>
      </c>
      <c r="D194" s="2296"/>
      <c r="E194" s="2333" t="s">
        <v>3467</v>
      </c>
      <c r="F194" s="2333" t="s">
        <v>3468</v>
      </c>
      <c r="G194" s="2185" t="s">
        <v>3469</v>
      </c>
      <c r="H194" s="2333"/>
      <c r="I194" s="2334"/>
      <c r="J194" s="2185"/>
      <c r="K194" s="2336"/>
      <c r="L194" s="2335"/>
      <c r="M194" s="1951"/>
      <c r="N194" s="1962"/>
      <c r="O194" s="1961">
        <v>2253125</v>
      </c>
      <c r="P194" s="1951">
        <v>2356769</v>
      </c>
      <c r="Q194" s="1960">
        <v>2465181</v>
      </c>
    </row>
    <row r="195" spans="1:17" ht="12.75" customHeight="1">
      <c r="A195" s="2332" t="s">
        <v>3459</v>
      </c>
      <c r="B195" s="2185" t="s">
        <v>3460</v>
      </c>
      <c r="C195" s="2296" t="s">
        <v>3453</v>
      </c>
      <c r="D195" s="2296"/>
      <c r="E195" s="2333" t="s">
        <v>3456</v>
      </c>
      <c r="F195" s="2333" t="s">
        <v>3457</v>
      </c>
      <c r="G195" s="2185" t="s">
        <v>3458</v>
      </c>
      <c r="H195" s="2333"/>
      <c r="I195" s="2334"/>
      <c r="J195" s="2185"/>
      <c r="K195" s="2336"/>
      <c r="L195" s="2335"/>
      <c r="M195" s="1951"/>
      <c r="N195" s="1962"/>
      <c r="O195" s="1961">
        <v>1539956</v>
      </c>
      <c r="P195" s="1951">
        <v>1610795</v>
      </c>
      <c r="Q195" s="1960">
        <v>1684892</v>
      </c>
    </row>
    <row r="196" spans="1:17" ht="12.75" customHeight="1">
      <c r="A196" s="2332" t="s">
        <v>3533</v>
      </c>
      <c r="B196" s="2185" t="s">
        <v>3635</v>
      </c>
      <c r="C196" s="2296" t="s">
        <v>3453</v>
      </c>
      <c r="D196" s="2296"/>
      <c r="E196" s="2333" t="s">
        <v>3456</v>
      </c>
      <c r="F196" s="2333" t="s">
        <v>3457</v>
      </c>
      <c r="G196" s="2185" t="s">
        <v>3461</v>
      </c>
      <c r="H196" s="2333"/>
      <c r="I196" s="2334"/>
      <c r="J196" s="2185"/>
      <c r="K196" s="2336"/>
      <c r="L196" s="2335"/>
      <c r="M196" s="1951"/>
      <c r="N196" s="1962"/>
      <c r="O196" s="1961">
        <v>3813636</v>
      </c>
      <c r="P196" s="1951">
        <v>3989064</v>
      </c>
      <c r="Q196" s="1960">
        <v>4172561</v>
      </c>
    </row>
    <row r="197" spans="1:17" ht="12.75" customHeight="1">
      <c r="A197" s="2332" t="s">
        <v>3459</v>
      </c>
      <c r="B197" s="2185" t="s">
        <v>3460</v>
      </c>
      <c r="C197" s="2296" t="s">
        <v>3453</v>
      </c>
      <c r="D197" s="2296"/>
      <c r="E197" s="2333" t="s">
        <v>3456</v>
      </c>
      <c r="F197" s="2333" t="s">
        <v>3457</v>
      </c>
      <c r="G197" s="2185" t="s">
        <v>3458</v>
      </c>
      <c r="H197" s="2333"/>
      <c r="I197" s="2334"/>
      <c r="J197" s="2185"/>
      <c r="K197" s="2336"/>
      <c r="L197" s="2335"/>
      <c r="M197" s="1951"/>
      <c r="N197" s="1962"/>
      <c r="O197" s="1961">
        <v>46689</v>
      </c>
      <c r="P197" s="1951">
        <v>48837</v>
      </c>
      <c r="Q197" s="1960">
        <v>51084</v>
      </c>
    </row>
    <row r="198" spans="1:17" ht="12.75" customHeight="1">
      <c r="A198" s="2332" t="s">
        <v>3499</v>
      </c>
      <c r="B198" s="2185" t="s">
        <v>3589</v>
      </c>
      <c r="C198" s="2296" t="s">
        <v>3453</v>
      </c>
      <c r="D198" s="2296"/>
      <c r="E198" s="2333" t="s">
        <v>3467</v>
      </c>
      <c r="F198" s="2333" t="s">
        <v>3468</v>
      </c>
      <c r="G198" s="2185" t="s">
        <v>2676</v>
      </c>
      <c r="H198" s="2333"/>
      <c r="I198" s="2334"/>
      <c r="J198" s="2185"/>
      <c r="K198" s="2336"/>
      <c r="L198" s="2335"/>
      <c r="M198" s="1951"/>
      <c r="N198" s="1962"/>
      <c r="O198" s="1961">
        <v>0</v>
      </c>
      <c r="P198" s="1951">
        <v>0</v>
      </c>
      <c r="Q198" s="1960">
        <v>0</v>
      </c>
    </row>
    <row r="199" spans="1:17" ht="12.75" customHeight="1">
      <c r="A199" s="2332" t="s">
        <v>3454</v>
      </c>
      <c r="B199" s="2185" t="s">
        <v>3574</v>
      </c>
      <c r="C199" s="2296" t="s">
        <v>3453</v>
      </c>
      <c r="D199" s="2296"/>
      <c r="E199" s="2333" t="s">
        <v>3456</v>
      </c>
      <c r="F199" s="2333" t="s">
        <v>3457</v>
      </c>
      <c r="G199" s="2185" t="s">
        <v>3458</v>
      </c>
      <c r="H199" s="2333"/>
      <c r="I199" s="2334"/>
      <c r="J199" s="2185"/>
      <c r="K199" s="2336"/>
      <c r="L199" s="2335"/>
      <c r="M199" s="1951"/>
      <c r="N199" s="1962"/>
      <c r="O199" s="1961">
        <v>0</v>
      </c>
      <c r="P199" s="1951">
        <v>0</v>
      </c>
      <c r="Q199" s="1960">
        <v>0</v>
      </c>
    </row>
    <row r="200" spans="1:17" ht="12.75" customHeight="1">
      <c r="A200" s="2332" t="s">
        <v>3490</v>
      </c>
      <c r="B200" s="2185" t="s">
        <v>3636</v>
      </c>
      <c r="C200" s="2296" t="s">
        <v>3637</v>
      </c>
      <c r="D200" s="2296"/>
      <c r="E200" s="2333" t="s">
        <v>3456</v>
      </c>
      <c r="F200" s="2333" t="s">
        <v>3457</v>
      </c>
      <c r="G200" s="2185" t="s">
        <v>3481</v>
      </c>
      <c r="H200" s="2333"/>
      <c r="I200" s="2334"/>
      <c r="J200" s="2185"/>
      <c r="K200" s="2336"/>
      <c r="L200" s="2335"/>
      <c r="M200" s="1951"/>
      <c r="N200" s="1962"/>
      <c r="O200" s="1961">
        <v>826000</v>
      </c>
      <c r="P200" s="1951">
        <v>863996</v>
      </c>
      <c r="Q200" s="1960">
        <v>903740</v>
      </c>
    </row>
    <row r="201" spans="1:17" ht="12.75" customHeight="1">
      <c r="A201" s="2332" t="s">
        <v>3485</v>
      </c>
      <c r="B201" s="2185" t="s">
        <v>3638</v>
      </c>
      <c r="C201" s="2296" t="s">
        <v>3453</v>
      </c>
      <c r="D201" s="2296"/>
      <c r="E201" s="2333" t="s">
        <v>3456</v>
      </c>
      <c r="F201" s="2333" t="s">
        <v>3457</v>
      </c>
      <c r="G201" s="2185" t="s">
        <v>3458</v>
      </c>
      <c r="H201" s="2333"/>
      <c r="I201" s="2334"/>
      <c r="J201" s="2185"/>
      <c r="K201" s="2336"/>
      <c r="L201" s="2335"/>
      <c r="M201" s="1951"/>
      <c r="N201" s="1962"/>
      <c r="O201" s="1961">
        <v>4241</v>
      </c>
      <c r="P201" s="1951">
        <v>4437</v>
      </c>
      <c r="Q201" s="1960">
        <v>4641</v>
      </c>
    </row>
    <row r="202" spans="1:17" ht="12.75" customHeight="1">
      <c r="A202" s="2332" t="s">
        <v>3531</v>
      </c>
      <c r="B202" s="2185" t="s">
        <v>3532</v>
      </c>
      <c r="C202" s="2296" t="s">
        <v>3453</v>
      </c>
      <c r="D202" s="2296"/>
      <c r="E202" s="2333" t="s">
        <v>3456</v>
      </c>
      <c r="F202" s="2333" t="s">
        <v>3457</v>
      </c>
      <c r="G202" s="2185" t="s">
        <v>3458</v>
      </c>
      <c r="H202" s="2333"/>
      <c r="I202" s="2334"/>
      <c r="J202" s="2185"/>
      <c r="K202" s="2336"/>
      <c r="L202" s="2335"/>
      <c r="M202" s="1951"/>
      <c r="N202" s="1962"/>
      <c r="O202" s="1961">
        <v>0</v>
      </c>
      <c r="P202" s="1951">
        <v>0</v>
      </c>
      <c r="Q202" s="1960">
        <v>0</v>
      </c>
    </row>
    <row r="203" spans="1:17" ht="12.75" customHeight="1">
      <c r="A203" s="2332" t="s">
        <v>3576</v>
      </c>
      <c r="B203" s="2185" t="s">
        <v>3596</v>
      </c>
      <c r="C203" s="2296" t="s">
        <v>3453</v>
      </c>
      <c r="D203" s="2296"/>
      <c r="E203" s="2333" t="s">
        <v>3467</v>
      </c>
      <c r="F203" s="2333" t="s">
        <v>3468</v>
      </c>
      <c r="G203" s="2185" t="s">
        <v>3469</v>
      </c>
      <c r="H203" s="2333"/>
      <c r="I203" s="2334"/>
      <c r="J203" s="2185"/>
      <c r="K203" s="2336"/>
      <c r="L203" s="2335"/>
      <c r="M203" s="1951"/>
      <c r="N203" s="1962"/>
      <c r="O203" s="1961">
        <v>505647</v>
      </c>
      <c r="P203" s="1951">
        <v>528907</v>
      </c>
      <c r="Q203" s="1960">
        <v>553237</v>
      </c>
    </row>
    <row r="204" spans="1:17" ht="12.75" customHeight="1">
      <c r="A204" s="2332" t="s">
        <v>3464</v>
      </c>
      <c r="B204" s="2185" t="s">
        <v>3630</v>
      </c>
      <c r="C204" s="2296" t="s">
        <v>3453</v>
      </c>
      <c r="D204" s="2296"/>
      <c r="E204" s="2333" t="s">
        <v>3456</v>
      </c>
      <c r="F204" s="2333" t="s">
        <v>3457</v>
      </c>
      <c r="G204" s="2185" t="s">
        <v>3461</v>
      </c>
      <c r="H204" s="2333"/>
      <c r="I204" s="2334"/>
      <c r="J204" s="2185"/>
      <c r="K204" s="2336"/>
      <c r="L204" s="2335"/>
      <c r="M204" s="1951"/>
      <c r="N204" s="1962"/>
      <c r="O204" s="1961">
        <v>22117</v>
      </c>
      <c r="P204" s="1951">
        <v>23135</v>
      </c>
      <c r="Q204" s="1960">
        <v>24199</v>
      </c>
    </row>
    <row r="205" spans="1:17" ht="12.75" customHeight="1">
      <c r="A205" s="2332" t="s">
        <v>3459</v>
      </c>
      <c r="B205" s="2185" t="s">
        <v>3619</v>
      </c>
      <c r="C205" s="2296" t="s">
        <v>3453</v>
      </c>
      <c r="D205" s="2296"/>
      <c r="E205" s="2333" t="s">
        <v>3456</v>
      </c>
      <c r="F205" s="2333" t="s">
        <v>3457</v>
      </c>
      <c r="G205" s="2185" t="s">
        <v>3461</v>
      </c>
      <c r="H205" s="2333"/>
      <c r="I205" s="2334"/>
      <c r="J205" s="2185"/>
      <c r="K205" s="2336"/>
      <c r="L205" s="2335"/>
      <c r="M205" s="1951"/>
      <c r="N205" s="1962"/>
      <c r="O205" s="1961">
        <v>0</v>
      </c>
      <c r="P205" s="1951">
        <v>0</v>
      </c>
      <c r="Q205" s="1960">
        <v>0</v>
      </c>
    </row>
    <row r="206" spans="1:17" ht="12.75" customHeight="1">
      <c r="A206" s="2332" t="s">
        <v>3584</v>
      </c>
      <c r="B206" s="2185" t="s">
        <v>3608</v>
      </c>
      <c r="C206" s="2296" t="s">
        <v>3453</v>
      </c>
      <c r="D206" s="2296"/>
      <c r="E206" s="2333" t="s">
        <v>3456</v>
      </c>
      <c r="F206" s="2333" t="s">
        <v>3457</v>
      </c>
      <c r="G206" s="2185" t="s">
        <v>3461</v>
      </c>
      <c r="H206" s="2333"/>
      <c r="I206" s="2334"/>
      <c r="J206" s="2185"/>
      <c r="K206" s="2336"/>
      <c r="L206" s="2335"/>
      <c r="M206" s="1951"/>
      <c r="N206" s="1962"/>
      <c r="O206" s="1961">
        <v>2000</v>
      </c>
      <c r="P206" s="1951">
        <v>2000</v>
      </c>
      <c r="Q206" s="1960">
        <v>2000</v>
      </c>
    </row>
    <row r="207" spans="1:17" ht="12.75" customHeight="1">
      <c r="A207" s="2332" t="s">
        <v>3510</v>
      </c>
      <c r="B207" s="2185" t="s">
        <v>3511</v>
      </c>
      <c r="C207" s="2296" t="s">
        <v>3453</v>
      </c>
      <c r="D207" s="2296"/>
      <c r="E207" s="2333" t="s">
        <v>3467</v>
      </c>
      <c r="F207" s="2333" t="s">
        <v>3468</v>
      </c>
      <c r="G207" s="2185" t="s">
        <v>3469</v>
      </c>
      <c r="H207" s="2333"/>
      <c r="I207" s="2334"/>
      <c r="J207" s="2185"/>
      <c r="K207" s="2336"/>
      <c r="L207" s="2335"/>
      <c r="M207" s="1951"/>
      <c r="N207" s="1962"/>
      <c r="O207" s="1961">
        <v>0</v>
      </c>
      <c r="P207" s="1951">
        <v>0</v>
      </c>
      <c r="Q207" s="1960">
        <v>0</v>
      </c>
    </row>
    <row r="208" spans="1:17" ht="12.75" customHeight="1">
      <c r="A208" s="2332" t="s">
        <v>3454</v>
      </c>
      <c r="B208" s="2185" t="s">
        <v>3574</v>
      </c>
      <c r="C208" s="2296" t="s">
        <v>3453</v>
      </c>
      <c r="D208" s="2296"/>
      <c r="E208" s="2333" t="s">
        <v>3467</v>
      </c>
      <c r="F208" s="2333" t="s">
        <v>3468</v>
      </c>
      <c r="G208" s="2185" t="s">
        <v>3469</v>
      </c>
      <c r="H208" s="2333"/>
      <c r="I208" s="2334"/>
      <c r="J208" s="2185"/>
      <c r="K208" s="2336"/>
      <c r="L208" s="2335"/>
      <c r="M208" s="1951"/>
      <c r="N208" s="1962"/>
      <c r="O208" s="1961">
        <v>0</v>
      </c>
      <c r="P208" s="1951">
        <v>0</v>
      </c>
      <c r="Q208" s="1960">
        <v>0</v>
      </c>
    </row>
    <row r="209" spans="1:17" ht="12.75" customHeight="1">
      <c r="A209" s="2332" t="s">
        <v>3464</v>
      </c>
      <c r="B209" s="2185" t="s">
        <v>3639</v>
      </c>
      <c r="C209" s="2296" t="s">
        <v>3453</v>
      </c>
      <c r="D209" s="2296"/>
      <c r="E209" s="2333"/>
      <c r="F209" s="2333"/>
      <c r="G209" s="2185"/>
      <c r="H209" s="2333"/>
      <c r="I209" s="2334"/>
      <c r="J209" s="2185"/>
      <c r="K209" s="2336"/>
      <c r="L209" s="2335"/>
      <c r="M209" s="1951"/>
      <c r="N209" s="1962"/>
      <c r="O209" s="1961">
        <v>0</v>
      </c>
      <c r="P209" s="1951">
        <v>0</v>
      </c>
      <c r="Q209" s="1960">
        <v>0</v>
      </c>
    </row>
    <row r="210" spans="1:17" ht="12.75" customHeight="1">
      <c r="A210" s="2332" t="s">
        <v>3479</v>
      </c>
      <c r="B210" s="2185" t="s">
        <v>3640</v>
      </c>
      <c r="C210" s="2296" t="s">
        <v>3453</v>
      </c>
      <c r="D210" s="2296"/>
      <c r="E210" s="2333"/>
      <c r="F210" s="2333"/>
      <c r="G210" s="2185"/>
      <c r="H210" s="2333"/>
      <c r="I210" s="2334"/>
      <c r="J210" s="2185"/>
      <c r="K210" s="2336"/>
      <c r="L210" s="2335"/>
      <c r="M210" s="1951"/>
      <c r="N210" s="1962"/>
      <c r="O210" s="1961">
        <v>839860</v>
      </c>
      <c r="P210" s="1951">
        <v>839860</v>
      </c>
      <c r="Q210" s="1960">
        <v>878494</v>
      </c>
    </row>
    <row r="211" spans="1:17" ht="12.75" customHeight="1">
      <c r="A211" s="2332" t="s">
        <v>3576</v>
      </c>
      <c r="B211" s="2185" t="s">
        <v>3577</v>
      </c>
      <c r="C211" s="2296" t="s">
        <v>3453</v>
      </c>
      <c r="D211" s="2296"/>
      <c r="E211" s="2333"/>
      <c r="F211" s="2333"/>
      <c r="G211" s="2185"/>
      <c r="H211" s="2333"/>
      <c r="I211" s="2334"/>
      <c r="J211" s="2185"/>
      <c r="K211" s="2336"/>
      <c r="L211" s="2335"/>
      <c r="M211" s="1951"/>
      <c r="N211" s="1962"/>
      <c r="O211" s="1961">
        <v>2341255</v>
      </c>
      <c r="P211" s="1951">
        <v>2448953</v>
      </c>
      <c r="Q211" s="1960">
        <v>2561605</v>
      </c>
    </row>
    <row r="212" spans="1:17" ht="12.75" customHeight="1">
      <c r="A212" s="2332" t="s">
        <v>3499</v>
      </c>
      <c r="B212" s="2185" t="s">
        <v>3500</v>
      </c>
      <c r="C212" s="2296" t="s">
        <v>3453</v>
      </c>
      <c r="D212" s="2296"/>
      <c r="E212" s="2333" t="s">
        <v>3467</v>
      </c>
      <c r="F212" s="2333" t="s">
        <v>3468</v>
      </c>
      <c r="G212" s="2185" t="s">
        <v>3475</v>
      </c>
      <c r="H212" s="2333"/>
      <c r="I212" s="2334"/>
      <c r="J212" s="2185"/>
      <c r="K212" s="2336"/>
      <c r="L212" s="2335"/>
      <c r="M212" s="1951"/>
      <c r="N212" s="1962"/>
      <c r="O212" s="1961">
        <v>16834</v>
      </c>
      <c r="P212" s="1951">
        <v>17608</v>
      </c>
      <c r="Q212" s="1960">
        <v>18418</v>
      </c>
    </row>
    <row r="213" spans="1:17" ht="12.75" customHeight="1">
      <c r="A213" s="2332" t="s">
        <v>3533</v>
      </c>
      <c r="B213" s="2185" t="s">
        <v>3635</v>
      </c>
      <c r="C213" s="2296" t="s">
        <v>3453</v>
      </c>
      <c r="D213" s="2296"/>
      <c r="E213" s="2333" t="s">
        <v>3456</v>
      </c>
      <c r="F213" s="2333" t="s">
        <v>3457</v>
      </c>
      <c r="G213" s="2185" t="s">
        <v>3461</v>
      </c>
      <c r="H213" s="2333"/>
      <c r="I213" s="2334"/>
      <c r="J213" s="2185"/>
      <c r="K213" s="2336"/>
      <c r="L213" s="2335"/>
      <c r="M213" s="1951"/>
      <c r="N213" s="1962"/>
      <c r="O213" s="1961">
        <v>21025</v>
      </c>
      <c r="P213" s="1951">
        <v>21993</v>
      </c>
      <c r="Q213" s="1960">
        <v>23004</v>
      </c>
    </row>
    <row r="214" spans="1:17" ht="12.75" customHeight="1">
      <c r="A214" s="2332" t="s">
        <v>3520</v>
      </c>
      <c r="B214" s="2185" t="s">
        <v>3593</v>
      </c>
      <c r="C214" s="2296" t="s">
        <v>3453</v>
      </c>
      <c r="D214" s="2296"/>
      <c r="E214" s="2333" t="s">
        <v>3456</v>
      </c>
      <c r="F214" s="2333" t="s">
        <v>3457</v>
      </c>
      <c r="G214" s="2185" t="s">
        <v>3461</v>
      </c>
      <c r="H214" s="2333"/>
      <c r="I214" s="2334"/>
      <c r="J214" s="2185"/>
      <c r="K214" s="2336"/>
      <c r="L214" s="2335"/>
      <c r="M214" s="1951"/>
      <c r="N214" s="1962"/>
      <c r="O214" s="1961">
        <v>534540</v>
      </c>
      <c r="P214" s="1951">
        <v>559129</v>
      </c>
      <c r="Q214" s="1960">
        <v>584849</v>
      </c>
    </row>
    <row r="215" spans="1:17" ht="12.75" customHeight="1">
      <c r="A215" s="2332" t="s">
        <v>3520</v>
      </c>
      <c r="B215" s="2185" t="s">
        <v>3641</v>
      </c>
      <c r="C215" s="2296" t="s">
        <v>3453</v>
      </c>
      <c r="D215" s="2296"/>
      <c r="E215" s="2333" t="s">
        <v>3456</v>
      </c>
      <c r="F215" s="2333" t="s">
        <v>3457</v>
      </c>
      <c r="G215" s="2185" t="s">
        <v>3458</v>
      </c>
      <c r="H215" s="2333"/>
      <c r="I215" s="2334"/>
      <c r="J215" s="2185"/>
      <c r="K215" s="2336"/>
      <c r="L215" s="2335"/>
      <c r="M215" s="1951"/>
      <c r="N215" s="1962"/>
      <c r="O215" s="1961">
        <v>941</v>
      </c>
      <c r="P215" s="1951">
        <v>985</v>
      </c>
      <c r="Q215" s="1960">
        <v>1030</v>
      </c>
    </row>
    <row r="216" spans="1:17" ht="12.75" customHeight="1">
      <c r="A216" s="2332" t="s">
        <v>3510</v>
      </c>
      <c r="B216" s="2185" t="s">
        <v>3642</v>
      </c>
      <c r="C216" s="2296" t="s">
        <v>3453</v>
      </c>
      <c r="D216" s="2296"/>
      <c r="E216" s="2333" t="s">
        <v>3456</v>
      </c>
      <c r="F216" s="2333" t="s">
        <v>3457</v>
      </c>
      <c r="G216" s="2185" t="s">
        <v>3461</v>
      </c>
      <c r="H216" s="2333"/>
      <c r="I216" s="2334"/>
      <c r="J216" s="2185"/>
      <c r="K216" s="2336"/>
      <c r="L216" s="2335"/>
      <c r="M216" s="1951"/>
      <c r="N216" s="1962"/>
      <c r="O216" s="1961">
        <v>767980</v>
      </c>
      <c r="P216" s="1951">
        <v>803308</v>
      </c>
      <c r="Q216" s="1960">
        <v>840260</v>
      </c>
    </row>
    <row r="217" spans="1:17" ht="12.75" customHeight="1">
      <c r="A217" s="2332" t="s">
        <v>3520</v>
      </c>
      <c r="B217" s="2185" t="s">
        <v>3593</v>
      </c>
      <c r="C217" s="2296" t="s">
        <v>3453</v>
      </c>
      <c r="D217" s="2296"/>
      <c r="E217" s="2333" t="s">
        <v>3467</v>
      </c>
      <c r="F217" s="2333" t="s">
        <v>3468</v>
      </c>
      <c r="G217" s="2185" t="s">
        <v>3469</v>
      </c>
      <c r="H217" s="2333"/>
      <c r="I217" s="2334"/>
      <c r="J217" s="2185"/>
      <c r="K217" s="2336"/>
      <c r="L217" s="2335"/>
      <c r="M217" s="1951"/>
      <c r="N217" s="1962"/>
      <c r="O217" s="1961">
        <v>128757</v>
      </c>
      <c r="P217" s="1951">
        <v>134680</v>
      </c>
      <c r="Q217" s="1960">
        <v>140876</v>
      </c>
    </row>
    <row r="218" spans="1:17" ht="12.75" customHeight="1">
      <c r="A218" s="2332" t="s">
        <v>3506</v>
      </c>
      <c r="B218" s="2185" t="s">
        <v>3507</v>
      </c>
      <c r="C218" s="2296" t="s">
        <v>3453</v>
      </c>
      <c r="D218" s="2296"/>
      <c r="E218" s="2333" t="s">
        <v>3467</v>
      </c>
      <c r="F218" s="2333" t="s">
        <v>3468</v>
      </c>
      <c r="G218" s="2185" t="s">
        <v>3469</v>
      </c>
      <c r="H218" s="2333"/>
      <c r="I218" s="2334"/>
      <c r="J218" s="2185"/>
      <c r="K218" s="2336"/>
      <c r="L218" s="2335"/>
      <c r="M218" s="1951"/>
      <c r="N218" s="1962"/>
      <c r="O218" s="1961">
        <v>0</v>
      </c>
      <c r="P218" s="1951">
        <v>0</v>
      </c>
      <c r="Q218" s="1960">
        <v>0</v>
      </c>
    </row>
    <row r="219" spans="1:17" ht="12.75" customHeight="1">
      <c r="A219" s="2332" t="s">
        <v>3464</v>
      </c>
      <c r="B219" s="2185" t="s">
        <v>3643</v>
      </c>
      <c r="C219" s="2296" t="s">
        <v>3453</v>
      </c>
      <c r="D219" s="2296"/>
      <c r="E219" s="2333" t="s">
        <v>3456</v>
      </c>
      <c r="F219" s="2333" t="s">
        <v>3457</v>
      </c>
      <c r="G219" s="2185" t="s">
        <v>3461</v>
      </c>
      <c r="H219" s="2333"/>
      <c r="I219" s="2334"/>
      <c r="J219" s="2185"/>
      <c r="K219" s="2336"/>
      <c r="L219" s="2335"/>
      <c r="M219" s="1951"/>
      <c r="N219" s="1962"/>
      <c r="O219" s="1961">
        <v>1391</v>
      </c>
      <c r="P219" s="1951">
        <v>1455</v>
      </c>
      <c r="Q219" s="1960">
        <v>1522</v>
      </c>
    </row>
    <row r="220" spans="1:17" ht="12.75" customHeight="1">
      <c r="A220" s="2332" t="s">
        <v>3520</v>
      </c>
      <c r="B220" s="2185" t="s">
        <v>3603</v>
      </c>
      <c r="C220" s="2296" t="s">
        <v>3453</v>
      </c>
      <c r="D220" s="2296"/>
      <c r="E220" s="2333" t="s">
        <v>3467</v>
      </c>
      <c r="F220" s="2333" t="s">
        <v>3468</v>
      </c>
      <c r="G220" s="2185" t="s">
        <v>3475</v>
      </c>
      <c r="H220" s="2333"/>
      <c r="I220" s="2334"/>
      <c r="J220" s="2185"/>
      <c r="K220" s="2336"/>
      <c r="L220" s="2335"/>
      <c r="M220" s="1951"/>
      <c r="N220" s="1962"/>
      <c r="O220" s="1961">
        <v>24497</v>
      </c>
      <c r="P220" s="1951">
        <v>25624</v>
      </c>
      <c r="Q220" s="1960">
        <v>26803</v>
      </c>
    </row>
    <row r="221" spans="1:17" ht="12.75" customHeight="1">
      <c r="A221" s="2332" t="s">
        <v>3490</v>
      </c>
      <c r="B221" s="2185" t="s">
        <v>3644</v>
      </c>
      <c r="C221" s="2296" t="s">
        <v>3453</v>
      </c>
      <c r="D221" s="2296"/>
      <c r="E221" s="2333" t="s">
        <v>3456</v>
      </c>
      <c r="F221" s="2333" t="s">
        <v>3457</v>
      </c>
      <c r="G221" s="2185" t="s">
        <v>3461</v>
      </c>
      <c r="H221" s="2333"/>
      <c r="I221" s="2334"/>
      <c r="J221" s="2185"/>
      <c r="K221" s="2336"/>
      <c r="L221" s="2335"/>
      <c r="M221" s="1951"/>
      <c r="N221" s="1962"/>
      <c r="O221" s="1961">
        <v>80118</v>
      </c>
      <c r="P221" s="1951">
        <v>83804</v>
      </c>
      <c r="Q221" s="1960">
        <v>87659</v>
      </c>
    </row>
    <row r="222" spans="1:17" ht="12.75" customHeight="1">
      <c r="A222" s="2332" t="s">
        <v>3490</v>
      </c>
      <c r="B222" s="2185" t="s">
        <v>3493</v>
      </c>
      <c r="C222" s="2296" t="s">
        <v>3453</v>
      </c>
      <c r="D222" s="2296"/>
      <c r="E222" s="2333" t="s">
        <v>3467</v>
      </c>
      <c r="F222" s="2333" t="s">
        <v>3468</v>
      </c>
      <c r="G222" s="2185" t="s">
        <v>3469</v>
      </c>
      <c r="H222" s="2333"/>
      <c r="I222" s="2334"/>
      <c r="J222" s="2185"/>
      <c r="K222" s="2336"/>
      <c r="L222" s="2335"/>
      <c r="M222" s="1951"/>
      <c r="N222" s="1962"/>
      <c r="O222" s="1961">
        <v>541249</v>
      </c>
      <c r="P222" s="1951">
        <v>566147</v>
      </c>
      <c r="Q222" s="1960">
        <v>592190</v>
      </c>
    </row>
    <row r="223" spans="1:17" ht="12.75" customHeight="1">
      <c r="A223" s="2332" t="s">
        <v>3490</v>
      </c>
      <c r="B223" s="2185" t="s">
        <v>3607</v>
      </c>
      <c r="C223" s="2296" t="s">
        <v>3453</v>
      </c>
      <c r="D223" s="2296"/>
      <c r="E223" s="2333" t="s">
        <v>3456</v>
      </c>
      <c r="F223" s="2333" t="s">
        <v>3457</v>
      </c>
      <c r="G223" s="2185" t="s">
        <v>3458</v>
      </c>
      <c r="H223" s="2333"/>
      <c r="I223" s="2334"/>
      <c r="J223" s="2185"/>
      <c r="K223" s="2336"/>
      <c r="L223" s="2335"/>
      <c r="M223" s="1951"/>
      <c r="N223" s="1962"/>
      <c r="O223" s="1961">
        <v>1263</v>
      </c>
      <c r="P223" s="1951">
        <v>1322</v>
      </c>
      <c r="Q223" s="1960">
        <v>1382</v>
      </c>
    </row>
    <row r="224" spans="1:17" ht="12.75" customHeight="1">
      <c r="A224" s="2332" t="s">
        <v>3459</v>
      </c>
      <c r="B224" s="2185" t="s">
        <v>3645</v>
      </c>
      <c r="C224" s="2296" t="s">
        <v>3453</v>
      </c>
      <c r="D224" s="2296"/>
      <c r="E224" s="2333" t="s">
        <v>3456</v>
      </c>
      <c r="F224" s="2333" t="s">
        <v>3457</v>
      </c>
      <c r="G224" s="2185" t="s">
        <v>3458</v>
      </c>
      <c r="H224" s="2333"/>
      <c r="I224" s="2334"/>
      <c r="J224" s="2185"/>
      <c r="K224" s="2336"/>
      <c r="L224" s="2335"/>
      <c r="M224" s="1951"/>
      <c r="N224" s="1962"/>
      <c r="O224" s="1961">
        <v>51408</v>
      </c>
      <c r="P224" s="1951">
        <v>53773</v>
      </c>
      <c r="Q224" s="1960">
        <v>56247</v>
      </c>
    </row>
    <row r="225" spans="1:17" ht="12.75" customHeight="1">
      <c r="A225" s="2332" t="s">
        <v>3459</v>
      </c>
      <c r="B225" s="2185" t="s">
        <v>3646</v>
      </c>
      <c r="C225" s="2296" t="s">
        <v>3453</v>
      </c>
      <c r="D225" s="2296"/>
      <c r="E225" s="2333" t="s">
        <v>3456</v>
      </c>
      <c r="F225" s="2333" t="s">
        <v>3457</v>
      </c>
      <c r="G225" s="2185" t="s">
        <v>3458</v>
      </c>
      <c r="H225" s="2333"/>
      <c r="I225" s="2334"/>
      <c r="J225" s="2185"/>
      <c r="K225" s="2336"/>
      <c r="L225" s="2335"/>
      <c r="M225" s="1951"/>
      <c r="N225" s="1962"/>
      <c r="O225" s="1961">
        <v>30000</v>
      </c>
      <c r="P225" s="1951">
        <v>31380</v>
      </c>
      <c r="Q225" s="1960">
        <v>32824</v>
      </c>
    </row>
    <row r="226" spans="1:17" ht="12.75" customHeight="1">
      <c r="A226" s="2332" t="s">
        <v>3487</v>
      </c>
      <c r="B226" s="2185" t="s">
        <v>3647</v>
      </c>
      <c r="C226" s="2296" t="s">
        <v>3453</v>
      </c>
      <c r="D226" s="2296"/>
      <c r="E226" s="2333" t="s">
        <v>3456</v>
      </c>
      <c r="F226" s="2333" t="s">
        <v>3457</v>
      </c>
      <c r="G226" s="2185" t="s">
        <v>3458</v>
      </c>
      <c r="H226" s="2333"/>
      <c r="I226" s="2334"/>
      <c r="J226" s="2185"/>
      <c r="K226" s="2336"/>
      <c r="L226" s="2335"/>
      <c r="M226" s="1951"/>
      <c r="N226" s="1962"/>
      <c r="O226" s="1961">
        <v>93656</v>
      </c>
      <c r="P226" s="1951">
        <v>97965</v>
      </c>
      <c r="Q226" s="1960">
        <v>102471</v>
      </c>
    </row>
    <row r="227" spans="1:17" ht="12.75" customHeight="1">
      <c r="A227" s="2332" t="s">
        <v>3538</v>
      </c>
      <c r="B227" s="2185" t="s">
        <v>3648</v>
      </c>
      <c r="C227" s="2296" t="s">
        <v>3453</v>
      </c>
      <c r="D227" s="2296"/>
      <c r="E227" s="2333" t="s">
        <v>3456</v>
      </c>
      <c r="F227" s="2333" t="s">
        <v>3457</v>
      </c>
      <c r="G227" s="2185" t="s">
        <v>3481</v>
      </c>
      <c r="H227" s="2333"/>
      <c r="I227" s="2334"/>
      <c r="J227" s="2185"/>
      <c r="K227" s="2336"/>
      <c r="L227" s="2335"/>
      <c r="M227" s="1951"/>
      <c r="N227" s="1962"/>
      <c r="O227" s="1961">
        <v>2100094</v>
      </c>
      <c r="P227" s="1951">
        <v>2196699</v>
      </c>
      <c r="Q227" s="1960">
        <v>2297747</v>
      </c>
    </row>
    <row r="228" spans="1:17" ht="12.75" customHeight="1">
      <c r="A228" s="2332" t="s">
        <v>3490</v>
      </c>
      <c r="B228" s="2185" t="s">
        <v>3494</v>
      </c>
      <c r="C228" s="2296" t="s">
        <v>3453</v>
      </c>
      <c r="D228" s="2296"/>
      <c r="E228" s="2333" t="s">
        <v>3456</v>
      </c>
      <c r="F228" s="2333" t="s">
        <v>3457</v>
      </c>
      <c r="G228" s="2185" t="s">
        <v>3458</v>
      </c>
      <c r="H228" s="2333"/>
      <c r="I228" s="2334"/>
      <c r="J228" s="2185"/>
      <c r="K228" s="2336"/>
      <c r="L228" s="2335"/>
      <c r="M228" s="1951"/>
      <c r="N228" s="1962"/>
      <c r="O228" s="1961">
        <v>10894670</v>
      </c>
      <c r="P228" s="1951">
        <v>11395825</v>
      </c>
      <c r="Q228" s="1960">
        <v>11920033</v>
      </c>
    </row>
    <row r="229" spans="1:17" ht="12.75" customHeight="1">
      <c r="A229" s="2332" t="s">
        <v>3506</v>
      </c>
      <c r="B229" s="2185" t="s">
        <v>3610</v>
      </c>
      <c r="C229" s="2296" t="s">
        <v>3453</v>
      </c>
      <c r="D229" s="2296"/>
      <c r="E229" s="2333" t="s">
        <v>3467</v>
      </c>
      <c r="F229" s="2333" t="s">
        <v>3468</v>
      </c>
      <c r="G229" s="2185" t="s">
        <v>2676</v>
      </c>
      <c r="H229" s="2333"/>
      <c r="I229" s="2334"/>
      <c r="J229" s="2185"/>
      <c r="K229" s="2336"/>
      <c r="L229" s="2335"/>
      <c r="M229" s="1951"/>
      <c r="N229" s="1962"/>
      <c r="O229" s="1961">
        <v>811041</v>
      </c>
      <c r="P229" s="1951">
        <v>848349</v>
      </c>
      <c r="Q229" s="1960">
        <v>887373</v>
      </c>
    </row>
    <row r="230" spans="1:17" ht="12.75" customHeight="1">
      <c r="A230" s="2332" t="s">
        <v>3485</v>
      </c>
      <c r="B230" s="2185" t="s">
        <v>3505</v>
      </c>
      <c r="C230" s="2296" t="s">
        <v>3453</v>
      </c>
      <c r="D230" s="2296"/>
      <c r="E230" s="2333" t="s">
        <v>3467</v>
      </c>
      <c r="F230" s="2333" t="s">
        <v>3468</v>
      </c>
      <c r="G230" s="2185" t="s">
        <v>3469</v>
      </c>
      <c r="H230" s="2333"/>
      <c r="I230" s="2334"/>
      <c r="J230" s="2185"/>
      <c r="K230" s="2336"/>
      <c r="L230" s="2335"/>
      <c r="M230" s="1951"/>
      <c r="N230" s="1962"/>
      <c r="O230" s="1961">
        <v>3195</v>
      </c>
      <c r="P230" s="1951">
        <v>3342</v>
      </c>
      <c r="Q230" s="1960">
        <v>3496</v>
      </c>
    </row>
    <row r="231" spans="1:17" ht="12.75" customHeight="1">
      <c r="A231" s="2332" t="s">
        <v>3576</v>
      </c>
      <c r="B231" s="2185" t="s">
        <v>3577</v>
      </c>
      <c r="C231" s="2296" t="s">
        <v>3453</v>
      </c>
      <c r="D231" s="2296"/>
      <c r="E231" s="2333" t="s">
        <v>3456</v>
      </c>
      <c r="F231" s="2333" t="s">
        <v>3457</v>
      </c>
      <c r="G231" s="2185" t="s">
        <v>3461</v>
      </c>
      <c r="H231" s="2333"/>
      <c r="I231" s="2334"/>
      <c r="J231" s="2185"/>
      <c r="K231" s="2336"/>
      <c r="L231" s="2335"/>
      <c r="M231" s="1951"/>
      <c r="N231" s="1962"/>
      <c r="O231" s="1961">
        <v>2000</v>
      </c>
      <c r="P231" s="1951">
        <v>2000</v>
      </c>
      <c r="Q231" s="1960">
        <v>2000</v>
      </c>
    </row>
    <row r="232" spans="1:17" ht="12.75" customHeight="1">
      <c r="A232" s="2332" t="s">
        <v>3459</v>
      </c>
      <c r="B232" s="2185" t="s">
        <v>3649</v>
      </c>
      <c r="C232" s="2296" t="s">
        <v>3453</v>
      </c>
      <c r="D232" s="2296"/>
      <c r="E232" s="2333" t="s">
        <v>3467</v>
      </c>
      <c r="F232" s="2333" t="s">
        <v>3468</v>
      </c>
      <c r="G232" s="2185" t="s">
        <v>2676</v>
      </c>
      <c r="H232" s="2333"/>
      <c r="I232" s="2334"/>
      <c r="J232" s="2185"/>
      <c r="K232" s="2336"/>
      <c r="L232" s="2335"/>
      <c r="M232" s="1951"/>
      <c r="N232" s="1962"/>
      <c r="O232" s="1961">
        <v>0</v>
      </c>
      <c r="P232" s="1951">
        <v>0</v>
      </c>
      <c r="Q232" s="1960">
        <v>0</v>
      </c>
    </row>
    <row r="233" spans="1:17" ht="12.75" customHeight="1">
      <c r="A233" s="2332" t="s">
        <v>3459</v>
      </c>
      <c r="B233" s="2185" t="s">
        <v>3650</v>
      </c>
      <c r="C233" s="2296" t="s">
        <v>3453</v>
      </c>
      <c r="D233" s="2296"/>
      <c r="E233" s="2333" t="s">
        <v>3456</v>
      </c>
      <c r="F233" s="2333" t="s">
        <v>3457</v>
      </c>
      <c r="G233" s="2185" t="s">
        <v>3461</v>
      </c>
      <c r="H233" s="2333"/>
      <c r="I233" s="2334"/>
      <c r="J233" s="2185"/>
      <c r="K233" s="2336"/>
      <c r="L233" s="2335"/>
      <c r="M233" s="1951"/>
      <c r="N233" s="1962"/>
      <c r="O233" s="1961">
        <v>498365</v>
      </c>
      <c r="P233" s="1951">
        <v>498365</v>
      </c>
      <c r="Q233" s="1960">
        <v>521290</v>
      </c>
    </row>
    <row r="234" spans="1:17" ht="12.75" customHeight="1">
      <c r="A234" s="2332" t="s">
        <v>3523</v>
      </c>
      <c r="B234" s="2185" t="s">
        <v>3651</v>
      </c>
      <c r="C234" s="2296" t="s">
        <v>3652</v>
      </c>
      <c r="D234" s="2296"/>
      <c r="E234" s="2333" t="s">
        <v>3456</v>
      </c>
      <c r="F234" s="2333" t="s">
        <v>3457</v>
      </c>
      <c r="G234" s="2185" t="s">
        <v>3461</v>
      </c>
      <c r="H234" s="2333"/>
      <c r="I234" s="2334"/>
      <c r="J234" s="2185"/>
      <c r="K234" s="2336"/>
      <c r="L234" s="2335"/>
      <c r="M234" s="1951"/>
      <c r="N234" s="1962"/>
      <c r="O234" s="1961">
        <v>0</v>
      </c>
      <c r="P234" s="1951">
        <v>0</v>
      </c>
      <c r="Q234" s="1960">
        <v>0</v>
      </c>
    </row>
    <row r="235" spans="1:17" ht="12.75" customHeight="1">
      <c r="A235" s="2332" t="s">
        <v>3454</v>
      </c>
      <c r="B235" s="2185" t="s">
        <v>3512</v>
      </c>
      <c r="C235" s="2296" t="s">
        <v>3453</v>
      </c>
      <c r="D235" s="2296"/>
      <c r="E235" s="2333" t="s">
        <v>3467</v>
      </c>
      <c r="F235" s="2333" t="s">
        <v>3468</v>
      </c>
      <c r="G235" s="2185" t="s">
        <v>2676</v>
      </c>
      <c r="H235" s="2333"/>
      <c r="I235" s="2334"/>
      <c r="J235" s="2185"/>
      <c r="K235" s="2336"/>
      <c r="L235" s="2335"/>
      <c r="M235" s="1951"/>
      <c r="N235" s="1962"/>
      <c r="O235" s="1961">
        <v>0</v>
      </c>
      <c r="P235" s="1951">
        <v>0</v>
      </c>
      <c r="Q235" s="1960">
        <v>0</v>
      </c>
    </row>
    <row r="236" spans="1:17" ht="12.75" customHeight="1">
      <c r="A236" s="2332" t="s">
        <v>3454</v>
      </c>
      <c r="B236" s="2185" t="s">
        <v>3545</v>
      </c>
      <c r="C236" s="2296" t="s">
        <v>3453</v>
      </c>
      <c r="D236" s="2296"/>
      <c r="E236" s="2333" t="s">
        <v>3456</v>
      </c>
      <c r="F236" s="2333" t="s">
        <v>3457</v>
      </c>
      <c r="G236" s="2185" t="s">
        <v>3458</v>
      </c>
      <c r="H236" s="2333"/>
      <c r="I236" s="2334"/>
      <c r="J236" s="2185"/>
      <c r="K236" s="2336"/>
      <c r="L236" s="2335"/>
      <c r="M236" s="1951"/>
      <c r="N236" s="1962"/>
      <c r="O236" s="1961">
        <v>0</v>
      </c>
      <c r="P236" s="1951">
        <v>0</v>
      </c>
      <c r="Q236" s="1960">
        <v>0</v>
      </c>
    </row>
    <row r="237" spans="1:17" ht="12.75" customHeight="1">
      <c r="A237" s="2332" t="s">
        <v>3473</v>
      </c>
      <c r="B237" s="2185" t="s">
        <v>3653</v>
      </c>
      <c r="C237" s="2296" t="s">
        <v>3453</v>
      </c>
      <c r="D237" s="2296"/>
      <c r="E237" s="2333" t="s">
        <v>3456</v>
      </c>
      <c r="F237" s="2333" t="s">
        <v>3457</v>
      </c>
      <c r="G237" s="2185" t="s">
        <v>3458</v>
      </c>
      <c r="H237" s="2333"/>
      <c r="I237" s="2334"/>
      <c r="J237" s="2185"/>
      <c r="K237" s="2336"/>
      <c r="L237" s="2335"/>
      <c r="M237" s="1951"/>
      <c r="N237" s="1962"/>
      <c r="O237" s="1961">
        <v>8652</v>
      </c>
      <c r="P237" s="1951">
        <v>9050</v>
      </c>
      <c r="Q237" s="1960">
        <v>9467</v>
      </c>
    </row>
    <row r="238" spans="1:17" ht="12.75" customHeight="1">
      <c r="A238" s="2332" t="s">
        <v>3531</v>
      </c>
      <c r="B238" s="2185" t="s">
        <v>3532</v>
      </c>
      <c r="C238" s="2296" t="s">
        <v>3453</v>
      </c>
      <c r="D238" s="2296"/>
      <c r="E238" s="2333" t="s">
        <v>3467</v>
      </c>
      <c r="F238" s="2333" t="s">
        <v>3468</v>
      </c>
      <c r="G238" s="2185" t="s">
        <v>3469</v>
      </c>
      <c r="H238" s="2333"/>
      <c r="I238" s="2334"/>
      <c r="J238" s="2185"/>
      <c r="K238" s="2336"/>
      <c r="L238" s="2335"/>
      <c r="M238" s="1951"/>
      <c r="N238" s="1962"/>
      <c r="O238" s="1961">
        <v>0</v>
      </c>
      <c r="P238" s="1951">
        <v>0</v>
      </c>
      <c r="Q238" s="1960">
        <v>0</v>
      </c>
    </row>
    <row r="239" spans="1:17" ht="12.75" customHeight="1">
      <c r="A239" s="2332" t="s">
        <v>3454</v>
      </c>
      <c r="B239" s="2185" t="s">
        <v>3545</v>
      </c>
      <c r="C239" s="2296" t="s">
        <v>3453</v>
      </c>
      <c r="D239" s="2296"/>
      <c r="E239" s="2333" t="s">
        <v>3467</v>
      </c>
      <c r="F239" s="2333" t="s">
        <v>3468</v>
      </c>
      <c r="G239" s="2185" t="s">
        <v>3469</v>
      </c>
      <c r="H239" s="2333"/>
      <c r="I239" s="2334"/>
      <c r="J239" s="2185"/>
      <c r="K239" s="2336"/>
      <c r="L239" s="2335"/>
      <c r="M239" s="1951"/>
      <c r="N239" s="1962"/>
      <c r="O239" s="1961">
        <v>0</v>
      </c>
      <c r="P239" s="1951">
        <v>0</v>
      </c>
      <c r="Q239" s="1960">
        <v>0</v>
      </c>
    </row>
    <row r="240" spans="1:17" ht="12.75" customHeight="1">
      <c r="A240" s="2332" t="s">
        <v>3490</v>
      </c>
      <c r="B240" s="2185" t="s">
        <v>3493</v>
      </c>
      <c r="C240" s="2296" t="s">
        <v>3453</v>
      </c>
      <c r="D240" s="2296"/>
      <c r="E240" s="2333" t="s">
        <v>3456</v>
      </c>
      <c r="F240" s="2333" t="s">
        <v>3457</v>
      </c>
      <c r="G240" s="2185" t="s">
        <v>3461</v>
      </c>
      <c r="H240" s="2333"/>
      <c r="I240" s="2334"/>
      <c r="J240" s="2185"/>
      <c r="K240" s="2336"/>
      <c r="L240" s="2335"/>
      <c r="M240" s="1951"/>
      <c r="N240" s="1962"/>
      <c r="O240" s="1961">
        <v>320308</v>
      </c>
      <c r="P240" s="1951">
        <v>335043</v>
      </c>
      <c r="Q240" s="1960">
        <v>350455</v>
      </c>
    </row>
    <row r="241" spans="1:17" ht="12.75" customHeight="1">
      <c r="A241" s="2332" t="s">
        <v>3531</v>
      </c>
      <c r="B241" s="2185" t="s">
        <v>3532</v>
      </c>
      <c r="C241" s="2296" t="s">
        <v>3453</v>
      </c>
      <c r="D241" s="2296"/>
      <c r="E241" s="2333" t="s">
        <v>3467</v>
      </c>
      <c r="F241" s="2333" t="s">
        <v>3468</v>
      </c>
      <c r="G241" s="2185" t="s">
        <v>3469</v>
      </c>
      <c r="H241" s="2333"/>
      <c r="I241" s="2334"/>
      <c r="J241" s="2185"/>
      <c r="K241" s="2336"/>
      <c r="L241" s="2335"/>
      <c r="M241" s="1951"/>
      <c r="N241" s="1962"/>
      <c r="O241" s="1961">
        <v>0</v>
      </c>
      <c r="P241" s="1951">
        <v>0</v>
      </c>
      <c r="Q241" s="1960">
        <v>0</v>
      </c>
    </row>
    <row r="242" spans="1:17" ht="12.75" customHeight="1">
      <c r="A242" s="2332" t="s">
        <v>3459</v>
      </c>
      <c r="B242" s="2185" t="s">
        <v>3654</v>
      </c>
      <c r="C242" s="2296" t="s">
        <v>3453</v>
      </c>
      <c r="D242" s="2296"/>
      <c r="E242" s="2333" t="s">
        <v>3467</v>
      </c>
      <c r="F242" s="2333" t="s">
        <v>3468</v>
      </c>
      <c r="G242" s="2185" t="s">
        <v>3469</v>
      </c>
      <c r="H242" s="2333"/>
      <c r="I242" s="2334"/>
      <c r="J242" s="2185"/>
      <c r="K242" s="2336"/>
      <c r="L242" s="2335"/>
      <c r="M242" s="1951"/>
      <c r="N242" s="1962"/>
      <c r="O242" s="1961">
        <v>5000000</v>
      </c>
      <c r="P242" s="1951">
        <v>5230000</v>
      </c>
      <c r="Q242" s="1960">
        <v>5470580</v>
      </c>
    </row>
    <row r="243" spans="1:17" ht="12.75" customHeight="1">
      <c r="A243" s="2332" t="s">
        <v>3483</v>
      </c>
      <c r="B243" s="2185" t="s">
        <v>3484</v>
      </c>
      <c r="C243" s="2296" t="s">
        <v>3453</v>
      </c>
      <c r="D243" s="2296"/>
      <c r="E243" s="2333" t="s">
        <v>3467</v>
      </c>
      <c r="F243" s="2333" t="s">
        <v>3468</v>
      </c>
      <c r="G243" s="2185" t="s">
        <v>3469</v>
      </c>
      <c r="H243" s="2333"/>
      <c r="I243" s="2334"/>
      <c r="J243" s="2185"/>
      <c r="K243" s="2336"/>
      <c r="L243" s="2335"/>
      <c r="M243" s="1951"/>
      <c r="N243" s="1962"/>
      <c r="O243" s="1961">
        <v>6290901</v>
      </c>
      <c r="P243" s="1951">
        <v>6580283</v>
      </c>
      <c r="Q243" s="1960">
        <v>6882976</v>
      </c>
    </row>
    <row r="244" spans="1:17" ht="12.75" customHeight="1">
      <c r="A244" s="2332" t="s">
        <v>3543</v>
      </c>
      <c r="B244" s="2185" t="s">
        <v>3587</v>
      </c>
      <c r="C244" s="2296" t="s">
        <v>3453</v>
      </c>
      <c r="D244" s="2296"/>
      <c r="E244" s="2333" t="s">
        <v>3467</v>
      </c>
      <c r="F244" s="2333" t="s">
        <v>3468</v>
      </c>
      <c r="G244" s="2185" t="s">
        <v>2676</v>
      </c>
      <c r="H244" s="2333"/>
      <c r="I244" s="2334"/>
      <c r="J244" s="2185"/>
      <c r="K244" s="2336"/>
      <c r="L244" s="2335"/>
      <c r="M244" s="1951"/>
      <c r="N244" s="1962"/>
      <c r="O244" s="1961">
        <v>1128</v>
      </c>
      <c r="P244" s="1951">
        <v>1180</v>
      </c>
      <c r="Q244" s="1960">
        <v>1235</v>
      </c>
    </row>
    <row r="245" spans="1:17" ht="12.75" customHeight="1">
      <c r="A245" s="2332" t="s">
        <v>3483</v>
      </c>
      <c r="B245" s="2185" t="s">
        <v>3583</v>
      </c>
      <c r="C245" s="2296" t="s">
        <v>3453</v>
      </c>
      <c r="D245" s="2296"/>
      <c r="E245" s="2333" t="s">
        <v>3456</v>
      </c>
      <c r="F245" s="2333" t="s">
        <v>3457</v>
      </c>
      <c r="G245" s="2185" t="s">
        <v>3461</v>
      </c>
      <c r="H245" s="2333"/>
      <c r="I245" s="2334"/>
      <c r="J245" s="2185"/>
      <c r="K245" s="2336"/>
      <c r="L245" s="2335"/>
      <c r="M245" s="1951"/>
      <c r="N245" s="1962"/>
      <c r="O245" s="1961">
        <v>185760</v>
      </c>
      <c r="P245" s="1951">
        <v>194305</v>
      </c>
      <c r="Q245" s="1960">
        <v>203243</v>
      </c>
    </row>
    <row r="246" spans="1:17" ht="12.75" customHeight="1">
      <c r="A246" s="2332" t="s">
        <v>3508</v>
      </c>
      <c r="B246" s="2185" t="s">
        <v>3655</v>
      </c>
      <c r="C246" s="2296" t="s">
        <v>3453</v>
      </c>
      <c r="D246" s="2296"/>
      <c r="E246" s="2333" t="s">
        <v>3467</v>
      </c>
      <c r="F246" s="2333" t="s">
        <v>3468</v>
      </c>
      <c r="G246" s="2185" t="s">
        <v>3469</v>
      </c>
      <c r="H246" s="2333"/>
      <c r="I246" s="2334"/>
      <c r="J246" s="2185"/>
      <c r="K246" s="2336"/>
      <c r="L246" s="2335"/>
      <c r="M246" s="1951"/>
      <c r="N246" s="1962"/>
      <c r="O246" s="1961">
        <v>0</v>
      </c>
      <c r="P246" s="1951">
        <v>0</v>
      </c>
      <c r="Q246" s="1960">
        <v>0</v>
      </c>
    </row>
    <row r="247" spans="1:17" ht="12.75" customHeight="1">
      <c r="A247" s="2332" t="s">
        <v>3584</v>
      </c>
      <c r="B247" s="2185" t="s">
        <v>3585</v>
      </c>
      <c r="C247" s="2296" t="s">
        <v>3453</v>
      </c>
      <c r="D247" s="2296"/>
      <c r="E247" s="2333" t="s">
        <v>3467</v>
      </c>
      <c r="F247" s="2333" t="s">
        <v>3468</v>
      </c>
      <c r="G247" s="2185" t="s">
        <v>3469</v>
      </c>
      <c r="H247" s="2333"/>
      <c r="I247" s="2334"/>
      <c r="J247" s="2185"/>
      <c r="K247" s="2336"/>
      <c r="L247" s="2335"/>
      <c r="M247" s="1951"/>
      <c r="N247" s="1962"/>
      <c r="O247" s="1961">
        <v>665925</v>
      </c>
      <c r="P247" s="1951">
        <v>696558</v>
      </c>
      <c r="Q247" s="1960">
        <v>728600</v>
      </c>
    </row>
    <row r="248" spans="1:17" ht="12.75" customHeight="1">
      <c r="A248" s="2332" t="s">
        <v>3576</v>
      </c>
      <c r="B248" s="2185" t="s">
        <v>3596</v>
      </c>
      <c r="C248" s="2296" t="s">
        <v>3453</v>
      </c>
      <c r="D248" s="2296"/>
      <c r="E248" s="2333" t="s">
        <v>3456</v>
      </c>
      <c r="F248" s="2333" t="s">
        <v>3457</v>
      </c>
      <c r="G248" s="2185" t="s">
        <v>3461</v>
      </c>
      <c r="H248" s="2333"/>
      <c r="I248" s="2334"/>
      <c r="J248" s="2185"/>
      <c r="K248" s="2336"/>
      <c r="L248" s="2335"/>
      <c r="M248" s="1951"/>
      <c r="N248" s="1962"/>
      <c r="O248" s="1961">
        <v>9557</v>
      </c>
      <c r="P248" s="1951">
        <v>9997</v>
      </c>
      <c r="Q248" s="1960">
        <v>10457</v>
      </c>
    </row>
    <row r="249" spans="1:17" ht="12.75" customHeight="1">
      <c r="A249" s="2332" t="s">
        <v>3563</v>
      </c>
      <c r="B249" s="2185" t="s">
        <v>3564</v>
      </c>
      <c r="C249" s="2296" t="s">
        <v>3453</v>
      </c>
      <c r="D249" s="2296"/>
      <c r="E249" s="2333" t="s">
        <v>3467</v>
      </c>
      <c r="F249" s="2333" t="s">
        <v>3468</v>
      </c>
      <c r="G249" s="2185" t="s">
        <v>3475</v>
      </c>
      <c r="H249" s="2333"/>
      <c r="I249" s="2334"/>
      <c r="J249" s="2185"/>
      <c r="K249" s="2336"/>
      <c r="L249" s="2335"/>
      <c r="M249" s="1951"/>
      <c r="N249" s="1962"/>
      <c r="O249" s="1961">
        <v>104475</v>
      </c>
      <c r="P249" s="1951">
        <v>109281</v>
      </c>
      <c r="Q249" s="1960">
        <v>114308</v>
      </c>
    </row>
    <row r="250" spans="1:17" ht="12.75" customHeight="1">
      <c r="A250" s="2332" t="s">
        <v>3533</v>
      </c>
      <c r="B250" s="2185" t="s">
        <v>3635</v>
      </c>
      <c r="C250" s="2296" t="s">
        <v>3453</v>
      </c>
      <c r="D250" s="2296"/>
      <c r="E250" s="2333" t="s">
        <v>3513</v>
      </c>
      <c r="F250" s="2333" t="s">
        <v>3514</v>
      </c>
      <c r="G250" s="2185" t="s">
        <v>3515</v>
      </c>
      <c r="H250" s="2333"/>
      <c r="I250" s="2334"/>
      <c r="J250" s="2185"/>
      <c r="K250" s="2336"/>
      <c r="L250" s="2335"/>
      <c r="M250" s="1951"/>
      <c r="N250" s="1962"/>
      <c r="O250" s="1961">
        <v>766020</v>
      </c>
      <c r="P250" s="1951">
        <v>801257</v>
      </c>
      <c r="Q250" s="1960">
        <v>838115</v>
      </c>
    </row>
    <row r="251" spans="1:17" ht="12.75" customHeight="1">
      <c r="A251" s="2332" t="s">
        <v>3499</v>
      </c>
      <c r="B251" s="2185" t="s">
        <v>3592</v>
      </c>
      <c r="C251" s="2296" t="s">
        <v>3453</v>
      </c>
      <c r="D251" s="2296"/>
      <c r="E251" s="2333" t="s">
        <v>3456</v>
      </c>
      <c r="F251" s="2333" t="s">
        <v>3457</v>
      </c>
      <c r="G251" s="2185" t="s">
        <v>3461</v>
      </c>
      <c r="H251" s="2333"/>
      <c r="I251" s="2334"/>
      <c r="J251" s="2185"/>
      <c r="K251" s="2336"/>
      <c r="L251" s="2335"/>
      <c r="M251" s="1951"/>
      <c r="N251" s="1962"/>
      <c r="O251" s="1961">
        <v>559</v>
      </c>
      <c r="P251" s="1951">
        <v>585</v>
      </c>
      <c r="Q251" s="1960">
        <v>612</v>
      </c>
    </row>
    <row r="252" spans="1:17" ht="12.75" customHeight="1">
      <c r="A252" s="2332" t="s">
        <v>3479</v>
      </c>
      <c r="B252" s="2185" t="s">
        <v>3656</v>
      </c>
      <c r="C252" s="2296" t="s">
        <v>3453</v>
      </c>
      <c r="D252" s="2296"/>
      <c r="E252" s="2333" t="s">
        <v>3456</v>
      </c>
      <c r="F252" s="2333" t="s">
        <v>3457</v>
      </c>
      <c r="G252" s="2185" t="s">
        <v>3461</v>
      </c>
      <c r="H252" s="2333"/>
      <c r="I252" s="2334"/>
      <c r="J252" s="2185"/>
      <c r="K252" s="2336"/>
      <c r="L252" s="2335"/>
      <c r="M252" s="1951"/>
      <c r="N252" s="1962"/>
      <c r="O252" s="1961">
        <v>64083</v>
      </c>
      <c r="P252" s="1951">
        <v>67031</v>
      </c>
      <c r="Q252" s="1960">
        <v>70115</v>
      </c>
    </row>
    <row r="253" spans="1:17" ht="12.75" customHeight="1">
      <c r="A253" s="2332" t="s">
        <v>3499</v>
      </c>
      <c r="B253" s="2185" t="s">
        <v>3657</v>
      </c>
      <c r="C253" s="2296" t="s">
        <v>3453</v>
      </c>
      <c r="D253" s="2296"/>
      <c r="E253" s="2333" t="s">
        <v>3456</v>
      </c>
      <c r="F253" s="2333" t="s">
        <v>3457</v>
      </c>
      <c r="G253" s="2185" t="s">
        <v>3461</v>
      </c>
      <c r="H253" s="2333"/>
      <c r="I253" s="2334"/>
      <c r="J253" s="2185"/>
      <c r="K253" s="2336"/>
      <c r="L253" s="2335"/>
      <c r="M253" s="1951"/>
      <c r="N253" s="1962"/>
      <c r="O253" s="1961">
        <v>83574</v>
      </c>
      <c r="P253" s="1951">
        <v>87419</v>
      </c>
      <c r="Q253" s="1960">
        <v>91440</v>
      </c>
    </row>
    <row r="254" spans="1:17" ht="12.75" customHeight="1">
      <c r="A254" s="2332" t="s">
        <v>3533</v>
      </c>
      <c r="B254" s="2185" t="s">
        <v>3635</v>
      </c>
      <c r="C254" s="2296" t="s">
        <v>3453</v>
      </c>
      <c r="D254" s="2296"/>
      <c r="E254" s="2333" t="s">
        <v>3467</v>
      </c>
      <c r="F254" s="2333" t="s">
        <v>3468</v>
      </c>
      <c r="G254" s="2185" t="s">
        <v>3469</v>
      </c>
      <c r="H254" s="2333"/>
      <c r="I254" s="2334"/>
      <c r="J254" s="2185"/>
      <c r="K254" s="2336"/>
      <c r="L254" s="2335"/>
      <c r="M254" s="1951"/>
      <c r="N254" s="1962"/>
      <c r="O254" s="1961">
        <v>44879</v>
      </c>
      <c r="P254" s="1951">
        <v>46944</v>
      </c>
      <c r="Q254" s="1960">
        <v>49103</v>
      </c>
    </row>
    <row r="255" spans="1:17" ht="12.75" customHeight="1">
      <c r="A255" s="2332" t="s">
        <v>3543</v>
      </c>
      <c r="B255" s="2185" t="s">
        <v>3658</v>
      </c>
      <c r="C255" s="2296" t="s">
        <v>3453</v>
      </c>
      <c r="D255" s="2296"/>
      <c r="E255" s="2333" t="s">
        <v>3467</v>
      </c>
      <c r="F255" s="2333" t="s">
        <v>3468</v>
      </c>
      <c r="G255" s="2185" t="s">
        <v>3469</v>
      </c>
      <c r="H255" s="2333"/>
      <c r="I255" s="2334"/>
      <c r="J255" s="2185"/>
      <c r="K255" s="2336"/>
      <c r="L255" s="2335"/>
      <c r="M255" s="1951"/>
      <c r="N255" s="1962"/>
      <c r="O255" s="1961">
        <v>350304</v>
      </c>
      <c r="P255" s="1951">
        <v>366418</v>
      </c>
      <c r="Q255" s="1960">
        <v>383274</v>
      </c>
    </row>
    <row r="256" spans="1:17" ht="12.75" customHeight="1">
      <c r="A256" s="2332" t="s">
        <v>3563</v>
      </c>
      <c r="B256" s="2185" t="s">
        <v>3659</v>
      </c>
      <c r="C256" s="2296" t="s">
        <v>3453</v>
      </c>
      <c r="D256" s="2296"/>
      <c r="E256" s="2333" t="s">
        <v>3467</v>
      </c>
      <c r="F256" s="2333" t="s">
        <v>3468</v>
      </c>
      <c r="G256" s="2185" t="s">
        <v>3469</v>
      </c>
      <c r="H256" s="2333"/>
      <c r="I256" s="2334"/>
      <c r="J256" s="2185"/>
      <c r="K256" s="2336"/>
      <c r="L256" s="2335"/>
      <c r="M256" s="1951"/>
      <c r="N256" s="1962"/>
      <c r="O256" s="1961">
        <v>23435</v>
      </c>
      <c r="P256" s="1951">
        <v>24513</v>
      </c>
      <c r="Q256" s="1960">
        <v>25641</v>
      </c>
    </row>
    <row r="257" spans="1:17" ht="12.75" customHeight="1">
      <c r="A257" s="2332" t="s">
        <v>3572</v>
      </c>
      <c r="B257" s="2185" t="s">
        <v>3660</v>
      </c>
      <c r="C257" s="2296" t="s">
        <v>3661</v>
      </c>
      <c r="D257" s="2296"/>
      <c r="E257" s="2333" t="s">
        <v>3467</v>
      </c>
      <c r="F257" s="2333" t="s">
        <v>3468</v>
      </c>
      <c r="G257" s="2185" t="s">
        <v>3469</v>
      </c>
      <c r="H257" s="2333"/>
      <c r="I257" s="2334"/>
      <c r="J257" s="2185"/>
      <c r="K257" s="2336"/>
      <c r="L257" s="2335"/>
      <c r="M257" s="1951"/>
      <c r="N257" s="1962"/>
      <c r="O257" s="1961">
        <v>100000</v>
      </c>
      <c r="P257" s="1951">
        <v>104600</v>
      </c>
      <c r="Q257" s="1960">
        <v>109412</v>
      </c>
    </row>
    <row r="258" spans="1:17" ht="12.75" customHeight="1">
      <c r="A258" s="2332" t="s">
        <v>3454</v>
      </c>
      <c r="B258" s="2185" t="s">
        <v>3662</v>
      </c>
      <c r="C258" s="2296" t="s">
        <v>3453</v>
      </c>
      <c r="D258" s="2296"/>
      <c r="E258" s="2333" t="s">
        <v>3456</v>
      </c>
      <c r="F258" s="2333" t="s">
        <v>3457</v>
      </c>
      <c r="G258" s="2185" t="s">
        <v>3461</v>
      </c>
      <c r="H258" s="2333"/>
      <c r="I258" s="2334"/>
      <c r="J258" s="2185"/>
      <c r="K258" s="2336"/>
      <c r="L258" s="2335"/>
      <c r="M258" s="1951"/>
      <c r="N258" s="1962"/>
      <c r="O258" s="1961">
        <v>47004</v>
      </c>
      <c r="P258" s="1951">
        <v>49167</v>
      </c>
      <c r="Q258" s="1960">
        <v>51428</v>
      </c>
    </row>
    <row r="259" spans="1:17" ht="12.75" customHeight="1">
      <c r="A259" s="2332" t="s">
        <v>3454</v>
      </c>
      <c r="B259" s="2185" t="s">
        <v>3512</v>
      </c>
      <c r="C259" s="2296" t="s">
        <v>3453</v>
      </c>
      <c r="D259" s="2296"/>
      <c r="E259" s="2333" t="s">
        <v>3467</v>
      </c>
      <c r="F259" s="2333" t="s">
        <v>3468</v>
      </c>
      <c r="G259" s="2185" t="s">
        <v>3469</v>
      </c>
      <c r="H259" s="2333"/>
      <c r="I259" s="2334"/>
      <c r="J259" s="2185"/>
      <c r="K259" s="2336"/>
      <c r="L259" s="2335"/>
      <c r="M259" s="1951"/>
      <c r="N259" s="1962"/>
      <c r="O259" s="1961">
        <v>0</v>
      </c>
      <c r="P259" s="1951">
        <v>0</v>
      </c>
      <c r="Q259" s="1960">
        <v>0</v>
      </c>
    </row>
    <row r="260" spans="1:17" ht="12.75" customHeight="1">
      <c r="A260" s="2332" t="s">
        <v>3490</v>
      </c>
      <c r="B260" s="2185" t="s">
        <v>3663</v>
      </c>
      <c r="C260" s="2296" t="s">
        <v>3615</v>
      </c>
      <c r="D260" s="2296"/>
      <c r="E260" s="2333" t="s">
        <v>3456</v>
      </c>
      <c r="F260" s="2333" t="s">
        <v>3457</v>
      </c>
      <c r="G260" s="2185" t="s">
        <v>3461</v>
      </c>
      <c r="H260" s="2333"/>
      <c r="I260" s="2334"/>
      <c r="J260" s="2185"/>
      <c r="K260" s="2336"/>
      <c r="L260" s="2335"/>
      <c r="M260" s="1951"/>
      <c r="N260" s="1962"/>
      <c r="O260" s="1961">
        <v>0</v>
      </c>
      <c r="P260" s="1951">
        <v>0</v>
      </c>
      <c r="Q260" s="1960">
        <v>1</v>
      </c>
    </row>
    <row r="261" spans="1:17" ht="12.75" customHeight="1">
      <c r="A261" s="2332" t="s">
        <v>3479</v>
      </c>
      <c r="B261" s="2185" t="s">
        <v>3664</v>
      </c>
      <c r="C261" s="2296" t="s">
        <v>3453</v>
      </c>
      <c r="D261" s="2296"/>
      <c r="E261" s="2333" t="s">
        <v>3456</v>
      </c>
      <c r="F261" s="2333" t="s">
        <v>3457</v>
      </c>
      <c r="G261" s="2185" t="s">
        <v>3458</v>
      </c>
      <c r="H261" s="2333"/>
      <c r="I261" s="2334"/>
      <c r="J261" s="2185"/>
      <c r="K261" s="2336"/>
      <c r="L261" s="2335"/>
      <c r="M261" s="1951"/>
      <c r="N261" s="1962"/>
      <c r="O261" s="1961">
        <v>144746</v>
      </c>
      <c r="P261" s="1951">
        <v>151405</v>
      </c>
      <c r="Q261" s="1960">
        <v>158369</v>
      </c>
    </row>
    <row r="262" spans="1:17" ht="12.75" customHeight="1">
      <c r="A262" s="2332" t="s">
        <v>3576</v>
      </c>
      <c r="B262" s="2185" t="s">
        <v>3577</v>
      </c>
      <c r="C262" s="2296" t="s">
        <v>3453</v>
      </c>
      <c r="D262" s="2296"/>
      <c r="E262" s="2333" t="s">
        <v>3467</v>
      </c>
      <c r="F262" s="2333" t="s">
        <v>3468</v>
      </c>
      <c r="G262" s="2185" t="s">
        <v>3469</v>
      </c>
      <c r="H262" s="2333"/>
      <c r="I262" s="2334"/>
      <c r="J262" s="2185"/>
      <c r="K262" s="2336"/>
      <c r="L262" s="2335"/>
      <c r="M262" s="1951"/>
      <c r="N262" s="1962"/>
      <c r="O262" s="1961">
        <v>1123272</v>
      </c>
      <c r="P262" s="1951">
        <v>1174943</v>
      </c>
      <c r="Q262" s="1960">
        <v>1228990</v>
      </c>
    </row>
    <row r="263" spans="1:17" ht="12.75" customHeight="1">
      <c r="A263" s="2332" t="s">
        <v>3454</v>
      </c>
      <c r="B263" s="2185" t="s">
        <v>3574</v>
      </c>
      <c r="C263" s="2296" t="s">
        <v>3453</v>
      </c>
      <c r="D263" s="2296"/>
      <c r="E263" s="2333" t="s">
        <v>3456</v>
      </c>
      <c r="F263" s="2333" t="s">
        <v>3457</v>
      </c>
      <c r="G263" s="2185" t="s">
        <v>3461</v>
      </c>
      <c r="H263" s="2333"/>
      <c r="I263" s="2334"/>
      <c r="J263" s="2185"/>
      <c r="K263" s="2336"/>
      <c r="L263" s="2335"/>
      <c r="M263" s="1951"/>
      <c r="N263" s="1962"/>
      <c r="O263" s="1961">
        <v>0</v>
      </c>
      <c r="P263" s="1951">
        <v>0</v>
      </c>
      <c r="Q263" s="1960">
        <v>0</v>
      </c>
    </row>
    <row r="264" spans="1:17" ht="12.75" customHeight="1">
      <c r="A264" s="2332" t="s">
        <v>3543</v>
      </c>
      <c r="B264" s="2185" t="s">
        <v>3658</v>
      </c>
      <c r="C264" s="2296" t="s">
        <v>3453</v>
      </c>
      <c r="D264" s="2296"/>
      <c r="E264" s="2333" t="s">
        <v>3456</v>
      </c>
      <c r="F264" s="2333" t="s">
        <v>3457</v>
      </c>
      <c r="G264" s="2185" t="s">
        <v>3461</v>
      </c>
      <c r="H264" s="2333"/>
      <c r="I264" s="2334"/>
      <c r="J264" s="2185"/>
      <c r="K264" s="2336"/>
      <c r="L264" s="2335"/>
      <c r="M264" s="1951"/>
      <c r="N264" s="1962"/>
      <c r="O264" s="1961">
        <v>37371</v>
      </c>
      <c r="P264" s="1951">
        <v>39091</v>
      </c>
      <c r="Q264" s="1960">
        <v>40889</v>
      </c>
    </row>
    <row r="265" spans="1:17" ht="12.75" customHeight="1">
      <c r="A265" s="2332" t="s">
        <v>3464</v>
      </c>
      <c r="B265" s="2185" t="s">
        <v>3482</v>
      </c>
      <c r="C265" s="2296" t="s">
        <v>3453</v>
      </c>
      <c r="D265" s="2296"/>
      <c r="E265" s="2333"/>
      <c r="F265" s="2333"/>
      <c r="G265" s="2185"/>
      <c r="H265" s="2333"/>
      <c r="I265" s="2334"/>
      <c r="J265" s="2185"/>
      <c r="K265" s="2336"/>
      <c r="L265" s="2335"/>
      <c r="M265" s="1951"/>
      <c r="N265" s="1962"/>
      <c r="O265" s="1961">
        <v>534352</v>
      </c>
      <c r="P265" s="1951">
        <v>558933</v>
      </c>
      <c r="Q265" s="1960">
        <v>584644</v>
      </c>
    </row>
    <row r="266" spans="1:17" ht="12.75" customHeight="1">
      <c r="A266" s="2332" t="s">
        <v>3464</v>
      </c>
      <c r="B266" s="2185" t="s">
        <v>3665</v>
      </c>
      <c r="C266" s="2296" t="s">
        <v>3453</v>
      </c>
      <c r="D266" s="2296"/>
      <c r="E266" s="2333" t="s">
        <v>3456</v>
      </c>
      <c r="F266" s="2333" t="s">
        <v>3457</v>
      </c>
      <c r="G266" s="2185" t="s">
        <v>3461</v>
      </c>
      <c r="H266" s="2333"/>
      <c r="I266" s="2334"/>
      <c r="J266" s="2185"/>
      <c r="K266" s="2336"/>
      <c r="L266" s="2335"/>
      <c r="M266" s="1951"/>
      <c r="N266" s="1962"/>
      <c r="O266" s="1961">
        <v>0</v>
      </c>
      <c r="P266" s="1951">
        <v>0</v>
      </c>
      <c r="Q266" s="1960">
        <v>0</v>
      </c>
    </row>
    <row r="267" spans="1:17" ht="12.75" customHeight="1">
      <c r="A267" s="2332" t="s">
        <v>3543</v>
      </c>
      <c r="B267" s="2185" t="s">
        <v>3666</v>
      </c>
      <c r="C267" s="2296" t="s">
        <v>3453</v>
      </c>
      <c r="D267" s="2296"/>
      <c r="E267" s="2333" t="s">
        <v>3456</v>
      </c>
      <c r="F267" s="2333" t="s">
        <v>3457</v>
      </c>
      <c r="G267" s="2185" t="s">
        <v>3461</v>
      </c>
      <c r="H267" s="2333"/>
      <c r="I267" s="2334"/>
      <c r="J267" s="2185"/>
      <c r="K267" s="2336"/>
      <c r="L267" s="2335"/>
      <c r="M267" s="1951"/>
      <c r="N267" s="1962"/>
      <c r="O267" s="1961">
        <v>419100</v>
      </c>
      <c r="P267" s="1951">
        <v>417952</v>
      </c>
      <c r="Q267" s="1960">
        <v>417952</v>
      </c>
    </row>
    <row r="268" spans="1:17" ht="12.75" customHeight="1">
      <c r="A268" s="2332" t="s">
        <v>3523</v>
      </c>
      <c r="B268" s="2185" t="s">
        <v>3626</v>
      </c>
      <c r="C268" s="2296" t="s">
        <v>3453</v>
      </c>
      <c r="D268" s="2296"/>
      <c r="E268" s="2333" t="s">
        <v>3456</v>
      </c>
      <c r="F268" s="2333" t="s">
        <v>3457</v>
      </c>
      <c r="G268" s="2185" t="s">
        <v>3458</v>
      </c>
      <c r="H268" s="2333"/>
      <c r="I268" s="2334"/>
      <c r="J268" s="2185"/>
      <c r="K268" s="2336"/>
      <c r="L268" s="2335"/>
      <c r="M268" s="1951"/>
      <c r="N268" s="1962"/>
      <c r="O268" s="1961">
        <v>23333</v>
      </c>
      <c r="P268" s="1951">
        <v>24407</v>
      </c>
      <c r="Q268" s="1960">
        <v>25530</v>
      </c>
    </row>
    <row r="269" spans="1:17" ht="12.75" customHeight="1">
      <c r="A269" s="2332" t="s">
        <v>3520</v>
      </c>
      <c r="B269" s="2185" t="s">
        <v>3593</v>
      </c>
      <c r="C269" s="2296" t="s">
        <v>3453</v>
      </c>
      <c r="D269" s="2296"/>
      <c r="E269" s="2333" t="s">
        <v>3467</v>
      </c>
      <c r="F269" s="2333" t="s">
        <v>3468</v>
      </c>
      <c r="G269" s="2185" t="s">
        <v>3475</v>
      </c>
      <c r="H269" s="2333"/>
      <c r="I269" s="2334"/>
      <c r="J269" s="2185"/>
      <c r="K269" s="2336"/>
      <c r="L269" s="2335"/>
      <c r="M269" s="1951"/>
      <c r="N269" s="1962"/>
      <c r="O269" s="1961">
        <v>255283</v>
      </c>
      <c r="P269" s="1951">
        <v>267027</v>
      </c>
      <c r="Q269" s="1960">
        <v>279310</v>
      </c>
    </row>
    <row r="270" spans="1:17" ht="12.75" customHeight="1">
      <c r="A270" s="2332" t="s">
        <v>3563</v>
      </c>
      <c r="B270" s="2185" t="s">
        <v>3564</v>
      </c>
      <c r="C270" s="2296" t="s">
        <v>3453</v>
      </c>
      <c r="D270" s="2296"/>
      <c r="E270" s="2333" t="s">
        <v>3456</v>
      </c>
      <c r="F270" s="2333" t="s">
        <v>3457</v>
      </c>
      <c r="G270" s="2185" t="s">
        <v>3461</v>
      </c>
      <c r="H270" s="2333"/>
      <c r="I270" s="2334"/>
      <c r="J270" s="2185"/>
      <c r="K270" s="2336"/>
      <c r="L270" s="2335"/>
      <c r="M270" s="1951"/>
      <c r="N270" s="1962"/>
      <c r="O270" s="1961">
        <v>16719</v>
      </c>
      <c r="P270" s="1951">
        <v>17489</v>
      </c>
      <c r="Q270" s="1960">
        <v>18293</v>
      </c>
    </row>
    <row r="271" spans="1:17" ht="12.75" customHeight="1">
      <c r="A271" s="2332" t="s">
        <v>3563</v>
      </c>
      <c r="B271" s="2185" t="s">
        <v>3659</v>
      </c>
      <c r="C271" s="2296" t="s">
        <v>3453</v>
      </c>
      <c r="D271" s="2296"/>
      <c r="E271" s="2333" t="s">
        <v>3467</v>
      </c>
      <c r="F271" s="2333" t="s">
        <v>3468</v>
      </c>
      <c r="G271" s="2185" t="s">
        <v>3469</v>
      </c>
      <c r="H271" s="2333"/>
      <c r="I271" s="2334"/>
      <c r="J271" s="2185"/>
      <c r="K271" s="2336"/>
      <c r="L271" s="2335"/>
      <c r="M271" s="1951"/>
      <c r="N271" s="1962"/>
      <c r="O271" s="1961">
        <v>53665</v>
      </c>
      <c r="P271" s="1951">
        <v>56134</v>
      </c>
      <c r="Q271" s="1960">
        <v>58716</v>
      </c>
    </row>
    <row r="272" spans="1:17" ht="12.75" customHeight="1">
      <c r="A272" s="2332" t="s">
        <v>3459</v>
      </c>
      <c r="B272" s="2185" t="s">
        <v>3460</v>
      </c>
      <c r="C272" s="2296" t="s">
        <v>3453</v>
      </c>
      <c r="D272" s="2296"/>
      <c r="E272" s="2333" t="s">
        <v>3456</v>
      </c>
      <c r="F272" s="2333" t="s">
        <v>3457</v>
      </c>
      <c r="G272" s="2185" t="s">
        <v>3461</v>
      </c>
      <c r="H272" s="2333"/>
      <c r="I272" s="2334"/>
      <c r="J272" s="2185"/>
      <c r="K272" s="2336"/>
      <c r="L272" s="2335"/>
      <c r="M272" s="1951"/>
      <c r="N272" s="1962"/>
      <c r="O272" s="1961">
        <v>5734</v>
      </c>
      <c r="P272" s="1951">
        <v>5998</v>
      </c>
      <c r="Q272" s="1960">
        <v>6274</v>
      </c>
    </row>
    <row r="273" spans="1:17" ht="12.75" customHeight="1">
      <c r="A273" s="2332" t="s">
        <v>3558</v>
      </c>
      <c r="B273" s="2185" t="s">
        <v>3667</v>
      </c>
      <c r="C273" s="2296" t="s">
        <v>3497</v>
      </c>
      <c r="D273" s="2296"/>
      <c r="E273" s="2333" t="s">
        <v>3456</v>
      </c>
      <c r="F273" s="2333" t="s">
        <v>3457</v>
      </c>
      <c r="G273" s="2185" t="s">
        <v>3461</v>
      </c>
      <c r="H273" s="2333"/>
      <c r="I273" s="2334"/>
      <c r="J273" s="2185"/>
      <c r="K273" s="2336"/>
      <c r="L273" s="2335"/>
      <c r="M273" s="1951"/>
      <c r="N273" s="1962"/>
      <c r="O273" s="1961">
        <v>1250</v>
      </c>
      <c r="P273" s="1951">
        <v>1308</v>
      </c>
      <c r="Q273" s="1960">
        <v>1368</v>
      </c>
    </row>
    <row r="274" spans="1:17" ht="12.75" customHeight="1">
      <c r="A274" s="2332" t="s">
        <v>3520</v>
      </c>
      <c r="B274" s="2185" t="s">
        <v>3668</v>
      </c>
      <c r="C274" s="2296" t="s">
        <v>3453</v>
      </c>
      <c r="D274" s="2296"/>
      <c r="E274" s="2333"/>
      <c r="F274" s="2333"/>
      <c r="G274" s="2185"/>
      <c r="H274" s="2333"/>
      <c r="I274" s="2334"/>
      <c r="J274" s="2185"/>
      <c r="K274" s="2336"/>
      <c r="L274" s="2335"/>
      <c r="M274" s="1951"/>
      <c r="N274" s="1962"/>
      <c r="O274" s="1961">
        <v>369596</v>
      </c>
      <c r="P274" s="1951">
        <v>386597</v>
      </c>
      <c r="Q274" s="1960">
        <v>404381</v>
      </c>
    </row>
    <row r="275" spans="1:17" ht="12.75" customHeight="1">
      <c r="A275" s="2332" t="s">
        <v>3454</v>
      </c>
      <c r="B275" s="2185" t="s">
        <v>3455</v>
      </c>
      <c r="C275" s="2296" t="s">
        <v>3453</v>
      </c>
      <c r="D275" s="2296"/>
      <c r="E275" s="2333" t="s">
        <v>3467</v>
      </c>
      <c r="F275" s="2333" t="s">
        <v>3468</v>
      </c>
      <c r="G275" s="2185" t="s">
        <v>3469</v>
      </c>
      <c r="H275" s="2333"/>
      <c r="I275" s="2334"/>
      <c r="J275" s="2185"/>
      <c r="K275" s="2336"/>
      <c r="L275" s="2335"/>
      <c r="M275" s="1951"/>
      <c r="N275" s="1962"/>
      <c r="O275" s="1961">
        <v>11667</v>
      </c>
      <c r="P275" s="1951">
        <v>12204</v>
      </c>
      <c r="Q275" s="1960">
        <v>12766</v>
      </c>
    </row>
    <row r="276" spans="1:17" ht="12.75" customHeight="1">
      <c r="A276" s="2332" t="s">
        <v>3485</v>
      </c>
      <c r="B276" s="2185" t="s">
        <v>3505</v>
      </c>
      <c r="C276" s="2296" t="s">
        <v>3453</v>
      </c>
      <c r="D276" s="2296"/>
      <c r="E276" s="2333" t="s">
        <v>3456</v>
      </c>
      <c r="F276" s="2333" t="s">
        <v>3457</v>
      </c>
      <c r="G276" s="2185" t="s">
        <v>3458</v>
      </c>
      <c r="H276" s="2333"/>
      <c r="I276" s="2334"/>
      <c r="J276" s="2185"/>
      <c r="K276" s="2336"/>
      <c r="L276" s="2335"/>
      <c r="M276" s="1951"/>
      <c r="N276" s="1962"/>
      <c r="O276" s="1961">
        <v>171387</v>
      </c>
      <c r="P276" s="1951">
        <v>179271</v>
      </c>
      <c r="Q276" s="1960">
        <v>187517</v>
      </c>
    </row>
    <row r="277" spans="1:17" ht="12.75" customHeight="1">
      <c r="A277" s="2332" t="s">
        <v>3459</v>
      </c>
      <c r="B277" s="2185" t="s">
        <v>3669</v>
      </c>
      <c r="C277" s="2296" t="s">
        <v>3453</v>
      </c>
      <c r="D277" s="2296"/>
      <c r="E277" s="2333" t="s">
        <v>3456</v>
      </c>
      <c r="F277" s="2333" t="s">
        <v>3457</v>
      </c>
      <c r="G277" s="2185" t="s">
        <v>3458</v>
      </c>
      <c r="H277" s="2333"/>
      <c r="I277" s="2334"/>
      <c r="J277" s="2185"/>
      <c r="K277" s="2336"/>
      <c r="L277" s="2335"/>
      <c r="M277" s="1951"/>
      <c r="N277" s="1962"/>
      <c r="O277" s="1961">
        <v>29750</v>
      </c>
      <c r="P277" s="1951">
        <v>31119</v>
      </c>
      <c r="Q277" s="1960">
        <v>32550</v>
      </c>
    </row>
    <row r="278" spans="1:17" ht="12.75" customHeight="1">
      <c r="A278" s="2332" t="s">
        <v>3464</v>
      </c>
      <c r="B278" s="2185" t="s">
        <v>3630</v>
      </c>
      <c r="C278" s="2296" t="s">
        <v>3453</v>
      </c>
      <c r="D278" s="2296"/>
      <c r="E278" s="2333" t="s">
        <v>3467</v>
      </c>
      <c r="F278" s="2333" t="s">
        <v>3468</v>
      </c>
      <c r="G278" s="2185" t="s">
        <v>3469</v>
      </c>
      <c r="H278" s="2333"/>
      <c r="I278" s="2334"/>
      <c r="J278" s="2185"/>
      <c r="K278" s="2336"/>
      <c r="L278" s="2335"/>
      <c r="M278" s="1951"/>
      <c r="N278" s="1962"/>
      <c r="O278" s="1961">
        <v>24808</v>
      </c>
      <c r="P278" s="1951">
        <v>25950</v>
      </c>
      <c r="Q278" s="1960">
        <v>27144</v>
      </c>
    </row>
    <row r="279" spans="1:17" ht="12.75" customHeight="1">
      <c r="A279" s="2332" t="s">
        <v>3558</v>
      </c>
      <c r="B279" s="2185" t="s">
        <v>3670</v>
      </c>
      <c r="C279" s="2296" t="s">
        <v>3453</v>
      </c>
      <c r="D279" s="2296"/>
      <c r="E279" s="2333" t="s">
        <v>3456</v>
      </c>
      <c r="F279" s="2333" t="s">
        <v>3457</v>
      </c>
      <c r="G279" s="2185" t="s">
        <v>3461</v>
      </c>
      <c r="H279" s="2333"/>
      <c r="I279" s="2334"/>
      <c r="J279" s="2185"/>
      <c r="K279" s="2336"/>
      <c r="L279" s="2335"/>
      <c r="M279" s="1951"/>
      <c r="N279" s="1962"/>
      <c r="O279" s="1961">
        <v>5965</v>
      </c>
      <c r="P279" s="1951">
        <v>6240</v>
      </c>
      <c r="Q279" s="1960">
        <v>6527</v>
      </c>
    </row>
    <row r="280" spans="1:17" ht="12.75" customHeight="1">
      <c r="A280" s="2332" t="s">
        <v>3543</v>
      </c>
      <c r="B280" s="2185" t="s">
        <v>3658</v>
      </c>
      <c r="C280" s="2296" t="s">
        <v>3453</v>
      </c>
      <c r="D280" s="2296"/>
      <c r="E280" s="2333" t="s">
        <v>3467</v>
      </c>
      <c r="F280" s="2333" t="s">
        <v>3468</v>
      </c>
      <c r="G280" s="2185" t="s">
        <v>3469</v>
      </c>
      <c r="H280" s="2333"/>
      <c r="I280" s="2334"/>
      <c r="J280" s="2185"/>
      <c r="K280" s="2336"/>
      <c r="L280" s="2335"/>
      <c r="M280" s="1951"/>
      <c r="N280" s="1962"/>
      <c r="O280" s="1961">
        <v>838</v>
      </c>
      <c r="P280" s="1951">
        <v>877</v>
      </c>
      <c r="Q280" s="1960">
        <v>917</v>
      </c>
    </row>
    <row r="281" spans="1:17" ht="12.75" customHeight="1">
      <c r="A281" s="2332" t="s">
        <v>3454</v>
      </c>
      <c r="B281" s="2185" t="s">
        <v>3662</v>
      </c>
      <c r="C281" s="2296" t="s">
        <v>3453</v>
      </c>
      <c r="D281" s="2296"/>
      <c r="E281" s="2333" t="s">
        <v>3467</v>
      </c>
      <c r="F281" s="2333" t="s">
        <v>3468</v>
      </c>
      <c r="G281" s="2185" t="s">
        <v>2676</v>
      </c>
      <c r="H281" s="2333"/>
      <c r="I281" s="2334"/>
      <c r="J281" s="2185"/>
      <c r="K281" s="2336"/>
      <c r="L281" s="2335"/>
      <c r="M281" s="1951"/>
      <c r="N281" s="1962"/>
      <c r="O281" s="1961">
        <v>881</v>
      </c>
      <c r="P281" s="1951">
        <v>922</v>
      </c>
      <c r="Q281" s="1960">
        <v>964</v>
      </c>
    </row>
    <row r="282" spans="1:17" ht="12.75" customHeight="1">
      <c r="A282" s="2332" t="s">
        <v>3451</v>
      </c>
      <c r="B282" s="2185" t="s">
        <v>3671</v>
      </c>
      <c r="C282" s="2296" t="s">
        <v>3453</v>
      </c>
      <c r="D282" s="2296"/>
      <c r="E282" s="2333" t="s">
        <v>3456</v>
      </c>
      <c r="F282" s="2333" t="s">
        <v>3457</v>
      </c>
      <c r="G282" s="2185" t="s">
        <v>3481</v>
      </c>
      <c r="H282" s="2333"/>
      <c r="I282" s="2334"/>
      <c r="J282" s="2185"/>
      <c r="K282" s="2336"/>
      <c r="L282" s="2335"/>
      <c r="M282" s="1951"/>
      <c r="N282" s="1962"/>
      <c r="O282" s="1961">
        <v>0</v>
      </c>
      <c r="P282" s="1951">
        <v>0</v>
      </c>
      <c r="Q282" s="1960">
        <v>0</v>
      </c>
    </row>
    <row r="283" spans="1:17" ht="12.75" customHeight="1">
      <c r="A283" s="2332" t="s">
        <v>3523</v>
      </c>
      <c r="B283" s="2185" t="s">
        <v>3535</v>
      </c>
      <c r="C283" s="2296" t="s">
        <v>3453</v>
      </c>
      <c r="D283" s="2296"/>
      <c r="E283" s="2333" t="s">
        <v>3467</v>
      </c>
      <c r="F283" s="2333" t="s">
        <v>3468</v>
      </c>
      <c r="G283" s="2185" t="s">
        <v>3469</v>
      </c>
      <c r="H283" s="2333"/>
      <c r="I283" s="2334"/>
      <c r="J283" s="2185"/>
      <c r="K283" s="2336"/>
      <c r="L283" s="2335"/>
      <c r="M283" s="1951"/>
      <c r="N283" s="1962"/>
      <c r="O283" s="1961">
        <v>10000</v>
      </c>
      <c r="P283" s="1951">
        <v>10460</v>
      </c>
      <c r="Q283" s="1960">
        <v>10942</v>
      </c>
    </row>
    <row r="284" spans="1:17" ht="12.75" customHeight="1">
      <c r="A284" s="2332" t="s">
        <v>3541</v>
      </c>
      <c r="B284" s="2185" t="s">
        <v>3606</v>
      </c>
      <c r="C284" s="2296" t="s">
        <v>3453</v>
      </c>
      <c r="D284" s="2296"/>
      <c r="E284" s="2333" t="s">
        <v>3467</v>
      </c>
      <c r="F284" s="2333" t="s">
        <v>3468</v>
      </c>
      <c r="G284" s="2185" t="s">
        <v>3469</v>
      </c>
      <c r="H284" s="2333"/>
      <c r="I284" s="2334"/>
      <c r="J284" s="2185"/>
      <c r="K284" s="2336"/>
      <c r="L284" s="2335"/>
      <c r="M284" s="1951"/>
      <c r="N284" s="1962"/>
      <c r="O284" s="1961">
        <v>3677638</v>
      </c>
      <c r="P284" s="1951">
        <v>3846810</v>
      </c>
      <c r="Q284" s="1960">
        <v>4023763</v>
      </c>
    </row>
    <row r="285" spans="1:17" ht="12.75" customHeight="1">
      <c r="A285" s="2332" t="s">
        <v>3531</v>
      </c>
      <c r="B285" s="2185" t="s">
        <v>3649</v>
      </c>
      <c r="C285" s="2296" t="s">
        <v>3453</v>
      </c>
      <c r="D285" s="2296"/>
      <c r="E285" s="2333" t="s">
        <v>3525</v>
      </c>
      <c r="F285" s="2333" t="s">
        <v>3457</v>
      </c>
      <c r="G285" s="2185" t="s">
        <v>3526</v>
      </c>
      <c r="H285" s="2333"/>
      <c r="I285" s="2334"/>
      <c r="J285" s="2185"/>
      <c r="K285" s="2336"/>
      <c r="L285" s="2335"/>
      <c r="M285" s="1951"/>
      <c r="N285" s="1962"/>
      <c r="O285" s="1961">
        <v>0</v>
      </c>
      <c r="P285" s="1951">
        <v>0</v>
      </c>
      <c r="Q285" s="1960">
        <v>0</v>
      </c>
    </row>
    <row r="286" spans="1:17" ht="12.75" customHeight="1">
      <c r="A286" s="2332" t="s">
        <v>3487</v>
      </c>
      <c r="B286" s="2185" t="s">
        <v>3647</v>
      </c>
      <c r="C286" s="2296" t="s">
        <v>3453</v>
      </c>
      <c r="D286" s="2296"/>
      <c r="E286" s="2333" t="s">
        <v>3456</v>
      </c>
      <c r="F286" s="2333" t="s">
        <v>3457</v>
      </c>
      <c r="G286" s="2185" t="s">
        <v>3461</v>
      </c>
      <c r="H286" s="2333"/>
      <c r="I286" s="2334"/>
      <c r="J286" s="2185"/>
      <c r="K286" s="2336"/>
      <c r="L286" s="2335"/>
      <c r="M286" s="1951"/>
      <c r="N286" s="1962"/>
      <c r="O286" s="1961">
        <v>199141</v>
      </c>
      <c r="P286" s="1951">
        <v>208302</v>
      </c>
      <c r="Q286" s="1960">
        <v>217884</v>
      </c>
    </row>
    <row r="287" spans="1:17" ht="12.75" customHeight="1">
      <c r="A287" s="2332" t="s">
        <v>3520</v>
      </c>
      <c r="B287" s="2185" t="s">
        <v>3672</v>
      </c>
      <c r="C287" s="2296" t="s">
        <v>3673</v>
      </c>
      <c r="D287" s="2296"/>
      <c r="E287" s="2333" t="s">
        <v>3456</v>
      </c>
      <c r="F287" s="2333" t="s">
        <v>3457</v>
      </c>
      <c r="G287" s="2185" t="s">
        <v>3461</v>
      </c>
      <c r="H287" s="2333"/>
      <c r="I287" s="2334"/>
      <c r="J287" s="2185"/>
      <c r="K287" s="2336"/>
      <c r="L287" s="2335"/>
      <c r="M287" s="1951"/>
      <c r="N287" s="1962"/>
      <c r="O287" s="1961">
        <v>437000</v>
      </c>
      <c r="P287" s="1951">
        <v>457102</v>
      </c>
      <c r="Q287" s="1960">
        <v>478129</v>
      </c>
    </row>
    <row r="288" spans="1:17" ht="12.75" customHeight="1">
      <c r="A288" s="2332" t="s">
        <v>3584</v>
      </c>
      <c r="B288" s="2185" t="s">
        <v>3585</v>
      </c>
      <c r="C288" s="2296" t="s">
        <v>3453</v>
      </c>
      <c r="D288" s="2296"/>
      <c r="E288" s="2333" t="s">
        <v>3467</v>
      </c>
      <c r="F288" s="2333" t="s">
        <v>3468</v>
      </c>
      <c r="G288" s="2185" t="s">
        <v>3469</v>
      </c>
      <c r="H288" s="2333"/>
      <c r="I288" s="2334"/>
      <c r="J288" s="2185"/>
      <c r="K288" s="2336"/>
      <c r="L288" s="2335"/>
      <c r="M288" s="1951"/>
      <c r="N288" s="1962"/>
      <c r="O288" s="1961">
        <v>599</v>
      </c>
      <c r="P288" s="1951">
        <v>627</v>
      </c>
      <c r="Q288" s="1960">
        <v>656</v>
      </c>
    </row>
    <row r="289" spans="1:17" ht="12.75" customHeight="1">
      <c r="A289" s="2332" t="s">
        <v>3501</v>
      </c>
      <c r="B289" s="2185" t="s">
        <v>3502</v>
      </c>
      <c r="C289" s="2296" t="s">
        <v>3453</v>
      </c>
      <c r="D289" s="2296"/>
      <c r="E289" s="2333" t="s">
        <v>3456</v>
      </c>
      <c r="F289" s="2333" t="s">
        <v>3457</v>
      </c>
      <c r="G289" s="2185" t="s">
        <v>3461</v>
      </c>
      <c r="H289" s="2333"/>
      <c r="I289" s="2334"/>
      <c r="J289" s="2185"/>
      <c r="K289" s="2336"/>
      <c r="L289" s="2335"/>
      <c r="M289" s="1951"/>
      <c r="N289" s="1962"/>
      <c r="O289" s="1961">
        <v>1416265</v>
      </c>
      <c r="P289" s="1951">
        <v>1481414</v>
      </c>
      <c r="Q289" s="1960">
        <v>1549559</v>
      </c>
    </row>
    <row r="290" spans="1:17" ht="12.75" customHeight="1">
      <c r="A290" s="2332" t="s">
        <v>3464</v>
      </c>
      <c r="B290" s="2185" t="s">
        <v>3630</v>
      </c>
      <c r="C290" s="2296" t="s">
        <v>3453</v>
      </c>
      <c r="D290" s="2296"/>
      <c r="E290" s="2333" t="s">
        <v>3467</v>
      </c>
      <c r="F290" s="2333" t="s">
        <v>3468</v>
      </c>
      <c r="G290" s="2185" t="s">
        <v>3469</v>
      </c>
      <c r="H290" s="2333"/>
      <c r="I290" s="2334"/>
      <c r="J290" s="2185"/>
      <c r="K290" s="2336"/>
      <c r="L290" s="2335"/>
      <c r="M290" s="1951"/>
      <c r="N290" s="1962"/>
      <c r="O290" s="1961">
        <v>1037608</v>
      </c>
      <c r="P290" s="1951">
        <v>1085338</v>
      </c>
      <c r="Q290" s="1960">
        <v>1135264</v>
      </c>
    </row>
    <row r="291" spans="1:17" ht="12.75" customHeight="1">
      <c r="A291" s="2332" t="s">
        <v>3490</v>
      </c>
      <c r="B291" s="2185" t="s">
        <v>3674</v>
      </c>
      <c r="C291" s="2296" t="s">
        <v>3492</v>
      </c>
      <c r="D291" s="2296"/>
      <c r="E291" s="2333" t="s">
        <v>3467</v>
      </c>
      <c r="F291" s="2333" t="s">
        <v>3468</v>
      </c>
      <c r="G291" s="2185" t="s">
        <v>2676</v>
      </c>
      <c r="H291" s="2333"/>
      <c r="I291" s="2334"/>
      <c r="J291" s="2185"/>
      <c r="K291" s="2336"/>
      <c r="L291" s="2335"/>
      <c r="M291" s="1951"/>
      <c r="N291" s="1962"/>
      <c r="O291" s="1961">
        <v>0</v>
      </c>
      <c r="P291" s="1951">
        <v>0</v>
      </c>
      <c r="Q291" s="1960">
        <v>0</v>
      </c>
    </row>
    <row r="292" spans="1:17" ht="12.75" customHeight="1">
      <c r="A292" s="2332" t="s">
        <v>3576</v>
      </c>
      <c r="B292" s="2185" t="s">
        <v>3577</v>
      </c>
      <c r="C292" s="2296" t="s">
        <v>3453</v>
      </c>
      <c r="D292" s="2296"/>
      <c r="E292" s="2333" t="s">
        <v>3467</v>
      </c>
      <c r="F292" s="2333" t="s">
        <v>3468</v>
      </c>
      <c r="G292" s="2185" t="s">
        <v>2676</v>
      </c>
      <c r="H292" s="2333"/>
      <c r="I292" s="2334"/>
      <c r="J292" s="2185"/>
      <c r="K292" s="2336"/>
      <c r="L292" s="2335"/>
      <c r="M292" s="1951"/>
      <c r="N292" s="1962"/>
      <c r="O292" s="1961">
        <v>38556</v>
      </c>
      <c r="P292" s="1951">
        <v>40330</v>
      </c>
      <c r="Q292" s="1960">
        <v>42185</v>
      </c>
    </row>
    <row r="293" spans="1:17" ht="12.75" customHeight="1">
      <c r="A293" s="2332" t="s">
        <v>3490</v>
      </c>
      <c r="B293" s="2185" t="s">
        <v>3586</v>
      </c>
      <c r="C293" s="2296" t="s">
        <v>3453</v>
      </c>
      <c r="D293" s="2296"/>
      <c r="E293" s="2333" t="s">
        <v>3456</v>
      </c>
      <c r="F293" s="2333" t="s">
        <v>3457</v>
      </c>
      <c r="G293" s="2185" t="s">
        <v>3481</v>
      </c>
      <c r="H293" s="2333"/>
      <c r="I293" s="2334"/>
      <c r="J293" s="2185"/>
      <c r="K293" s="2336"/>
      <c r="L293" s="2335"/>
      <c r="M293" s="1951"/>
      <c r="N293" s="1962"/>
      <c r="O293" s="1961">
        <v>2322</v>
      </c>
      <c r="P293" s="1951">
        <v>2428</v>
      </c>
      <c r="Q293" s="1960">
        <v>2541</v>
      </c>
    </row>
    <row r="294" spans="1:17" ht="12.75" customHeight="1">
      <c r="A294" s="2332" t="s">
        <v>3454</v>
      </c>
      <c r="B294" s="2185" t="s">
        <v>3675</v>
      </c>
      <c r="C294" s="2296" t="s">
        <v>3453</v>
      </c>
      <c r="D294" s="2296"/>
      <c r="E294" s="2333" t="s">
        <v>3467</v>
      </c>
      <c r="F294" s="2333" t="s">
        <v>3468</v>
      </c>
      <c r="G294" s="2185" t="s">
        <v>3475</v>
      </c>
      <c r="H294" s="2333"/>
      <c r="I294" s="2334"/>
      <c r="J294" s="2185"/>
      <c r="K294" s="2336"/>
      <c r="L294" s="2335"/>
      <c r="M294" s="1951"/>
      <c r="N294" s="1962"/>
      <c r="O294" s="1961">
        <v>0</v>
      </c>
      <c r="P294" s="1951">
        <v>0</v>
      </c>
      <c r="Q294" s="1960">
        <v>0</v>
      </c>
    </row>
    <row r="295" spans="1:17" ht="12.75" customHeight="1">
      <c r="A295" s="2332" t="s">
        <v>3483</v>
      </c>
      <c r="B295" s="2185" t="s">
        <v>3676</v>
      </c>
      <c r="C295" s="2296" t="s">
        <v>3453</v>
      </c>
      <c r="D295" s="2296"/>
      <c r="E295" s="2333" t="s">
        <v>3467</v>
      </c>
      <c r="F295" s="2333" t="s">
        <v>3468</v>
      </c>
      <c r="G295" s="2185" t="s">
        <v>3475</v>
      </c>
      <c r="H295" s="2333"/>
      <c r="I295" s="2334"/>
      <c r="J295" s="2185"/>
      <c r="K295" s="2336"/>
      <c r="L295" s="2335"/>
      <c r="M295" s="1951"/>
      <c r="N295" s="1962"/>
      <c r="O295" s="1961">
        <v>88065</v>
      </c>
      <c r="P295" s="1951">
        <v>92116</v>
      </c>
      <c r="Q295" s="1960">
        <v>96354</v>
      </c>
    </row>
    <row r="296" spans="1:17" ht="12.75" customHeight="1">
      <c r="A296" s="2332" t="s">
        <v>3473</v>
      </c>
      <c r="B296" s="2185" t="s">
        <v>3552</v>
      </c>
      <c r="C296" s="2296" t="s">
        <v>3453</v>
      </c>
      <c r="D296" s="2296"/>
      <c r="E296" s="2333" t="s">
        <v>3467</v>
      </c>
      <c r="F296" s="2333" t="s">
        <v>3468</v>
      </c>
      <c r="G296" s="2185" t="s">
        <v>2676</v>
      </c>
      <c r="H296" s="2333"/>
      <c r="I296" s="2334"/>
      <c r="J296" s="2185"/>
      <c r="K296" s="2336"/>
      <c r="L296" s="2335"/>
      <c r="M296" s="1951"/>
      <c r="N296" s="1962"/>
      <c r="O296" s="1961">
        <v>160591</v>
      </c>
      <c r="P296" s="1951">
        <v>167979</v>
      </c>
      <c r="Q296" s="1960">
        <v>175706</v>
      </c>
    </row>
    <row r="297" spans="1:17" ht="12.75" customHeight="1">
      <c r="A297" s="2332" t="s">
        <v>3483</v>
      </c>
      <c r="B297" s="2185" t="s">
        <v>3583</v>
      </c>
      <c r="C297" s="2296" t="s">
        <v>3453</v>
      </c>
      <c r="D297" s="2296"/>
      <c r="E297" s="2333" t="s">
        <v>3456</v>
      </c>
      <c r="F297" s="2333" t="s">
        <v>3457</v>
      </c>
      <c r="G297" s="2185" t="s">
        <v>3458</v>
      </c>
      <c r="H297" s="2333"/>
      <c r="I297" s="2334"/>
      <c r="J297" s="2185"/>
      <c r="K297" s="2336"/>
      <c r="L297" s="2335"/>
      <c r="M297" s="1951"/>
      <c r="N297" s="1962"/>
      <c r="O297" s="1961">
        <v>103454</v>
      </c>
      <c r="P297" s="1951">
        <v>108213</v>
      </c>
      <c r="Q297" s="1960">
        <v>113191</v>
      </c>
    </row>
    <row r="298" spans="1:17" ht="12.75" customHeight="1">
      <c r="A298" s="2332" t="s">
        <v>3531</v>
      </c>
      <c r="B298" s="2185" t="s">
        <v>3532</v>
      </c>
      <c r="C298" s="2296" t="s">
        <v>3453</v>
      </c>
      <c r="D298" s="2296"/>
      <c r="E298" s="2333" t="s">
        <v>3525</v>
      </c>
      <c r="F298" s="2333" t="s">
        <v>3457</v>
      </c>
      <c r="G298" s="2185" t="s">
        <v>3526</v>
      </c>
      <c r="H298" s="2333"/>
      <c r="I298" s="2334"/>
      <c r="J298" s="2185"/>
      <c r="K298" s="2336"/>
      <c r="L298" s="2335"/>
      <c r="M298" s="1951"/>
      <c r="N298" s="1962"/>
      <c r="O298" s="1961">
        <v>0</v>
      </c>
      <c r="P298" s="1951">
        <v>0</v>
      </c>
      <c r="Q298" s="1960">
        <v>0</v>
      </c>
    </row>
    <row r="299" spans="1:17" ht="12.75" customHeight="1">
      <c r="A299" s="2332" t="s">
        <v>3451</v>
      </c>
      <c r="B299" s="2185" t="s">
        <v>3677</v>
      </c>
      <c r="C299" s="2296" t="s">
        <v>3453</v>
      </c>
      <c r="D299" s="2296"/>
      <c r="E299" s="2333" t="s">
        <v>3456</v>
      </c>
      <c r="F299" s="2333" t="s">
        <v>3457</v>
      </c>
      <c r="G299" s="2185" t="s">
        <v>3458</v>
      </c>
      <c r="H299" s="2333"/>
      <c r="I299" s="2334"/>
      <c r="J299" s="2185"/>
      <c r="K299" s="2336"/>
      <c r="L299" s="2335"/>
      <c r="M299" s="1951"/>
      <c r="N299" s="1962"/>
      <c r="O299" s="1961">
        <v>4600</v>
      </c>
      <c r="P299" s="1951">
        <v>4812</v>
      </c>
      <c r="Q299" s="1960">
        <v>5033</v>
      </c>
    </row>
    <row r="300" spans="1:17" ht="12.75" customHeight="1">
      <c r="A300" s="2332" t="s">
        <v>3487</v>
      </c>
      <c r="B300" s="2185" t="s">
        <v>3647</v>
      </c>
      <c r="C300" s="2296" t="s">
        <v>3453</v>
      </c>
      <c r="D300" s="2296"/>
      <c r="E300" s="2333" t="s">
        <v>3467</v>
      </c>
      <c r="F300" s="2333" t="s">
        <v>3468</v>
      </c>
      <c r="G300" s="2185" t="s">
        <v>3469</v>
      </c>
      <c r="H300" s="2333"/>
      <c r="I300" s="2334"/>
      <c r="J300" s="2185"/>
      <c r="K300" s="2336"/>
      <c r="L300" s="2335"/>
      <c r="M300" s="1951"/>
      <c r="N300" s="1962"/>
      <c r="O300" s="1961">
        <v>1779661</v>
      </c>
      <c r="P300" s="1951">
        <v>1861526</v>
      </c>
      <c r="Q300" s="1960">
        <v>1947156</v>
      </c>
    </row>
    <row r="301" spans="1:17" ht="12.75" customHeight="1">
      <c r="A301" s="2332" t="s">
        <v>3499</v>
      </c>
      <c r="B301" s="2185" t="s">
        <v>3500</v>
      </c>
      <c r="C301" s="2296" t="s">
        <v>3453</v>
      </c>
      <c r="D301" s="2296"/>
      <c r="E301" s="2333" t="s">
        <v>3467</v>
      </c>
      <c r="F301" s="2333" t="s">
        <v>3468</v>
      </c>
      <c r="G301" s="2185" t="s">
        <v>3469</v>
      </c>
      <c r="H301" s="2333"/>
      <c r="I301" s="2334"/>
      <c r="J301" s="2185"/>
      <c r="K301" s="2336"/>
      <c r="L301" s="2335"/>
      <c r="M301" s="1951"/>
      <c r="N301" s="1962"/>
      <c r="O301" s="1961">
        <v>0</v>
      </c>
      <c r="P301" s="1951">
        <v>0</v>
      </c>
      <c r="Q301" s="1960">
        <v>0</v>
      </c>
    </row>
    <row r="302" spans="1:17" ht="12.75" customHeight="1">
      <c r="A302" s="2332" t="s">
        <v>3485</v>
      </c>
      <c r="B302" s="2185" t="s">
        <v>3486</v>
      </c>
      <c r="C302" s="2296" t="s">
        <v>3453</v>
      </c>
      <c r="D302" s="2296"/>
      <c r="E302" s="2333" t="s">
        <v>3467</v>
      </c>
      <c r="F302" s="2333" t="s">
        <v>3468</v>
      </c>
      <c r="G302" s="2185" t="s">
        <v>3469</v>
      </c>
      <c r="H302" s="2333"/>
      <c r="I302" s="2334"/>
      <c r="J302" s="2185"/>
      <c r="K302" s="2336"/>
      <c r="L302" s="2335"/>
      <c r="M302" s="1951"/>
      <c r="N302" s="1962"/>
      <c r="O302" s="1961">
        <v>145162</v>
      </c>
      <c r="P302" s="1951">
        <v>151840</v>
      </c>
      <c r="Q302" s="1960">
        <v>158825</v>
      </c>
    </row>
    <row r="303" spans="1:17" ht="12.75" customHeight="1">
      <c r="A303" s="2332" t="s">
        <v>3490</v>
      </c>
      <c r="B303" s="2185" t="s">
        <v>3586</v>
      </c>
      <c r="C303" s="2296" t="s">
        <v>3453</v>
      </c>
      <c r="D303" s="2296"/>
      <c r="E303" s="2333" t="s">
        <v>3456</v>
      </c>
      <c r="F303" s="2333" t="s">
        <v>3457</v>
      </c>
      <c r="G303" s="2185" t="s">
        <v>3461</v>
      </c>
      <c r="H303" s="2333"/>
      <c r="I303" s="2334"/>
      <c r="J303" s="2185"/>
      <c r="K303" s="2336"/>
      <c r="L303" s="2335"/>
      <c r="M303" s="1951"/>
      <c r="N303" s="1962"/>
      <c r="O303" s="1961">
        <v>0</v>
      </c>
      <c r="P303" s="1951">
        <v>0</v>
      </c>
      <c r="Q303" s="1960">
        <v>1</v>
      </c>
    </row>
    <row r="304" spans="1:17" ht="12.75" customHeight="1">
      <c r="A304" s="2332" t="s">
        <v>3541</v>
      </c>
      <c r="B304" s="2185" t="s">
        <v>3542</v>
      </c>
      <c r="C304" s="2296" t="s">
        <v>3453</v>
      </c>
      <c r="D304" s="2296"/>
      <c r="E304" s="2333" t="s">
        <v>3467</v>
      </c>
      <c r="F304" s="2333" t="s">
        <v>3468</v>
      </c>
      <c r="G304" s="2185" t="s">
        <v>3469</v>
      </c>
      <c r="H304" s="2333"/>
      <c r="I304" s="2334"/>
      <c r="J304" s="2185"/>
      <c r="K304" s="2336"/>
      <c r="L304" s="2335"/>
      <c r="M304" s="1951"/>
      <c r="N304" s="1962"/>
      <c r="O304" s="1961">
        <v>8060</v>
      </c>
      <c r="P304" s="1951">
        <v>8431</v>
      </c>
      <c r="Q304" s="1960">
        <v>8819</v>
      </c>
    </row>
    <row r="305" spans="1:17" ht="12.75" customHeight="1">
      <c r="A305" s="2332" t="s">
        <v>3563</v>
      </c>
      <c r="B305" s="2185" t="s">
        <v>3659</v>
      </c>
      <c r="C305" s="2296" t="s">
        <v>3453</v>
      </c>
      <c r="D305" s="2296"/>
      <c r="E305" s="2333" t="s">
        <v>3456</v>
      </c>
      <c r="F305" s="2333" t="s">
        <v>3457</v>
      </c>
      <c r="G305" s="2185" t="s">
        <v>3458</v>
      </c>
      <c r="H305" s="2333"/>
      <c r="I305" s="2334"/>
      <c r="J305" s="2185"/>
      <c r="K305" s="2336"/>
      <c r="L305" s="2335"/>
      <c r="M305" s="1951"/>
      <c r="N305" s="1962"/>
      <c r="O305" s="1961">
        <v>3000</v>
      </c>
      <c r="P305" s="1951">
        <v>3138</v>
      </c>
      <c r="Q305" s="1960">
        <v>3283</v>
      </c>
    </row>
    <row r="306" spans="1:17" ht="12.75" customHeight="1">
      <c r="A306" s="2332" t="s">
        <v>3464</v>
      </c>
      <c r="B306" s="2185" t="s">
        <v>3630</v>
      </c>
      <c r="C306" s="2296" t="s">
        <v>3453</v>
      </c>
      <c r="D306" s="2296"/>
      <c r="E306" s="2333" t="s">
        <v>3467</v>
      </c>
      <c r="F306" s="2333" t="s">
        <v>3468</v>
      </c>
      <c r="G306" s="2185" t="s">
        <v>3469</v>
      </c>
      <c r="H306" s="2333"/>
      <c r="I306" s="2334"/>
      <c r="J306" s="2185"/>
      <c r="K306" s="2336"/>
      <c r="L306" s="2335"/>
      <c r="M306" s="1951"/>
      <c r="N306" s="1962"/>
      <c r="O306" s="1961">
        <v>22686</v>
      </c>
      <c r="P306" s="1951">
        <v>23730</v>
      </c>
      <c r="Q306" s="1960">
        <v>24822</v>
      </c>
    </row>
    <row r="307" spans="1:17" ht="12.75" customHeight="1">
      <c r="A307" s="2332" t="s">
        <v>3533</v>
      </c>
      <c r="B307" s="2185" t="s">
        <v>3635</v>
      </c>
      <c r="C307" s="2296" t="s">
        <v>3453</v>
      </c>
      <c r="D307" s="2296"/>
      <c r="E307" s="2333" t="s">
        <v>3456</v>
      </c>
      <c r="F307" s="2333" t="s">
        <v>3457</v>
      </c>
      <c r="G307" s="2185" t="s">
        <v>3461</v>
      </c>
      <c r="H307" s="2333"/>
      <c r="I307" s="2334"/>
      <c r="J307" s="2185"/>
      <c r="K307" s="2336"/>
      <c r="L307" s="2335"/>
      <c r="M307" s="1951"/>
      <c r="N307" s="1962"/>
      <c r="O307" s="1961">
        <v>121335</v>
      </c>
      <c r="P307" s="1951">
        <v>126917</v>
      </c>
      <c r="Q307" s="1960">
        <v>132755</v>
      </c>
    </row>
    <row r="308" spans="1:17" ht="12.75" customHeight="1">
      <c r="A308" s="2332" t="s">
        <v>3479</v>
      </c>
      <c r="B308" s="2185" t="s">
        <v>3480</v>
      </c>
      <c r="C308" s="2296" t="s">
        <v>3453</v>
      </c>
      <c r="D308" s="2296"/>
      <c r="E308" s="2333"/>
      <c r="F308" s="2333"/>
      <c r="G308" s="2185"/>
      <c r="H308" s="2333"/>
      <c r="I308" s="2334"/>
      <c r="J308" s="2185"/>
      <c r="K308" s="2336"/>
      <c r="L308" s="2335"/>
      <c r="M308" s="1951"/>
      <c r="N308" s="1962"/>
      <c r="O308" s="1961">
        <v>163490</v>
      </c>
      <c r="P308" s="1951">
        <v>171011</v>
      </c>
      <c r="Q308" s="1960">
        <v>178877</v>
      </c>
    </row>
    <row r="309" spans="1:17" ht="12.75" customHeight="1">
      <c r="A309" s="2332" t="s">
        <v>3506</v>
      </c>
      <c r="B309" s="2185" t="s">
        <v>3507</v>
      </c>
      <c r="C309" s="2296" t="s">
        <v>3453</v>
      </c>
      <c r="D309" s="2296"/>
      <c r="E309" s="2333" t="s">
        <v>3467</v>
      </c>
      <c r="F309" s="2333" t="s">
        <v>3468</v>
      </c>
      <c r="G309" s="2185" t="s">
        <v>3469</v>
      </c>
      <c r="H309" s="2333"/>
      <c r="I309" s="2334"/>
      <c r="J309" s="2185"/>
      <c r="K309" s="2336"/>
      <c r="L309" s="2335"/>
      <c r="M309" s="1951"/>
      <c r="N309" s="1962"/>
      <c r="O309" s="1961">
        <v>0</v>
      </c>
      <c r="P309" s="1951">
        <v>0</v>
      </c>
      <c r="Q309" s="1960">
        <v>0</v>
      </c>
    </row>
    <row r="310" spans="1:17" ht="12.75" customHeight="1">
      <c r="A310" s="2332" t="s">
        <v>3531</v>
      </c>
      <c r="B310" s="2185" t="s">
        <v>3593</v>
      </c>
      <c r="C310" s="2296" t="s">
        <v>3453</v>
      </c>
      <c r="D310" s="2296"/>
      <c r="E310" s="2333" t="s">
        <v>3456</v>
      </c>
      <c r="F310" s="2333" t="s">
        <v>3457</v>
      </c>
      <c r="G310" s="2185" t="s">
        <v>3461</v>
      </c>
      <c r="H310" s="2333"/>
      <c r="I310" s="2334"/>
      <c r="J310" s="2185"/>
      <c r="K310" s="2336"/>
      <c r="L310" s="2335"/>
      <c r="M310" s="1951"/>
      <c r="N310" s="1962"/>
      <c r="O310" s="1961">
        <v>3856</v>
      </c>
      <c r="P310" s="1951">
        <v>4063</v>
      </c>
      <c r="Q310" s="1960">
        <v>4284</v>
      </c>
    </row>
    <row r="311" spans="1:17" ht="12.75" customHeight="1">
      <c r="A311" s="2332" t="s">
        <v>3538</v>
      </c>
      <c r="B311" s="2185" t="s">
        <v>3678</v>
      </c>
      <c r="C311" s="2296" t="s">
        <v>3453</v>
      </c>
      <c r="D311" s="2296"/>
      <c r="E311" s="2333" t="s">
        <v>3467</v>
      </c>
      <c r="F311" s="2333" t="s">
        <v>3468</v>
      </c>
      <c r="G311" s="2185" t="s">
        <v>3469</v>
      </c>
      <c r="H311" s="2333"/>
      <c r="I311" s="2334"/>
      <c r="J311" s="2185"/>
      <c r="K311" s="2336"/>
      <c r="L311" s="2335"/>
      <c r="M311" s="1951"/>
      <c r="N311" s="1962"/>
      <c r="O311" s="1961">
        <v>9465</v>
      </c>
      <c r="P311" s="1951">
        <v>9901</v>
      </c>
      <c r="Q311" s="1960">
        <v>10356</v>
      </c>
    </row>
    <row r="312" spans="1:17" ht="12.75" customHeight="1">
      <c r="A312" s="2332" t="s">
        <v>3584</v>
      </c>
      <c r="B312" s="2185" t="s">
        <v>3608</v>
      </c>
      <c r="C312" s="2296" t="s">
        <v>3453</v>
      </c>
      <c r="D312" s="2296"/>
      <c r="E312" s="2333" t="s">
        <v>3456</v>
      </c>
      <c r="F312" s="2333" t="s">
        <v>3457</v>
      </c>
      <c r="G312" s="2185" t="s">
        <v>3458</v>
      </c>
      <c r="H312" s="2333"/>
      <c r="I312" s="2334"/>
      <c r="J312" s="2185"/>
      <c r="K312" s="2336"/>
      <c r="L312" s="2335"/>
      <c r="M312" s="1951"/>
      <c r="N312" s="1962"/>
      <c r="O312" s="1961">
        <v>46330</v>
      </c>
      <c r="P312" s="1951">
        <v>48462</v>
      </c>
      <c r="Q312" s="1960">
        <v>50691</v>
      </c>
    </row>
    <row r="313" spans="1:17" ht="12.75" customHeight="1">
      <c r="A313" s="2332" t="s">
        <v>3459</v>
      </c>
      <c r="B313" s="2185" t="s">
        <v>3619</v>
      </c>
      <c r="C313" s="2296" t="s">
        <v>3453</v>
      </c>
      <c r="D313" s="2296"/>
      <c r="E313" s="2333" t="s">
        <v>3467</v>
      </c>
      <c r="F313" s="2333" t="s">
        <v>3468</v>
      </c>
      <c r="G313" s="2185" t="s">
        <v>2676</v>
      </c>
      <c r="H313" s="2333"/>
      <c r="I313" s="2334"/>
      <c r="J313" s="2185"/>
      <c r="K313" s="2336"/>
      <c r="L313" s="2335"/>
      <c r="M313" s="1951"/>
      <c r="N313" s="1962"/>
      <c r="O313" s="1961">
        <v>0</v>
      </c>
      <c r="P313" s="1951">
        <v>0</v>
      </c>
      <c r="Q313" s="1960">
        <v>0</v>
      </c>
    </row>
    <row r="314" spans="1:17" ht="12.75" customHeight="1">
      <c r="A314" s="2332" t="s">
        <v>3477</v>
      </c>
      <c r="B314" s="2185" t="s">
        <v>3575</v>
      </c>
      <c r="C314" s="2296" t="s">
        <v>3453</v>
      </c>
      <c r="D314" s="2296"/>
      <c r="E314" s="2333" t="s">
        <v>3456</v>
      </c>
      <c r="F314" s="2333" t="s">
        <v>3457</v>
      </c>
      <c r="G314" s="2185" t="s">
        <v>3461</v>
      </c>
      <c r="H314" s="2333"/>
      <c r="I314" s="2334"/>
      <c r="J314" s="2185"/>
      <c r="K314" s="2336"/>
      <c r="L314" s="2335"/>
      <c r="M314" s="1951"/>
      <c r="N314" s="1962"/>
      <c r="O314" s="1961">
        <v>199285</v>
      </c>
      <c r="P314" s="1951">
        <v>208453</v>
      </c>
      <c r="Q314" s="1960">
        <v>218041</v>
      </c>
    </row>
    <row r="315" spans="1:17" ht="12.75" customHeight="1">
      <c r="A315" s="2332" t="s">
        <v>3454</v>
      </c>
      <c r="B315" s="2185" t="s">
        <v>3545</v>
      </c>
      <c r="C315" s="2296" t="s">
        <v>3453</v>
      </c>
      <c r="D315" s="2296"/>
      <c r="E315" s="2333" t="s">
        <v>3467</v>
      </c>
      <c r="F315" s="2333" t="s">
        <v>3468</v>
      </c>
      <c r="G315" s="2185" t="s">
        <v>3475</v>
      </c>
      <c r="H315" s="2333"/>
      <c r="I315" s="2334"/>
      <c r="J315" s="2185"/>
      <c r="K315" s="2336"/>
      <c r="L315" s="2335"/>
      <c r="M315" s="1951"/>
      <c r="N315" s="1962"/>
      <c r="O315" s="1961">
        <v>0</v>
      </c>
      <c r="P315" s="1951">
        <v>0</v>
      </c>
      <c r="Q315" s="1960">
        <v>0</v>
      </c>
    </row>
    <row r="316" spans="1:17" ht="12.75" customHeight="1">
      <c r="A316" s="2332" t="s">
        <v>3487</v>
      </c>
      <c r="B316" s="2185" t="s">
        <v>3647</v>
      </c>
      <c r="C316" s="2296" t="s">
        <v>3453</v>
      </c>
      <c r="D316" s="2296"/>
      <c r="E316" s="2333" t="s">
        <v>3467</v>
      </c>
      <c r="F316" s="2333" t="s">
        <v>3468</v>
      </c>
      <c r="G316" s="2185" t="s">
        <v>3469</v>
      </c>
      <c r="H316" s="2333"/>
      <c r="I316" s="2334"/>
      <c r="J316" s="2185"/>
      <c r="K316" s="2336"/>
      <c r="L316" s="2335"/>
      <c r="M316" s="1951"/>
      <c r="N316" s="1962"/>
      <c r="O316" s="1961">
        <v>3588358</v>
      </c>
      <c r="P316" s="1951">
        <v>3753423</v>
      </c>
      <c r="Q316" s="1960">
        <v>3926080</v>
      </c>
    </row>
    <row r="317" spans="1:17" ht="12.75" customHeight="1">
      <c r="A317" s="2332" t="s">
        <v>3584</v>
      </c>
      <c r="B317" s="2185" t="s">
        <v>3679</v>
      </c>
      <c r="C317" s="2296" t="s">
        <v>3453</v>
      </c>
      <c r="D317" s="2296"/>
      <c r="E317" s="2333" t="s">
        <v>3467</v>
      </c>
      <c r="F317" s="2333" t="s">
        <v>3468</v>
      </c>
      <c r="G317" s="2185" t="s">
        <v>3469</v>
      </c>
      <c r="H317" s="2333"/>
      <c r="I317" s="2334"/>
      <c r="J317" s="2185"/>
      <c r="K317" s="2336"/>
      <c r="L317" s="2335"/>
      <c r="M317" s="1951"/>
      <c r="N317" s="1962"/>
      <c r="O317" s="1961">
        <v>300000</v>
      </c>
      <c r="P317" s="1951">
        <v>313800</v>
      </c>
      <c r="Q317" s="1960">
        <v>328235</v>
      </c>
    </row>
    <row r="318" spans="1:17" ht="12.75" customHeight="1">
      <c r="A318" s="2332" t="s">
        <v>3531</v>
      </c>
      <c r="B318" s="2185" t="s">
        <v>3532</v>
      </c>
      <c r="C318" s="2296" t="s">
        <v>3453</v>
      </c>
      <c r="D318" s="2296"/>
      <c r="E318" s="2333" t="s">
        <v>3467</v>
      </c>
      <c r="F318" s="2333" t="s">
        <v>3468</v>
      </c>
      <c r="G318" s="2185" t="s">
        <v>3469</v>
      </c>
      <c r="H318" s="2333"/>
      <c r="I318" s="2334"/>
      <c r="J318" s="2185"/>
      <c r="K318" s="2336"/>
      <c r="L318" s="2335"/>
      <c r="M318" s="1951"/>
      <c r="N318" s="1962"/>
      <c r="O318" s="1961">
        <v>0</v>
      </c>
      <c r="P318" s="1951">
        <v>0</v>
      </c>
      <c r="Q318" s="1960">
        <v>0</v>
      </c>
    </row>
    <row r="319" spans="1:17" ht="12.75" customHeight="1">
      <c r="A319" s="2332" t="s">
        <v>3470</v>
      </c>
      <c r="B319" s="2185" t="s">
        <v>3554</v>
      </c>
      <c r="C319" s="2296" t="s">
        <v>3453</v>
      </c>
      <c r="D319" s="2296"/>
      <c r="E319" s="2333" t="s">
        <v>3467</v>
      </c>
      <c r="F319" s="2333" t="s">
        <v>3468</v>
      </c>
      <c r="G319" s="2185" t="s">
        <v>3469</v>
      </c>
      <c r="H319" s="2333"/>
      <c r="I319" s="2334"/>
      <c r="J319" s="2185"/>
      <c r="K319" s="2336"/>
      <c r="L319" s="2335"/>
      <c r="M319" s="1951"/>
      <c r="N319" s="1962"/>
      <c r="O319" s="1961">
        <v>52890</v>
      </c>
      <c r="P319" s="1951">
        <v>55323</v>
      </c>
      <c r="Q319" s="1960">
        <v>57868</v>
      </c>
    </row>
    <row r="320" spans="1:17" ht="12.75" customHeight="1">
      <c r="A320" s="2332" t="s">
        <v>3459</v>
      </c>
      <c r="B320" s="2185" t="s">
        <v>3680</v>
      </c>
      <c r="C320" s="2296" t="s">
        <v>3453</v>
      </c>
      <c r="D320" s="2296"/>
      <c r="E320" s="2333" t="s">
        <v>3467</v>
      </c>
      <c r="F320" s="2333" t="s">
        <v>3468</v>
      </c>
      <c r="G320" s="2185" t="s">
        <v>3469</v>
      </c>
      <c r="H320" s="2333"/>
      <c r="I320" s="2334"/>
      <c r="J320" s="2185"/>
      <c r="K320" s="2336"/>
      <c r="L320" s="2335"/>
      <c r="M320" s="1951"/>
      <c r="N320" s="1962"/>
      <c r="O320" s="1961">
        <v>800</v>
      </c>
      <c r="P320" s="1951">
        <v>837</v>
      </c>
      <c r="Q320" s="1960">
        <v>876</v>
      </c>
    </row>
    <row r="321" spans="1:17" ht="12.75" customHeight="1">
      <c r="A321" s="2332" t="s">
        <v>3536</v>
      </c>
      <c r="B321" s="2185" t="s">
        <v>3548</v>
      </c>
      <c r="C321" s="2296" t="s">
        <v>3453</v>
      </c>
      <c r="D321" s="2296"/>
      <c r="E321" s="2333" t="s">
        <v>3467</v>
      </c>
      <c r="F321" s="2333" t="s">
        <v>3468</v>
      </c>
      <c r="G321" s="2185" t="s">
        <v>3469</v>
      </c>
      <c r="H321" s="2333"/>
      <c r="I321" s="2334"/>
      <c r="J321" s="2185"/>
      <c r="K321" s="2336"/>
      <c r="L321" s="2335"/>
      <c r="M321" s="1951"/>
      <c r="N321" s="1962"/>
      <c r="O321" s="1961">
        <v>507326</v>
      </c>
      <c r="P321" s="1951">
        <v>530663</v>
      </c>
      <c r="Q321" s="1960">
        <v>555074</v>
      </c>
    </row>
    <row r="322" spans="1:17" ht="12.75" customHeight="1">
      <c r="A322" s="2332" t="s">
        <v>3508</v>
      </c>
      <c r="B322" s="2185" t="s">
        <v>3681</v>
      </c>
      <c r="C322" s="2296" t="s">
        <v>3453</v>
      </c>
      <c r="D322" s="2296"/>
      <c r="E322" s="2333" t="s">
        <v>3467</v>
      </c>
      <c r="F322" s="2333" t="s">
        <v>3468</v>
      </c>
      <c r="G322" s="2185" t="s">
        <v>3469</v>
      </c>
      <c r="H322" s="2333"/>
      <c r="I322" s="2334"/>
      <c r="J322" s="2185"/>
      <c r="K322" s="2336"/>
      <c r="L322" s="2335"/>
      <c r="M322" s="1951"/>
      <c r="N322" s="1962"/>
      <c r="O322" s="1961">
        <v>487489</v>
      </c>
      <c r="P322" s="1951">
        <v>509914</v>
      </c>
      <c r="Q322" s="1960">
        <v>533370</v>
      </c>
    </row>
    <row r="323" spans="1:17" ht="12.75" customHeight="1">
      <c r="A323" s="2332" t="s">
        <v>3499</v>
      </c>
      <c r="B323" s="2185" t="s">
        <v>3682</v>
      </c>
      <c r="C323" s="2296" t="s">
        <v>3453</v>
      </c>
      <c r="D323" s="2296"/>
      <c r="E323" s="2333" t="s">
        <v>3467</v>
      </c>
      <c r="F323" s="2333" t="s">
        <v>3468</v>
      </c>
      <c r="G323" s="2185" t="s">
        <v>3475</v>
      </c>
      <c r="H323" s="2333"/>
      <c r="I323" s="2334"/>
      <c r="J323" s="2185"/>
      <c r="K323" s="2336"/>
      <c r="L323" s="2335"/>
      <c r="M323" s="1951"/>
      <c r="N323" s="1962"/>
      <c r="O323" s="1961">
        <v>7795</v>
      </c>
      <c r="P323" s="1951">
        <v>8154</v>
      </c>
      <c r="Q323" s="1960">
        <v>8529</v>
      </c>
    </row>
    <row r="324" spans="1:17" ht="12.75" customHeight="1">
      <c r="A324" s="2332" t="s">
        <v>3543</v>
      </c>
      <c r="B324" s="2185" t="s">
        <v>3658</v>
      </c>
      <c r="C324" s="2296" t="s">
        <v>3453</v>
      </c>
      <c r="D324" s="2296"/>
      <c r="E324" s="2333" t="s">
        <v>3456</v>
      </c>
      <c r="F324" s="2333" t="s">
        <v>3457</v>
      </c>
      <c r="G324" s="2185" t="s">
        <v>3458</v>
      </c>
      <c r="H324" s="2333"/>
      <c r="I324" s="2334"/>
      <c r="J324" s="2185"/>
      <c r="K324" s="2336"/>
      <c r="L324" s="2335"/>
      <c r="M324" s="1951"/>
      <c r="N324" s="1962"/>
      <c r="O324" s="1961">
        <v>275377</v>
      </c>
      <c r="P324" s="1951">
        <v>288045</v>
      </c>
      <c r="Q324" s="1960">
        <v>301295</v>
      </c>
    </row>
    <row r="325" spans="1:17" ht="12.75" customHeight="1">
      <c r="A325" s="2332" t="s">
        <v>3490</v>
      </c>
      <c r="B325" s="2185" t="s">
        <v>3586</v>
      </c>
      <c r="C325" s="2296" t="s">
        <v>3453</v>
      </c>
      <c r="D325" s="2296"/>
      <c r="E325" s="2333"/>
      <c r="F325" s="2333"/>
      <c r="G325" s="2185"/>
      <c r="H325" s="2333"/>
      <c r="I325" s="2334"/>
      <c r="J325" s="2185"/>
      <c r="K325" s="2336"/>
      <c r="L325" s="2335"/>
      <c r="M325" s="1951"/>
      <c r="N325" s="1962"/>
      <c r="O325" s="1961">
        <v>338646</v>
      </c>
      <c r="P325" s="1951">
        <v>354224</v>
      </c>
      <c r="Q325" s="1960">
        <v>370519</v>
      </c>
    </row>
    <row r="326" spans="1:17" ht="12.75" customHeight="1">
      <c r="A326" s="2332" t="s">
        <v>3483</v>
      </c>
      <c r="B326" s="2185" t="s">
        <v>3583</v>
      </c>
      <c r="C326" s="2296" t="s">
        <v>3453</v>
      </c>
      <c r="D326" s="2296"/>
      <c r="E326" s="2333" t="s">
        <v>3456</v>
      </c>
      <c r="F326" s="2333" t="s">
        <v>3457</v>
      </c>
      <c r="G326" s="2185" t="s">
        <v>3458</v>
      </c>
      <c r="H326" s="2333"/>
      <c r="I326" s="2334"/>
      <c r="J326" s="2185"/>
      <c r="K326" s="2336"/>
      <c r="L326" s="2335"/>
      <c r="M326" s="1951"/>
      <c r="N326" s="1962"/>
      <c r="O326" s="1961">
        <v>0</v>
      </c>
      <c r="P326" s="1951">
        <v>0</v>
      </c>
      <c r="Q326" s="1960">
        <v>1</v>
      </c>
    </row>
    <row r="327" spans="1:17" ht="12.75" customHeight="1">
      <c r="A327" s="2332" t="s">
        <v>3538</v>
      </c>
      <c r="B327" s="2185" t="s">
        <v>3678</v>
      </c>
      <c r="C327" s="2296" t="s">
        <v>3453</v>
      </c>
      <c r="D327" s="2296"/>
      <c r="E327" s="2333" t="s">
        <v>3456</v>
      </c>
      <c r="F327" s="2333" t="s">
        <v>3457</v>
      </c>
      <c r="G327" s="2185" t="s">
        <v>3461</v>
      </c>
      <c r="H327" s="2333"/>
      <c r="I327" s="2334"/>
      <c r="J327" s="2185"/>
      <c r="K327" s="2336"/>
      <c r="L327" s="2335"/>
      <c r="M327" s="1951"/>
      <c r="N327" s="1962"/>
      <c r="O327" s="1961">
        <v>2200000</v>
      </c>
      <c r="P327" s="1951">
        <v>2301200</v>
      </c>
      <c r="Q327" s="1960">
        <v>2407056</v>
      </c>
    </row>
    <row r="328" spans="1:17" ht="12.75" customHeight="1">
      <c r="A328" s="2332" t="s">
        <v>3523</v>
      </c>
      <c r="B328" s="2185" t="s">
        <v>3535</v>
      </c>
      <c r="C328" s="2296" t="s">
        <v>3453</v>
      </c>
      <c r="D328" s="2296"/>
      <c r="E328" s="2333" t="s">
        <v>3467</v>
      </c>
      <c r="F328" s="2333" t="s">
        <v>3468</v>
      </c>
      <c r="G328" s="2185" t="s">
        <v>3475</v>
      </c>
      <c r="H328" s="2333"/>
      <c r="I328" s="2334"/>
      <c r="J328" s="2185"/>
      <c r="K328" s="2336"/>
      <c r="L328" s="2335"/>
      <c r="M328" s="1951"/>
      <c r="N328" s="1962"/>
      <c r="O328" s="1961">
        <v>216194</v>
      </c>
      <c r="P328" s="1951">
        <v>226139</v>
      </c>
      <c r="Q328" s="1960">
        <v>236541</v>
      </c>
    </row>
    <row r="329" spans="1:17" ht="12.75" customHeight="1">
      <c r="A329" s="2332" t="s">
        <v>3541</v>
      </c>
      <c r="B329" s="2185" t="s">
        <v>3542</v>
      </c>
      <c r="C329" s="2296" t="s">
        <v>3453</v>
      </c>
      <c r="D329" s="2296"/>
      <c r="E329" s="2333" t="s">
        <v>3467</v>
      </c>
      <c r="F329" s="2333" t="s">
        <v>3468</v>
      </c>
      <c r="G329" s="2185" t="s">
        <v>3469</v>
      </c>
      <c r="H329" s="2333"/>
      <c r="I329" s="2334"/>
      <c r="J329" s="2185"/>
      <c r="K329" s="2336"/>
      <c r="L329" s="2335"/>
      <c r="M329" s="1951"/>
      <c r="N329" s="1962"/>
      <c r="O329" s="1961">
        <v>97600</v>
      </c>
      <c r="P329" s="1951">
        <v>102090</v>
      </c>
      <c r="Q329" s="1960">
        <v>106786</v>
      </c>
    </row>
    <row r="330" spans="1:17" ht="12.75" customHeight="1">
      <c r="A330" s="2332" t="s">
        <v>3520</v>
      </c>
      <c r="B330" s="2185" t="s">
        <v>3593</v>
      </c>
      <c r="C330" s="2296" t="s">
        <v>3453</v>
      </c>
      <c r="D330" s="2296"/>
      <c r="E330" s="2333" t="s">
        <v>3467</v>
      </c>
      <c r="F330" s="2333" t="s">
        <v>3468</v>
      </c>
      <c r="G330" s="2185" t="s">
        <v>3469</v>
      </c>
      <c r="H330" s="2333"/>
      <c r="I330" s="2334"/>
      <c r="J330" s="2185"/>
      <c r="K330" s="2336"/>
      <c r="L330" s="2335"/>
      <c r="M330" s="1951"/>
      <c r="N330" s="1962"/>
      <c r="O330" s="1961">
        <v>2861060</v>
      </c>
      <c r="P330" s="1951">
        <v>2992669</v>
      </c>
      <c r="Q330" s="1960">
        <v>3130332</v>
      </c>
    </row>
    <row r="331" spans="1:17" ht="12.75" customHeight="1">
      <c r="A331" s="2332" t="s">
        <v>3454</v>
      </c>
      <c r="B331" s="2185" t="s">
        <v>3545</v>
      </c>
      <c r="C331" s="2296" t="s">
        <v>3453</v>
      </c>
      <c r="D331" s="2296"/>
      <c r="E331" s="2333" t="s">
        <v>3456</v>
      </c>
      <c r="F331" s="2333" t="s">
        <v>3457</v>
      </c>
      <c r="G331" s="2185" t="s">
        <v>3481</v>
      </c>
      <c r="H331" s="2333"/>
      <c r="I331" s="2334"/>
      <c r="J331" s="2185"/>
      <c r="K331" s="2336"/>
      <c r="L331" s="2335"/>
      <c r="M331" s="1951"/>
      <c r="N331" s="1962"/>
      <c r="O331" s="1961">
        <v>0</v>
      </c>
      <c r="P331" s="1951">
        <v>0</v>
      </c>
      <c r="Q331" s="1960">
        <v>0</v>
      </c>
    </row>
    <row r="332" spans="1:17" ht="12.75" customHeight="1">
      <c r="A332" s="2332" t="s">
        <v>3510</v>
      </c>
      <c r="B332" s="2185" t="s">
        <v>3642</v>
      </c>
      <c r="C332" s="2296" t="s">
        <v>3453</v>
      </c>
      <c r="D332" s="2296"/>
      <c r="E332" s="2333" t="s">
        <v>3456</v>
      </c>
      <c r="F332" s="2333" t="s">
        <v>3457</v>
      </c>
      <c r="G332" s="2185" t="s">
        <v>3461</v>
      </c>
      <c r="H332" s="2333"/>
      <c r="I332" s="2334"/>
      <c r="J332" s="2185"/>
      <c r="K332" s="2336"/>
      <c r="L332" s="2335"/>
      <c r="M332" s="1951"/>
      <c r="N332" s="1962"/>
      <c r="O332" s="1961">
        <v>32493</v>
      </c>
      <c r="P332" s="1951">
        <v>33988</v>
      </c>
      <c r="Q332" s="1960">
        <v>35552</v>
      </c>
    </row>
    <row r="333" spans="1:17" ht="12.75" customHeight="1">
      <c r="A333" s="2332" t="s">
        <v>3543</v>
      </c>
      <c r="B333" s="2185" t="s">
        <v>3683</v>
      </c>
      <c r="C333" s="2296" t="s">
        <v>3453</v>
      </c>
      <c r="D333" s="2296"/>
      <c r="E333" s="2333" t="s">
        <v>3456</v>
      </c>
      <c r="F333" s="2333" t="s">
        <v>3457</v>
      </c>
      <c r="G333" s="2185" t="s">
        <v>3461</v>
      </c>
      <c r="H333" s="2333"/>
      <c r="I333" s="2334"/>
      <c r="J333" s="2185"/>
      <c r="K333" s="2336"/>
      <c r="L333" s="2335"/>
      <c r="M333" s="1951"/>
      <c r="N333" s="1962"/>
      <c r="O333" s="1961">
        <v>4000</v>
      </c>
      <c r="P333" s="1951">
        <v>4184</v>
      </c>
      <c r="Q333" s="1960">
        <v>4377</v>
      </c>
    </row>
    <row r="334" spans="1:17" ht="12.75" customHeight="1">
      <c r="A334" s="2332" t="s">
        <v>3487</v>
      </c>
      <c r="B334" s="2185" t="s">
        <v>3488</v>
      </c>
      <c r="C334" s="2296" t="s">
        <v>3453</v>
      </c>
      <c r="D334" s="2296"/>
      <c r="E334" s="2333" t="s">
        <v>3456</v>
      </c>
      <c r="F334" s="2333" t="s">
        <v>3457</v>
      </c>
      <c r="G334" s="2185" t="s">
        <v>3461</v>
      </c>
      <c r="H334" s="2333"/>
      <c r="I334" s="2334"/>
      <c r="J334" s="2185"/>
      <c r="K334" s="2336"/>
      <c r="L334" s="2335"/>
      <c r="M334" s="1951"/>
      <c r="N334" s="1962"/>
      <c r="O334" s="1961">
        <v>135086</v>
      </c>
      <c r="P334" s="1951">
        <v>141300</v>
      </c>
      <c r="Q334" s="1960">
        <v>147800</v>
      </c>
    </row>
    <row r="335" spans="1:17" ht="12.75" customHeight="1">
      <c r="A335" s="2332" t="s">
        <v>3487</v>
      </c>
      <c r="B335" s="2185" t="s">
        <v>3647</v>
      </c>
      <c r="C335" s="2296" t="s">
        <v>3453</v>
      </c>
      <c r="D335" s="2296"/>
      <c r="E335" s="2333" t="s">
        <v>3456</v>
      </c>
      <c r="F335" s="2333" t="s">
        <v>3457</v>
      </c>
      <c r="G335" s="2185" t="s">
        <v>3458</v>
      </c>
      <c r="H335" s="2333"/>
      <c r="I335" s="2334"/>
      <c r="J335" s="2185"/>
      <c r="K335" s="2336"/>
      <c r="L335" s="2335"/>
      <c r="M335" s="1951"/>
      <c r="N335" s="1962"/>
      <c r="O335" s="1961">
        <v>575557</v>
      </c>
      <c r="P335" s="1951">
        <v>602033</v>
      </c>
      <c r="Q335" s="1960">
        <v>629727</v>
      </c>
    </row>
    <row r="336" spans="1:17" ht="12.75" customHeight="1">
      <c r="A336" s="2332" t="s">
        <v>3531</v>
      </c>
      <c r="B336" s="2185" t="s">
        <v>3532</v>
      </c>
      <c r="C336" s="2296" t="s">
        <v>3453</v>
      </c>
      <c r="D336" s="2296"/>
      <c r="E336" s="2333" t="s">
        <v>3467</v>
      </c>
      <c r="F336" s="2333" t="s">
        <v>3468</v>
      </c>
      <c r="G336" s="2185" t="s">
        <v>3469</v>
      </c>
      <c r="H336" s="2333"/>
      <c r="I336" s="2334"/>
      <c r="J336" s="2185"/>
      <c r="K336" s="2336"/>
      <c r="L336" s="2335"/>
      <c r="M336" s="1951"/>
      <c r="N336" s="1962"/>
      <c r="O336" s="1961">
        <v>0</v>
      </c>
      <c r="P336" s="1951">
        <v>0</v>
      </c>
      <c r="Q336" s="1960">
        <v>0</v>
      </c>
    </row>
    <row r="337" spans="1:17" ht="12.75" customHeight="1">
      <c r="A337" s="2332" t="s">
        <v>3531</v>
      </c>
      <c r="B337" s="2185" t="s">
        <v>3684</v>
      </c>
      <c r="C337" s="2296" t="s">
        <v>3453</v>
      </c>
      <c r="D337" s="2296"/>
      <c r="E337" s="2333" t="s">
        <v>3467</v>
      </c>
      <c r="F337" s="2333" t="s">
        <v>3468</v>
      </c>
      <c r="G337" s="2185" t="s">
        <v>2676</v>
      </c>
      <c r="H337" s="2333"/>
      <c r="I337" s="2334"/>
      <c r="J337" s="2185"/>
      <c r="K337" s="2336"/>
      <c r="L337" s="2335"/>
      <c r="M337" s="1951"/>
      <c r="N337" s="1962"/>
      <c r="O337" s="1961">
        <v>172592</v>
      </c>
      <c r="P337" s="1951">
        <v>181912</v>
      </c>
      <c r="Q337" s="1960">
        <v>191735</v>
      </c>
    </row>
    <row r="338" spans="1:17" ht="12.75" customHeight="1">
      <c r="A338" s="2332" t="s">
        <v>3558</v>
      </c>
      <c r="B338" s="2185" t="s">
        <v>3685</v>
      </c>
      <c r="C338" s="2296" t="s">
        <v>3453</v>
      </c>
      <c r="D338" s="2296"/>
      <c r="E338" s="2333" t="s">
        <v>3525</v>
      </c>
      <c r="F338" s="2333" t="s">
        <v>3457</v>
      </c>
      <c r="G338" s="2185" t="s">
        <v>3526</v>
      </c>
      <c r="H338" s="2333"/>
      <c r="I338" s="2334"/>
      <c r="J338" s="2185"/>
      <c r="K338" s="2336"/>
      <c r="L338" s="2335"/>
      <c r="M338" s="1951"/>
      <c r="N338" s="1962"/>
      <c r="O338" s="1961">
        <v>2659581</v>
      </c>
      <c r="P338" s="1951">
        <v>2659581</v>
      </c>
      <c r="Q338" s="1960">
        <v>2781922</v>
      </c>
    </row>
    <row r="339" spans="1:17" ht="12.75" customHeight="1">
      <c r="A339" s="2332" t="s">
        <v>3487</v>
      </c>
      <c r="B339" s="2185" t="s">
        <v>3647</v>
      </c>
      <c r="C339" s="2296" t="s">
        <v>3453</v>
      </c>
      <c r="D339" s="2296"/>
      <c r="E339" s="2333" t="s">
        <v>3467</v>
      </c>
      <c r="F339" s="2333" t="s">
        <v>3468</v>
      </c>
      <c r="G339" s="2185" t="s">
        <v>3469</v>
      </c>
      <c r="H339" s="2333"/>
      <c r="I339" s="2334"/>
      <c r="J339" s="2185"/>
      <c r="K339" s="2336"/>
      <c r="L339" s="2335"/>
      <c r="M339" s="1951"/>
      <c r="N339" s="1962"/>
      <c r="O339" s="1961">
        <v>804959</v>
      </c>
      <c r="P339" s="1951">
        <v>841988</v>
      </c>
      <c r="Q339" s="1960">
        <v>880719</v>
      </c>
    </row>
    <row r="340" spans="1:17" ht="12.75" customHeight="1">
      <c r="A340" s="2332" t="s">
        <v>3506</v>
      </c>
      <c r="B340" s="2185" t="s">
        <v>3610</v>
      </c>
      <c r="C340" s="2296" t="s">
        <v>3453</v>
      </c>
      <c r="D340" s="2296"/>
      <c r="E340" s="2333" t="s">
        <v>3456</v>
      </c>
      <c r="F340" s="2333" t="s">
        <v>3457</v>
      </c>
      <c r="G340" s="2185" t="s">
        <v>3461</v>
      </c>
      <c r="H340" s="2333"/>
      <c r="I340" s="2334"/>
      <c r="J340" s="2185"/>
      <c r="K340" s="2336"/>
      <c r="L340" s="2335"/>
      <c r="M340" s="1951"/>
      <c r="N340" s="1962"/>
      <c r="O340" s="1961">
        <v>1028106</v>
      </c>
      <c r="P340" s="1951">
        <v>1075399</v>
      </c>
      <c r="Q340" s="1960">
        <v>1124868</v>
      </c>
    </row>
    <row r="341" spans="1:17" ht="12.75" customHeight="1">
      <c r="A341" s="2332" t="s">
        <v>3563</v>
      </c>
      <c r="B341" s="2185" t="s">
        <v>3659</v>
      </c>
      <c r="C341" s="2296" t="s">
        <v>3453</v>
      </c>
      <c r="D341" s="2296"/>
      <c r="E341" s="2333" t="s">
        <v>3456</v>
      </c>
      <c r="F341" s="2333" t="s">
        <v>3457</v>
      </c>
      <c r="G341" s="2185" t="s">
        <v>3461</v>
      </c>
      <c r="H341" s="2333"/>
      <c r="I341" s="2334"/>
      <c r="J341" s="2185"/>
      <c r="K341" s="2336"/>
      <c r="L341" s="2335"/>
      <c r="M341" s="1951"/>
      <c r="N341" s="1962"/>
      <c r="O341" s="1961">
        <v>11020</v>
      </c>
      <c r="P341" s="1951">
        <v>11527</v>
      </c>
      <c r="Q341" s="1960">
        <v>12058</v>
      </c>
    </row>
    <row r="342" spans="1:17" ht="12.75" customHeight="1">
      <c r="A342" s="2332" t="s">
        <v>3479</v>
      </c>
      <c r="B342" s="2185" t="s">
        <v>3516</v>
      </c>
      <c r="C342" s="2296" t="s">
        <v>3453</v>
      </c>
      <c r="D342" s="2296"/>
      <c r="E342" s="2333" t="s">
        <v>3467</v>
      </c>
      <c r="F342" s="2333" t="s">
        <v>3468</v>
      </c>
      <c r="G342" s="2185" t="s">
        <v>3469</v>
      </c>
      <c r="H342" s="2333"/>
      <c r="I342" s="2334"/>
      <c r="J342" s="2185"/>
      <c r="K342" s="2336"/>
      <c r="L342" s="2335"/>
      <c r="M342" s="1951"/>
      <c r="N342" s="1962"/>
      <c r="O342" s="1961">
        <v>44982</v>
      </c>
      <c r="P342" s="1951">
        <v>47052</v>
      </c>
      <c r="Q342" s="1960">
        <v>49216</v>
      </c>
    </row>
    <row r="343" spans="1:17" ht="12.75" customHeight="1">
      <c r="A343" s="2332" t="s">
        <v>3490</v>
      </c>
      <c r="B343" s="2185" t="s">
        <v>3493</v>
      </c>
      <c r="C343" s="2296" t="s">
        <v>3453</v>
      </c>
      <c r="D343" s="2296"/>
      <c r="E343" s="2333" t="s">
        <v>3467</v>
      </c>
      <c r="F343" s="2333" t="s">
        <v>3468</v>
      </c>
      <c r="G343" s="2185" t="s">
        <v>3469</v>
      </c>
      <c r="H343" s="2333"/>
      <c r="I343" s="2334"/>
      <c r="J343" s="2185"/>
      <c r="K343" s="2336"/>
      <c r="L343" s="2335"/>
      <c r="M343" s="1951"/>
      <c r="N343" s="1962"/>
      <c r="O343" s="1961">
        <v>1347506</v>
      </c>
      <c r="P343" s="1951">
        <v>1409492</v>
      </c>
      <c r="Q343" s="1960">
        <v>1474328</v>
      </c>
    </row>
    <row r="344" spans="1:17" ht="12.75" customHeight="1">
      <c r="A344" s="2332" t="s">
        <v>3487</v>
      </c>
      <c r="B344" s="2185" t="s">
        <v>3488</v>
      </c>
      <c r="C344" s="2296" t="s">
        <v>3453</v>
      </c>
      <c r="D344" s="2296"/>
      <c r="E344" s="2333" t="s">
        <v>3467</v>
      </c>
      <c r="F344" s="2333" t="s">
        <v>3468</v>
      </c>
      <c r="G344" s="2185" t="s">
        <v>3469</v>
      </c>
      <c r="H344" s="2333"/>
      <c r="I344" s="2334"/>
      <c r="J344" s="2185"/>
      <c r="K344" s="2336"/>
      <c r="L344" s="2335"/>
      <c r="M344" s="1951"/>
      <c r="N344" s="1962"/>
      <c r="O344" s="1961">
        <v>70000</v>
      </c>
      <c r="P344" s="1951">
        <v>73220</v>
      </c>
      <c r="Q344" s="1960">
        <v>76589</v>
      </c>
    </row>
    <row r="345" spans="1:17" ht="12.75" customHeight="1">
      <c r="A345" s="2332" t="s">
        <v>3531</v>
      </c>
      <c r="B345" s="2185" t="s">
        <v>3532</v>
      </c>
      <c r="C345" s="2296" t="s">
        <v>3453</v>
      </c>
      <c r="D345" s="2296"/>
      <c r="E345" s="2333" t="s">
        <v>3467</v>
      </c>
      <c r="F345" s="2333" t="s">
        <v>3468</v>
      </c>
      <c r="G345" s="2185" t="s">
        <v>3469</v>
      </c>
      <c r="H345" s="2333"/>
      <c r="I345" s="2334"/>
      <c r="J345" s="2185"/>
      <c r="K345" s="2336"/>
      <c r="L345" s="2335"/>
      <c r="M345" s="1951"/>
      <c r="N345" s="1962"/>
      <c r="O345" s="1961">
        <v>0</v>
      </c>
      <c r="P345" s="1951">
        <v>0</v>
      </c>
      <c r="Q345" s="1960">
        <v>0</v>
      </c>
    </row>
    <row r="346" spans="1:17" ht="12.75" customHeight="1">
      <c r="A346" s="2332" t="s">
        <v>3451</v>
      </c>
      <c r="B346" s="2185" t="s">
        <v>3452</v>
      </c>
      <c r="C346" s="2296" t="s">
        <v>3453</v>
      </c>
      <c r="D346" s="2296"/>
      <c r="E346" s="2333" t="s">
        <v>3467</v>
      </c>
      <c r="F346" s="2333" t="s">
        <v>3468</v>
      </c>
      <c r="G346" s="2185" t="s">
        <v>3469</v>
      </c>
      <c r="H346" s="2333"/>
      <c r="I346" s="2334"/>
      <c r="J346" s="2185"/>
      <c r="K346" s="2336"/>
      <c r="L346" s="2335"/>
      <c r="M346" s="1951"/>
      <c r="N346" s="1962"/>
      <c r="O346" s="1961">
        <v>20069</v>
      </c>
      <c r="P346" s="1951">
        <v>20993</v>
      </c>
      <c r="Q346" s="1960">
        <v>21958</v>
      </c>
    </row>
    <row r="347" spans="1:17" ht="12.75" customHeight="1">
      <c r="A347" s="2332" t="s">
        <v>3473</v>
      </c>
      <c r="B347" s="2185" t="s">
        <v>3552</v>
      </c>
      <c r="C347" s="2296" t="s">
        <v>3453</v>
      </c>
      <c r="D347" s="2296"/>
      <c r="E347" s="2333" t="s">
        <v>3467</v>
      </c>
      <c r="F347" s="2333" t="s">
        <v>3468</v>
      </c>
      <c r="G347" s="2185" t="s">
        <v>3469</v>
      </c>
      <c r="H347" s="2333"/>
      <c r="I347" s="2334"/>
      <c r="J347" s="2185"/>
      <c r="K347" s="2336"/>
      <c r="L347" s="2335"/>
      <c r="M347" s="1951"/>
      <c r="N347" s="1962"/>
      <c r="O347" s="1961">
        <v>219163</v>
      </c>
      <c r="P347" s="1951">
        <v>229245</v>
      </c>
      <c r="Q347" s="1960">
        <v>239790</v>
      </c>
    </row>
    <row r="348" spans="1:17" ht="12.75" customHeight="1">
      <c r="A348" s="2332" t="s">
        <v>3464</v>
      </c>
      <c r="B348" s="2185" t="s">
        <v>3630</v>
      </c>
      <c r="C348" s="2296" t="s">
        <v>3453</v>
      </c>
      <c r="D348" s="2296"/>
      <c r="E348" s="2333" t="s">
        <v>3467</v>
      </c>
      <c r="F348" s="2333" t="s">
        <v>3468</v>
      </c>
      <c r="G348" s="2185" t="s">
        <v>3469</v>
      </c>
      <c r="H348" s="2333"/>
      <c r="I348" s="2334"/>
      <c r="J348" s="2185"/>
      <c r="K348" s="2336"/>
      <c r="L348" s="2335"/>
      <c r="M348" s="1951"/>
      <c r="N348" s="1962"/>
      <c r="O348" s="1961">
        <v>11667</v>
      </c>
      <c r="P348" s="1951">
        <v>12204</v>
      </c>
      <c r="Q348" s="1960">
        <v>12766</v>
      </c>
    </row>
    <row r="349" spans="1:17" ht="12.75" customHeight="1">
      <c r="A349" s="2332" t="s">
        <v>3477</v>
      </c>
      <c r="B349" s="2185" t="s">
        <v>3575</v>
      </c>
      <c r="C349" s="2296" t="s">
        <v>3453</v>
      </c>
      <c r="D349" s="2296"/>
      <c r="E349" s="2333" t="s">
        <v>3467</v>
      </c>
      <c r="F349" s="2333" t="s">
        <v>3468</v>
      </c>
      <c r="G349" s="2185" t="s">
        <v>3469</v>
      </c>
      <c r="H349" s="2333"/>
      <c r="I349" s="2334"/>
      <c r="J349" s="2185"/>
      <c r="K349" s="2336"/>
      <c r="L349" s="2335"/>
      <c r="M349" s="1951"/>
      <c r="N349" s="1962"/>
      <c r="O349" s="1961">
        <v>51752</v>
      </c>
      <c r="P349" s="1951">
        <v>54133</v>
      </c>
      <c r="Q349" s="1960">
        <v>56623</v>
      </c>
    </row>
    <row r="350" spans="1:17" ht="12.75" customHeight="1">
      <c r="A350" s="2332" t="s">
        <v>3483</v>
      </c>
      <c r="B350" s="2185" t="s">
        <v>3583</v>
      </c>
      <c r="C350" s="2296" t="s">
        <v>3453</v>
      </c>
      <c r="D350" s="2296"/>
      <c r="E350" s="2333" t="s">
        <v>3467</v>
      </c>
      <c r="F350" s="2333" t="s">
        <v>3468</v>
      </c>
      <c r="G350" s="2185" t="s">
        <v>3469</v>
      </c>
      <c r="H350" s="2333"/>
      <c r="I350" s="2334"/>
      <c r="J350" s="2185"/>
      <c r="K350" s="2336"/>
      <c r="L350" s="2335"/>
      <c r="M350" s="1951"/>
      <c r="N350" s="1962"/>
      <c r="O350" s="1961">
        <v>4216</v>
      </c>
      <c r="P350" s="1951">
        <v>4410</v>
      </c>
      <c r="Q350" s="1960">
        <v>4613</v>
      </c>
    </row>
    <row r="351" spans="1:17" ht="12.75" customHeight="1">
      <c r="A351" s="2332" t="s">
        <v>3490</v>
      </c>
      <c r="B351" s="2185" t="s">
        <v>3494</v>
      </c>
      <c r="C351" s="2296" t="s">
        <v>3453</v>
      </c>
      <c r="D351" s="2296"/>
      <c r="E351" s="2333" t="s">
        <v>3467</v>
      </c>
      <c r="F351" s="2333" t="s">
        <v>3468</v>
      </c>
      <c r="G351" s="2185" t="s">
        <v>3469</v>
      </c>
      <c r="H351" s="2333"/>
      <c r="I351" s="2334"/>
      <c r="J351" s="2185"/>
      <c r="K351" s="2336"/>
      <c r="L351" s="2335"/>
      <c r="M351" s="1951"/>
      <c r="N351" s="1962"/>
      <c r="O351" s="1961">
        <v>137516</v>
      </c>
      <c r="P351" s="1951">
        <v>143842</v>
      </c>
      <c r="Q351" s="1960">
        <v>150459</v>
      </c>
    </row>
    <row r="352" spans="1:17" ht="12.75" customHeight="1">
      <c r="A352" s="2332" t="s">
        <v>3531</v>
      </c>
      <c r="B352" s="2185" t="s">
        <v>3532</v>
      </c>
      <c r="C352" s="2296" t="s">
        <v>3453</v>
      </c>
      <c r="D352" s="2296"/>
      <c r="E352" s="2333" t="s">
        <v>3467</v>
      </c>
      <c r="F352" s="2333" t="s">
        <v>3468</v>
      </c>
      <c r="G352" s="2185" t="s">
        <v>3469</v>
      </c>
      <c r="H352" s="2333"/>
      <c r="I352" s="2334"/>
      <c r="J352" s="2185"/>
      <c r="K352" s="2336"/>
      <c r="L352" s="2335"/>
      <c r="M352" s="1951"/>
      <c r="N352" s="1962"/>
      <c r="O352" s="1961">
        <v>0</v>
      </c>
      <c r="P352" s="1951">
        <v>0</v>
      </c>
      <c r="Q352" s="1960">
        <v>0</v>
      </c>
    </row>
    <row r="353" spans="1:17" ht="12.75" customHeight="1">
      <c r="A353" s="2332" t="s">
        <v>3454</v>
      </c>
      <c r="B353" s="2185" t="s">
        <v>3545</v>
      </c>
      <c r="C353" s="2296" t="s">
        <v>3453</v>
      </c>
      <c r="D353" s="2296"/>
      <c r="E353" s="2333" t="s">
        <v>3467</v>
      </c>
      <c r="F353" s="2333" t="s">
        <v>3468</v>
      </c>
      <c r="G353" s="2185" t="s">
        <v>3469</v>
      </c>
      <c r="H353" s="2333"/>
      <c r="I353" s="2334"/>
      <c r="J353" s="2185"/>
      <c r="K353" s="2336"/>
      <c r="L353" s="2335"/>
      <c r="M353" s="1951"/>
      <c r="N353" s="1962"/>
      <c r="O353" s="1961">
        <v>0</v>
      </c>
      <c r="P353" s="1951">
        <v>0</v>
      </c>
      <c r="Q353" s="1960">
        <v>0</v>
      </c>
    </row>
    <row r="354" spans="1:17" ht="12.75" customHeight="1">
      <c r="A354" s="2332" t="s">
        <v>3451</v>
      </c>
      <c r="B354" s="2185" t="s">
        <v>3671</v>
      </c>
      <c r="C354" s="2296" t="s">
        <v>3453</v>
      </c>
      <c r="D354" s="2296"/>
      <c r="E354" s="2333" t="s">
        <v>3467</v>
      </c>
      <c r="F354" s="2333" t="s">
        <v>3468</v>
      </c>
      <c r="G354" s="2185" t="s">
        <v>3469</v>
      </c>
      <c r="H354" s="2333"/>
      <c r="I354" s="2334"/>
      <c r="J354" s="2185"/>
      <c r="K354" s="2336"/>
      <c r="L354" s="2335"/>
      <c r="M354" s="1951"/>
      <c r="N354" s="1962"/>
      <c r="O354" s="1961">
        <v>21406</v>
      </c>
      <c r="P354" s="1951">
        <v>22391</v>
      </c>
      <c r="Q354" s="1960">
        <v>23421</v>
      </c>
    </row>
    <row r="355" spans="1:17" ht="12.75" customHeight="1">
      <c r="A355" s="2332" t="s">
        <v>3490</v>
      </c>
      <c r="B355" s="2185" t="s">
        <v>3686</v>
      </c>
      <c r="C355" s="2296" t="s">
        <v>3687</v>
      </c>
      <c r="D355" s="2296"/>
      <c r="E355" s="2333" t="s">
        <v>3467</v>
      </c>
      <c r="F355" s="2333" t="s">
        <v>3468</v>
      </c>
      <c r="G355" s="2185" t="s">
        <v>3469</v>
      </c>
      <c r="H355" s="2333"/>
      <c r="I355" s="2334"/>
      <c r="J355" s="2185"/>
      <c r="K355" s="2336"/>
      <c r="L355" s="2335"/>
      <c r="M355" s="1951"/>
      <c r="N355" s="1962"/>
      <c r="O355" s="1961">
        <v>4148000</v>
      </c>
      <c r="P355" s="1951">
        <v>4338808</v>
      </c>
      <c r="Q355" s="1960">
        <v>4538394</v>
      </c>
    </row>
    <row r="356" spans="1:17" ht="12.75" customHeight="1">
      <c r="A356" s="2332" t="s">
        <v>3572</v>
      </c>
      <c r="B356" s="2185" t="s">
        <v>3688</v>
      </c>
      <c r="C356" s="2296" t="s">
        <v>3453</v>
      </c>
      <c r="D356" s="2296"/>
      <c r="E356" s="2333" t="s">
        <v>3467</v>
      </c>
      <c r="F356" s="2333" t="s">
        <v>3468</v>
      </c>
      <c r="G356" s="2185" t="s">
        <v>3469</v>
      </c>
      <c r="H356" s="2333"/>
      <c r="I356" s="2334"/>
      <c r="J356" s="2185"/>
      <c r="K356" s="2336"/>
      <c r="L356" s="2335"/>
      <c r="M356" s="1951"/>
      <c r="N356" s="1962"/>
      <c r="O356" s="1961">
        <v>127263</v>
      </c>
      <c r="P356" s="1951">
        <v>133118</v>
      </c>
      <c r="Q356" s="1960">
        <v>139241</v>
      </c>
    </row>
    <row r="357" spans="1:17" ht="12.75" customHeight="1">
      <c r="A357" s="2332" t="s">
        <v>3464</v>
      </c>
      <c r="B357" s="2185" t="s">
        <v>3689</v>
      </c>
      <c r="C357" s="2296" t="s">
        <v>3453</v>
      </c>
      <c r="D357" s="2296"/>
      <c r="E357" s="2333" t="s">
        <v>3467</v>
      </c>
      <c r="F357" s="2333" t="s">
        <v>3468</v>
      </c>
      <c r="G357" s="2185" t="s">
        <v>3469</v>
      </c>
      <c r="H357" s="2333"/>
      <c r="I357" s="2334"/>
      <c r="J357" s="2185"/>
      <c r="K357" s="2336"/>
      <c r="L357" s="2335"/>
      <c r="M357" s="1951"/>
      <c r="N357" s="1962"/>
      <c r="O357" s="1961">
        <v>46873</v>
      </c>
      <c r="P357" s="1951">
        <v>49030</v>
      </c>
      <c r="Q357" s="1960">
        <v>51285</v>
      </c>
    </row>
    <row r="358" spans="1:17" ht="12.75" customHeight="1">
      <c r="A358" s="2332" t="s">
        <v>3477</v>
      </c>
      <c r="B358" s="2185" t="s">
        <v>3575</v>
      </c>
      <c r="C358" s="2296" t="s">
        <v>3453</v>
      </c>
      <c r="D358" s="2296"/>
      <c r="E358" s="2333" t="s">
        <v>3467</v>
      </c>
      <c r="F358" s="2333" t="s">
        <v>3468</v>
      </c>
      <c r="G358" s="2185" t="s">
        <v>3469</v>
      </c>
      <c r="H358" s="2333"/>
      <c r="I358" s="2334"/>
      <c r="J358" s="2185"/>
      <c r="K358" s="2336"/>
      <c r="L358" s="2335"/>
      <c r="M358" s="1951"/>
      <c r="N358" s="1962"/>
      <c r="O358" s="1961">
        <v>20364</v>
      </c>
      <c r="P358" s="1951">
        <v>21301</v>
      </c>
      <c r="Q358" s="1960">
        <v>22281</v>
      </c>
    </row>
    <row r="359" spans="1:17" ht="12.75" customHeight="1">
      <c r="A359" s="2332" t="s">
        <v>3490</v>
      </c>
      <c r="B359" s="2185" t="s">
        <v>3493</v>
      </c>
      <c r="C359" s="2296" t="s">
        <v>3453</v>
      </c>
      <c r="D359" s="2296"/>
      <c r="E359" s="2333" t="s">
        <v>3467</v>
      </c>
      <c r="F359" s="2333" t="s">
        <v>3468</v>
      </c>
      <c r="G359" s="2185" t="s">
        <v>3469</v>
      </c>
      <c r="H359" s="2333"/>
      <c r="I359" s="2334"/>
      <c r="J359" s="2185"/>
      <c r="K359" s="2336"/>
      <c r="L359" s="2335"/>
      <c r="M359" s="1951"/>
      <c r="N359" s="1962"/>
      <c r="O359" s="1961">
        <v>0</v>
      </c>
      <c r="P359" s="1951">
        <v>0</v>
      </c>
      <c r="Q359" s="1960">
        <v>0</v>
      </c>
    </row>
    <row r="360" spans="1:17" ht="12.75" customHeight="1">
      <c r="A360" s="2332" t="s">
        <v>3538</v>
      </c>
      <c r="B360" s="2185" t="s">
        <v>3539</v>
      </c>
      <c r="C360" s="2296" t="s">
        <v>3453</v>
      </c>
      <c r="D360" s="2296"/>
      <c r="E360" s="2333" t="s">
        <v>3467</v>
      </c>
      <c r="F360" s="2333" t="s">
        <v>3468</v>
      </c>
      <c r="G360" s="2185" t="s">
        <v>3469</v>
      </c>
      <c r="H360" s="2333"/>
      <c r="I360" s="2334"/>
      <c r="J360" s="2185"/>
      <c r="K360" s="2336"/>
      <c r="L360" s="2335"/>
      <c r="M360" s="1951"/>
      <c r="N360" s="1962"/>
      <c r="O360" s="1961">
        <v>1437</v>
      </c>
      <c r="P360" s="1951">
        <v>1504</v>
      </c>
      <c r="Q360" s="1960">
        <v>1573</v>
      </c>
    </row>
    <row r="361" spans="1:17" ht="12.75" customHeight="1">
      <c r="A361" s="2332" t="s">
        <v>3454</v>
      </c>
      <c r="B361" s="2185" t="s">
        <v>3545</v>
      </c>
      <c r="C361" s="2296" t="s">
        <v>3453</v>
      </c>
      <c r="D361" s="2296"/>
      <c r="E361" s="2333" t="s">
        <v>3467</v>
      </c>
      <c r="F361" s="2333" t="s">
        <v>3468</v>
      </c>
      <c r="G361" s="2185" t="s">
        <v>3469</v>
      </c>
      <c r="H361" s="2333"/>
      <c r="I361" s="2334"/>
      <c r="J361" s="2185"/>
      <c r="K361" s="2336"/>
      <c r="L361" s="2335"/>
      <c r="M361" s="1951"/>
      <c r="N361" s="1962"/>
      <c r="O361" s="1961">
        <v>0</v>
      </c>
      <c r="P361" s="1951">
        <v>0</v>
      </c>
      <c r="Q361" s="1960">
        <v>0</v>
      </c>
    </row>
    <row r="362" spans="1:17" ht="12.75" customHeight="1">
      <c r="A362" s="2332" t="s">
        <v>3459</v>
      </c>
      <c r="B362" s="2185" t="s">
        <v>3619</v>
      </c>
      <c r="C362" s="2296" t="s">
        <v>3453</v>
      </c>
      <c r="D362" s="2296"/>
      <c r="E362" s="2333" t="s">
        <v>3467</v>
      </c>
      <c r="F362" s="2333" t="s">
        <v>3468</v>
      </c>
      <c r="G362" s="2185" t="s">
        <v>3469</v>
      </c>
      <c r="H362" s="2333"/>
      <c r="I362" s="2334"/>
      <c r="J362" s="2185"/>
      <c r="K362" s="2336"/>
      <c r="L362" s="2335"/>
      <c r="M362" s="1951"/>
      <c r="N362" s="1962"/>
      <c r="O362" s="1961">
        <v>0</v>
      </c>
      <c r="P362" s="1951">
        <v>0</v>
      </c>
      <c r="Q362" s="1960">
        <v>0</v>
      </c>
    </row>
    <row r="363" spans="1:17" ht="12.75" customHeight="1">
      <c r="A363" s="2332" t="s">
        <v>3464</v>
      </c>
      <c r="B363" s="2185" t="s">
        <v>3690</v>
      </c>
      <c r="C363" s="2296" t="s">
        <v>3453</v>
      </c>
      <c r="D363" s="2296"/>
      <c r="E363" s="2333" t="s">
        <v>3467</v>
      </c>
      <c r="F363" s="2333" t="s">
        <v>3468</v>
      </c>
      <c r="G363" s="2185" t="s">
        <v>3469</v>
      </c>
      <c r="H363" s="2333"/>
      <c r="I363" s="2334"/>
      <c r="J363" s="2185"/>
      <c r="K363" s="2336"/>
      <c r="L363" s="2335"/>
      <c r="M363" s="1951"/>
      <c r="N363" s="1962"/>
      <c r="O363" s="1961">
        <v>25000</v>
      </c>
      <c r="P363" s="1951">
        <v>26150</v>
      </c>
      <c r="Q363" s="1960">
        <v>27353</v>
      </c>
    </row>
    <row r="364" spans="1:17" ht="12.75" customHeight="1">
      <c r="A364" s="2332" t="s">
        <v>3499</v>
      </c>
      <c r="B364" s="2185" t="s">
        <v>3589</v>
      </c>
      <c r="C364" s="2296" t="s">
        <v>3453</v>
      </c>
      <c r="D364" s="2296"/>
      <c r="E364" s="2333" t="s">
        <v>3467</v>
      </c>
      <c r="F364" s="2333" t="s">
        <v>3468</v>
      </c>
      <c r="G364" s="2185" t="s">
        <v>3469</v>
      </c>
      <c r="H364" s="2333"/>
      <c r="I364" s="2334"/>
      <c r="J364" s="2185"/>
      <c r="K364" s="2336"/>
      <c r="L364" s="2335"/>
      <c r="M364" s="1951"/>
      <c r="N364" s="1962"/>
      <c r="O364" s="1961">
        <v>517804</v>
      </c>
      <c r="P364" s="1951">
        <v>541623</v>
      </c>
      <c r="Q364" s="1960">
        <v>566538</v>
      </c>
    </row>
    <row r="365" spans="1:17" ht="12.75" customHeight="1">
      <c r="A365" s="2332" t="s">
        <v>3485</v>
      </c>
      <c r="B365" s="2185" t="s">
        <v>3691</v>
      </c>
      <c r="C365" s="2296" t="s">
        <v>3463</v>
      </c>
      <c r="D365" s="2296"/>
      <c r="E365" s="2333" t="s">
        <v>3467</v>
      </c>
      <c r="F365" s="2333" t="s">
        <v>3468</v>
      </c>
      <c r="G365" s="2185" t="s">
        <v>3469</v>
      </c>
      <c r="H365" s="2333"/>
      <c r="I365" s="2334"/>
      <c r="J365" s="2185"/>
      <c r="K365" s="2336"/>
      <c r="L365" s="2335"/>
      <c r="M365" s="1951"/>
      <c r="N365" s="1962"/>
      <c r="O365" s="1961">
        <v>33500</v>
      </c>
      <c r="P365" s="1951">
        <v>35041</v>
      </c>
      <c r="Q365" s="1960">
        <v>36653</v>
      </c>
    </row>
    <row r="366" spans="1:17" ht="12.75" customHeight="1">
      <c r="A366" s="2332" t="s">
        <v>3473</v>
      </c>
      <c r="B366" s="2185" t="s">
        <v>3474</v>
      </c>
      <c r="C366" s="2296" t="s">
        <v>3453</v>
      </c>
      <c r="D366" s="2296"/>
      <c r="E366" s="2333" t="s">
        <v>3467</v>
      </c>
      <c r="F366" s="2333" t="s">
        <v>3468</v>
      </c>
      <c r="G366" s="2185" t="s">
        <v>3469</v>
      </c>
      <c r="H366" s="2333"/>
      <c r="I366" s="2334"/>
      <c r="J366" s="2185"/>
      <c r="K366" s="2336"/>
      <c r="L366" s="2335"/>
      <c r="M366" s="1951"/>
      <c r="N366" s="1962"/>
      <c r="O366" s="1961">
        <v>15000</v>
      </c>
      <c r="P366" s="1951">
        <v>15690</v>
      </c>
      <c r="Q366" s="1960">
        <v>16412</v>
      </c>
    </row>
    <row r="367" spans="1:17" ht="12.75" customHeight="1">
      <c r="A367" s="2332" t="s">
        <v>3490</v>
      </c>
      <c r="B367" s="2185" t="s">
        <v>3692</v>
      </c>
      <c r="C367" s="2296" t="s">
        <v>3615</v>
      </c>
      <c r="D367" s="2296"/>
      <c r="E367" s="2333" t="s">
        <v>3467</v>
      </c>
      <c r="F367" s="2333" t="s">
        <v>3468</v>
      </c>
      <c r="G367" s="2185" t="s">
        <v>3469</v>
      </c>
      <c r="H367" s="2333"/>
      <c r="I367" s="2334"/>
      <c r="J367" s="2185"/>
      <c r="K367" s="2336"/>
      <c r="L367" s="2335"/>
      <c r="M367" s="1951"/>
      <c r="N367" s="1962"/>
      <c r="O367" s="1961">
        <v>0</v>
      </c>
      <c r="P367" s="1951">
        <v>0</v>
      </c>
      <c r="Q367" s="1960">
        <v>1</v>
      </c>
    </row>
    <row r="368" spans="1:17" ht="12.75" customHeight="1">
      <c r="A368" s="2332" t="s">
        <v>3490</v>
      </c>
      <c r="B368" s="2185" t="s">
        <v>3693</v>
      </c>
      <c r="C368" s="2296" t="s">
        <v>3453</v>
      </c>
      <c r="D368" s="2296"/>
      <c r="E368" s="2333" t="s">
        <v>3467</v>
      </c>
      <c r="F368" s="2333" t="s">
        <v>3468</v>
      </c>
      <c r="G368" s="2185" t="s">
        <v>3469</v>
      </c>
      <c r="H368" s="2333"/>
      <c r="I368" s="2334"/>
      <c r="J368" s="2185"/>
      <c r="K368" s="2336"/>
      <c r="L368" s="2335"/>
      <c r="M368" s="1951"/>
      <c r="N368" s="1962"/>
      <c r="O368" s="1961">
        <v>17087</v>
      </c>
      <c r="P368" s="1951">
        <v>17874</v>
      </c>
      <c r="Q368" s="1960">
        <v>18696</v>
      </c>
    </row>
    <row r="369" spans="1:17" ht="12.75" customHeight="1">
      <c r="A369" s="2332" t="s">
        <v>3485</v>
      </c>
      <c r="B369" s="2185" t="s">
        <v>3486</v>
      </c>
      <c r="C369" s="2296" t="s">
        <v>3453</v>
      </c>
      <c r="D369" s="2296"/>
      <c r="E369" s="2333" t="s">
        <v>3467</v>
      </c>
      <c r="F369" s="2333" t="s">
        <v>3468</v>
      </c>
      <c r="G369" s="2185" t="s">
        <v>3469</v>
      </c>
      <c r="H369" s="2333"/>
      <c r="I369" s="2334"/>
      <c r="J369" s="2185"/>
      <c r="K369" s="2336"/>
      <c r="L369" s="2335"/>
      <c r="M369" s="1951"/>
      <c r="N369" s="1962"/>
      <c r="O369" s="1961">
        <v>150797</v>
      </c>
      <c r="P369" s="1951">
        <v>157734</v>
      </c>
      <c r="Q369" s="1960">
        <v>164990</v>
      </c>
    </row>
    <row r="370" spans="1:17" ht="12.75" customHeight="1">
      <c r="A370" s="2332" t="s">
        <v>3576</v>
      </c>
      <c r="B370" s="2185" t="s">
        <v>3596</v>
      </c>
      <c r="C370" s="2296" t="s">
        <v>3453</v>
      </c>
      <c r="D370" s="2296"/>
      <c r="E370" s="2333" t="s">
        <v>3467</v>
      </c>
      <c r="F370" s="2333" t="s">
        <v>3468</v>
      </c>
      <c r="G370" s="2185" t="s">
        <v>3469</v>
      </c>
      <c r="H370" s="2333"/>
      <c r="I370" s="2334"/>
      <c r="J370" s="2185"/>
      <c r="K370" s="2336"/>
      <c r="L370" s="2335"/>
      <c r="M370" s="1951"/>
      <c r="N370" s="1962"/>
      <c r="O370" s="1961">
        <v>62329</v>
      </c>
      <c r="P370" s="1951">
        <v>65197</v>
      </c>
      <c r="Q370" s="1960">
        <v>68196</v>
      </c>
    </row>
    <row r="371" spans="1:17" ht="12.75" customHeight="1">
      <c r="A371" s="2332" t="s">
        <v>3510</v>
      </c>
      <c r="B371" s="2185" t="s">
        <v>3642</v>
      </c>
      <c r="C371" s="2296" t="s">
        <v>3453</v>
      </c>
      <c r="D371" s="2296"/>
      <c r="E371" s="2333" t="s">
        <v>3467</v>
      </c>
      <c r="F371" s="2333" t="s">
        <v>3468</v>
      </c>
      <c r="G371" s="2185" t="s">
        <v>3469</v>
      </c>
      <c r="H371" s="2333"/>
      <c r="I371" s="2334"/>
      <c r="J371" s="2185"/>
      <c r="K371" s="2336"/>
      <c r="L371" s="2335"/>
      <c r="M371" s="1951"/>
      <c r="N371" s="1962"/>
      <c r="O371" s="1961">
        <v>1319244</v>
      </c>
      <c r="P371" s="1951">
        <v>1379930</v>
      </c>
      <c r="Q371" s="1960">
        <v>1443406</v>
      </c>
    </row>
    <row r="372" spans="1:17" ht="12.75" customHeight="1">
      <c r="A372" s="2332" t="s">
        <v>3508</v>
      </c>
      <c r="B372" s="2185" t="s">
        <v>3694</v>
      </c>
      <c r="C372" s="2296" t="s">
        <v>3453</v>
      </c>
      <c r="D372" s="2296"/>
      <c r="E372" s="2333" t="s">
        <v>3467</v>
      </c>
      <c r="F372" s="2333" t="s">
        <v>3468</v>
      </c>
      <c r="G372" s="2185" t="s">
        <v>3469</v>
      </c>
      <c r="H372" s="2333"/>
      <c r="I372" s="2334"/>
      <c r="J372" s="2185"/>
      <c r="K372" s="2336"/>
      <c r="L372" s="2335"/>
      <c r="M372" s="1951"/>
      <c r="N372" s="1962"/>
      <c r="O372" s="1961">
        <v>0</v>
      </c>
      <c r="P372" s="1951">
        <v>0</v>
      </c>
      <c r="Q372" s="1960">
        <v>0</v>
      </c>
    </row>
    <row r="373" spans="1:17" ht="12.75" customHeight="1">
      <c r="A373" s="2332" t="s">
        <v>3454</v>
      </c>
      <c r="B373" s="2185" t="s">
        <v>3695</v>
      </c>
      <c r="C373" s="2296" t="s">
        <v>3453</v>
      </c>
      <c r="D373" s="2296"/>
      <c r="E373" s="2333" t="s">
        <v>3467</v>
      </c>
      <c r="F373" s="2333" t="s">
        <v>3468</v>
      </c>
      <c r="G373" s="2185" t="s">
        <v>3469</v>
      </c>
      <c r="H373" s="2333"/>
      <c r="I373" s="2334"/>
      <c r="J373" s="2185"/>
      <c r="K373" s="2336"/>
      <c r="L373" s="2335"/>
      <c r="M373" s="1951"/>
      <c r="N373" s="1962"/>
      <c r="O373" s="1961">
        <v>41123</v>
      </c>
      <c r="P373" s="1951">
        <v>43015</v>
      </c>
      <c r="Q373" s="1960">
        <v>44994</v>
      </c>
    </row>
    <row r="374" spans="1:17" ht="12.75" customHeight="1">
      <c r="A374" s="2332" t="s">
        <v>3464</v>
      </c>
      <c r="B374" s="2185" t="s">
        <v>3476</v>
      </c>
      <c r="C374" s="2296" t="s">
        <v>3453</v>
      </c>
      <c r="D374" s="2296"/>
      <c r="E374" s="2333" t="s">
        <v>3467</v>
      </c>
      <c r="F374" s="2333" t="s">
        <v>3468</v>
      </c>
      <c r="G374" s="2185" t="s">
        <v>3469</v>
      </c>
      <c r="H374" s="2333"/>
      <c r="I374" s="2334"/>
      <c r="J374" s="2185"/>
      <c r="K374" s="2336"/>
      <c r="L374" s="2335"/>
      <c r="M374" s="1951"/>
      <c r="N374" s="1962"/>
      <c r="O374" s="1961">
        <v>42133</v>
      </c>
      <c r="P374" s="1951">
        <v>44072</v>
      </c>
      <c r="Q374" s="1960">
        <v>46099</v>
      </c>
    </row>
    <row r="375" spans="1:17" ht="12.75" customHeight="1">
      <c r="A375" s="2332" t="s">
        <v>3464</v>
      </c>
      <c r="B375" s="2185" t="s">
        <v>3632</v>
      </c>
      <c r="C375" s="2296" t="s">
        <v>3453</v>
      </c>
      <c r="D375" s="2296"/>
      <c r="E375" s="2333" t="s">
        <v>3467</v>
      </c>
      <c r="F375" s="2333" t="s">
        <v>3468</v>
      </c>
      <c r="G375" s="2185" t="s">
        <v>3469</v>
      </c>
      <c r="H375" s="2333"/>
      <c r="I375" s="2334"/>
      <c r="J375" s="2185"/>
      <c r="K375" s="2336"/>
      <c r="L375" s="2335"/>
      <c r="M375" s="1951"/>
      <c r="N375" s="1962"/>
      <c r="O375" s="1961">
        <v>562034</v>
      </c>
      <c r="P375" s="1951">
        <v>587888</v>
      </c>
      <c r="Q375" s="1960">
        <v>614931</v>
      </c>
    </row>
    <row r="376" spans="1:17" ht="12.75" customHeight="1">
      <c r="A376" s="2332" t="s">
        <v>3576</v>
      </c>
      <c r="B376" s="2185" t="s">
        <v>3596</v>
      </c>
      <c r="C376" s="2296" t="s">
        <v>3453</v>
      </c>
      <c r="D376" s="2296"/>
      <c r="E376" s="2333" t="s">
        <v>3467</v>
      </c>
      <c r="F376" s="2333" t="s">
        <v>3468</v>
      </c>
      <c r="G376" s="2185" t="s">
        <v>3469</v>
      </c>
      <c r="H376" s="2333"/>
      <c r="I376" s="2334"/>
      <c r="J376" s="2185"/>
      <c r="K376" s="2336"/>
      <c r="L376" s="2335"/>
      <c r="M376" s="1951"/>
      <c r="N376" s="1962"/>
      <c r="O376" s="1961">
        <v>47423</v>
      </c>
      <c r="P376" s="1951">
        <v>49605</v>
      </c>
      <c r="Q376" s="1960">
        <v>51887</v>
      </c>
    </row>
    <row r="377" spans="1:17" ht="12.75" customHeight="1">
      <c r="A377" s="2332" t="s">
        <v>3490</v>
      </c>
      <c r="B377" s="2185" t="s">
        <v>3607</v>
      </c>
      <c r="C377" s="2296" t="s">
        <v>3453</v>
      </c>
      <c r="D377" s="2296"/>
      <c r="E377" s="2333" t="s">
        <v>3467</v>
      </c>
      <c r="F377" s="2333" t="s">
        <v>3468</v>
      </c>
      <c r="G377" s="2185" t="s">
        <v>3469</v>
      </c>
      <c r="H377" s="2333"/>
      <c r="I377" s="2334"/>
      <c r="J377" s="2185"/>
      <c r="K377" s="2336"/>
      <c r="L377" s="2335"/>
      <c r="M377" s="1951"/>
      <c r="N377" s="1962"/>
      <c r="O377" s="1961">
        <v>97322</v>
      </c>
      <c r="P377" s="1951">
        <v>101799</v>
      </c>
      <c r="Q377" s="1960">
        <v>106482</v>
      </c>
    </row>
    <row r="378" spans="1:17" ht="12.75" customHeight="1">
      <c r="A378" s="2332" t="s">
        <v>3470</v>
      </c>
      <c r="B378" s="2185" t="s">
        <v>3554</v>
      </c>
      <c r="C378" s="2296" t="s">
        <v>3453</v>
      </c>
      <c r="D378" s="2296"/>
      <c r="E378" s="2333" t="s">
        <v>3467</v>
      </c>
      <c r="F378" s="2333" t="s">
        <v>3468</v>
      </c>
      <c r="G378" s="2185" t="s">
        <v>3469</v>
      </c>
      <c r="H378" s="2333"/>
      <c r="I378" s="2334"/>
      <c r="J378" s="2185"/>
      <c r="K378" s="2336"/>
      <c r="L378" s="2335"/>
      <c r="M378" s="1951"/>
      <c r="N378" s="1962"/>
      <c r="O378" s="1961">
        <v>11667</v>
      </c>
      <c r="P378" s="1951">
        <v>12204</v>
      </c>
      <c r="Q378" s="1960">
        <v>12766</v>
      </c>
    </row>
    <row r="379" spans="1:17" ht="12.75" customHeight="1">
      <c r="A379" s="2332" t="s">
        <v>3464</v>
      </c>
      <c r="B379" s="2185" t="s">
        <v>3556</v>
      </c>
      <c r="C379" s="2296" t="s">
        <v>3453</v>
      </c>
      <c r="D379" s="2296"/>
      <c r="E379" s="2333" t="s">
        <v>3467</v>
      </c>
      <c r="F379" s="2333" t="s">
        <v>3468</v>
      </c>
      <c r="G379" s="2185" t="s">
        <v>3469</v>
      </c>
      <c r="H379" s="2333"/>
      <c r="I379" s="2334"/>
      <c r="J379" s="2185"/>
      <c r="K379" s="2336"/>
      <c r="L379" s="2335"/>
      <c r="M379" s="1951"/>
      <c r="N379" s="1962"/>
      <c r="O379" s="1961">
        <v>1034503</v>
      </c>
      <c r="P379" s="1951">
        <v>1082091</v>
      </c>
      <c r="Q379" s="1960">
        <v>1131867</v>
      </c>
    </row>
    <row r="380" spans="1:17" ht="12.75" customHeight="1">
      <c r="A380" s="2332" t="s">
        <v>3454</v>
      </c>
      <c r="B380" s="2185" t="s">
        <v>3574</v>
      </c>
      <c r="C380" s="2296" t="s">
        <v>3453</v>
      </c>
      <c r="D380" s="2296"/>
      <c r="E380" s="2333" t="s">
        <v>3467</v>
      </c>
      <c r="F380" s="2333" t="s">
        <v>3468</v>
      </c>
      <c r="G380" s="2185" t="s">
        <v>3469</v>
      </c>
      <c r="H380" s="2333"/>
      <c r="I380" s="2334"/>
      <c r="J380" s="2185"/>
      <c r="K380" s="2336"/>
      <c r="L380" s="2335"/>
      <c r="M380" s="1951"/>
      <c r="N380" s="1962"/>
      <c r="O380" s="1961">
        <v>0</v>
      </c>
      <c r="P380" s="1951">
        <v>0</v>
      </c>
      <c r="Q380" s="1960">
        <v>0</v>
      </c>
    </row>
    <row r="381" spans="1:17" ht="12.75" customHeight="1">
      <c r="A381" s="2332" t="s">
        <v>3499</v>
      </c>
      <c r="B381" s="2185" t="s">
        <v>3500</v>
      </c>
      <c r="C381" s="2296" t="s">
        <v>3453</v>
      </c>
      <c r="D381" s="2296"/>
      <c r="E381" s="2333" t="s">
        <v>3467</v>
      </c>
      <c r="F381" s="2333" t="s">
        <v>3468</v>
      </c>
      <c r="G381" s="2185" t="s">
        <v>3469</v>
      </c>
      <c r="H381" s="2333"/>
      <c r="I381" s="2334"/>
      <c r="J381" s="2185"/>
      <c r="K381" s="2336"/>
      <c r="L381" s="2335"/>
      <c r="M381" s="1951"/>
      <c r="N381" s="1962"/>
      <c r="O381" s="1961">
        <v>581</v>
      </c>
      <c r="P381" s="1951">
        <v>608</v>
      </c>
      <c r="Q381" s="1960">
        <v>636</v>
      </c>
    </row>
    <row r="382" spans="1:17" ht="12.75" customHeight="1">
      <c r="A382" s="2332" t="s">
        <v>3558</v>
      </c>
      <c r="B382" s="2185" t="s">
        <v>3696</v>
      </c>
      <c r="C382" s="2296" t="s">
        <v>3453</v>
      </c>
      <c r="D382" s="2296"/>
      <c r="E382" s="2333" t="s">
        <v>3467</v>
      </c>
      <c r="F382" s="2333" t="s">
        <v>3468</v>
      </c>
      <c r="G382" s="2185" t="s">
        <v>3469</v>
      </c>
      <c r="H382" s="2333"/>
      <c r="I382" s="2334"/>
      <c r="J382" s="2185"/>
      <c r="K382" s="2336"/>
      <c r="L382" s="2335"/>
      <c r="M382" s="1951"/>
      <c r="N382" s="1962"/>
      <c r="O382" s="1961">
        <v>972679</v>
      </c>
      <c r="P382" s="1951">
        <v>1017423</v>
      </c>
      <c r="Q382" s="1960">
        <v>1064224</v>
      </c>
    </row>
    <row r="383" spans="1:17" ht="12.75" customHeight="1">
      <c r="A383" s="2332" t="s">
        <v>3531</v>
      </c>
      <c r="B383" s="2185" t="s">
        <v>3697</v>
      </c>
      <c r="C383" s="2296" t="s">
        <v>3453</v>
      </c>
      <c r="D383" s="2296"/>
      <c r="E383" s="2333" t="s">
        <v>3467</v>
      </c>
      <c r="F383" s="2333" t="s">
        <v>3468</v>
      </c>
      <c r="G383" s="2185" t="s">
        <v>3469</v>
      </c>
      <c r="H383" s="2333"/>
      <c r="I383" s="2334"/>
      <c r="J383" s="2185"/>
      <c r="K383" s="2336"/>
      <c r="L383" s="2335"/>
      <c r="M383" s="1951"/>
      <c r="N383" s="1962"/>
      <c r="O383" s="1961">
        <v>184098</v>
      </c>
      <c r="P383" s="1951">
        <v>194039</v>
      </c>
      <c r="Q383" s="1960">
        <v>204517</v>
      </c>
    </row>
    <row r="384" spans="1:17" ht="12.75" customHeight="1">
      <c r="A384" s="2332" t="s">
        <v>3454</v>
      </c>
      <c r="B384" s="2185" t="s">
        <v>3695</v>
      </c>
      <c r="C384" s="2296" t="s">
        <v>3453</v>
      </c>
      <c r="D384" s="2296"/>
      <c r="E384" s="2333" t="s">
        <v>3467</v>
      </c>
      <c r="F384" s="2333" t="s">
        <v>3468</v>
      </c>
      <c r="G384" s="2185" t="s">
        <v>3469</v>
      </c>
      <c r="H384" s="2333"/>
      <c r="I384" s="2334"/>
      <c r="J384" s="2185"/>
      <c r="K384" s="2336"/>
      <c r="L384" s="2335"/>
      <c r="M384" s="1951"/>
      <c r="N384" s="1962"/>
      <c r="O384" s="1961">
        <v>373540</v>
      </c>
      <c r="P384" s="1951">
        <v>390723</v>
      </c>
      <c r="Q384" s="1960">
        <v>408697</v>
      </c>
    </row>
    <row r="385" spans="1:17" ht="12.75" customHeight="1">
      <c r="A385" s="2332" t="s">
        <v>3531</v>
      </c>
      <c r="B385" s="2185" t="s">
        <v>3532</v>
      </c>
      <c r="C385" s="2296" t="s">
        <v>3453</v>
      </c>
      <c r="D385" s="2296"/>
      <c r="E385" s="2333" t="s">
        <v>3467</v>
      </c>
      <c r="F385" s="2333" t="s">
        <v>3468</v>
      </c>
      <c r="G385" s="2185" t="s">
        <v>3469</v>
      </c>
      <c r="H385" s="2333"/>
      <c r="I385" s="2334"/>
      <c r="J385" s="2185"/>
      <c r="K385" s="2336"/>
      <c r="L385" s="2335"/>
      <c r="M385" s="1951"/>
      <c r="N385" s="1962"/>
      <c r="O385" s="1961">
        <v>0</v>
      </c>
      <c r="P385" s="1951">
        <v>0</v>
      </c>
      <c r="Q385" s="1960">
        <v>0</v>
      </c>
    </row>
    <row r="386" spans="1:17" ht="12.75" customHeight="1">
      <c r="A386" s="2332" t="s">
        <v>3506</v>
      </c>
      <c r="B386" s="2185" t="s">
        <v>3698</v>
      </c>
      <c r="C386" s="2296" t="s">
        <v>3453</v>
      </c>
      <c r="D386" s="2296"/>
      <c r="E386" s="2333" t="s">
        <v>3467</v>
      </c>
      <c r="F386" s="2333" t="s">
        <v>3468</v>
      </c>
      <c r="G386" s="2185" t="s">
        <v>3469</v>
      </c>
      <c r="H386" s="2333"/>
      <c r="I386" s="2334"/>
      <c r="J386" s="2185"/>
      <c r="K386" s="2336"/>
      <c r="L386" s="2335"/>
      <c r="M386" s="1951"/>
      <c r="N386" s="1962"/>
      <c r="O386" s="1961">
        <v>100000</v>
      </c>
      <c r="P386" s="1951">
        <v>104600</v>
      </c>
      <c r="Q386" s="1960">
        <v>109412</v>
      </c>
    </row>
    <row r="387" spans="1:17" ht="12.75" customHeight="1">
      <c r="A387" s="2332" t="s">
        <v>3576</v>
      </c>
      <c r="B387" s="2185" t="s">
        <v>3596</v>
      </c>
      <c r="C387" s="2296" t="s">
        <v>3453</v>
      </c>
      <c r="D387" s="2296"/>
      <c r="E387" s="2333" t="s">
        <v>3467</v>
      </c>
      <c r="F387" s="2333" t="s">
        <v>3468</v>
      </c>
      <c r="G387" s="2185" t="s">
        <v>3469</v>
      </c>
      <c r="H387" s="2333"/>
      <c r="I387" s="2334"/>
      <c r="J387" s="2185"/>
      <c r="K387" s="2336"/>
      <c r="L387" s="2335"/>
      <c r="M387" s="1951"/>
      <c r="N387" s="1962"/>
      <c r="O387" s="1961">
        <v>222629</v>
      </c>
      <c r="P387" s="1951">
        <v>232870</v>
      </c>
      <c r="Q387" s="1960">
        <v>243582</v>
      </c>
    </row>
    <row r="388" spans="1:17" ht="12.75" customHeight="1">
      <c r="A388" s="2332" t="s">
        <v>3464</v>
      </c>
      <c r="B388" s="2185" t="s">
        <v>3489</v>
      </c>
      <c r="C388" s="2296" t="s">
        <v>3453</v>
      </c>
      <c r="D388" s="2296"/>
      <c r="E388" s="2333" t="s">
        <v>3467</v>
      </c>
      <c r="F388" s="2333" t="s">
        <v>3468</v>
      </c>
      <c r="G388" s="2185" t="s">
        <v>3469</v>
      </c>
      <c r="H388" s="2333"/>
      <c r="I388" s="2334"/>
      <c r="J388" s="2185"/>
      <c r="K388" s="2336"/>
      <c r="L388" s="2335"/>
      <c r="M388" s="1951"/>
      <c r="N388" s="1962"/>
      <c r="O388" s="1961">
        <v>79391</v>
      </c>
      <c r="P388" s="1951">
        <v>83043</v>
      </c>
      <c r="Q388" s="1960">
        <v>86863</v>
      </c>
    </row>
    <row r="389" spans="1:17" ht="12.75" customHeight="1">
      <c r="A389" s="2332" t="s">
        <v>3487</v>
      </c>
      <c r="B389" s="2185" t="s">
        <v>3699</v>
      </c>
      <c r="C389" s="2296" t="s">
        <v>3652</v>
      </c>
      <c r="D389" s="2296"/>
      <c r="E389" s="2333" t="s">
        <v>3467</v>
      </c>
      <c r="F389" s="2333" t="s">
        <v>3468</v>
      </c>
      <c r="G389" s="2185" t="s">
        <v>3469</v>
      </c>
      <c r="H389" s="2333"/>
      <c r="I389" s="2334"/>
      <c r="J389" s="2185"/>
      <c r="K389" s="2336"/>
      <c r="L389" s="2335"/>
      <c r="M389" s="1951"/>
      <c r="N389" s="1962"/>
      <c r="O389" s="1961">
        <v>1900000</v>
      </c>
      <c r="P389" s="1951">
        <v>1987400</v>
      </c>
      <c r="Q389" s="1960">
        <v>2078821</v>
      </c>
    </row>
    <row r="390" spans="1:17" ht="12.75" customHeight="1">
      <c r="A390" s="2332" t="s">
        <v>3487</v>
      </c>
      <c r="B390" s="2185" t="s">
        <v>3488</v>
      </c>
      <c r="C390" s="2296" t="s">
        <v>3453</v>
      </c>
      <c r="D390" s="2296"/>
      <c r="E390" s="2333" t="s">
        <v>3467</v>
      </c>
      <c r="F390" s="2333" t="s">
        <v>3468</v>
      </c>
      <c r="G390" s="2185" t="s">
        <v>3469</v>
      </c>
      <c r="H390" s="2333"/>
      <c r="I390" s="2334"/>
      <c r="J390" s="2185"/>
      <c r="K390" s="2336"/>
      <c r="L390" s="2335"/>
      <c r="M390" s="1951"/>
      <c r="N390" s="1962"/>
      <c r="O390" s="1961">
        <v>946</v>
      </c>
      <c r="P390" s="1951">
        <v>990</v>
      </c>
      <c r="Q390" s="1960">
        <v>1036</v>
      </c>
    </row>
    <row r="391" spans="1:17" ht="12.75" customHeight="1">
      <c r="A391" s="2332" t="s">
        <v>3479</v>
      </c>
      <c r="B391" s="2185" t="s">
        <v>3664</v>
      </c>
      <c r="C391" s="2296" t="s">
        <v>3453</v>
      </c>
      <c r="D391" s="2296"/>
      <c r="E391" s="2333" t="s">
        <v>3467</v>
      </c>
      <c r="F391" s="2333" t="s">
        <v>3468</v>
      </c>
      <c r="G391" s="2185" t="s">
        <v>3469</v>
      </c>
      <c r="H391" s="2333"/>
      <c r="I391" s="2334"/>
      <c r="J391" s="2185"/>
      <c r="K391" s="2336"/>
      <c r="L391" s="2335"/>
      <c r="M391" s="1951"/>
      <c r="N391" s="1962"/>
      <c r="O391" s="1961">
        <v>20089</v>
      </c>
      <c r="P391" s="1951">
        <v>21014</v>
      </c>
      <c r="Q391" s="1960">
        <v>21980</v>
      </c>
    </row>
    <row r="392" spans="1:17" ht="12.75" customHeight="1">
      <c r="A392" s="2332" t="s">
        <v>3464</v>
      </c>
      <c r="B392" s="2185" t="s">
        <v>3522</v>
      </c>
      <c r="C392" s="2296" t="s">
        <v>3453</v>
      </c>
      <c r="D392" s="2296"/>
      <c r="E392" s="2333" t="s">
        <v>3467</v>
      </c>
      <c r="F392" s="2333" t="s">
        <v>3468</v>
      </c>
      <c r="G392" s="2185" t="s">
        <v>3469</v>
      </c>
      <c r="H392" s="2333"/>
      <c r="I392" s="2334"/>
      <c r="J392" s="2185"/>
      <c r="K392" s="2336"/>
      <c r="L392" s="2335"/>
      <c r="M392" s="1951"/>
      <c r="N392" s="1962"/>
      <c r="O392" s="1961">
        <v>32762</v>
      </c>
      <c r="P392" s="1951">
        <v>34269</v>
      </c>
      <c r="Q392" s="1960">
        <v>35845</v>
      </c>
    </row>
    <row r="393" spans="1:17" ht="12.75" customHeight="1">
      <c r="A393" s="2332" t="s">
        <v>3541</v>
      </c>
      <c r="B393" s="2185" t="s">
        <v>3606</v>
      </c>
      <c r="C393" s="2296" t="s">
        <v>3453</v>
      </c>
      <c r="D393" s="2296"/>
      <c r="E393" s="2333" t="s">
        <v>3467</v>
      </c>
      <c r="F393" s="2333" t="s">
        <v>3468</v>
      </c>
      <c r="G393" s="2185" t="s">
        <v>3469</v>
      </c>
      <c r="H393" s="2333"/>
      <c r="I393" s="2334"/>
      <c r="J393" s="2185"/>
      <c r="K393" s="2336"/>
      <c r="L393" s="2335"/>
      <c r="M393" s="1951"/>
      <c r="N393" s="1962"/>
      <c r="O393" s="1961">
        <v>263170</v>
      </c>
      <c r="P393" s="1951">
        <v>275276</v>
      </c>
      <c r="Q393" s="1960">
        <v>287939</v>
      </c>
    </row>
    <row r="394" spans="1:17" ht="12.75" customHeight="1">
      <c r="A394" s="2332" t="s">
        <v>3538</v>
      </c>
      <c r="B394" s="2185" t="s">
        <v>3678</v>
      </c>
      <c r="C394" s="2296" t="s">
        <v>3453</v>
      </c>
      <c r="D394" s="2296"/>
      <c r="E394" s="2333" t="s">
        <v>3467</v>
      </c>
      <c r="F394" s="2333" t="s">
        <v>3468</v>
      </c>
      <c r="G394" s="2185" t="s">
        <v>3469</v>
      </c>
      <c r="H394" s="2333"/>
      <c r="I394" s="2334"/>
      <c r="J394" s="2185"/>
      <c r="K394" s="2336"/>
      <c r="L394" s="2335"/>
      <c r="M394" s="1951"/>
      <c r="N394" s="1962"/>
      <c r="O394" s="1961">
        <v>119</v>
      </c>
      <c r="P394" s="1951">
        <v>125</v>
      </c>
      <c r="Q394" s="1960">
        <v>131</v>
      </c>
    </row>
    <row r="395" spans="1:17" ht="12.75" customHeight="1">
      <c r="A395" s="2332" t="s">
        <v>3576</v>
      </c>
      <c r="B395" s="2185" t="s">
        <v>3596</v>
      </c>
      <c r="C395" s="2296" t="s">
        <v>3453</v>
      </c>
      <c r="D395" s="2296"/>
      <c r="E395" s="2333" t="s">
        <v>3467</v>
      </c>
      <c r="F395" s="2333" t="s">
        <v>3468</v>
      </c>
      <c r="G395" s="2185" t="s">
        <v>3469</v>
      </c>
      <c r="H395" s="2333"/>
      <c r="I395" s="2334"/>
      <c r="J395" s="2185"/>
      <c r="K395" s="2336"/>
      <c r="L395" s="2335"/>
      <c r="M395" s="1951"/>
      <c r="N395" s="1962"/>
      <c r="O395" s="1961">
        <v>33942</v>
      </c>
      <c r="P395" s="1951">
        <v>35504</v>
      </c>
      <c r="Q395" s="1960">
        <v>37137</v>
      </c>
    </row>
    <row r="396" spans="1:17" ht="12.75" customHeight="1">
      <c r="A396" s="2332" t="s">
        <v>3490</v>
      </c>
      <c r="B396" s="2185" t="s">
        <v>3586</v>
      </c>
      <c r="C396" s="2296" t="s">
        <v>3453</v>
      </c>
      <c r="D396" s="2296"/>
      <c r="E396" s="2333" t="s">
        <v>3467</v>
      </c>
      <c r="F396" s="2333" t="s">
        <v>3468</v>
      </c>
      <c r="G396" s="2185" t="s">
        <v>3469</v>
      </c>
      <c r="H396" s="2333"/>
      <c r="I396" s="2334"/>
      <c r="J396" s="2185"/>
      <c r="K396" s="2336"/>
      <c r="L396" s="2335"/>
      <c r="M396" s="1951"/>
      <c r="N396" s="1962"/>
      <c r="O396" s="1961">
        <v>54071</v>
      </c>
      <c r="P396" s="1951">
        <v>56559</v>
      </c>
      <c r="Q396" s="1960">
        <v>59160</v>
      </c>
    </row>
    <row r="397" spans="1:17" ht="12.75" customHeight="1">
      <c r="A397" s="2332" t="s">
        <v>3538</v>
      </c>
      <c r="B397" s="2185" t="s">
        <v>3678</v>
      </c>
      <c r="C397" s="2296" t="s">
        <v>3453</v>
      </c>
      <c r="D397" s="2296"/>
      <c r="E397" s="2333" t="s">
        <v>3467</v>
      </c>
      <c r="F397" s="2333" t="s">
        <v>3468</v>
      </c>
      <c r="G397" s="2185" t="s">
        <v>3469</v>
      </c>
      <c r="H397" s="2333"/>
      <c r="I397" s="2334"/>
      <c r="J397" s="2185"/>
      <c r="K397" s="2336"/>
      <c r="L397" s="2335"/>
      <c r="M397" s="1951"/>
      <c r="N397" s="1962"/>
      <c r="O397" s="1961">
        <v>1183</v>
      </c>
      <c r="P397" s="1951">
        <v>1238</v>
      </c>
      <c r="Q397" s="1960">
        <v>1295</v>
      </c>
    </row>
    <row r="398" spans="1:17" ht="12.75" customHeight="1">
      <c r="A398" s="2332" t="s">
        <v>3543</v>
      </c>
      <c r="B398" s="2185" t="s">
        <v>3623</v>
      </c>
      <c r="C398" s="2296" t="s">
        <v>3453</v>
      </c>
      <c r="D398" s="2296"/>
      <c r="E398" s="2333" t="s">
        <v>3467</v>
      </c>
      <c r="F398" s="2333" t="s">
        <v>3468</v>
      </c>
      <c r="G398" s="2185" t="s">
        <v>3469</v>
      </c>
      <c r="H398" s="2333"/>
      <c r="I398" s="2334"/>
      <c r="J398" s="2185"/>
      <c r="K398" s="2336"/>
      <c r="L398" s="2335"/>
      <c r="M398" s="1951"/>
      <c r="N398" s="1962"/>
      <c r="O398" s="1961">
        <v>16663</v>
      </c>
      <c r="P398" s="1951">
        <v>17430</v>
      </c>
      <c r="Q398" s="1960">
        <v>18232</v>
      </c>
    </row>
    <row r="399" spans="1:17" ht="12.75" customHeight="1">
      <c r="A399" s="2332" t="s">
        <v>3459</v>
      </c>
      <c r="B399" s="2185" t="s">
        <v>3700</v>
      </c>
      <c r="C399" s="2296" t="s">
        <v>3497</v>
      </c>
      <c r="D399" s="2296"/>
      <c r="E399" s="2333" t="s">
        <v>3467</v>
      </c>
      <c r="F399" s="2333" t="s">
        <v>3468</v>
      </c>
      <c r="G399" s="2185" t="s">
        <v>3469</v>
      </c>
      <c r="H399" s="2333"/>
      <c r="I399" s="2334"/>
      <c r="J399" s="2185"/>
      <c r="K399" s="2336"/>
      <c r="L399" s="2335"/>
      <c r="M399" s="1951"/>
      <c r="N399" s="1962"/>
      <c r="O399" s="1961">
        <v>2290</v>
      </c>
      <c r="P399" s="1951">
        <v>2396</v>
      </c>
      <c r="Q399" s="1960">
        <v>2506</v>
      </c>
    </row>
    <row r="400" spans="1:17" ht="12.75" customHeight="1">
      <c r="A400" s="2332" t="s">
        <v>3510</v>
      </c>
      <c r="B400" s="2185" t="s">
        <v>3642</v>
      </c>
      <c r="C400" s="2296" t="s">
        <v>3453</v>
      </c>
      <c r="D400" s="2296"/>
      <c r="E400" s="2333" t="s">
        <v>3467</v>
      </c>
      <c r="F400" s="2333" t="s">
        <v>3468</v>
      </c>
      <c r="G400" s="2185" t="s">
        <v>3469</v>
      </c>
      <c r="H400" s="2333"/>
      <c r="I400" s="2334"/>
      <c r="J400" s="2185"/>
      <c r="K400" s="2336"/>
      <c r="L400" s="2335"/>
      <c r="M400" s="1951"/>
      <c r="N400" s="1962"/>
      <c r="O400" s="1961">
        <v>56614</v>
      </c>
      <c r="P400" s="1951">
        <v>59219</v>
      </c>
      <c r="Q400" s="1960">
        <v>61943</v>
      </c>
    </row>
    <row r="401" spans="1:17" ht="12.75" customHeight="1">
      <c r="A401" s="2332" t="s">
        <v>3490</v>
      </c>
      <c r="B401" s="2185" t="s">
        <v>3701</v>
      </c>
      <c r="C401" s="2296" t="s">
        <v>3453</v>
      </c>
      <c r="D401" s="2296"/>
      <c r="E401" s="2333" t="s">
        <v>3467</v>
      </c>
      <c r="F401" s="2333" t="s">
        <v>3468</v>
      </c>
      <c r="G401" s="2185" t="s">
        <v>3469</v>
      </c>
      <c r="H401" s="2333"/>
      <c r="I401" s="2334"/>
      <c r="J401" s="2185"/>
      <c r="K401" s="2336"/>
      <c r="L401" s="2335"/>
      <c r="M401" s="1951"/>
      <c r="N401" s="1962"/>
      <c r="O401" s="1961">
        <v>2000</v>
      </c>
      <c r="P401" s="1951">
        <v>2000</v>
      </c>
      <c r="Q401" s="1960">
        <v>2000</v>
      </c>
    </row>
    <row r="402" spans="1:17" ht="12.75" customHeight="1">
      <c r="A402" s="2332" t="s">
        <v>3454</v>
      </c>
      <c r="B402" s="2185" t="s">
        <v>3455</v>
      </c>
      <c r="C402" s="2296" t="s">
        <v>3453</v>
      </c>
      <c r="D402" s="2296"/>
      <c r="E402" s="2333" t="s">
        <v>3467</v>
      </c>
      <c r="F402" s="2333" t="s">
        <v>3468</v>
      </c>
      <c r="G402" s="2185" t="s">
        <v>3469</v>
      </c>
      <c r="H402" s="2333"/>
      <c r="I402" s="2334"/>
      <c r="J402" s="2185"/>
      <c r="K402" s="2336"/>
      <c r="L402" s="2335"/>
      <c r="M402" s="1951"/>
      <c r="N402" s="1962"/>
      <c r="O402" s="1961">
        <v>145897</v>
      </c>
      <c r="P402" s="1951">
        <v>152609</v>
      </c>
      <c r="Q402" s="1960">
        <v>159629</v>
      </c>
    </row>
    <row r="403" spans="1:17" ht="12.75" customHeight="1">
      <c r="A403" s="2332" t="s">
        <v>3531</v>
      </c>
      <c r="B403" s="2185" t="s">
        <v>3532</v>
      </c>
      <c r="C403" s="2296" t="s">
        <v>3453</v>
      </c>
      <c r="D403" s="2296"/>
      <c r="E403" s="2333" t="s">
        <v>3467</v>
      </c>
      <c r="F403" s="2333" t="s">
        <v>3468</v>
      </c>
      <c r="G403" s="2185" t="s">
        <v>3469</v>
      </c>
      <c r="H403" s="2333"/>
      <c r="I403" s="2334"/>
      <c r="J403" s="2185"/>
      <c r="K403" s="2336"/>
      <c r="L403" s="2335"/>
      <c r="M403" s="1951"/>
      <c r="N403" s="1962"/>
      <c r="O403" s="1961">
        <v>0</v>
      </c>
      <c r="P403" s="1951">
        <v>0</v>
      </c>
      <c r="Q403" s="1960">
        <v>0</v>
      </c>
    </row>
    <row r="404" spans="1:17" ht="12.75" customHeight="1">
      <c r="A404" s="2332" t="s">
        <v>3490</v>
      </c>
      <c r="B404" s="2185" t="s">
        <v>3702</v>
      </c>
      <c r="C404" s="2296" t="s">
        <v>3687</v>
      </c>
      <c r="D404" s="2296"/>
      <c r="E404" s="2333" t="s">
        <v>3467</v>
      </c>
      <c r="F404" s="2333" t="s">
        <v>3468</v>
      </c>
      <c r="G404" s="2185" t="s">
        <v>3469</v>
      </c>
      <c r="H404" s="2333"/>
      <c r="I404" s="2334"/>
      <c r="J404" s="2185"/>
      <c r="K404" s="2336"/>
      <c r="L404" s="2335"/>
      <c r="M404" s="1951"/>
      <c r="N404" s="1962"/>
      <c r="O404" s="1961">
        <v>9808733</v>
      </c>
      <c r="P404" s="1951">
        <v>10259935</v>
      </c>
      <c r="Q404" s="1960">
        <v>10731892</v>
      </c>
    </row>
    <row r="405" spans="1:17" ht="12.75" customHeight="1">
      <c r="A405" s="2332" t="s">
        <v>3499</v>
      </c>
      <c r="B405" s="2185" t="s">
        <v>3703</v>
      </c>
      <c r="C405" s="2296" t="s">
        <v>3472</v>
      </c>
      <c r="D405" s="2296"/>
      <c r="E405" s="2333" t="s">
        <v>3467</v>
      </c>
      <c r="F405" s="2333" t="s">
        <v>3468</v>
      </c>
      <c r="G405" s="2185" t="s">
        <v>3469</v>
      </c>
      <c r="H405" s="2333"/>
      <c r="I405" s="2334"/>
      <c r="J405" s="2185"/>
      <c r="K405" s="2336"/>
      <c r="L405" s="2335"/>
      <c r="M405" s="1951"/>
      <c r="N405" s="1962"/>
      <c r="O405" s="1961">
        <v>801</v>
      </c>
      <c r="P405" s="1951">
        <v>838</v>
      </c>
      <c r="Q405" s="1960">
        <v>877</v>
      </c>
    </row>
    <row r="406" spans="1:17" ht="12.75" customHeight="1">
      <c r="A406" s="2332" t="s">
        <v>3558</v>
      </c>
      <c r="B406" s="2185" t="s">
        <v>3559</v>
      </c>
      <c r="C406" s="2296" t="s">
        <v>3453</v>
      </c>
      <c r="D406" s="2296"/>
      <c r="E406" s="2333" t="s">
        <v>3467</v>
      </c>
      <c r="F406" s="2333" t="s">
        <v>3468</v>
      </c>
      <c r="G406" s="2185" t="s">
        <v>3469</v>
      </c>
      <c r="H406" s="2333"/>
      <c r="I406" s="2334"/>
      <c r="J406" s="2185"/>
      <c r="K406" s="2336"/>
      <c r="L406" s="2335"/>
      <c r="M406" s="1951"/>
      <c r="N406" s="1962"/>
      <c r="O406" s="1961">
        <v>142847</v>
      </c>
      <c r="P406" s="1951">
        <v>149418</v>
      </c>
      <c r="Q406" s="1960">
        <v>156291</v>
      </c>
    </row>
    <row r="407" spans="1:17" ht="12.75" customHeight="1">
      <c r="A407" s="2332" t="s">
        <v>3470</v>
      </c>
      <c r="B407" s="2185" t="s">
        <v>3704</v>
      </c>
      <c r="C407" s="2296" t="s">
        <v>3453</v>
      </c>
      <c r="D407" s="2296"/>
      <c r="E407" s="2333" t="s">
        <v>3467</v>
      </c>
      <c r="F407" s="2333" t="s">
        <v>3468</v>
      </c>
      <c r="G407" s="2185" t="s">
        <v>3469</v>
      </c>
      <c r="H407" s="2333"/>
      <c r="I407" s="2334"/>
      <c r="J407" s="2185"/>
      <c r="K407" s="2336"/>
      <c r="L407" s="2335"/>
      <c r="M407" s="1951"/>
      <c r="N407" s="1962"/>
      <c r="O407" s="1961">
        <v>10000</v>
      </c>
      <c r="P407" s="1951">
        <v>10460</v>
      </c>
      <c r="Q407" s="1960">
        <v>10942</v>
      </c>
    </row>
    <row r="408" spans="1:17" ht="12.75" customHeight="1">
      <c r="A408" s="2332" t="s">
        <v>3477</v>
      </c>
      <c r="B408" s="2185" t="s">
        <v>3705</v>
      </c>
      <c r="C408" s="2296" t="s">
        <v>3453</v>
      </c>
      <c r="D408" s="2296"/>
      <c r="E408" s="2333" t="s">
        <v>3467</v>
      </c>
      <c r="F408" s="2333" t="s">
        <v>3468</v>
      </c>
      <c r="G408" s="2185" t="s">
        <v>3469</v>
      </c>
      <c r="H408" s="2333"/>
      <c r="I408" s="2334"/>
      <c r="J408" s="2185"/>
      <c r="K408" s="2336"/>
      <c r="L408" s="2335"/>
      <c r="M408" s="1951"/>
      <c r="N408" s="1962"/>
      <c r="O408" s="1961">
        <v>15240</v>
      </c>
      <c r="P408" s="1951">
        <v>15942</v>
      </c>
      <c r="Q408" s="1960">
        <v>16675</v>
      </c>
    </row>
    <row r="409" spans="1:17" ht="12.75" customHeight="1">
      <c r="A409" s="2332" t="s">
        <v>3454</v>
      </c>
      <c r="B409" s="2185" t="s">
        <v>3512</v>
      </c>
      <c r="C409" s="2296" t="s">
        <v>3453</v>
      </c>
      <c r="D409" s="2296"/>
      <c r="E409" s="2333" t="s">
        <v>3467</v>
      </c>
      <c r="F409" s="2333" t="s">
        <v>3468</v>
      </c>
      <c r="G409" s="2185" t="s">
        <v>3469</v>
      </c>
      <c r="H409" s="2333"/>
      <c r="I409" s="2334"/>
      <c r="J409" s="2185"/>
      <c r="K409" s="2336"/>
      <c r="L409" s="2335"/>
      <c r="M409" s="1951"/>
      <c r="N409" s="1962"/>
      <c r="O409" s="1961">
        <v>0</v>
      </c>
      <c r="P409" s="1951">
        <v>0</v>
      </c>
      <c r="Q409" s="1960">
        <v>0</v>
      </c>
    </row>
    <row r="410" spans="1:17" ht="12.75" customHeight="1">
      <c r="A410" s="2332" t="s">
        <v>3487</v>
      </c>
      <c r="B410" s="2185" t="s">
        <v>3647</v>
      </c>
      <c r="C410" s="2296" t="s">
        <v>3453</v>
      </c>
      <c r="D410" s="2296"/>
      <c r="E410" s="2333" t="s">
        <v>3467</v>
      </c>
      <c r="F410" s="2333" t="s">
        <v>3468</v>
      </c>
      <c r="G410" s="2185" t="s">
        <v>3469</v>
      </c>
      <c r="H410" s="2333"/>
      <c r="I410" s="2334"/>
      <c r="J410" s="2185"/>
      <c r="K410" s="2336"/>
      <c r="L410" s="2335"/>
      <c r="M410" s="1951"/>
      <c r="N410" s="1962"/>
      <c r="O410" s="1961">
        <v>1021769</v>
      </c>
      <c r="P410" s="1951">
        <v>1068771</v>
      </c>
      <c r="Q410" s="1960">
        <v>1117934</v>
      </c>
    </row>
    <row r="411" spans="1:17" ht="12.75" customHeight="1">
      <c r="A411" s="2332" t="s">
        <v>3533</v>
      </c>
      <c r="B411" s="2185" t="s">
        <v>3706</v>
      </c>
      <c r="C411" s="2296" t="s">
        <v>3453</v>
      </c>
      <c r="D411" s="2296"/>
      <c r="E411" s="2333" t="s">
        <v>3467</v>
      </c>
      <c r="F411" s="2333" t="s">
        <v>3468</v>
      </c>
      <c r="G411" s="2185" t="s">
        <v>3469</v>
      </c>
      <c r="H411" s="2333"/>
      <c r="I411" s="2334"/>
      <c r="J411" s="2185"/>
      <c r="K411" s="2336"/>
      <c r="L411" s="2335"/>
      <c r="M411" s="1951"/>
      <c r="N411" s="1962"/>
      <c r="O411" s="1961">
        <v>14964</v>
      </c>
      <c r="P411" s="1951">
        <v>15653</v>
      </c>
      <c r="Q411" s="1960">
        <v>16373</v>
      </c>
    </row>
    <row r="412" spans="1:17" ht="12.75" customHeight="1">
      <c r="A412" s="2332" t="s">
        <v>3454</v>
      </c>
      <c r="B412" s="2185" t="s">
        <v>3675</v>
      </c>
      <c r="C412" s="2296" t="s">
        <v>3453</v>
      </c>
      <c r="D412" s="2296"/>
      <c r="E412" s="2333" t="s">
        <v>3467</v>
      </c>
      <c r="F412" s="2333" t="s">
        <v>3468</v>
      </c>
      <c r="G412" s="2185" t="s">
        <v>3469</v>
      </c>
      <c r="H412" s="2333"/>
      <c r="I412" s="2334"/>
      <c r="J412" s="2185"/>
      <c r="K412" s="2336"/>
      <c r="L412" s="2335"/>
      <c r="M412" s="1951"/>
      <c r="N412" s="1962"/>
      <c r="O412" s="1961">
        <v>36415</v>
      </c>
      <c r="P412" s="1951">
        <v>38091</v>
      </c>
      <c r="Q412" s="1960">
        <v>39843</v>
      </c>
    </row>
    <row r="413" spans="1:17" ht="12.75" customHeight="1">
      <c r="A413" s="2332" t="s">
        <v>3464</v>
      </c>
      <c r="B413" s="2185" t="s">
        <v>3556</v>
      </c>
      <c r="C413" s="2296" t="s">
        <v>3453</v>
      </c>
      <c r="D413" s="2296"/>
      <c r="E413" s="2333" t="s">
        <v>3467</v>
      </c>
      <c r="F413" s="2333" t="s">
        <v>3468</v>
      </c>
      <c r="G413" s="2185" t="s">
        <v>3469</v>
      </c>
      <c r="H413" s="2333"/>
      <c r="I413" s="2334"/>
      <c r="J413" s="2185"/>
      <c r="K413" s="2336"/>
      <c r="L413" s="2335"/>
      <c r="M413" s="1951"/>
      <c r="N413" s="1962"/>
      <c r="O413" s="1961">
        <v>61163</v>
      </c>
      <c r="P413" s="1951">
        <v>63977</v>
      </c>
      <c r="Q413" s="1960">
        <v>66920</v>
      </c>
    </row>
    <row r="414" spans="1:17" ht="12.75" customHeight="1">
      <c r="A414" s="2332" t="s">
        <v>3558</v>
      </c>
      <c r="B414" s="2185" t="s">
        <v>3559</v>
      </c>
      <c r="C414" s="2296" t="s">
        <v>3453</v>
      </c>
      <c r="D414" s="2296"/>
      <c r="E414" s="2333" t="s">
        <v>3467</v>
      </c>
      <c r="F414" s="2333" t="s">
        <v>3468</v>
      </c>
      <c r="G414" s="2185" t="s">
        <v>3469</v>
      </c>
      <c r="H414" s="2333"/>
      <c r="I414" s="2334"/>
      <c r="J414" s="2185"/>
      <c r="K414" s="2336"/>
      <c r="L414" s="2335"/>
      <c r="M414" s="1951"/>
      <c r="N414" s="1962"/>
      <c r="O414" s="1961">
        <v>720000</v>
      </c>
      <c r="P414" s="1951">
        <v>753120</v>
      </c>
      <c r="Q414" s="1960">
        <v>787764</v>
      </c>
    </row>
    <row r="415" spans="1:17" ht="12.75" customHeight="1">
      <c r="A415" s="2332" t="s">
        <v>3558</v>
      </c>
      <c r="B415" s="2185" t="s">
        <v>3707</v>
      </c>
      <c r="C415" s="2296" t="s">
        <v>3492</v>
      </c>
      <c r="D415" s="2296"/>
      <c r="E415" s="2333" t="s">
        <v>3467</v>
      </c>
      <c r="F415" s="2333" t="s">
        <v>3468</v>
      </c>
      <c r="G415" s="2185" t="s">
        <v>3469</v>
      </c>
      <c r="H415" s="2333"/>
      <c r="I415" s="2334"/>
      <c r="J415" s="2185"/>
      <c r="K415" s="2336"/>
      <c r="L415" s="2335"/>
      <c r="M415" s="1951"/>
      <c r="N415" s="1962"/>
      <c r="O415" s="1961">
        <v>0</v>
      </c>
      <c r="P415" s="1951">
        <v>0</v>
      </c>
      <c r="Q415" s="1960">
        <v>0</v>
      </c>
    </row>
    <row r="416" spans="1:17" ht="12.75" customHeight="1">
      <c r="A416" s="2332" t="s">
        <v>3454</v>
      </c>
      <c r="B416" s="2185" t="s">
        <v>3545</v>
      </c>
      <c r="C416" s="2296" t="s">
        <v>3453</v>
      </c>
      <c r="D416" s="2296"/>
      <c r="E416" s="2333" t="s">
        <v>3467</v>
      </c>
      <c r="F416" s="2333" t="s">
        <v>3468</v>
      </c>
      <c r="G416" s="2185" t="s">
        <v>3469</v>
      </c>
      <c r="H416" s="2333"/>
      <c r="I416" s="2334"/>
      <c r="J416" s="2185"/>
      <c r="K416" s="2336"/>
      <c r="L416" s="2335"/>
      <c r="M416" s="1951"/>
      <c r="N416" s="1962"/>
      <c r="O416" s="1961">
        <v>0</v>
      </c>
      <c r="P416" s="1951">
        <v>0</v>
      </c>
      <c r="Q416" s="1960">
        <v>0</v>
      </c>
    </row>
    <row r="417" spans="1:17" ht="12.75" customHeight="1">
      <c r="A417" s="2332" t="s">
        <v>3483</v>
      </c>
      <c r="B417" s="2185" t="s">
        <v>3708</v>
      </c>
      <c r="C417" s="2296" t="s">
        <v>3453</v>
      </c>
      <c r="D417" s="2296"/>
      <c r="E417" s="2333" t="s">
        <v>3467</v>
      </c>
      <c r="F417" s="2333" t="s">
        <v>3468</v>
      </c>
      <c r="G417" s="2185" t="s">
        <v>3469</v>
      </c>
      <c r="H417" s="2333"/>
      <c r="I417" s="2334"/>
      <c r="J417" s="2185"/>
      <c r="K417" s="2336"/>
      <c r="L417" s="2335"/>
      <c r="M417" s="1951"/>
      <c r="N417" s="1962"/>
      <c r="O417" s="1961">
        <v>1200000</v>
      </c>
      <c r="P417" s="1951">
        <v>1255200</v>
      </c>
      <c r="Q417" s="1960">
        <v>1312940</v>
      </c>
    </row>
    <row r="418" spans="1:17" ht="12.75" customHeight="1">
      <c r="A418" s="2332" t="s">
        <v>3459</v>
      </c>
      <c r="B418" s="2185" t="s">
        <v>3709</v>
      </c>
      <c r="C418" s="2296" t="s">
        <v>3453</v>
      </c>
      <c r="D418" s="2296"/>
      <c r="E418" s="2333" t="s">
        <v>3467</v>
      </c>
      <c r="F418" s="2333" t="s">
        <v>3468</v>
      </c>
      <c r="G418" s="2185" t="s">
        <v>3469</v>
      </c>
      <c r="H418" s="2333"/>
      <c r="I418" s="2334"/>
      <c r="J418" s="2185"/>
      <c r="K418" s="2336"/>
      <c r="L418" s="2335"/>
      <c r="M418" s="1951"/>
      <c r="N418" s="1962"/>
      <c r="O418" s="1961">
        <v>19278</v>
      </c>
      <c r="P418" s="1951">
        <v>20165</v>
      </c>
      <c r="Q418" s="1960">
        <v>21093</v>
      </c>
    </row>
    <row r="419" spans="1:17" ht="12.75" customHeight="1">
      <c r="A419" s="2332" t="s">
        <v>3479</v>
      </c>
      <c r="B419" s="2185" t="s">
        <v>3550</v>
      </c>
      <c r="C419" s="2296" t="s">
        <v>3453</v>
      </c>
      <c r="D419" s="2296"/>
      <c r="E419" s="2333" t="s">
        <v>3467</v>
      </c>
      <c r="F419" s="2333" t="s">
        <v>3468</v>
      </c>
      <c r="G419" s="2185" t="s">
        <v>3469</v>
      </c>
      <c r="H419" s="2333"/>
      <c r="I419" s="2334"/>
      <c r="J419" s="2185"/>
      <c r="K419" s="2336"/>
      <c r="L419" s="2335"/>
      <c r="M419" s="1951"/>
      <c r="N419" s="1962"/>
      <c r="O419" s="1961">
        <v>107235</v>
      </c>
      <c r="P419" s="1951">
        <v>112168</v>
      </c>
      <c r="Q419" s="1960">
        <v>117328</v>
      </c>
    </row>
    <row r="420" spans="1:17" ht="12.75" customHeight="1">
      <c r="A420" s="2332" t="s">
        <v>3454</v>
      </c>
      <c r="B420" s="2185" t="s">
        <v>3710</v>
      </c>
      <c r="C420" s="2296" t="s">
        <v>3453</v>
      </c>
      <c r="D420" s="2296"/>
      <c r="E420" s="2333" t="s">
        <v>3467</v>
      </c>
      <c r="F420" s="2333" t="s">
        <v>3468</v>
      </c>
      <c r="G420" s="2185" t="s">
        <v>3469</v>
      </c>
      <c r="H420" s="2333"/>
      <c r="I420" s="2334"/>
      <c r="J420" s="2185"/>
      <c r="K420" s="2336"/>
      <c r="L420" s="2335"/>
      <c r="M420" s="1951"/>
      <c r="N420" s="1962"/>
      <c r="O420" s="1961">
        <v>8750</v>
      </c>
      <c r="P420" s="1951">
        <v>9153</v>
      </c>
      <c r="Q420" s="1960">
        <v>9574</v>
      </c>
    </row>
    <row r="421" spans="1:17" ht="12.75" customHeight="1">
      <c r="A421" s="2332" t="s">
        <v>3473</v>
      </c>
      <c r="B421" s="2185" t="s">
        <v>3474</v>
      </c>
      <c r="C421" s="2296" t="s">
        <v>3453</v>
      </c>
      <c r="D421" s="2296"/>
      <c r="E421" s="2333" t="s">
        <v>3467</v>
      </c>
      <c r="F421" s="2333" t="s">
        <v>3468</v>
      </c>
      <c r="G421" s="2185" t="s">
        <v>3469</v>
      </c>
      <c r="H421" s="2333"/>
      <c r="I421" s="2334"/>
      <c r="J421" s="2185"/>
      <c r="K421" s="2336"/>
      <c r="L421" s="2335"/>
      <c r="M421" s="1951"/>
      <c r="N421" s="1962"/>
      <c r="O421" s="1961">
        <v>8554</v>
      </c>
      <c r="P421" s="1951">
        <v>8948</v>
      </c>
      <c r="Q421" s="1960">
        <v>9360</v>
      </c>
    </row>
    <row r="422" spans="1:17" ht="12.75" customHeight="1">
      <c r="A422" s="2332" t="s">
        <v>3464</v>
      </c>
      <c r="B422" s="2185" t="s">
        <v>3711</v>
      </c>
      <c r="C422" s="2296" t="s">
        <v>3453</v>
      </c>
      <c r="D422" s="2296"/>
      <c r="E422" s="2333" t="s">
        <v>3467</v>
      </c>
      <c r="F422" s="2333" t="s">
        <v>3468</v>
      </c>
      <c r="G422" s="2185" t="s">
        <v>3469</v>
      </c>
      <c r="H422" s="2333"/>
      <c r="I422" s="2334"/>
      <c r="J422" s="2185"/>
      <c r="K422" s="2336"/>
      <c r="L422" s="2335"/>
      <c r="M422" s="1951"/>
      <c r="N422" s="1962"/>
      <c r="O422" s="1961">
        <v>20000</v>
      </c>
      <c r="P422" s="1951">
        <v>20920</v>
      </c>
      <c r="Q422" s="1960">
        <v>21883</v>
      </c>
    </row>
    <row r="423" spans="1:17" ht="12.75" customHeight="1">
      <c r="A423" s="2332" t="s">
        <v>3477</v>
      </c>
      <c r="B423" s="2185" t="s">
        <v>3575</v>
      </c>
      <c r="C423" s="2296" t="s">
        <v>3453</v>
      </c>
      <c r="D423" s="2296"/>
      <c r="E423" s="2333" t="s">
        <v>3467</v>
      </c>
      <c r="F423" s="2333" t="s">
        <v>3468</v>
      </c>
      <c r="G423" s="2185" t="s">
        <v>3469</v>
      </c>
      <c r="H423" s="2333"/>
      <c r="I423" s="2334"/>
      <c r="J423" s="2185"/>
      <c r="K423" s="2336"/>
      <c r="L423" s="2335"/>
      <c r="M423" s="1951"/>
      <c r="N423" s="1962"/>
      <c r="O423" s="1961">
        <v>13469</v>
      </c>
      <c r="P423" s="1951">
        <v>14089</v>
      </c>
      <c r="Q423" s="1960">
        <v>14737</v>
      </c>
    </row>
    <row r="424" spans="1:17" ht="12.75" customHeight="1">
      <c r="A424" s="2332" t="s">
        <v>3520</v>
      </c>
      <c r="B424" s="2185" t="s">
        <v>3593</v>
      </c>
      <c r="C424" s="2296" t="s">
        <v>3453</v>
      </c>
      <c r="D424" s="2296"/>
      <c r="E424" s="2333" t="s">
        <v>3467</v>
      </c>
      <c r="F424" s="2333" t="s">
        <v>3468</v>
      </c>
      <c r="G424" s="2185" t="s">
        <v>3469</v>
      </c>
      <c r="H424" s="2333"/>
      <c r="I424" s="2334"/>
      <c r="J424" s="2185"/>
      <c r="K424" s="2336"/>
      <c r="L424" s="2335"/>
      <c r="M424" s="1951"/>
      <c r="N424" s="1962"/>
      <c r="O424" s="1961">
        <v>215706</v>
      </c>
      <c r="P424" s="1951">
        <v>225629</v>
      </c>
      <c r="Q424" s="1960">
        <v>236008</v>
      </c>
    </row>
    <row r="425" spans="1:17" ht="12.75" customHeight="1">
      <c r="A425" s="2332" t="s">
        <v>3459</v>
      </c>
      <c r="B425" s="2185" t="s">
        <v>3645</v>
      </c>
      <c r="C425" s="2296" t="s">
        <v>3453</v>
      </c>
      <c r="D425" s="2296"/>
      <c r="E425" s="2333" t="s">
        <v>3467</v>
      </c>
      <c r="F425" s="2333" t="s">
        <v>3468</v>
      </c>
      <c r="G425" s="2185" t="s">
        <v>3469</v>
      </c>
      <c r="H425" s="2333"/>
      <c r="I425" s="2334"/>
      <c r="J425" s="2185"/>
      <c r="K425" s="2336"/>
      <c r="L425" s="2335"/>
      <c r="M425" s="1951"/>
      <c r="N425" s="1962"/>
      <c r="O425" s="1961">
        <v>2000</v>
      </c>
      <c r="P425" s="1951">
        <v>2000</v>
      </c>
      <c r="Q425" s="1960">
        <v>2000</v>
      </c>
    </row>
    <row r="426" spans="1:17" ht="12.75" customHeight="1">
      <c r="A426" s="2332" t="s">
        <v>3508</v>
      </c>
      <c r="B426" s="2185" t="s">
        <v>3555</v>
      </c>
      <c r="C426" s="2296" t="s">
        <v>3453</v>
      </c>
      <c r="D426" s="2296"/>
      <c r="E426" s="2333" t="s">
        <v>3467</v>
      </c>
      <c r="F426" s="2333" t="s">
        <v>3468</v>
      </c>
      <c r="G426" s="2185" t="s">
        <v>3469</v>
      </c>
      <c r="H426" s="2333"/>
      <c r="I426" s="2334"/>
      <c r="J426" s="2185"/>
      <c r="K426" s="2336"/>
      <c r="L426" s="2335"/>
      <c r="M426" s="1951"/>
      <c r="N426" s="1962"/>
      <c r="O426" s="1961">
        <v>205789</v>
      </c>
      <c r="P426" s="1951">
        <v>215255</v>
      </c>
      <c r="Q426" s="1960">
        <v>225157</v>
      </c>
    </row>
    <row r="427" spans="1:17" ht="12.75" customHeight="1">
      <c r="A427" s="2332" t="s">
        <v>3523</v>
      </c>
      <c r="B427" s="2185" t="s">
        <v>3535</v>
      </c>
      <c r="C427" s="2296" t="s">
        <v>3453</v>
      </c>
      <c r="D427" s="2296"/>
      <c r="E427" s="2333" t="s">
        <v>3467</v>
      </c>
      <c r="F427" s="2333" t="s">
        <v>3468</v>
      </c>
      <c r="G427" s="2185" t="s">
        <v>3469</v>
      </c>
      <c r="H427" s="2333"/>
      <c r="I427" s="2334"/>
      <c r="J427" s="2185"/>
      <c r="K427" s="2336"/>
      <c r="L427" s="2335"/>
      <c r="M427" s="1951"/>
      <c r="N427" s="1962"/>
      <c r="O427" s="1961">
        <v>4125</v>
      </c>
      <c r="P427" s="1951">
        <v>4315</v>
      </c>
      <c r="Q427" s="1960">
        <v>4514</v>
      </c>
    </row>
    <row r="428" spans="1:17" ht="12.75" customHeight="1">
      <c r="A428" s="2332" t="s">
        <v>3459</v>
      </c>
      <c r="B428" s="2185" t="s">
        <v>3645</v>
      </c>
      <c r="C428" s="2296" t="s">
        <v>3453</v>
      </c>
      <c r="D428" s="2296"/>
      <c r="E428" s="2333" t="s">
        <v>3467</v>
      </c>
      <c r="F428" s="2333" t="s">
        <v>3468</v>
      </c>
      <c r="G428" s="2185" t="s">
        <v>3469</v>
      </c>
      <c r="H428" s="2333"/>
      <c r="I428" s="2334"/>
      <c r="J428" s="2185"/>
      <c r="K428" s="2336"/>
      <c r="L428" s="2335"/>
      <c r="M428" s="1951"/>
      <c r="N428" s="1962"/>
      <c r="O428" s="1961">
        <v>20000</v>
      </c>
      <c r="P428" s="1951">
        <v>20920</v>
      </c>
      <c r="Q428" s="1960">
        <v>21883</v>
      </c>
    </row>
    <row r="429" spans="1:17" ht="12.75" customHeight="1">
      <c r="A429" s="2332" t="s">
        <v>3459</v>
      </c>
      <c r="B429" s="2185" t="s">
        <v>3616</v>
      </c>
      <c r="C429" s="2296" t="s">
        <v>3453</v>
      </c>
      <c r="D429" s="2296"/>
      <c r="E429" s="2333" t="s">
        <v>3467</v>
      </c>
      <c r="F429" s="2333" t="s">
        <v>3468</v>
      </c>
      <c r="G429" s="2185" t="s">
        <v>3469</v>
      </c>
      <c r="H429" s="2333"/>
      <c r="I429" s="2334"/>
      <c r="J429" s="2185"/>
      <c r="K429" s="2336"/>
      <c r="L429" s="2335"/>
      <c r="M429" s="1951"/>
      <c r="N429" s="1962"/>
      <c r="O429" s="1961">
        <v>298579</v>
      </c>
      <c r="P429" s="1951">
        <v>312314</v>
      </c>
      <c r="Q429" s="1960">
        <v>326681</v>
      </c>
    </row>
    <row r="430" spans="1:17" ht="12.75" customHeight="1">
      <c r="A430" s="2332" t="s">
        <v>3464</v>
      </c>
      <c r="B430" s="2185" t="s">
        <v>3632</v>
      </c>
      <c r="C430" s="2296" t="s">
        <v>3453</v>
      </c>
      <c r="D430" s="2296"/>
      <c r="E430" s="2333" t="s">
        <v>3467</v>
      </c>
      <c r="F430" s="2333" t="s">
        <v>3468</v>
      </c>
      <c r="G430" s="2185" t="s">
        <v>3469</v>
      </c>
      <c r="H430" s="2333"/>
      <c r="I430" s="2334"/>
      <c r="J430" s="2185"/>
      <c r="K430" s="2336"/>
      <c r="L430" s="2335"/>
      <c r="M430" s="1951"/>
      <c r="N430" s="1962"/>
      <c r="O430" s="1961">
        <v>240916</v>
      </c>
      <c r="P430" s="1951">
        <v>251999</v>
      </c>
      <c r="Q430" s="1960">
        <v>263591</v>
      </c>
    </row>
    <row r="431" spans="1:17" ht="12.75" customHeight="1">
      <c r="A431" s="2332" t="s">
        <v>3490</v>
      </c>
      <c r="B431" s="2185" t="s">
        <v>3586</v>
      </c>
      <c r="C431" s="2296" t="s">
        <v>3453</v>
      </c>
      <c r="D431" s="2296"/>
      <c r="E431" s="2333" t="s">
        <v>3467</v>
      </c>
      <c r="F431" s="2333" t="s">
        <v>3468</v>
      </c>
      <c r="G431" s="2185" t="s">
        <v>3469</v>
      </c>
      <c r="H431" s="2333"/>
      <c r="I431" s="2334"/>
      <c r="J431" s="2185"/>
      <c r="K431" s="2336"/>
      <c r="L431" s="2335"/>
      <c r="M431" s="1951"/>
      <c r="N431" s="1962"/>
      <c r="O431" s="1961">
        <v>449654</v>
      </c>
      <c r="P431" s="1951">
        <v>470339</v>
      </c>
      <c r="Q431" s="1960">
        <v>491974</v>
      </c>
    </row>
    <row r="432" spans="1:17" ht="12.75" customHeight="1">
      <c r="A432" s="2332" t="s">
        <v>3459</v>
      </c>
      <c r="B432" s="2185" t="s">
        <v>3709</v>
      </c>
      <c r="C432" s="2296" t="s">
        <v>3453</v>
      </c>
      <c r="D432" s="2296"/>
      <c r="E432" s="2333" t="s">
        <v>3467</v>
      </c>
      <c r="F432" s="2333" t="s">
        <v>3468</v>
      </c>
      <c r="G432" s="2185" t="s">
        <v>3469</v>
      </c>
      <c r="H432" s="2333"/>
      <c r="I432" s="2334"/>
      <c r="J432" s="2185"/>
      <c r="K432" s="2336"/>
      <c r="L432" s="2335"/>
      <c r="M432" s="1951"/>
      <c r="N432" s="1962"/>
      <c r="O432" s="1961">
        <v>2500000</v>
      </c>
      <c r="P432" s="1951">
        <v>2615000</v>
      </c>
      <c r="Q432" s="1960">
        <v>2735290</v>
      </c>
    </row>
    <row r="433" spans="1:17" ht="12.75" customHeight="1">
      <c r="A433" s="2332" t="s">
        <v>3490</v>
      </c>
      <c r="B433" s="2185" t="s">
        <v>3712</v>
      </c>
      <c r="C433" s="2296" t="s">
        <v>3453</v>
      </c>
      <c r="D433" s="2296"/>
      <c r="E433" s="2333" t="s">
        <v>3467</v>
      </c>
      <c r="F433" s="2333" t="s">
        <v>3468</v>
      </c>
      <c r="G433" s="2185" t="s">
        <v>3469</v>
      </c>
      <c r="H433" s="2333"/>
      <c r="I433" s="2334"/>
      <c r="J433" s="2185"/>
      <c r="K433" s="2336"/>
      <c r="L433" s="2335"/>
      <c r="M433" s="1951"/>
      <c r="N433" s="1962"/>
      <c r="O433" s="1961">
        <f>102500000-1800000</f>
        <v>100700000</v>
      </c>
      <c r="P433" s="1951">
        <v>107215000</v>
      </c>
      <c r="Q433" s="1960">
        <v>112146890</v>
      </c>
    </row>
    <row r="434" spans="1:17" ht="12.75" customHeight="1">
      <c r="A434" s="2332" t="s">
        <v>3479</v>
      </c>
      <c r="B434" s="2185" t="s">
        <v>3550</v>
      </c>
      <c r="C434" s="2296" t="s">
        <v>3453</v>
      </c>
      <c r="D434" s="2296"/>
      <c r="E434" s="2333" t="s">
        <v>3467</v>
      </c>
      <c r="F434" s="2333" t="s">
        <v>3468</v>
      </c>
      <c r="G434" s="2185" t="s">
        <v>3469</v>
      </c>
      <c r="H434" s="2333"/>
      <c r="I434" s="2334"/>
      <c r="J434" s="2185"/>
      <c r="K434" s="2336"/>
      <c r="L434" s="2335"/>
      <c r="M434" s="1951"/>
      <c r="N434" s="1962"/>
      <c r="O434" s="1961">
        <v>33885</v>
      </c>
      <c r="P434" s="1951">
        <v>35444</v>
      </c>
      <c r="Q434" s="1960">
        <v>37075</v>
      </c>
    </row>
    <row r="435" spans="1:17" ht="12.75" customHeight="1">
      <c r="A435" s="2332" t="s">
        <v>3473</v>
      </c>
      <c r="B435" s="2185" t="s">
        <v>3713</v>
      </c>
      <c r="C435" s="2296" t="s">
        <v>3453</v>
      </c>
      <c r="D435" s="2296"/>
      <c r="E435" s="2333" t="s">
        <v>3467</v>
      </c>
      <c r="F435" s="2333" t="s">
        <v>3468</v>
      </c>
      <c r="G435" s="2185" t="s">
        <v>3469</v>
      </c>
      <c r="H435" s="2333"/>
      <c r="I435" s="2334"/>
      <c r="J435" s="2185"/>
      <c r="K435" s="2336"/>
      <c r="L435" s="2335"/>
      <c r="M435" s="1951"/>
      <c r="N435" s="1962"/>
      <c r="O435" s="1961">
        <v>3000</v>
      </c>
      <c r="P435" s="1951">
        <v>3138</v>
      </c>
      <c r="Q435" s="1960">
        <v>3283</v>
      </c>
    </row>
    <row r="436" spans="1:17" ht="12.75" customHeight="1">
      <c r="A436" s="2332" t="s">
        <v>3536</v>
      </c>
      <c r="B436" s="2185" t="s">
        <v>3714</v>
      </c>
      <c r="C436" s="2296" t="s">
        <v>3463</v>
      </c>
      <c r="D436" s="2296"/>
      <c r="E436" s="2333" t="s">
        <v>3467</v>
      </c>
      <c r="F436" s="2333" t="s">
        <v>3468</v>
      </c>
      <c r="G436" s="2185" t="s">
        <v>3469</v>
      </c>
      <c r="H436" s="2333"/>
      <c r="I436" s="2334"/>
      <c r="J436" s="2185"/>
      <c r="K436" s="2336"/>
      <c r="L436" s="2335"/>
      <c r="M436" s="1951"/>
      <c r="N436" s="1962"/>
      <c r="O436" s="1961">
        <v>0</v>
      </c>
      <c r="P436" s="1951">
        <v>0</v>
      </c>
      <c r="Q436" s="1960">
        <v>0</v>
      </c>
    </row>
    <row r="437" spans="1:17" ht="12.75" customHeight="1">
      <c r="A437" s="2332" t="s">
        <v>3576</v>
      </c>
      <c r="B437" s="2185" t="s">
        <v>3577</v>
      </c>
      <c r="C437" s="2296" t="s">
        <v>3453</v>
      </c>
      <c r="D437" s="2296"/>
      <c r="E437" s="2333" t="s">
        <v>3467</v>
      </c>
      <c r="F437" s="2333" t="s">
        <v>3468</v>
      </c>
      <c r="G437" s="2185" t="s">
        <v>3469</v>
      </c>
      <c r="H437" s="2333"/>
      <c r="I437" s="2334"/>
      <c r="J437" s="2185"/>
      <c r="K437" s="2336"/>
      <c r="L437" s="2335"/>
      <c r="M437" s="1951"/>
      <c r="N437" s="1962"/>
      <c r="O437" s="1961">
        <v>197805</v>
      </c>
      <c r="P437" s="1951">
        <v>206905</v>
      </c>
      <c r="Q437" s="1960">
        <v>216422</v>
      </c>
    </row>
    <row r="438" spans="1:17" ht="12.75" customHeight="1">
      <c r="A438" s="2332" t="s">
        <v>3536</v>
      </c>
      <c r="B438" s="2185" t="s">
        <v>3715</v>
      </c>
      <c r="C438" s="2296" t="s">
        <v>3453</v>
      </c>
      <c r="D438" s="2296"/>
      <c r="E438" s="2333" t="s">
        <v>3467</v>
      </c>
      <c r="F438" s="2333" t="s">
        <v>3468</v>
      </c>
      <c r="G438" s="2185" t="s">
        <v>3469</v>
      </c>
      <c r="H438" s="2333"/>
      <c r="I438" s="2334"/>
      <c r="J438" s="2185"/>
      <c r="K438" s="2336"/>
      <c r="L438" s="2335"/>
      <c r="M438" s="1951"/>
      <c r="N438" s="1962"/>
      <c r="O438" s="1961">
        <v>2000</v>
      </c>
      <c r="P438" s="1951">
        <v>2092</v>
      </c>
      <c r="Q438" s="1960">
        <v>2189</v>
      </c>
    </row>
    <row r="439" spans="1:17" ht="12.75" customHeight="1">
      <c r="A439" s="2332" t="s">
        <v>3558</v>
      </c>
      <c r="B439" s="2185" t="s">
        <v>3696</v>
      </c>
      <c r="C439" s="2296" t="s">
        <v>3453</v>
      </c>
      <c r="D439" s="2296"/>
      <c r="E439" s="2333" t="s">
        <v>3467</v>
      </c>
      <c r="F439" s="2333" t="s">
        <v>3468</v>
      </c>
      <c r="G439" s="2185" t="s">
        <v>3469</v>
      </c>
      <c r="H439" s="2333"/>
      <c r="I439" s="2334"/>
      <c r="J439" s="2185"/>
      <c r="K439" s="2336"/>
      <c r="L439" s="2335"/>
      <c r="M439" s="1951"/>
      <c r="N439" s="1962"/>
      <c r="O439" s="1961">
        <v>8657824</v>
      </c>
      <c r="P439" s="1951">
        <v>9056084</v>
      </c>
      <c r="Q439" s="1960">
        <v>9472664</v>
      </c>
    </row>
    <row r="440" spans="1:17" ht="12.75" customHeight="1">
      <c r="A440" s="2332" t="s">
        <v>3479</v>
      </c>
      <c r="B440" s="2185" t="s">
        <v>3716</v>
      </c>
      <c r="C440" s="2296" t="s">
        <v>3453</v>
      </c>
      <c r="D440" s="2296"/>
      <c r="E440" s="2333" t="s">
        <v>3467</v>
      </c>
      <c r="F440" s="2333" t="s">
        <v>3468</v>
      </c>
      <c r="G440" s="2185" t="s">
        <v>3469</v>
      </c>
      <c r="H440" s="2333"/>
      <c r="I440" s="2334"/>
      <c r="J440" s="2185"/>
      <c r="K440" s="2336"/>
      <c r="L440" s="2335"/>
      <c r="M440" s="1951"/>
      <c r="N440" s="1962"/>
      <c r="O440" s="1961">
        <v>26835</v>
      </c>
      <c r="P440" s="1951">
        <v>28070</v>
      </c>
      <c r="Q440" s="1960">
        <v>29361</v>
      </c>
    </row>
    <row r="441" spans="1:17" ht="12.75" customHeight="1">
      <c r="A441" s="2332" t="s">
        <v>3520</v>
      </c>
      <c r="B441" s="2185" t="s">
        <v>3593</v>
      </c>
      <c r="C441" s="2296" t="s">
        <v>3453</v>
      </c>
      <c r="D441" s="2296"/>
      <c r="E441" s="2333" t="s">
        <v>3467</v>
      </c>
      <c r="F441" s="2333" t="s">
        <v>3468</v>
      </c>
      <c r="G441" s="2185" t="s">
        <v>3469</v>
      </c>
      <c r="H441" s="2333"/>
      <c r="I441" s="2334"/>
      <c r="J441" s="2185"/>
      <c r="K441" s="2336"/>
      <c r="L441" s="2335"/>
      <c r="M441" s="1951"/>
      <c r="N441" s="1962"/>
      <c r="O441" s="1961">
        <v>33835</v>
      </c>
      <c r="P441" s="1951">
        <v>35392</v>
      </c>
      <c r="Q441" s="1960">
        <v>37020</v>
      </c>
    </row>
    <row r="442" spans="1:17" ht="12.75" customHeight="1">
      <c r="A442" s="2332" t="s">
        <v>3459</v>
      </c>
      <c r="B442" s="2185" t="s">
        <v>3717</v>
      </c>
      <c r="C442" s="2296" t="s">
        <v>3497</v>
      </c>
      <c r="D442" s="2296"/>
      <c r="E442" s="2333" t="s">
        <v>3467</v>
      </c>
      <c r="F442" s="2333" t="s">
        <v>3468</v>
      </c>
      <c r="G442" s="2185" t="s">
        <v>3469</v>
      </c>
      <c r="H442" s="2333"/>
      <c r="I442" s="2334"/>
      <c r="J442" s="2185"/>
      <c r="K442" s="2336"/>
      <c r="L442" s="2335"/>
      <c r="M442" s="1951"/>
      <c r="N442" s="1962"/>
      <c r="O442" s="1961">
        <v>2222</v>
      </c>
      <c r="P442" s="1951">
        <v>2325</v>
      </c>
      <c r="Q442" s="1960">
        <v>2432</v>
      </c>
    </row>
    <row r="443" spans="1:17" ht="12.75" customHeight="1">
      <c r="A443" s="2332" t="s">
        <v>3510</v>
      </c>
      <c r="B443" s="2185" t="s">
        <v>3718</v>
      </c>
      <c r="C443" s="2296" t="s">
        <v>3582</v>
      </c>
      <c r="D443" s="2296"/>
      <c r="E443" s="2333" t="s">
        <v>3467</v>
      </c>
      <c r="F443" s="2333" t="s">
        <v>3468</v>
      </c>
      <c r="G443" s="2185" t="s">
        <v>3469</v>
      </c>
      <c r="H443" s="2333"/>
      <c r="I443" s="2334"/>
      <c r="J443" s="2185"/>
      <c r="K443" s="2336"/>
      <c r="L443" s="2335"/>
      <c r="M443" s="1951"/>
      <c r="N443" s="1962"/>
      <c r="O443" s="1961">
        <v>71732</v>
      </c>
      <c r="P443" s="1951">
        <v>75032</v>
      </c>
      <c r="Q443" s="1960">
        <v>78484</v>
      </c>
    </row>
    <row r="444" spans="1:17" ht="12.75" customHeight="1">
      <c r="A444" s="2332" t="s">
        <v>3538</v>
      </c>
      <c r="B444" s="2185" t="s">
        <v>3539</v>
      </c>
      <c r="C444" s="2296" t="s">
        <v>3453</v>
      </c>
      <c r="D444" s="2296"/>
      <c r="E444" s="2333" t="s">
        <v>3467</v>
      </c>
      <c r="F444" s="2333" t="s">
        <v>3468</v>
      </c>
      <c r="G444" s="2185" t="s">
        <v>3469</v>
      </c>
      <c r="H444" s="2333"/>
      <c r="I444" s="2334"/>
      <c r="J444" s="2185"/>
      <c r="K444" s="2336"/>
      <c r="L444" s="2335"/>
      <c r="M444" s="1951"/>
      <c r="N444" s="1962"/>
      <c r="O444" s="1961">
        <v>684212</v>
      </c>
      <c r="P444" s="1951">
        <v>715686</v>
      </c>
      <c r="Q444" s="1960">
        <v>748608</v>
      </c>
    </row>
    <row r="445" spans="1:17" ht="12.75" customHeight="1">
      <c r="A445" s="2332" t="s">
        <v>3454</v>
      </c>
      <c r="B445" s="2185" t="s">
        <v>3719</v>
      </c>
      <c r="C445" s="2296" t="s">
        <v>3497</v>
      </c>
      <c r="D445" s="2296"/>
      <c r="E445" s="2333" t="s">
        <v>3467</v>
      </c>
      <c r="F445" s="2333" t="s">
        <v>3468</v>
      </c>
      <c r="G445" s="2185" t="s">
        <v>3469</v>
      </c>
      <c r="H445" s="2333"/>
      <c r="I445" s="2334"/>
      <c r="J445" s="2185"/>
      <c r="K445" s="2336"/>
      <c r="L445" s="2335"/>
      <c r="M445" s="1951"/>
      <c r="N445" s="1962"/>
      <c r="O445" s="1961">
        <v>815</v>
      </c>
      <c r="P445" s="1951">
        <v>853</v>
      </c>
      <c r="Q445" s="1960">
        <v>892</v>
      </c>
    </row>
    <row r="446" spans="1:17" ht="12.75" customHeight="1">
      <c r="A446" s="2332" t="s">
        <v>3523</v>
      </c>
      <c r="B446" s="2185" t="s">
        <v>3720</v>
      </c>
      <c r="C446" s="2296" t="s">
        <v>3453</v>
      </c>
      <c r="D446" s="2296"/>
      <c r="E446" s="2333" t="s">
        <v>3467</v>
      </c>
      <c r="F446" s="2333" t="s">
        <v>3468</v>
      </c>
      <c r="G446" s="2185" t="s">
        <v>3469</v>
      </c>
      <c r="H446" s="2333"/>
      <c r="I446" s="2334"/>
      <c r="J446" s="2185"/>
      <c r="K446" s="2336"/>
      <c r="L446" s="2335"/>
      <c r="M446" s="1951"/>
      <c r="N446" s="1962"/>
      <c r="O446" s="1961">
        <v>2000</v>
      </c>
      <c r="P446" s="1951">
        <v>2000</v>
      </c>
      <c r="Q446" s="1960">
        <v>2000</v>
      </c>
    </row>
    <row r="447" spans="1:17" ht="12.75" customHeight="1">
      <c r="A447" s="2332" t="s">
        <v>3576</v>
      </c>
      <c r="B447" s="2185" t="s">
        <v>3721</v>
      </c>
      <c r="C447" s="2296" t="s">
        <v>3562</v>
      </c>
      <c r="D447" s="2296"/>
      <c r="E447" s="2333" t="s">
        <v>3467</v>
      </c>
      <c r="F447" s="2333" t="s">
        <v>3468</v>
      </c>
      <c r="G447" s="2185" t="s">
        <v>3469</v>
      </c>
      <c r="H447" s="2333"/>
      <c r="I447" s="2334"/>
      <c r="J447" s="2185"/>
      <c r="K447" s="2336"/>
      <c r="L447" s="2335"/>
      <c r="M447" s="1951"/>
      <c r="N447" s="1962"/>
      <c r="O447" s="1961">
        <v>66000</v>
      </c>
      <c r="P447" s="1951">
        <v>69036</v>
      </c>
      <c r="Q447" s="1960">
        <v>72212</v>
      </c>
    </row>
    <row r="448" spans="1:17" ht="12.75" customHeight="1">
      <c r="A448" s="2332" t="s">
        <v>3451</v>
      </c>
      <c r="B448" s="2185" t="s">
        <v>3722</v>
      </c>
      <c r="C448" s="2296" t="s">
        <v>3453</v>
      </c>
      <c r="D448" s="2296"/>
      <c r="E448" s="2333" t="s">
        <v>3467</v>
      </c>
      <c r="F448" s="2333" t="s">
        <v>3468</v>
      </c>
      <c r="G448" s="2185" t="s">
        <v>3469</v>
      </c>
      <c r="H448" s="2333"/>
      <c r="I448" s="2334"/>
      <c r="J448" s="2185"/>
      <c r="K448" s="2336"/>
      <c r="L448" s="2335"/>
      <c r="M448" s="1951"/>
      <c r="N448" s="1962"/>
      <c r="O448" s="1961">
        <v>184861</v>
      </c>
      <c r="P448" s="1951">
        <v>184861</v>
      </c>
      <c r="Q448" s="1960">
        <v>193365</v>
      </c>
    </row>
    <row r="449" spans="1:17" ht="12.75" customHeight="1">
      <c r="A449" s="2332" t="s">
        <v>3479</v>
      </c>
      <c r="B449" s="2185" t="s">
        <v>3664</v>
      </c>
      <c r="C449" s="2296" t="s">
        <v>3453</v>
      </c>
      <c r="D449" s="2296"/>
      <c r="E449" s="2333" t="s">
        <v>3467</v>
      </c>
      <c r="F449" s="2333" t="s">
        <v>3468</v>
      </c>
      <c r="G449" s="2185" t="s">
        <v>3469</v>
      </c>
      <c r="H449" s="2333"/>
      <c r="I449" s="2334"/>
      <c r="J449" s="2185"/>
      <c r="K449" s="2336"/>
      <c r="L449" s="2335"/>
      <c r="M449" s="1951"/>
      <c r="N449" s="1962"/>
      <c r="O449" s="1961">
        <v>32130</v>
      </c>
      <c r="P449" s="1951">
        <v>33608</v>
      </c>
      <c r="Q449" s="1960">
        <v>35154</v>
      </c>
    </row>
    <row r="450" spans="1:17" ht="12.75" customHeight="1">
      <c r="A450" s="2332" t="s">
        <v>3464</v>
      </c>
      <c r="B450" s="2185" t="s">
        <v>3632</v>
      </c>
      <c r="C450" s="2296" t="s">
        <v>3453</v>
      </c>
      <c r="D450" s="2296"/>
      <c r="E450" s="2333" t="s">
        <v>3467</v>
      </c>
      <c r="F450" s="2333" t="s">
        <v>3468</v>
      </c>
      <c r="G450" s="2185" t="s">
        <v>3469</v>
      </c>
      <c r="H450" s="2333"/>
      <c r="I450" s="2334"/>
      <c r="J450" s="2185"/>
      <c r="K450" s="2336"/>
      <c r="L450" s="2335"/>
      <c r="M450" s="1951"/>
      <c r="N450" s="1962"/>
      <c r="O450" s="1961">
        <v>599</v>
      </c>
      <c r="P450" s="1951">
        <v>627</v>
      </c>
      <c r="Q450" s="1960">
        <v>656</v>
      </c>
    </row>
    <row r="451" spans="1:17" ht="12.75" customHeight="1">
      <c r="A451" s="2332" t="s">
        <v>3510</v>
      </c>
      <c r="B451" s="2185" t="s">
        <v>3642</v>
      </c>
      <c r="C451" s="2296" t="s">
        <v>3453</v>
      </c>
      <c r="D451" s="2296"/>
      <c r="E451" s="2333" t="s">
        <v>3467</v>
      </c>
      <c r="F451" s="2333" t="s">
        <v>3468</v>
      </c>
      <c r="G451" s="2185" t="s">
        <v>3469</v>
      </c>
      <c r="H451" s="2333"/>
      <c r="I451" s="2334"/>
      <c r="J451" s="2185"/>
      <c r="K451" s="2336"/>
      <c r="L451" s="2335"/>
      <c r="M451" s="1951"/>
      <c r="N451" s="1962"/>
      <c r="O451" s="1961">
        <v>42453</v>
      </c>
      <c r="P451" s="1951">
        <v>44406</v>
      </c>
      <c r="Q451" s="1960">
        <v>46449</v>
      </c>
    </row>
    <row r="452" spans="1:17" ht="12.75" customHeight="1">
      <c r="A452" s="2332" t="s">
        <v>3510</v>
      </c>
      <c r="B452" s="2185" t="s">
        <v>3723</v>
      </c>
      <c r="C452" s="2296" t="s">
        <v>3518</v>
      </c>
      <c r="D452" s="2296"/>
      <c r="E452" s="2333" t="s">
        <v>3467</v>
      </c>
      <c r="F452" s="2333" t="s">
        <v>3468</v>
      </c>
      <c r="G452" s="2185" t="s">
        <v>3469</v>
      </c>
      <c r="H452" s="2333"/>
      <c r="I452" s="2334"/>
      <c r="J452" s="2185"/>
      <c r="K452" s="2336"/>
      <c r="L452" s="2335"/>
      <c r="M452" s="1951"/>
      <c r="N452" s="1962"/>
      <c r="O452" s="1961">
        <v>40000</v>
      </c>
      <c r="P452" s="1951">
        <v>41840</v>
      </c>
      <c r="Q452" s="1960">
        <v>43765</v>
      </c>
    </row>
    <row r="453" spans="1:17" ht="12.75" customHeight="1">
      <c r="A453" s="2332" t="s">
        <v>3479</v>
      </c>
      <c r="B453" s="2185" t="s">
        <v>3480</v>
      </c>
      <c r="C453" s="2296" t="s">
        <v>3453</v>
      </c>
      <c r="D453" s="2296"/>
      <c r="E453" s="2333" t="s">
        <v>3467</v>
      </c>
      <c r="F453" s="2333" t="s">
        <v>3468</v>
      </c>
      <c r="G453" s="2185" t="s">
        <v>3469</v>
      </c>
      <c r="H453" s="2333"/>
      <c r="I453" s="2334"/>
      <c r="J453" s="2185"/>
      <c r="K453" s="2336"/>
      <c r="L453" s="2335"/>
      <c r="M453" s="1951"/>
      <c r="N453" s="1962"/>
      <c r="O453" s="1961">
        <v>26759</v>
      </c>
      <c r="P453" s="1951">
        <v>27990</v>
      </c>
      <c r="Q453" s="1960">
        <v>29278</v>
      </c>
    </row>
    <row r="454" spans="1:17" ht="12.75" customHeight="1">
      <c r="A454" s="2332" t="s">
        <v>3531</v>
      </c>
      <c r="B454" s="2185" t="s">
        <v>3532</v>
      </c>
      <c r="C454" s="2296" t="s">
        <v>3453</v>
      </c>
      <c r="D454" s="2296"/>
      <c r="E454" s="2333" t="s">
        <v>3467</v>
      </c>
      <c r="F454" s="2333" t="s">
        <v>3468</v>
      </c>
      <c r="G454" s="2185" t="s">
        <v>3469</v>
      </c>
      <c r="H454" s="2333"/>
      <c r="I454" s="2334"/>
      <c r="J454" s="2185"/>
      <c r="K454" s="2336"/>
      <c r="L454" s="2335"/>
      <c r="M454" s="1951"/>
      <c r="N454" s="1962"/>
      <c r="O454" s="1961">
        <v>0</v>
      </c>
      <c r="P454" s="1951">
        <v>0</v>
      </c>
      <c r="Q454" s="1960">
        <v>0</v>
      </c>
    </row>
    <row r="455" spans="1:17" ht="12.75" customHeight="1">
      <c r="A455" s="2332" t="s">
        <v>3459</v>
      </c>
      <c r="B455" s="2185" t="s">
        <v>3709</v>
      </c>
      <c r="C455" s="2296" t="s">
        <v>3453</v>
      </c>
      <c r="D455" s="2296"/>
      <c r="E455" s="2333" t="s">
        <v>3467</v>
      </c>
      <c r="F455" s="2333" t="s">
        <v>3468</v>
      </c>
      <c r="G455" s="2185" t="s">
        <v>3469</v>
      </c>
      <c r="H455" s="2333"/>
      <c r="I455" s="2334"/>
      <c r="J455" s="2185"/>
      <c r="K455" s="2336"/>
      <c r="L455" s="2335"/>
      <c r="M455" s="1951"/>
      <c r="N455" s="1962"/>
      <c r="O455" s="1961">
        <v>2000</v>
      </c>
      <c r="P455" s="1951">
        <v>2000</v>
      </c>
      <c r="Q455" s="1960">
        <v>2000</v>
      </c>
    </row>
    <row r="456" spans="1:17" ht="12.75" customHeight="1">
      <c r="A456" s="2332" t="s">
        <v>3490</v>
      </c>
      <c r="B456" s="2185" t="s">
        <v>3494</v>
      </c>
      <c r="C456" s="2296" t="s">
        <v>3453</v>
      </c>
      <c r="D456" s="2296"/>
      <c r="E456" s="2333" t="s">
        <v>3467</v>
      </c>
      <c r="F456" s="2333" t="s">
        <v>3468</v>
      </c>
      <c r="G456" s="2185" t="s">
        <v>3469</v>
      </c>
      <c r="H456" s="2333"/>
      <c r="I456" s="2334"/>
      <c r="J456" s="2185"/>
      <c r="K456" s="2336"/>
      <c r="L456" s="2335"/>
      <c r="M456" s="1951"/>
      <c r="N456" s="1962"/>
      <c r="O456" s="1961">
        <v>746603</v>
      </c>
      <c r="P456" s="1951">
        <v>780947</v>
      </c>
      <c r="Q456" s="1960">
        <v>816871</v>
      </c>
    </row>
    <row r="457" spans="1:17" ht="12.75" customHeight="1">
      <c r="A457" s="2332" t="s">
        <v>3523</v>
      </c>
      <c r="B457" s="2185" t="s">
        <v>3724</v>
      </c>
      <c r="C457" s="2296" t="s">
        <v>3497</v>
      </c>
      <c r="D457" s="2296"/>
      <c r="E457" s="2333" t="s">
        <v>3467</v>
      </c>
      <c r="F457" s="2333" t="s">
        <v>3468</v>
      </c>
      <c r="G457" s="2185" t="s">
        <v>3469</v>
      </c>
      <c r="H457" s="2333"/>
      <c r="I457" s="2334"/>
      <c r="J457" s="2185"/>
      <c r="K457" s="2336"/>
      <c r="L457" s="2335"/>
      <c r="M457" s="1951"/>
      <c r="N457" s="1962"/>
      <c r="O457" s="1961">
        <v>9778</v>
      </c>
      <c r="P457" s="1951">
        <v>10228</v>
      </c>
      <c r="Q457" s="1960">
        <v>10699</v>
      </c>
    </row>
    <row r="458" spans="1:17" ht="12.75" customHeight="1">
      <c r="A458" s="2332" t="s">
        <v>3565</v>
      </c>
      <c r="B458" s="2185" t="s">
        <v>3628</v>
      </c>
      <c r="C458" s="2296" t="s">
        <v>3453</v>
      </c>
      <c r="D458" s="2296"/>
      <c r="E458" s="2333" t="s">
        <v>3467</v>
      </c>
      <c r="F458" s="2333" t="s">
        <v>3468</v>
      </c>
      <c r="G458" s="2185" t="s">
        <v>3469</v>
      </c>
      <c r="H458" s="2333"/>
      <c r="I458" s="2334"/>
      <c r="J458" s="2185"/>
      <c r="K458" s="2336"/>
      <c r="L458" s="2335"/>
      <c r="M458" s="1951"/>
      <c r="N458" s="1962"/>
      <c r="O458" s="1961">
        <v>28084</v>
      </c>
      <c r="P458" s="1951">
        <v>29376</v>
      </c>
      <c r="Q458" s="1960">
        <v>30728</v>
      </c>
    </row>
    <row r="459" spans="1:17" ht="12.75" customHeight="1">
      <c r="A459" s="2332" t="s">
        <v>3464</v>
      </c>
      <c r="B459" s="2185" t="s">
        <v>3665</v>
      </c>
      <c r="C459" s="2296" t="s">
        <v>3453</v>
      </c>
      <c r="D459" s="2296"/>
      <c r="E459" s="2333" t="s">
        <v>3467</v>
      </c>
      <c r="F459" s="2333" t="s">
        <v>3468</v>
      </c>
      <c r="G459" s="2185" t="s">
        <v>3469</v>
      </c>
      <c r="H459" s="2333"/>
      <c r="I459" s="2334"/>
      <c r="J459" s="2185"/>
      <c r="K459" s="2336"/>
      <c r="L459" s="2335"/>
      <c r="M459" s="1951"/>
      <c r="N459" s="1962"/>
      <c r="O459" s="1961">
        <v>0</v>
      </c>
      <c r="P459" s="1951">
        <v>0</v>
      </c>
      <c r="Q459" s="1960">
        <v>0</v>
      </c>
    </row>
    <row r="460" spans="1:17" ht="12.75" customHeight="1">
      <c r="A460" s="2332" t="s">
        <v>3464</v>
      </c>
      <c r="B460" s="2185" t="s">
        <v>3489</v>
      </c>
      <c r="C460" s="2296" t="s">
        <v>3453</v>
      </c>
      <c r="D460" s="2296"/>
      <c r="E460" s="2333" t="s">
        <v>3467</v>
      </c>
      <c r="F460" s="2333" t="s">
        <v>3468</v>
      </c>
      <c r="G460" s="2185" t="s">
        <v>3469</v>
      </c>
      <c r="H460" s="2333"/>
      <c r="I460" s="2334"/>
      <c r="J460" s="2185"/>
      <c r="K460" s="2336"/>
      <c r="L460" s="2335"/>
      <c r="M460" s="1951"/>
      <c r="N460" s="1962"/>
      <c r="O460" s="1961">
        <v>121335</v>
      </c>
      <c r="P460" s="1951">
        <v>126917</v>
      </c>
      <c r="Q460" s="1960">
        <v>132755</v>
      </c>
    </row>
    <row r="461" spans="1:17" ht="12.75" customHeight="1">
      <c r="A461" s="2332" t="s">
        <v>3490</v>
      </c>
      <c r="B461" s="2185" t="s">
        <v>3493</v>
      </c>
      <c r="C461" s="2296" t="s">
        <v>3453</v>
      </c>
      <c r="D461" s="2296"/>
      <c r="E461" s="2333" t="s">
        <v>3467</v>
      </c>
      <c r="F461" s="2333" t="s">
        <v>3468</v>
      </c>
      <c r="G461" s="2185" t="s">
        <v>3469</v>
      </c>
      <c r="H461" s="2333"/>
      <c r="I461" s="2334"/>
      <c r="J461" s="2185"/>
      <c r="K461" s="2336"/>
      <c r="L461" s="2335"/>
      <c r="M461" s="1951"/>
      <c r="N461" s="1962"/>
      <c r="O461" s="1961">
        <v>40596</v>
      </c>
      <c r="P461" s="1951">
        <v>42464</v>
      </c>
      <c r="Q461" s="1960">
        <v>44417</v>
      </c>
    </row>
    <row r="462" spans="1:17" ht="12.75" customHeight="1">
      <c r="A462" s="2332" t="s">
        <v>3506</v>
      </c>
      <c r="B462" s="2185" t="s">
        <v>3725</v>
      </c>
      <c r="C462" s="2296" t="s">
        <v>3453</v>
      </c>
      <c r="D462" s="2296"/>
      <c r="E462" s="2333" t="s">
        <v>3467</v>
      </c>
      <c r="F462" s="2333" t="s">
        <v>3468</v>
      </c>
      <c r="G462" s="2185" t="s">
        <v>3469</v>
      </c>
      <c r="H462" s="2333"/>
      <c r="I462" s="2334"/>
      <c r="J462" s="2185"/>
      <c r="K462" s="2336"/>
      <c r="L462" s="2335"/>
      <c r="M462" s="1951"/>
      <c r="N462" s="1962"/>
      <c r="O462" s="1961">
        <v>24000</v>
      </c>
      <c r="P462" s="1951">
        <v>25104</v>
      </c>
      <c r="Q462" s="1960">
        <v>26259</v>
      </c>
    </row>
    <row r="463" spans="1:17" ht="12.75" customHeight="1">
      <c r="A463" s="2332" t="s">
        <v>3459</v>
      </c>
      <c r="B463" s="2185" t="s">
        <v>3498</v>
      </c>
      <c r="C463" s="2296" t="s">
        <v>3453</v>
      </c>
      <c r="D463" s="2296"/>
      <c r="E463" s="2333" t="s">
        <v>3467</v>
      </c>
      <c r="F463" s="2333" t="s">
        <v>3468</v>
      </c>
      <c r="G463" s="2185" t="s">
        <v>3469</v>
      </c>
      <c r="H463" s="2333"/>
      <c r="I463" s="2334"/>
      <c r="J463" s="2185"/>
      <c r="K463" s="2336"/>
      <c r="L463" s="2335"/>
      <c r="M463" s="1951"/>
      <c r="N463" s="1962"/>
      <c r="O463" s="1961">
        <v>646907</v>
      </c>
      <c r="P463" s="1951">
        <v>676665</v>
      </c>
      <c r="Q463" s="1960">
        <v>707792</v>
      </c>
    </row>
    <row r="464" spans="1:17" ht="12.75" customHeight="1">
      <c r="A464" s="2332" t="s">
        <v>3464</v>
      </c>
      <c r="B464" s="2185" t="s">
        <v>3489</v>
      </c>
      <c r="C464" s="2296" t="s">
        <v>3453</v>
      </c>
      <c r="D464" s="2296"/>
      <c r="E464" s="2333" t="s">
        <v>3467</v>
      </c>
      <c r="F464" s="2333" t="s">
        <v>3468</v>
      </c>
      <c r="G464" s="2185" t="s">
        <v>3469</v>
      </c>
      <c r="H464" s="2333"/>
      <c r="I464" s="2334"/>
      <c r="J464" s="2185"/>
      <c r="K464" s="2336"/>
      <c r="L464" s="2335"/>
      <c r="M464" s="1951"/>
      <c r="N464" s="1962"/>
      <c r="O464" s="1961">
        <v>26167</v>
      </c>
      <c r="P464" s="1951">
        <v>27371</v>
      </c>
      <c r="Q464" s="1960">
        <v>28630</v>
      </c>
    </row>
    <row r="465" spans="1:17" ht="12.75" customHeight="1">
      <c r="A465" s="2332" t="s">
        <v>3459</v>
      </c>
      <c r="B465" s="2185" t="s">
        <v>3669</v>
      </c>
      <c r="C465" s="2296" t="s">
        <v>3453</v>
      </c>
      <c r="D465" s="2296"/>
      <c r="E465" s="2333" t="s">
        <v>3467</v>
      </c>
      <c r="F465" s="2333" t="s">
        <v>3468</v>
      </c>
      <c r="G465" s="2185" t="s">
        <v>3469</v>
      </c>
      <c r="H465" s="2333"/>
      <c r="I465" s="2334"/>
      <c r="J465" s="2185"/>
      <c r="K465" s="2336"/>
      <c r="L465" s="2335"/>
      <c r="M465" s="1951"/>
      <c r="N465" s="1962"/>
      <c r="O465" s="1961">
        <v>28230</v>
      </c>
      <c r="P465" s="1951">
        <v>29529</v>
      </c>
      <c r="Q465" s="1960">
        <v>30887</v>
      </c>
    </row>
    <row r="466" spans="1:17" ht="12.75" customHeight="1">
      <c r="A466" s="2332" t="s">
        <v>3464</v>
      </c>
      <c r="B466" s="2185" t="s">
        <v>3522</v>
      </c>
      <c r="C466" s="2296" t="s">
        <v>3453</v>
      </c>
      <c r="D466" s="2296"/>
      <c r="E466" s="2333" t="s">
        <v>3467</v>
      </c>
      <c r="F466" s="2333" t="s">
        <v>3468</v>
      </c>
      <c r="G466" s="2185" t="s">
        <v>3469</v>
      </c>
      <c r="H466" s="2333"/>
      <c r="I466" s="2334"/>
      <c r="J466" s="2185"/>
      <c r="K466" s="2336"/>
      <c r="L466" s="2335"/>
      <c r="M466" s="1951"/>
      <c r="N466" s="1962"/>
      <c r="O466" s="1961">
        <v>0</v>
      </c>
      <c r="P466" s="1951">
        <v>0</v>
      </c>
      <c r="Q466" s="1960">
        <v>0</v>
      </c>
    </row>
    <row r="467" spans="1:17" ht="12.75" customHeight="1">
      <c r="A467" s="2332" t="s">
        <v>3459</v>
      </c>
      <c r="B467" s="2185" t="s">
        <v>3616</v>
      </c>
      <c r="C467" s="2296" t="s">
        <v>3453</v>
      </c>
      <c r="D467" s="2296"/>
      <c r="E467" s="2333" t="s">
        <v>3467</v>
      </c>
      <c r="F467" s="2333" t="s">
        <v>3468</v>
      </c>
      <c r="G467" s="2185" t="s">
        <v>3469</v>
      </c>
      <c r="H467" s="2333"/>
      <c r="I467" s="2334"/>
      <c r="J467" s="2185"/>
      <c r="K467" s="2336"/>
      <c r="L467" s="2335"/>
      <c r="M467" s="1951"/>
      <c r="N467" s="1962"/>
      <c r="O467" s="1961">
        <v>21025</v>
      </c>
      <c r="P467" s="1951">
        <v>21993</v>
      </c>
      <c r="Q467" s="1960">
        <v>23004</v>
      </c>
    </row>
    <row r="468" spans="1:17" ht="12.75" customHeight="1">
      <c r="A468" s="2332" t="s">
        <v>3506</v>
      </c>
      <c r="B468" s="2185" t="s">
        <v>3726</v>
      </c>
      <c r="C468" s="2296" t="s">
        <v>3562</v>
      </c>
      <c r="D468" s="2296"/>
      <c r="E468" s="2333" t="s">
        <v>3467</v>
      </c>
      <c r="F468" s="2333" t="s">
        <v>3468</v>
      </c>
      <c r="G468" s="2185" t="s">
        <v>3469</v>
      </c>
      <c r="H468" s="2333"/>
      <c r="I468" s="2334"/>
      <c r="J468" s="2185"/>
      <c r="K468" s="2336"/>
      <c r="L468" s="2335"/>
      <c r="M468" s="1951"/>
      <c r="N468" s="1962"/>
      <c r="O468" s="1961">
        <v>2341</v>
      </c>
      <c r="P468" s="1951">
        <v>2449</v>
      </c>
      <c r="Q468" s="1960">
        <v>2562</v>
      </c>
    </row>
    <row r="469" spans="1:17" ht="12.75" customHeight="1">
      <c r="A469" s="2332" t="s">
        <v>3464</v>
      </c>
      <c r="B469" s="2185" t="s">
        <v>3482</v>
      </c>
      <c r="C469" s="2296" t="s">
        <v>3453</v>
      </c>
      <c r="D469" s="2296"/>
      <c r="E469" s="2333" t="s">
        <v>3467</v>
      </c>
      <c r="F469" s="2333" t="s">
        <v>3468</v>
      </c>
      <c r="G469" s="2185" t="s">
        <v>3469</v>
      </c>
      <c r="H469" s="2333"/>
      <c r="I469" s="2334"/>
      <c r="J469" s="2185"/>
      <c r="K469" s="2336"/>
      <c r="L469" s="2335"/>
      <c r="M469" s="1951"/>
      <c r="N469" s="1962"/>
      <c r="O469" s="1961">
        <v>213241</v>
      </c>
      <c r="P469" s="1951">
        <v>223051</v>
      </c>
      <c r="Q469" s="1960">
        <v>233311</v>
      </c>
    </row>
    <row r="470" spans="1:17" ht="12.75" customHeight="1">
      <c r="A470" s="2332" t="s">
        <v>3510</v>
      </c>
      <c r="B470" s="2185" t="s">
        <v>3642</v>
      </c>
      <c r="C470" s="2296" t="s">
        <v>3453</v>
      </c>
      <c r="D470" s="2296"/>
      <c r="E470" s="2333" t="s">
        <v>3467</v>
      </c>
      <c r="F470" s="2333" t="s">
        <v>3468</v>
      </c>
      <c r="G470" s="2185" t="s">
        <v>3469</v>
      </c>
      <c r="H470" s="2333"/>
      <c r="I470" s="2334"/>
      <c r="J470" s="2185"/>
      <c r="K470" s="2336"/>
      <c r="L470" s="2335"/>
      <c r="M470" s="1951"/>
      <c r="N470" s="1962"/>
      <c r="O470" s="1961">
        <v>132454</v>
      </c>
      <c r="P470" s="1951">
        <v>138547</v>
      </c>
      <c r="Q470" s="1960">
        <v>144920</v>
      </c>
    </row>
    <row r="471" spans="1:17" ht="12.75" customHeight="1">
      <c r="A471" s="2332" t="s">
        <v>3531</v>
      </c>
      <c r="B471" s="2185" t="s">
        <v>3532</v>
      </c>
      <c r="C471" s="2296" t="s">
        <v>3453</v>
      </c>
      <c r="D471" s="2296"/>
      <c r="E471" s="2333" t="s">
        <v>3467</v>
      </c>
      <c r="F471" s="2333" t="s">
        <v>3468</v>
      </c>
      <c r="G471" s="2185" t="s">
        <v>3469</v>
      </c>
      <c r="H471" s="2333"/>
      <c r="I471" s="2334"/>
      <c r="J471" s="2185"/>
      <c r="K471" s="2336"/>
      <c r="L471" s="2335"/>
      <c r="M471" s="1951"/>
      <c r="N471" s="1962"/>
      <c r="O471" s="1961">
        <v>0</v>
      </c>
      <c r="P471" s="1951">
        <v>0</v>
      </c>
      <c r="Q471" s="1960">
        <v>0</v>
      </c>
    </row>
    <row r="472" spans="1:17" ht="12.75" customHeight="1">
      <c r="A472" s="2332" t="s">
        <v>3520</v>
      </c>
      <c r="B472" s="2185" t="s">
        <v>3668</v>
      </c>
      <c r="C472" s="2296" t="s">
        <v>3453</v>
      </c>
      <c r="D472" s="2296"/>
      <c r="E472" s="2333" t="s">
        <v>3467</v>
      </c>
      <c r="F472" s="2333" t="s">
        <v>3468</v>
      </c>
      <c r="G472" s="2185" t="s">
        <v>3469</v>
      </c>
      <c r="H472" s="2333"/>
      <c r="I472" s="2334"/>
      <c r="J472" s="2185"/>
      <c r="K472" s="2336"/>
      <c r="L472" s="2335"/>
      <c r="M472" s="1951"/>
      <c r="N472" s="1962"/>
      <c r="O472" s="1961">
        <v>10480</v>
      </c>
      <c r="P472" s="1951">
        <v>10963</v>
      </c>
      <c r="Q472" s="1960">
        <v>11467</v>
      </c>
    </row>
    <row r="473" spans="1:17" ht="12.75" customHeight="1">
      <c r="A473" s="2332" t="s">
        <v>3523</v>
      </c>
      <c r="B473" s="2185" t="s">
        <v>3720</v>
      </c>
      <c r="C473" s="2296" t="s">
        <v>3453</v>
      </c>
      <c r="D473" s="2296"/>
      <c r="E473" s="2333" t="s">
        <v>3467</v>
      </c>
      <c r="F473" s="2333" t="s">
        <v>3468</v>
      </c>
      <c r="G473" s="2185" t="s">
        <v>3469</v>
      </c>
      <c r="H473" s="2333"/>
      <c r="I473" s="2334"/>
      <c r="J473" s="2185"/>
      <c r="K473" s="2336"/>
      <c r="L473" s="2335"/>
      <c r="M473" s="1951"/>
      <c r="N473" s="1962"/>
      <c r="O473" s="1961">
        <v>2454</v>
      </c>
      <c r="P473" s="1951">
        <v>2567</v>
      </c>
      <c r="Q473" s="1960">
        <v>2685</v>
      </c>
    </row>
    <row r="474" spans="1:17" ht="12.75" customHeight="1">
      <c r="A474" s="2332" t="s">
        <v>3523</v>
      </c>
      <c r="B474" s="2185" t="s">
        <v>3626</v>
      </c>
      <c r="C474" s="2296" t="s">
        <v>3453</v>
      </c>
      <c r="D474" s="2296"/>
      <c r="E474" s="2333" t="s">
        <v>3467</v>
      </c>
      <c r="F474" s="2333" t="s">
        <v>3468</v>
      </c>
      <c r="G474" s="2185" t="s">
        <v>3469</v>
      </c>
      <c r="H474" s="2333"/>
      <c r="I474" s="2334"/>
      <c r="J474" s="2185"/>
      <c r="K474" s="2336"/>
      <c r="L474" s="2335"/>
      <c r="M474" s="1951"/>
      <c r="N474" s="1962"/>
      <c r="O474" s="1961">
        <v>201160</v>
      </c>
      <c r="P474" s="1951">
        <v>210414</v>
      </c>
      <c r="Q474" s="1960">
        <v>220093</v>
      </c>
    </row>
    <row r="475" spans="1:17" ht="12.75" customHeight="1">
      <c r="A475" s="2332" t="s">
        <v>3477</v>
      </c>
      <c r="B475" s="2185" t="s">
        <v>3575</v>
      </c>
      <c r="C475" s="2296" t="s">
        <v>3453</v>
      </c>
      <c r="D475" s="2296"/>
      <c r="E475" s="2333" t="s">
        <v>3467</v>
      </c>
      <c r="F475" s="2333" t="s">
        <v>3468</v>
      </c>
      <c r="G475" s="2185" t="s">
        <v>3469</v>
      </c>
      <c r="H475" s="2333"/>
      <c r="I475" s="2334"/>
      <c r="J475" s="2185"/>
      <c r="K475" s="2336"/>
      <c r="L475" s="2335"/>
      <c r="M475" s="1951"/>
      <c r="N475" s="1962"/>
      <c r="O475" s="1961">
        <v>84849</v>
      </c>
      <c r="P475" s="1951">
        <v>88753</v>
      </c>
      <c r="Q475" s="1960">
        <v>92835</v>
      </c>
    </row>
    <row r="476" spans="1:17" ht="12.75" customHeight="1">
      <c r="A476" s="2332" t="s">
        <v>3508</v>
      </c>
      <c r="B476" s="2185" t="s">
        <v>3681</v>
      </c>
      <c r="C476" s="2296" t="s">
        <v>3453</v>
      </c>
      <c r="D476" s="2296"/>
      <c r="E476" s="2333" t="s">
        <v>3467</v>
      </c>
      <c r="F476" s="2333" t="s">
        <v>3468</v>
      </c>
      <c r="G476" s="2185" t="s">
        <v>3469</v>
      </c>
      <c r="H476" s="2333"/>
      <c r="I476" s="2334"/>
      <c r="J476" s="2185"/>
      <c r="K476" s="2336"/>
      <c r="L476" s="2335"/>
      <c r="M476" s="1951"/>
      <c r="N476" s="1962"/>
      <c r="O476" s="1961">
        <v>28670</v>
      </c>
      <c r="P476" s="1951">
        <v>29989</v>
      </c>
      <c r="Q476" s="1960">
        <v>31369</v>
      </c>
    </row>
    <row r="477" spans="1:17" ht="12.75" customHeight="1">
      <c r="A477" s="2332" t="s">
        <v>3506</v>
      </c>
      <c r="B477" s="2185" t="s">
        <v>3727</v>
      </c>
      <c r="C477" s="2296" t="s">
        <v>3492</v>
      </c>
      <c r="D477" s="2296"/>
      <c r="E477" s="2333" t="s">
        <v>3467</v>
      </c>
      <c r="F477" s="2333" t="s">
        <v>3468</v>
      </c>
      <c r="G477" s="2185" t="s">
        <v>3469</v>
      </c>
      <c r="H477" s="2333"/>
      <c r="I477" s="2334"/>
      <c r="J477" s="2185"/>
      <c r="K477" s="2336"/>
      <c r="L477" s="2335"/>
      <c r="M477" s="1951"/>
      <c r="N477" s="1962"/>
      <c r="O477" s="1961">
        <v>0</v>
      </c>
      <c r="P477" s="1951">
        <v>0</v>
      </c>
      <c r="Q477" s="1960">
        <v>0</v>
      </c>
    </row>
    <row r="478" spans="1:17" ht="12.75" customHeight="1">
      <c r="A478" s="2332" t="s">
        <v>3473</v>
      </c>
      <c r="B478" s="2185" t="s">
        <v>3474</v>
      </c>
      <c r="C478" s="2296" t="s">
        <v>3453</v>
      </c>
      <c r="D478" s="2296"/>
      <c r="E478" s="2333" t="s">
        <v>3467</v>
      </c>
      <c r="F478" s="2333" t="s">
        <v>3468</v>
      </c>
      <c r="G478" s="2185" t="s">
        <v>3469</v>
      </c>
      <c r="H478" s="2333"/>
      <c r="I478" s="2334"/>
      <c r="J478" s="2185"/>
      <c r="K478" s="2336"/>
      <c r="L478" s="2335"/>
      <c r="M478" s="1951"/>
      <c r="N478" s="1962"/>
      <c r="O478" s="1961">
        <v>32482</v>
      </c>
      <c r="P478" s="1951">
        <v>33976</v>
      </c>
      <c r="Q478" s="1960">
        <v>35539</v>
      </c>
    </row>
    <row r="479" spans="1:17" ht="12.75" customHeight="1">
      <c r="A479" s="2332" t="s">
        <v>3558</v>
      </c>
      <c r="B479" s="2185" t="s">
        <v>3559</v>
      </c>
      <c r="C479" s="2296" t="s">
        <v>3453</v>
      </c>
      <c r="D479" s="2296"/>
      <c r="E479" s="2333" t="s">
        <v>3467</v>
      </c>
      <c r="F479" s="2333" t="s">
        <v>3468</v>
      </c>
      <c r="G479" s="2185" t="s">
        <v>3469</v>
      </c>
      <c r="H479" s="2333"/>
      <c r="I479" s="2334"/>
      <c r="J479" s="2185"/>
      <c r="K479" s="2336"/>
      <c r="L479" s="2335"/>
      <c r="M479" s="1951"/>
      <c r="N479" s="1962"/>
      <c r="O479" s="1961">
        <v>27990</v>
      </c>
      <c r="P479" s="1951">
        <v>29278</v>
      </c>
      <c r="Q479" s="1960">
        <v>30625</v>
      </c>
    </row>
    <row r="480" spans="1:17" ht="12.75" customHeight="1">
      <c r="A480" s="2332" t="s">
        <v>3576</v>
      </c>
      <c r="B480" s="2185" t="s">
        <v>3596</v>
      </c>
      <c r="C480" s="2296" t="s">
        <v>3453</v>
      </c>
      <c r="D480" s="2296"/>
      <c r="E480" s="2333" t="s">
        <v>3467</v>
      </c>
      <c r="F480" s="2333" t="s">
        <v>3468</v>
      </c>
      <c r="G480" s="2185" t="s">
        <v>3469</v>
      </c>
      <c r="H480" s="2333"/>
      <c r="I480" s="2334"/>
      <c r="J480" s="2185"/>
      <c r="K480" s="2336"/>
      <c r="L480" s="2335"/>
      <c r="M480" s="1951"/>
      <c r="N480" s="1962"/>
      <c r="O480" s="1961">
        <v>2371215</v>
      </c>
      <c r="P480" s="1951">
        <v>2480291</v>
      </c>
      <c r="Q480" s="1960">
        <v>2594385</v>
      </c>
    </row>
    <row r="481" spans="1:17" ht="12.75" customHeight="1">
      <c r="A481" s="2332" t="s">
        <v>3538</v>
      </c>
      <c r="B481" s="2185" t="s">
        <v>3539</v>
      </c>
      <c r="C481" s="2296" t="s">
        <v>3453</v>
      </c>
      <c r="D481" s="2296"/>
      <c r="E481" s="2333" t="s">
        <v>3467</v>
      </c>
      <c r="F481" s="2333" t="s">
        <v>3468</v>
      </c>
      <c r="G481" s="2185" t="s">
        <v>3469</v>
      </c>
      <c r="H481" s="2333"/>
      <c r="I481" s="2334"/>
      <c r="J481" s="2185"/>
      <c r="K481" s="2336"/>
      <c r="L481" s="2335"/>
      <c r="M481" s="1951"/>
      <c r="N481" s="1962"/>
      <c r="O481" s="1961">
        <v>204151</v>
      </c>
      <c r="P481" s="1951">
        <v>213542</v>
      </c>
      <c r="Q481" s="1960">
        <v>223365</v>
      </c>
    </row>
    <row r="482" spans="1:17" ht="12.75" customHeight="1">
      <c r="A482" s="2332" t="s">
        <v>3459</v>
      </c>
      <c r="B482" s="2185" t="s">
        <v>3612</v>
      </c>
      <c r="C482" s="2296" t="s">
        <v>3453</v>
      </c>
      <c r="D482" s="2296"/>
      <c r="E482" s="2333" t="s">
        <v>3467</v>
      </c>
      <c r="F482" s="2333" t="s">
        <v>3468</v>
      </c>
      <c r="G482" s="2185" t="s">
        <v>3469</v>
      </c>
      <c r="H482" s="2333"/>
      <c r="I482" s="2334"/>
      <c r="J482" s="2185"/>
      <c r="K482" s="2336"/>
      <c r="L482" s="2335"/>
      <c r="M482" s="1951"/>
      <c r="N482" s="1962"/>
      <c r="O482" s="1961">
        <v>0</v>
      </c>
      <c r="P482" s="1951">
        <v>0</v>
      </c>
      <c r="Q482" s="1960">
        <v>0</v>
      </c>
    </row>
    <row r="483" spans="1:17" ht="12.75" customHeight="1">
      <c r="A483" s="2332" t="s">
        <v>3454</v>
      </c>
      <c r="B483" s="2185" t="s">
        <v>3545</v>
      </c>
      <c r="C483" s="2296" t="s">
        <v>3453</v>
      </c>
      <c r="D483" s="2296"/>
      <c r="E483" s="2333" t="s">
        <v>3467</v>
      </c>
      <c r="F483" s="2333" t="s">
        <v>3468</v>
      </c>
      <c r="G483" s="2185" t="s">
        <v>3469</v>
      </c>
      <c r="H483" s="2333"/>
      <c r="I483" s="2334"/>
      <c r="J483" s="2185"/>
      <c r="K483" s="2336"/>
      <c r="L483" s="2335"/>
      <c r="M483" s="1951"/>
      <c r="N483" s="1962"/>
      <c r="O483" s="1961">
        <v>0</v>
      </c>
      <c r="P483" s="1951">
        <v>0</v>
      </c>
      <c r="Q483" s="1960">
        <v>0</v>
      </c>
    </row>
    <row r="484" spans="1:17" ht="12.75" customHeight="1">
      <c r="A484" s="2332" t="s">
        <v>3459</v>
      </c>
      <c r="B484" s="2185" t="s">
        <v>3669</v>
      </c>
      <c r="C484" s="2296" t="s">
        <v>3453</v>
      </c>
      <c r="D484" s="2296"/>
      <c r="E484" s="2333" t="s">
        <v>3467</v>
      </c>
      <c r="F484" s="2333" t="s">
        <v>3468</v>
      </c>
      <c r="G484" s="2185" t="s">
        <v>3469</v>
      </c>
      <c r="H484" s="2333"/>
      <c r="I484" s="2334"/>
      <c r="J484" s="2185"/>
      <c r="K484" s="2336"/>
      <c r="L484" s="2335"/>
      <c r="M484" s="1951"/>
      <c r="N484" s="1962"/>
      <c r="O484" s="1961">
        <v>9557</v>
      </c>
      <c r="P484" s="1951">
        <v>9997</v>
      </c>
      <c r="Q484" s="1960">
        <v>10457</v>
      </c>
    </row>
    <row r="485" spans="1:17" ht="12.75" customHeight="1">
      <c r="A485" s="2332" t="s">
        <v>3499</v>
      </c>
      <c r="B485" s="2185" t="s">
        <v>3589</v>
      </c>
      <c r="C485" s="2296" t="s">
        <v>3453</v>
      </c>
      <c r="D485" s="2296"/>
      <c r="E485" s="2333" t="s">
        <v>3467</v>
      </c>
      <c r="F485" s="2333" t="s">
        <v>3468</v>
      </c>
      <c r="G485" s="2185" t="s">
        <v>3469</v>
      </c>
      <c r="H485" s="2333"/>
      <c r="I485" s="2334"/>
      <c r="J485" s="2185"/>
      <c r="K485" s="2336"/>
      <c r="L485" s="2335"/>
      <c r="M485" s="1951"/>
      <c r="N485" s="1962"/>
      <c r="O485" s="1961">
        <v>101898</v>
      </c>
      <c r="P485" s="1951">
        <v>106586</v>
      </c>
      <c r="Q485" s="1960">
        <v>111489</v>
      </c>
    </row>
    <row r="486" spans="1:17" ht="12.75" customHeight="1">
      <c r="A486" s="2332" t="s">
        <v>3454</v>
      </c>
      <c r="B486" s="2185" t="s">
        <v>3545</v>
      </c>
      <c r="C486" s="2296" t="s">
        <v>3453</v>
      </c>
      <c r="D486" s="2296"/>
      <c r="E486" s="2333" t="s">
        <v>3467</v>
      </c>
      <c r="F486" s="2333" t="s">
        <v>3468</v>
      </c>
      <c r="G486" s="2185" t="s">
        <v>3469</v>
      </c>
      <c r="H486" s="2333"/>
      <c r="I486" s="2334"/>
      <c r="J486" s="2185"/>
      <c r="K486" s="2336"/>
      <c r="L486" s="2335"/>
      <c r="M486" s="1951"/>
      <c r="N486" s="1962"/>
      <c r="O486" s="1961">
        <v>0</v>
      </c>
      <c r="P486" s="1951">
        <v>0</v>
      </c>
      <c r="Q486" s="1960">
        <v>0</v>
      </c>
    </row>
    <row r="487" spans="1:17" ht="12.75" customHeight="1">
      <c r="A487" s="2332" t="s">
        <v>3459</v>
      </c>
      <c r="B487" s="2185" t="s">
        <v>3612</v>
      </c>
      <c r="C487" s="2296" t="s">
        <v>3453</v>
      </c>
      <c r="D487" s="2296"/>
      <c r="E487" s="2333" t="s">
        <v>3467</v>
      </c>
      <c r="F487" s="2333" t="s">
        <v>3468</v>
      </c>
      <c r="G487" s="2185" t="s">
        <v>3469</v>
      </c>
      <c r="H487" s="2333"/>
      <c r="I487" s="2334"/>
      <c r="J487" s="2185"/>
      <c r="K487" s="2336"/>
      <c r="L487" s="2335"/>
      <c r="M487" s="1951"/>
      <c r="N487" s="1962"/>
      <c r="O487" s="1961">
        <v>0</v>
      </c>
      <c r="P487" s="1951">
        <v>0</v>
      </c>
      <c r="Q487" s="1960">
        <v>0</v>
      </c>
    </row>
    <row r="488" spans="1:17" ht="12.75" customHeight="1">
      <c r="A488" s="2332" t="s">
        <v>3454</v>
      </c>
      <c r="B488" s="2185" t="s">
        <v>3512</v>
      </c>
      <c r="C488" s="2296" t="s">
        <v>3453</v>
      </c>
      <c r="D488" s="2296"/>
      <c r="E488" s="2333" t="s">
        <v>3467</v>
      </c>
      <c r="F488" s="2333" t="s">
        <v>3468</v>
      </c>
      <c r="G488" s="2185" t="s">
        <v>3469</v>
      </c>
      <c r="H488" s="2333"/>
      <c r="I488" s="2334"/>
      <c r="J488" s="2185"/>
      <c r="K488" s="2336"/>
      <c r="L488" s="2335"/>
      <c r="M488" s="1951"/>
      <c r="N488" s="1962"/>
      <c r="O488" s="1961">
        <v>0</v>
      </c>
      <c r="P488" s="1951">
        <v>0</v>
      </c>
      <c r="Q488" s="1960">
        <v>0</v>
      </c>
    </row>
    <row r="489" spans="1:17" ht="12.75" customHeight="1">
      <c r="A489" s="2332" t="s">
        <v>3473</v>
      </c>
      <c r="B489" s="2185" t="s">
        <v>3728</v>
      </c>
      <c r="C489" s="2296" t="s">
        <v>3497</v>
      </c>
      <c r="D489" s="2296"/>
      <c r="E489" s="2333" t="s">
        <v>3467</v>
      </c>
      <c r="F489" s="2333" t="s">
        <v>3468</v>
      </c>
      <c r="G489" s="2185" t="s">
        <v>3469</v>
      </c>
      <c r="H489" s="2333"/>
      <c r="I489" s="2334"/>
      <c r="J489" s="2185"/>
      <c r="K489" s="2336"/>
      <c r="L489" s="2335"/>
      <c r="M489" s="1951"/>
      <c r="N489" s="1962"/>
      <c r="O489" s="1961">
        <v>5000</v>
      </c>
      <c r="P489" s="1951">
        <v>5230</v>
      </c>
      <c r="Q489" s="1960">
        <v>5471</v>
      </c>
    </row>
    <row r="490" spans="1:17" ht="12.75" customHeight="1">
      <c r="A490" s="2332" t="s">
        <v>3459</v>
      </c>
      <c r="B490" s="2185" t="s">
        <v>3498</v>
      </c>
      <c r="C490" s="2296" t="s">
        <v>3453</v>
      </c>
      <c r="D490" s="2296"/>
      <c r="E490" s="2333" t="s">
        <v>3467</v>
      </c>
      <c r="F490" s="2333" t="s">
        <v>3468</v>
      </c>
      <c r="G490" s="2185" t="s">
        <v>3469</v>
      </c>
      <c r="H490" s="2333"/>
      <c r="I490" s="2334"/>
      <c r="J490" s="2185"/>
      <c r="K490" s="2336"/>
      <c r="L490" s="2335"/>
      <c r="M490" s="1951"/>
      <c r="N490" s="1962"/>
      <c r="O490" s="1961">
        <v>143397</v>
      </c>
      <c r="P490" s="1951">
        <v>149994</v>
      </c>
      <c r="Q490" s="1960">
        <v>156893</v>
      </c>
    </row>
    <row r="491" spans="1:17" ht="12.75" customHeight="1">
      <c r="A491" s="2332" t="s">
        <v>3520</v>
      </c>
      <c r="B491" s="2185" t="s">
        <v>3684</v>
      </c>
      <c r="C491" s="2296" t="s">
        <v>3453</v>
      </c>
      <c r="D491" s="2296"/>
      <c r="E491" s="2333" t="s">
        <v>3467</v>
      </c>
      <c r="F491" s="2333" t="s">
        <v>3468</v>
      </c>
      <c r="G491" s="2185" t="s">
        <v>3469</v>
      </c>
      <c r="H491" s="2333"/>
      <c r="I491" s="2334"/>
      <c r="J491" s="2185"/>
      <c r="K491" s="2336"/>
      <c r="L491" s="2335"/>
      <c r="M491" s="1951"/>
      <c r="N491" s="1962"/>
      <c r="O491" s="1961">
        <v>0</v>
      </c>
      <c r="P491" s="1951">
        <v>0</v>
      </c>
      <c r="Q491" s="1960">
        <v>0</v>
      </c>
    </row>
    <row r="492" spans="1:17" ht="12.75" customHeight="1">
      <c r="A492" s="2332" t="s">
        <v>3501</v>
      </c>
      <c r="B492" s="2185" t="s">
        <v>3553</v>
      </c>
      <c r="C492" s="2296" t="s">
        <v>3453</v>
      </c>
      <c r="D492" s="2296"/>
      <c r="E492" s="2333" t="s">
        <v>3467</v>
      </c>
      <c r="F492" s="2333" t="s">
        <v>3468</v>
      </c>
      <c r="G492" s="2185" t="s">
        <v>3469</v>
      </c>
      <c r="H492" s="2333"/>
      <c r="I492" s="2334"/>
      <c r="J492" s="2185"/>
      <c r="K492" s="2336"/>
      <c r="L492" s="2335"/>
      <c r="M492" s="1951"/>
      <c r="N492" s="1962"/>
      <c r="O492" s="1961">
        <v>4425</v>
      </c>
      <c r="P492" s="1951">
        <v>4629</v>
      </c>
      <c r="Q492" s="1960">
        <v>4842</v>
      </c>
    </row>
    <row r="493" spans="1:17" ht="12.75" customHeight="1">
      <c r="A493" s="2332" t="s">
        <v>3499</v>
      </c>
      <c r="B493" s="2185" t="s">
        <v>3729</v>
      </c>
      <c r="C493" s="2296" t="s">
        <v>3453</v>
      </c>
      <c r="D493" s="2296"/>
      <c r="E493" s="2333" t="s">
        <v>3467</v>
      </c>
      <c r="F493" s="2333" t="s">
        <v>3468</v>
      </c>
      <c r="G493" s="2185" t="s">
        <v>3469</v>
      </c>
      <c r="H493" s="2333"/>
      <c r="I493" s="2334"/>
      <c r="J493" s="2185"/>
      <c r="K493" s="2336"/>
      <c r="L493" s="2335"/>
      <c r="M493" s="1951"/>
      <c r="N493" s="1962"/>
      <c r="O493" s="1961">
        <v>5148</v>
      </c>
      <c r="P493" s="1951">
        <v>5385</v>
      </c>
      <c r="Q493" s="1960">
        <v>5633</v>
      </c>
    </row>
    <row r="494" spans="1:17" ht="12.75" customHeight="1">
      <c r="A494" s="2332" t="s">
        <v>3584</v>
      </c>
      <c r="B494" s="2185" t="s">
        <v>3608</v>
      </c>
      <c r="C494" s="2296" t="s">
        <v>3453</v>
      </c>
      <c r="D494" s="2296"/>
      <c r="E494" s="2333" t="s">
        <v>3467</v>
      </c>
      <c r="F494" s="2333" t="s">
        <v>3468</v>
      </c>
      <c r="G494" s="2185" t="s">
        <v>3469</v>
      </c>
      <c r="H494" s="2333"/>
      <c r="I494" s="2334"/>
      <c r="J494" s="2185"/>
      <c r="K494" s="2336"/>
      <c r="L494" s="2335"/>
      <c r="M494" s="1951"/>
      <c r="N494" s="1962"/>
      <c r="O494" s="1961">
        <v>54665</v>
      </c>
      <c r="P494" s="1951">
        <v>57180</v>
      </c>
      <c r="Q494" s="1960">
        <v>59810</v>
      </c>
    </row>
    <row r="495" spans="1:17" ht="12.75" customHeight="1">
      <c r="A495" s="2332" t="s">
        <v>3464</v>
      </c>
      <c r="B495" s="2185" t="s">
        <v>3605</v>
      </c>
      <c r="C495" s="2296" t="s">
        <v>3453</v>
      </c>
      <c r="D495" s="2296"/>
      <c r="E495" s="2333" t="s">
        <v>3467</v>
      </c>
      <c r="F495" s="2333" t="s">
        <v>3468</v>
      </c>
      <c r="G495" s="2185" t="s">
        <v>3469</v>
      </c>
      <c r="H495" s="2333"/>
      <c r="I495" s="2334"/>
      <c r="J495" s="2185"/>
      <c r="K495" s="2336"/>
      <c r="L495" s="2335"/>
      <c r="M495" s="1951"/>
      <c r="N495" s="1962"/>
      <c r="O495" s="1961">
        <v>217990</v>
      </c>
      <c r="P495" s="1951">
        <v>228018</v>
      </c>
      <c r="Q495" s="1960">
        <v>238506</v>
      </c>
    </row>
    <row r="496" spans="1:17" ht="12.75" customHeight="1">
      <c r="A496" s="2332" t="s">
        <v>3531</v>
      </c>
      <c r="B496" s="2185" t="s">
        <v>3649</v>
      </c>
      <c r="C496" s="2296" t="s">
        <v>3453</v>
      </c>
      <c r="D496" s="2296"/>
      <c r="E496" s="2333" t="s">
        <v>3467</v>
      </c>
      <c r="F496" s="2333" t="s">
        <v>3468</v>
      </c>
      <c r="G496" s="2185" t="s">
        <v>3469</v>
      </c>
      <c r="H496" s="2333"/>
      <c r="I496" s="2334"/>
      <c r="J496" s="2185"/>
      <c r="K496" s="2336"/>
      <c r="L496" s="2335"/>
      <c r="M496" s="1951"/>
      <c r="N496" s="1962"/>
      <c r="O496" s="1961">
        <v>0</v>
      </c>
      <c r="P496" s="1951">
        <v>0</v>
      </c>
      <c r="Q496" s="1960">
        <v>0</v>
      </c>
    </row>
    <row r="497" spans="1:17" ht="12.75" customHeight="1">
      <c r="A497" s="2332" t="s">
        <v>3459</v>
      </c>
      <c r="B497" s="2185" t="s">
        <v>3619</v>
      </c>
      <c r="C497" s="2296" t="s">
        <v>3453</v>
      </c>
      <c r="D497" s="2296"/>
      <c r="E497" s="2333" t="s">
        <v>3467</v>
      </c>
      <c r="F497" s="2333" t="s">
        <v>3468</v>
      </c>
      <c r="G497" s="2185" t="s">
        <v>3469</v>
      </c>
      <c r="H497" s="2333"/>
      <c r="I497" s="2334"/>
      <c r="J497" s="2185"/>
      <c r="K497" s="2336"/>
      <c r="L497" s="2335"/>
      <c r="M497" s="1951"/>
      <c r="N497" s="1962"/>
      <c r="O497" s="1961">
        <v>0</v>
      </c>
      <c r="P497" s="1951">
        <v>0</v>
      </c>
      <c r="Q497" s="1960">
        <v>0</v>
      </c>
    </row>
    <row r="498" spans="1:17" ht="12.75" customHeight="1">
      <c r="A498" s="2332" t="s">
        <v>3487</v>
      </c>
      <c r="B498" s="2185" t="s">
        <v>3730</v>
      </c>
      <c r="C498" s="2296" t="s">
        <v>3731</v>
      </c>
      <c r="D498" s="2296"/>
      <c r="E498" s="2333" t="s">
        <v>3467</v>
      </c>
      <c r="F498" s="2333" t="s">
        <v>3468</v>
      </c>
      <c r="G498" s="2185" t="s">
        <v>3469</v>
      </c>
      <c r="H498" s="2333"/>
      <c r="I498" s="2334"/>
      <c r="J498" s="2185"/>
      <c r="K498" s="2336"/>
      <c r="L498" s="2335"/>
      <c r="M498" s="1951"/>
      <c r="N498" s="1962"/>
      <c r="O498" s="1961">
        <v>4845</v>
      </c>
      <c r="P498" s="1951">
        <v>5068</v>
      </c>
      <c r="Q498" s="1960">
        <v>5301</v>
      </c>
    </row>
    <row r="499" spans="1:17" ht="12.75" customHeight="1">
      <c r="A499" s="2332" t="s">
        <v>3459</v>
      </c>
      <c r="B499" s="2185" t="s">
        <v>3732</v>
      </c>
      <c r="C499" s="2296" t="s">
        <v>3453</v>
      </c>
      <c r="D499" s="2296"/>
      <c r="E499" s="2333" t="s">
        <v>3467</v>
      </c>
      <c r="F499" s="2333" t="s">
        <v>3468</v>
      </c>
      <c r="G499" s="2185" t="s">
        <v>3469</v>
      </c>
      <c r="H499" s="2333"/>
      <c r="I499" s="2334"/>
      <c r="J499" s="2185"/>
      <c r="K499" s="2336"/>
      <c r="L499" s="2335"/>
      <c r="M499" s="1951"/>
      <c r="N499" s="1962"/>
      <c r="O499" s="1961">
        <v>0</v>
      </c>
      <c r="P499" s="1951">
        <v>0</v>
      </c>
      <c r="Q499" s="1960">
        <v>0</v>
      </c>
    </row>
    <row r="500" spans="1:17" ht="12.75" customHeight="1">
      <c r="A500" s="2332" t="s">
        <v>3454</v>
      </c>
      <c r="B500" s="2185" t="s">
        <v>3512</v>
      </c>
      <c r="C500" s="2296" t="s">
        <v>3453</v>
      </c>
      <c r="D500" s="2296"/>
      <c r="E500" s="2333" t="s">
        <v>3467</v>
      </c>
      <c r="F500" s="2333" t="s">
        <v>3468</v>
      </c>
      <c r="G500" s="2185" t="s">
        <v>3469</v>
      </c>
      <c r="H500" s="2333"/>
      <c r="I500" s="2334"/>
      <c r="J500" s="2185"/>
      <c r="K500" s="2336"/>
      <c r="L500" s="2335"/>
      <c r="M500" s="1951"/>
      <c r="N500" s="1962"/>
      <c r="O500" s="1961">
        <v>0</v>
      </c>
      <c r="P500" s="1951">
        <v>0</v>
      </c>
      <c r="Q500" s="1960">
        <v>0</v>
      </c>
    </row>
    <row r="501" spans="1:17" ht="12.75" customHeight="1">
      <c r="A501" s="2332" t="s">
        <v>3490</v>
      </c>
      <c r="B501" s="2185" t="s">
        <v>3733</v>
      </c>
      <c r="C501" s="2296" t="s">
        <v>3453</v>
      </c>
      <c r="D501" s="2296"/>
      <c r="E501" s="2333" t="s">
        <v>3467</v>
      </c>
      <c r="F501" s="2333" t="s">
        <v>3468</v>
      </c>
      <c r="G501" s="2185" t="s">
        <v>3469</v>
      </c>
      <c r="H501" s="2333"/>
      <c r="I501" s="2334"/>
      <c r="J501" s="2185"/>
      <c r="K501" s="2336"/>
      <c r="L501" s="2335"/>
      <c r="M501" s="1951"/>
      <c r="N501" s="1962"/>
      <c r="O501" s="1961">
        <v>3801</v>
      </c>
      <c r="P501" s="1951">
        <v>3976</v>
      </c>
      <c r="Q501" s="1960">
        <v>4159</v>
      </c>
    </row>
    <row r="502" spans="1:17" ht="12.75" customHeight="1">
      <c r="A502" s="2332" t="s">
        <v>3538</v>
      </c>
      <c r="B502" s="2185" t="s">
        <v>3734</v>
      </c>
      <c r="C502" s="2296" t="s">
        <v>3735</v>
      </c>
      <c r="D502" s="2296"/>
      <c r="E502" s="2333" t="s">
        <v>3467</v>
      </c>
      <c r="F502" s="2333" t="s">
        <v>3468</v>
      </c>
      <c r="G502" s="2185" t="s">
        <v>3469</v>
      </c>
      <c r="H502" s="2333"/>
      <c r="I502" s="2334"/>
      <c r="J502" s="2185"/>
      <c r="K502" s="2336"/>
      <c r="L502" s="2335"/>
      <c r="M502" s="1951"/>
      <c r="N502" s="1962"/>
      <c r="O502" s="1961">
        <v>5323</v>
      </c>
      <c r="P502" s="1951">
        <v>5568</v>
      </c>
      <c r="Q502" s="1960">
        <v>5824</v>
      </c>
    </row>
    <row r="503" spans="1:17" ht="12.75" customHeight="1">
      <c r="A503" s="2332" t="s">
        <v>3531</v>
      </c>
      <c r="B503" s="2185" t="s">
        <v>3532</v>
      </c>
      <c r="C503" s="2296" t="s">
        <v>3453</v>
      </c>
      <c r="D503" s="2296"/>
      <c r="E503" s="2333" t="s">
        <v>3467</v>
      </c>
      <c r="F503" s="2333" t="s">
        <v>3468</v>
      </c>
      <c r="G503" s="2185" t="s">
        <v>3469</v>
      </c>
      <c r="H503" s="2333"/>
      <c r="I503" s="2334"/>
      <c r="J503" s="2185"/>
      <c r="K503" s="2336"/>
      <c r="L503" s="2335"/>
      <c r="M503" s="1951"/>
      <c r="N503" s="1962"/>
      <c r="O503" s="1961">
        <v>0</v>
      </c>
      <c r="P503" s="1951">
        <v>0</v>
      </c>
      <c r="Q503" s="1960">
        <v>0</v>
      </c>
    </row>
    <row r="504" spans="1:17" ht="12.75" customHeight="1">
      <c r="A504" s="2332" t="s">
        <v>3454</v>
      </c>
      <c r="B504" s="2185" t="s">
        <v>3695</v>
      </c>
      <c r="C504" s="2296" t="s">
        <v>3453</v>
      </c>
      <c r="D504" s="2296"/>
      <c r="E504" s="2333" t="s">
        <v>3467</v>
      </c>
      <c r="F504" s="2333" t="s">
        <v>3468</v>
      </c>
      <c r="G504" s="2185" t="s">
        <v>3469</v>
      </c>
      <c r="H504" s="2333"/>
      <c r="I504" s="2334"/>
      <c r="J504" s="2185"/>
      <c r="K504" s="2336"/>
      <c r="L504" s="2335"/>
      <c r="M504" s="1951"/>
      <c r="N504" s="1962"/>
      <c r="O504" s="1961">
        <v>180600</v>
      </c>
      <c r="P504" s="1951">
        <v>188908</v>
      </c>
      <c r="Q504" s="1960">
        <v>197598</v>
      </c>
    </row>
    <row r="505" spans="1:17" ht="12.75" customHeight="1">
      <c r="A505" s="2332" t="s">
        <v>3490</v>
      </c>
      <c r="B505" s="2185" t="s">
        <v>3494</v>
      </c>
      <c r="C505" s="2296" t="s">
        <v>3453</v>
      </c>
      <c r="D505" s="2296"/>
      <c r="E505" s="2333" t="s">
        <v>3467</v>
      </c>
      <c r="F505" s="2333" t="s">
        <v>3468</v>
      </c>
      <c r="G505" s="2185" t="s">
        <v>3469</v>
      </c>
      <c r="H505" s="2333"/>
      <c r="I505" s="2334"/>
      <c r="J505" s="2185"/>
      <c r="K505" s="2336"/>
      <c r="L505" s="2335"/>
      <c r="M505" s="1951"/>
      <c r="N505" s="1962"/>
      <c r="O505" s="1961">
        <v>578646</v>
      </c>
      <c r="P505" s="1951">
        <v>605264</v>
      </c>
      <c r="Q505" s="1960">
        <v>633106</v>
      </c>
    </row>
    <row r="506" spans="1:17" ht="12.75" customHeight="1">
      <c r="A506" s="2332" t="s">
        <v>3508</v>
      </c>
      <c r="B506" s="2185" t="s">
        <v>3681</v>
      </c>
      <c r="C506" s="2296" t="s">
        <v>3453</v>
      </c>
      <c r="D506" s="2296"/>
      <c r="E506" s="2333" t="s">
        <v>3467</v>
      </c>
      <c r="F506" s="2333" t="s">
        <v>3468</v>
      </c>
      <c r="G506" s="2185" t="s">
        <v>3469</v>
      </c>
      <c r="H506" s="2333"/>
      <c r="I506" s="2334"/>
      <c r="J506" s="2185"/>
      <c r="K506" s="2336"/>
      <c r="L506" s="2335"/>
      <c r="M506" s="1951"/>
      <c r="N506" s="1962"/>
      <c r="O506" s="1961">
        <v>1797</v>
      </c>
      <c r="P506" s="1951">
        <v>1880</v>
      </c>
      <c r="Q506" s="1960">
        <v>1967</v>
      </c>
    </row>
    <row r="507" spans="1:17" ht="12.75" customHeight="1">
      <c r="A507" s="2332" t="s">
        <v>3576</v>
      </c>
      <c r="B507" s="2185" t="s">
        <v>3577</v>
      </c>
      <c r="C507" s="2296" t="s">
        <v>3453</v>
      </c>
      <c r="D507" s="2296"/>
      <c r="E507" s="2333" t="s">
        <v>3467</v>
      </c>
      <c r="F507" s="2333" t="s">
        <v>3468</v>
      </c>
      <c r="G507" s="2185" t="s">
        <v>3469</v>
      </c>
      <c r="H507" s="2333"/>
      <c r="I507" s="2334"/>
      <c r="J507" s="2185"/>
      <c r="K507" s="2336"/>
      <c r="L507" s="2335"/>
      <c r="M507" s="1951"/>
      <c r="N507" s="1962"/>
      <c r="O507" s="1961">
        <v>2869200</v>
      </c>
      <c r="P507" s="1951">
        <v>3001184</v>
      </c>
      <c r="Q507" s="1960">
        <v>3139238</v>
      </c>
    </row>
    <row r="508" spans="1:17" ht="12.75" customHeight="1">
      <c r="A508" s="2332" t="s">
        <v>3454</v>
      </c>
      <c r="B508" s="2185" t="s">
        <v>3695</v>
      </c>
      <c r="C508" s="2296" t="s">
        <v>3453</v>
      </c>
      <c r="D508" s="2296"/>
      <c r="E508" s="2333" t="s">
        <v>3467</v>
      </c>
      <c r="F508" s="2333" t="s">
        <v>3468</v>
      </c>
      <c r="G508" s="2185" t="s">
        <v>3469</v>
      </c>
      <c r="H508" s="2333"/>
      <c r="I508" s="2334"/>
      <c r="J508" s="2185"/>
      <c r="K508" s="2336"/>
      <c r="L508" s="2335"/>
      <c r="M508" s="1951"/>
      <c r="N508" s="1962"/>
      <c r="O508" s="1961">
        <v>34682</v>
      </c>
      <c r="P508" s="1951">
        <v>36278</v>
      </c>
      <c r="Q508" s="1960">
        <v>37947</v>
      </c>
    </row>
    <row r="509" spans="1:17" ht="12.75" customHeight="1">
      <c r="A509" s="2332" t="s">
        <v>3487</v>
      </c>
      <c r="B509" s="2185" t="s">
        <v>3488</v>
      </c>
      <c r="C509" s="2296" t="s">
        <v>3453</v>
      </c>
      <c r="D509" s="2296"/>
      <c r="E509" s="2333" t="s">
        <v>3467</v>
      </c>
      <c r="F509" s="2333" t="s">
        <v>3468</v>
      </c>
      <c r="G509" s="2185" t="s">
        <v>3469</v>
      </c>
      <c r="H509" s="2333"/>
      <c r="I509" s="2334"/>
      <c r="J509" s="2185"/>
      <c r="K509" s="2336"/>
      <c r="L509" s="2335"/>
      <c r="M509" s="1951"/>
      <c r="N509" s="1962"/>
      <c r="O509" s="1961">
        <v>0</v>
      </c>
      <c r="P509" s="1951">
        <v>0</v>
      </c>
      <c r="Q509" s="1960">
        <v>0</v>
      </c>
    </row>
    <row r="510" spans="1:17" ht="12.75" customHeight="1">
      <c r="A510" s="2332" t="s">
        <v>3538</v>
      </c>
      <c r="B510" s="2185" t="s">
        <v>3678</v>
      </c>
      <c r="C510" s="2296" t="s">
        <v>3453</v>
      </c>
      <c r="D510" s="2296"/>
      <c r="E510" s="2333" t="s">
        <v>3467</v>
      </c>
      <c r="F510" s="2333" t="s">
        <v>3468</v>
      </c>
      <c r="G510" s="2185" t="s">
        <v>3469</v>
      </c>
      <c r="H510" s="2333"/>
      <c r="I510" s="2334"/>
      <c r="J510" s="2185"/>
      <c r="K510" s="2336"/>
      <c r="L510" s="2335"/>
      <c r="M510" s="1951"/>
      <c r="N510" s="1962"/>
      <c r="O510" s="1961">
        <v>235675</v>
      </c>
      <c r="P510" s="1951">
        <v>246517</v>
      </c>
      <c r="Q510" s="1960">
        <v>257856</v>
      </c>
    </row>
    <row r="511" spans="1:17" ht="12.75" customHeight="1">
      <c r="A511" s="2332" t="s">
        <v>3454</v>
      </c>
      <c r="B511" s="2185" t="s">
        <v>3512</v>
      </c>
      <c r="C511" s="2296" t="s">
        <v>3453</v>
      </c>
      <c r="D511" s="2296"/>
      <c r="E511" s="2333" t="s">
        <v>3467</v>
      </c>
      <c r="F511" s="2333" t="s">
        <v>3468</v>
      </c>
      <c r="G511" s="2185" t="s">
        <v>3469</v>
      </c>
      <c r="H511" s="2333"/>
      <c r="I511" s="2334"/>
      <c r="J511" s="2185"/>
      <c r="K511" s="2336"/>
      <c r="L511" s="2335"/>
      <c r="M511" s="1951"/>
      <c r="N511" s="1962"/>
      <c r="O511" s="1961">
        <v>0</v>
      </c>
      <c r="P511" s="1951">
        <v>0</v>
      </c>
      <c r="Q511" s="1960">
        <v>0</v>
      </c>
    </row>
    <row r="512" spans="1:17" ht="12.75" customHeight="1">
      <c r="A512" s="2332" t="s">
        <v>3508</v>
      </c>
      <c r="B512" s="2185" t="s">
        <v>3736</v>
      </c>
      <c r="C512" s="2296" t="s">
        <v>3453</v>
      </c>
      <c r="D512" s="2296"/>
      <c r="E512" s="2333" t="s">
        <v>3467</v>
      </c>
      <c r="F512" s="2333" t="s">
        <v>3468</v>
      </c>
      <c r="G512" s="2185" t="s">
        <v>3469</v>
      </c>
      <c r="H512" s="2333"/>
      <c r="I512" s="2334"/>
      <c r="J512" s="2185"/>
      <c r="K512" s="2336"/>
      <c r="L512" s="2335"/>
      <c r="M512" s="1951"/>
      <c r="N512" s="1962"/>
      <c r="O512" s="1961">
        <v>10000</v>
      </c>
      <c r="P512" s="1951">
        <v>10460</v>
      </c>
      <c r="Q512" s="1960">
        <v>10942</v>
      </c>
    </row>
    <row r="513" spans="1:17" ht="12.75" customHeight="1">
      <c r="A513" s="2332" t="s">
        <v>3470</v>
      </c>
      <c r="B513" s="2185" t="s">
        <v>3600</v>
      </c>
      <c r="C513" s="2296" t="s">
        <v>3453</v>
      </c>
      <c r="D513" s="2296"/>
      <c r="E513" s="2333" t="s">
        <v>3467</v>
      </c>
      <c r="F513" s="2333" t="s">
        <v>3468</v>
      </c>
      <c r="G513" s="2185" t="s">
        <v>3469</v>
      </c>
      <c r="H513" s="2333"/>
      <c r="I513" s="2334"/>
      <c r="J513" s="2185"/>
      <c r="K513" s="2336"/>
      <c r="L513" s="2335"/>
      <c r="M513" s="1951"/>
      <c r="N513" s="1962"/>
      <c r="O513" s="1961">
        <v>29560</v>
      </c>
      <c r="P513" s="1951">
        <v>30920</v>
      </c>
      <c r="Q513" s="1960">
        <v>32343</v>
      </c>
    </row>
    <row r="514" spans="1:17" ht="12.75" customHeight="1">
      <c r="A514" s="2332" t="s">
        <v>3470</v>
      </c>
      <c r="B514" s="2185" t="s">
        <v>3737</v>
      </c>
      <c r="C514" s="2296" t="s">
        <v>3463</v>
      </c>
      <c r="D514" s="2296"/>
      <c r="E514" s="2333" t="s">
        <v>3467</v>
      </c>
      <c r="F514" s="2333" t="s">
        <v>3468</v>
      </c>
      <c r="G514" s="2185" t="s">
        <v>3469</v>
      </c>
      <c r="H514" s="2333"/>
      <c r="I514" s="2334"/>
      <c r="J514" s="2185"/>
      <c r="K514" s="2336"/>
      <c r="L514" s="2335"/>
      <c r="M514" s="1951"/>
      <c r="N514" s="1962"/>
      <c r="O514" s="1961">
        <v>1642</v>
      </c>
      <c r="P514" s="1951">
        <v>1718</v>
      </c>
      <c r="Q514" s="1960">
        <v>1797</v>
      </c>
    </row>
    <row r="515" spans="1:17" ht="12.75" customHeight="1">
      <c r="A515" s="2332" t="s">
        <v>3501</v>
      </c>
      <c r="B515" s="2185" t="s">
        <v>3738</v>
      </c>
      <c r="C515" s="2296" t="s">
        <v>3739</v>
      </c>
      <c r="D515" s="2296"/>
      <c r="E515" s="2333" t="s">
        <v>3467</v>
      </c>
      <c r="F515" s="2333" t="s">
        <v>3468</v>
      </c>
      <c r="G515" s="2185" t="s">
        <v>3469</v>
      </c>
      <c r="H515" s="2333"/>
      <c r="I515" s="2334"/>
      <c r="J515" s="2185"/>
      <c r="K515" s="2336"/>
      <c r="L515" s="2335"/>
      <c r="M515" s="1951"/>
      <c r="N515" s="1962"/>
      <c r="O515" s="1961">
        <v>9900</v>
      </c>
      <c r="P515" s="1951">
        <v>10356</v>
      </c>
      <c r="Q515" s="1960">
        <v>10832</v>
      </c>
    </row>
    <row r="516" spans="1:17" ht="12.75" customHeight="1">
      <c r="A516" s="2332" t="s">
        <v>3572</v>
      </c>
      <c r="B516" s="2185" t="s">
        <v>3573</v>
      </c>
      <c r="C516" s="2296" t="s">
        <v>3453</v>
      </c>
      <c r="D516" s="2296"/>
      <c r="E516" s="2333" t="s">
        <v>3467</v>
      </c>
      <c r="F516" s="2333" t="s">
        <v>3468</v>
      </c>
      <c r="G516" s="2185" t="s">
        <v>3469</v>
      </c>
      <c r="H516" s="2333"/>
      <c r="I516" s="2334"/>
      <c r="J516" s="2185"/>
      <c r="K516" s="2336"/>
      <c r="L516" s="2335"/>
      <c r="M516" s="1951"/>
      <c r="N516" s="1962"/>
      <c r="O516" s="1961">
        <v>140823</v>
      </c>
      <c r="P516" s="1951">
        <v>147301</v>
      </c>
      <c r="Q516" s="1960">
        <v>154077</v>
      </c>
    </row>
    <row r="517" spans="1:17" ht="12.75" customHeight="1">
      <c r="A517" s="2332" t="s">
        <v>3543</v>
      </c>
      <c r="B517" s="2185" t="s">
        <v>3740</v>
      </c>
      <c r="C517" s="2296" t="s">
        <v>3453</v>
      </c>
      <c r="D517" s="2296"/>
      <c r="E517" s="2333" t="s">
        <v>3467</v>
      </c>
      <c r="F517" s="2333" t="s">
        <v>3468</v>
      </c>
      <c r="G517" s="2185" t="s">
        <v>3469</v>
      </c>
      <c r="H517" s="2333"/>
      <c r="I517" s="2334"/>
      <c r="J517" s="2185"/>
      <c r="K517" s="2336"/>
      <c r="L517" s="2335"/>
      <c r="M517" s="1951"/>
      <c r="N517" s="1962"/>
      <c r="O517" s="1961">
        <v>0</v>
      </c>
      <c r="P517" s="1951">
        <v>0</v>
      </c>
      <c r="Q517" s="1960">
        <v>0</v>
      </c>
    </row>
    <row r="518" spans="1:17" ht="12.75" customHeight="1">
      <c r="A518" s="2332" t="s">
        <v>3576</v>
      </c>
      <c r="B518" s="2185" t="s">
        <v>3596</v>
      </c>
      <c r="C518" s="2296" t="s">
        <v>3453</v>
      </c>
      <c r="D518" s="2296"/>
      <c r="E518" s="2333" t="s">
        <v>3467</v>
      </c>
      <c r="F518" s="2333" t="s">
        <v>3468</v>
      </c>
      <c r="G518" s="2185" t="s">
        <v>3469</v>
      </c>
      <c r="H518" s="2333"/>
      <c r="I518" s="2334"/>
      <c r="J518" s="2185"/>
      <c r="K518" s="2336"/>
      <c r="L518" s="2335"/>
      <c r="M518" s="1951"/>
      <c r="N518" s="1962"/>
      <c r="O518" s="1961">
        <v>599</v>
      </c>
      <c r="P518" s="1951">
        <v>627</v>
      </c>
      <c r="Q518" s="1960">
        <v>656</v>
      </c>
    </row>
    <row r="519" spans="1:17" ht="12.75" customHeight="1">
      <c r="A519" s="2332" t="s">
        <v>3454</v>
      </c>
      <c r="B519" s="2185" t="s">
        <v>3512</v>
      </c>
      <c r="C519" s="2296" t="s">
        <v>3453</v>
      </c>
      <c r="D519" s="2296"/>
      <c r="E519" s="2333" t="s">
        <v>3467</v>
      </c>
      <c r="F519" s="2333" t="s">
        <v>3468</v>
      </c>
      <c r="G519" s="2185" t="s">
        <v>3469</v>
      </c>
      <c r="H519" s="2333"/>
      <c r="I519" s="2334"/>
      <c r="J519" s="2185"/>
      <c r="K519" s="2336"/>
      <c r="L519" s="2335"/>
      <c r="M519" s="1951"/>
      <c r="N519" s="1962"/>
      <c r="O519" s="1961">
        <v>0</v>
      </c>
      <c r="P519" s="1951">
        <v>0</v>
      </c>
      <c r="Q519" s="1960">
        <v>1</v>
      </c>
    </row>
    <row r="520" spans="1:17" ht="12.75" customHeight="1">
      <c r="A520" s="2332" t="s">
        <v>3531</v>
      </c>
      <c r="B520" s="2185" t="s">
        <v>3593</v>
      </c>
      <c r="C520" s="2296" t="s">
        <v>3453</v>
      </c>
      <c r="D520" s="2296"/>
      <c r="E520" s="2333" t="s">
        <v>3467</v>
      </c>
      <c r="F520" s="2333" t="s">
        <v>3468</v>
      </c>
      <c r="G520" s="2185" t="s">
        <v>3469</v>
      </c>
      <c r="H520" s="2333"/>
      <c r="I520" s="2334"/>
      <c r="J520" s="2185"/>
      <c r="K520" s="2336"/>
      <c r="L520" s="2335"/>
      <c r="M520" s="1951"/>
      <c r="N520" s="1962"/>
      <c r="O520" s="1961">
        <v>34700</v>
      </c>
      <c r="P520" s="1951">
        <v>36574</v>
      </c>
      <c r="Q520" s="1960">
        <v>38549</v>
      </c>
    </row>
    <row r="521" spans="1:17" ht="12.75" customHeight="1">
      <c r="A521" s="2332" t="s">
        <v>3487</v>
      </c>
      <c r="B521" s="2185" t="s">
        <v>3488</v>
      </c>
      <c r="C521" s="2296" t="s">
        <v>3453</v>
      </c>
      <c r="D521" s="2296"/>
      <c r="E521" s="2333" t="s">
        <v>3467</v>
      </c>
      <c r="F521" s="2333" t="s">
        <v>3468</v>
      </c>
      <c r="G521" s="2185" t="s">
        <v>3469</v>
      </c>
      <c r="H521" s="2333"/>
      <c r="I521" s="2334"/>
      <c r="J521" s="2185"/>
      <c r="K521" s="2336"/>
      <c r="L521" s="2335"/>
      <c r="M521" s="1951"/>
      <c r="N521" s="1962"/>
      <c r="O521" s="1961">
        <v>18291</v>
      </c>
      <c r="P521" s="1951">
        <v>19133</v>
      </c>
      <c r="Q521" s="1960">
        <v>20013</v>
      </c>
    </row>
    <row r="522" spans="1:17" ht="12.75" customHeight="1">
      <c r="A522" s="2332" t="s">
        <v>3473</v>
      </c>
      <c r="B522" s="2185" t="s">
        <v>3741</v>
      </c>
      <c r="C522" s="2296" t="s">
        <v>3497</v>
      </c>
      <c r="D522" s="2296"/>
      <c r="E522" s="2333" t="s">
        <v>3467</v>
      </c>
      <c r="F522" s="2333" t="s">
        <v>3468</v>
      </c>
      <c r="G522" s="2185" t="s">
        <v>3469</v>
      </c>
      <c r="H522" s="2333"/>
      <c r="I522" s="2334"/>
      <c r="J522" s="2185"/>
      <c r="K522" s="2336"/>
      <c r="L522" s="2335"/>
      <c r="M522" s="1951"/>
      <c r="N522" s="1962"/>
      <c r="O522" s="1961">
        <v>392</v>
      </c>
      <c r="P522" s="1951">
        <v>411</v>
      </c>
      <c r="Q522" s="1960">
        <v>429</v>
      </c>
    </row>
    <row r="523" spans="1:17" ht="12.75" customHeight="1">
      <c r="A523" s="2332" t="s">
        <v>3459</v>
      </c>
      <c r="B523" s="2185" t="s">
        <v>3742</v>
      </c>
      <c r="C523" s="2296" t="s">
        <v>3453</v>
      </c>
      <c r="D523" s="2296"/>
      <c r="E523" s="2333" t="s">
        <v>3467</v>
      </c>
      <c r="F523" s="2333" t="s">
        <v>3468</v>
      </c>
      <c r="G523" s="2185" t="s">
        <v>3469</v>
      </c>
      <c r="H523" s="2333"/>
      <c r="I523" s="2334"/>
      <c r="J523" s="2185"/>
      <c r="K523" s="2336"/>
      <c r="L523" s="2335"/>
      <c r="M523" s="1951"/>
      <c r="N523" s="1962"/>
      <c r="O523" s="1961">
        <v>51408</v>
      </c>
      <c r="P523" s="1951">
        <v>53773</v>
      </c>
      <c r="Q523" s="1960">
        <v>56247</v>
      </c>
    </row>
    <row r="524" spans="1:17" ht="12.75" customHeight="1">
      <c r="A524" s="2332" t="s">
        <v>3531</v>
      </c>
      <c r="B524" s="2185" t="s">
        <v>3684</v>
      </c>
      <c r="C524" s="2296" t="s">
        <v>3453</v>
      </c>
      <c r="D524" s="2296"/>
      <c r="E524" s="2333" t="s">
        <v>3467</v>
      </c>
      <c r="F524" s="2333" t="s">
        <v>3468</v>
      </c>
      <c r="G524" s="2185" t="s">
        <v>3469</v>
      </c>
      <c r="H524" s="2333"/>
      <c r="I524" s="2334"/>
      <c r="J524" s="2185"/>
      <c r="K524" s="2336"/>
      <c r="L524" s="2335"/>
      <c r="M524" s="1951"/>
      <c r="N524" s="1962"/>
      <c r="O524" s="1961">
        <v>43697</v>
      </c>
      <c r="P524" s="1951">
        <v>46057</v>
      </c>
      <c r="Q524" s="1960">
        <v>48544</v>
      </c>
    </row>
    <row r="525" spans="1:17" ht="12.75" customHeight="1">
      <c r="A525" s="2332" t="s">
        <v>3558</v>
      </c>
      <c r="B525" s="2185" t="s">
        <v>3696</v>
      </c>
      <c r="C525" s="2296" t="s">
        <v>3453</v>
      </c>
      <c r="D525" s="2296"/>
      <c r="E525" s="2333" t="s">
        <v>3467</v>
      </c>
      <c r="F525" s="2333" t="s">
        <v>3468</v>
      </c>
      <c r="G525" s="2185" t="s">
        <v>3469</v>
      </c>
      <c r="H525" s="2333"/>
      <c r="I525" s="2334"/>
      <c r="J525" s="2185"/>
      <c r="K525" s="2336"/>
      <c r="L525" s="2335"/>
      <c r="M525" s="1951"/>
      <c r="N525" s="1962"/>
      <c r="O525" s="1961">
        <v>106442</v>
      </c>
      <c r="P525" s="1951">
        <v>111339</v>
      </c>
      <c r="Q525" s="1960">
        <v>116460</v>
      </c>
    </row>
    <row r="526" spans="1:17" ht="12.75" customHeight="1">
      <c r="A526" s="2332" t="s">
        <v>3490</v>
      </c>
      <c r="B526" s="2185" t="s">
        <v>3743</v>
      </c>
      <c r="C526" s="2296" t="s">
        <v>3687</v>
      </c>
      <c r="D526" s="2296"/>
      <c r="E526" s="2333" t="s">
        <v>3467</v>
      </c>
      <c r="F526" s="2333" t="s">
        <v>3468</v>
      </c>
      <c r="G526" s="2185" t="s">
        <v>3469</v>
      </c>
      <c r="H526" s="2333"/>
      <c r="I526" s="2334"/>
      <c r="J526" s="2185"/>
      <c r="K526" s="2336"/>
      <c r="L526" s="2335"/>
      <c r="M526" s="1951"/>
      <c r="N526" s="1962"/>
      <c r="O526" s="1961">
        <v>27731</v>
      </c>
      <c r="P526" s="1951">
        <v>29007</v>
      </c>
      <c r="Q526" s="1960">
        <v>30341</v>
      </c>
    </row>
    <row r="527" spans="1:17" ht="12.75" customHeight="1">
      <c r="A527" s="2332" t="s">
        <v>3490</v>
      </c>
      <c r="B527" s="2185" t="s">
        <v>3586</v>
      </c>
      <c r="C527" s="2296" t="s">
        <v>3453</v>
      </c>
      <c r="D527" s="2296"/>
      <c r="E527" s="2333" t="s">
        <v>3467</v>
      </c>
      <c r="F527" s="2333" t="s">
        <v>3468</v>
      </c>
      <c r="G527" s="2185" t="s">
        <v>3469</v>
      </c>
      <c r="H527" s="2333"/>
      <c r="I527" s="2334"/>
      <c r="J527" s="2185"/>
      <c r="K527" s="2336"/>
      <c r="L527" s="2335"/>
      <c r="M527" s="1951"/>
      <c r="N527" s="1962"/>
      <c r="O527" s="1961">
        <v>10428</v>
      </c>
      <c r="P527" s="1951">
        <v>10908</v>
      </c>
      <c r="Q527" s="1960">
        <v>11410</v>
      </c>
    </row>
    <row r="528" spans="1:17" ht="12.75" customHeight="1">
      <c r="A528" s="2332" t="s">
        <v>3538</v>
      </c>
      <c r="B528" s="2185" t="s">
        <v>3678</v>
      </c>
      <c r="C528" s="2296" t="s">
        <v>3453</v>
      </c>
      <c r="D528" s="2296"/>
      <c r="E528" s="2333" t="s">
        <v>3467</v>
      </c>
      <c r="F528" s="2333" t="s">
        <v>3468</v>
      </c>
      <c r="G528" s="2185" t="s">
        <v>3469</v>
      </c>
      <c r="H528" s="2333"/>
      <c r="I528" s="2334"/>
      <c r="J528" s="2185"/>
      <c r="K528" s="2336"/>
      <c r="L528" s="2335"/>
      <c r="M528" s="1951"/>
      <c r="N528" s="1962"/>
      <c r="O528" s="1961">
        <v>5183</v>
      </c>
      <c r="P528" s="1951">
        <v>5422</v>
      </c>
      <c r="Q528" s="1960">
        <v>5671</v>
      </c>
    </row>
    <row r="529" spans="1:17" ht="12.75" customHeight="1">
      <c r="A529" s="2332" t="s">
        <v>3510</v>
      </c>
      <c r="B529" s="2185" t="s">
        <v>3642</v>
      </c>
      <c r="C529" s="2296" t="s">
        <v>3453</v>
      </c>
      <c r="D529" s="2296"/>
      <c r="E529" s="2333" t="s">
        <v>3467</v>
      </c>
      <c r="F529" s="2333" t="s">
        <v>3468</v>
      </c>
      <c r="G529" s="2185" t="s">
        <v>3469</v>
      </c>
      <c r="H529" s="2333"/>
      <c r="I529" s="2334"/>
      <c r="J529" s="2185"/>
      <c r="K529" s="2336"/>
      <c r="L529" s="2335"/>
      <c r="M529" s="1951"/>
      <c r="N529" s="1962"/>
      <c r="O529" s="1961">
        <v>29457</v>
      </c>
      <c r="P529" s="1951">
        <v>30813</v>
      </c>
      <c r="Q529" s="1960">
        <v>32230</v>
      </c>
    </row>
    <row r="530" spans="1:17" ht="12.75" customHeight="1">
      <c r="A530" s="2332" t="s">
        <v>3531</v>
      </c>
      <c r="B530" s="2185" t="s">
        <v>3532</v>
      </c>
      <c r="C530" s="2296" t="s">
        <v>3453</v>
      </c>
      <c r="D530" s="2296"/>
      <c r="E530" s="2333" t="s">
        <v>3467</v>
      </c>
      <c r="F530" s="2333" t="s">
        <v>3468</v>
      </c>
      <c r="G530" s="2185" t="s">
        <v>3469</v>
      </c>
      <c r="H530" s="2333"/>
      <c r="I530" s="2334"/>
      <c r="J530" s="2185"/>
      <c r="K530" s="2336"/>
      <c r="L530" s="2335"/>
      <c r="M530" s="1951"/>
      <c r="N530" s="1962"/>
      <c r="O530" s="1961">
        <v>0</v>
      </c>
      <c r="P530" s="1951">
        <v>0</v>
      </c>
      <c r="Q530" s="1960">
        <v>0</v>
      </c>
    </row>
    <row r="531" spans="1:17" ht="12.75" customHeight="1">
      <c r="A531" s="2332" t="s">
        <v>3485</v>
      </c>
      <c r="B531" s="2185" t="s">
        <v>3744</v>
      </c>
      <c r="C531" s="2296" t="s">
        <v>3453</v>
      </c>
      <c r="D531" s="2296"/>
      <c r="E531" s="2333" t="s">
        <v>3467</v>
      </c>
      <c r="F531" s="2333" t="s">
        <v>3468</v>
      </c>
      <c r="G531" s="2185" t="s">
        <v>3469</v>
      </c>
      <c r="H531" s="2333"/>
      <c r="I531" s="2334"/>
      <c r="J531" s="2185"/>
      <c r="K531" s="2336"/>
      <c r="L531" s="2335"/>
      <c r="M531" s="1951"/>
      <c r="N531" s="1962"/>
      <c r="O531" s="1961">
        <v>1419609</v>
      </c>
      <c r="P531" s="1951">
        <v>1484912</v>
      </c>
      <c r="Q531" s="1960">
        <v>1553217</v>
      </c>
    </row>
    <row r="532" spans="1:17" ht="12.75" customHeight="1">
      <c r="A532" s="2332" t="s">
        <v>3523</v>
      </c>
      <c r="B532" s="2185" t="s">
        <v>3535</v>
      </c>
      <c r="C532" s="2296" t="s">
        <v>3453</v>
      </c>
      <c r="D532" s="2296"/>
      <c r="E532" s="2333" t="s">
        <v>3467</v>
      </c>
      <c r="F532" s="2333" t="s">
        <v>3468</v>
      </c>
      <c r="G532" s="2185" t="s">
        <v>3469</v>
      </c>
      <c r="H532" s="2333"/>
      <c r="I532" s="2334"/>
      <c r="J532" s="2185"/>
      <c r="K532" s="2336"/>
      <c r="L532" s="2335"/>
      <c r="M532" s="1951"/>
      <c r="N532" s="1962"/>
      <c r="O532" s="1961">
        <v>56549</v>
      </c>
      <c r="P532" s="1951">
        <v>59151</v>
      </c>
      <c r="Q532" s="1960">
        <v>61872</v>
      </c>
    </row>
    <row r="533" spans="1:17" ht="12.75" customHeight="1">
      <c r="A533" s="2332" t="s">
        <v>3459</v>
      </c>
      <c r="B533" s="2185" t="s">
        <v>3745</v>
      </c>
      <c r="C533" s="2296" t="s">
        <v>3453</v>
      </c>
      <c r="D533" s="2296"/>
      <c r="E533" s="2333" t="s">
        <v>3467</v>
      </c>
      <c r="F533" s="2333" t="s">
        <v>3468</v>
      </c>
      <c r="G533" s="2185" t="s">
        <v>3469</v>
      </c>
      <c r="H533" s="2333"/>
      <c r="I533" s="2334"/>
      <c r="J533" s="2185"/>
      <c r="K533" s="2336"/>
      <c r="L533" s="2335"/>
      <c r="M533" s="1951"/>
      <c r="N533" s="1962"/>
      <c r="O533" s="1961">
        <v>2284</v>
      </c>
      <c r="P533" s="1951">
        <v>2390</v>
      </c>
      <c r="Q533" s="1960">
        <v>2499</v>
      </c>
    </row>
    <row r="534" spans="1:17" ht="12.75" customHeight="1">
      <c r="A534" s="2332" t="s">
        <v>3508</v>
      </c>
      <c r="B534" s="2185" t="s">
        <v>3681</v>
      </c>
      <c r="C534" s="2296" t="s">
        <v>3453</v>
      </c>
      <c r="D534" s="2296"/>
      <c r="E534" s="2333" t="s">
        <v>3467</v>
      </c>
      <c r="F534" s="2333" t="s">
        <v>3468</v>
      </c>
      <c r="G534" s="2185" t="s">
        <v>3469</v>
      </c>
      <c r="H534" s="2333"/>
      <c r="I534" s="2334"/>
      <c r="J534" s="2185"/>
      <c r="K534" s="2336"/>
      <c r="L534" s="2335"/>
      <c r="M534" s="1951"/>
      <c r="N534" s="1962"/>
      <c r="O534" s="1961">
        <v>575015</v>
      </c>
      <c r="P534" s="1951">
        <v>601466</v>
      </c>
      <c r="Q534" s="1960">
        <v>629134</v>
      </c>
    </row>
    <row r="535" spans="1:17" ht="12.75" customHeight="1">
      <c r="A535" s="2332" t="s">
        <v>3558</v>
      </c>
      <c r="B535" s="2185" t="s">
        <v>3696</v>
      </c>
      <c r="C535" s="2296" t="s">
        <v>3453</v>
      </c>
      <c r="D535" s="2296"/>
      <c r="E535" s="2333" t="s">
        <v>3467</v>
      </c>
      <c r="F535" s="2333" t="s">
        <v>3468</v>
      </c>
      <c r="G535" s="2185" t="s">
        <v>3469</v>
      </c>
      <c r="H535" s="2333"/>
      <c r="I535" s="2334"/>
      <c r="J535" s="2185"/>
      <c r="K535" s="2336"/>
      <c r="L535" s="2335"/>
      <c r="M535" s="1951"/>
      <c r="N535" s="1962"/>
      <c r="O535" s="1961">
        <v>88370</v>
      </c>
      <c r="P535" s="1951">
        <v>92436</v>
      </c>
      <c r="Q535" s="1960">
        <v>96688</v>
      </c>
    </row>
    <row r="536" spans="1:17" ht="12.75" customHeight="1">
      <c r="A536" s="2332" t="s">
        <v>3459</v>
      </c>
      <c r="B536" s="2185" t="s">
        <v>3746</v>
      </c>
      <c r="C536" s="2296" t="s">
        <v>3453</v>
      </c>
      <c r="D536" s="2296"/>
      <c r="E536" s="2333" t="s">
        <v>3467</v>
      </c>
      <c r="F536" s="2333" t="s">
        <v>3468</v>
      </c>
      <c r="G536" s="2185" t="s">
        <v>3469</v>
      </c>
      <c r="H536" s="2333"/>
      <c r="I536" s="2334"/>
      <c r="J536" s="2185"/>
      <c r="K536" s="2336"/>
      <c r="L536" s="2335"/>
      <c r="M536" s="1951"/>
      <c r="N536" s="1962"/>
      <c r="O536" s="1961">
        <v>0</v>
      </c>
      <c r="P536" s="1951">
        <v>0</v>
      </c>
      <c r="Q536" s="1960">
        <v>0</v>
      </c>
    </row>
    <row r="537" spans="1:17" ht="12.75" customHeight="1">
      <c r="A537" s="2332" t="s">
        <v>3533</v>
      </c>
      <c r="B537" s="2185" t="s">
        <v>3534</v>
      </c>
      <c r="C537" s="2296" t="s">
        <v>3453</v>
      </c>
      <c r="D537" s="2296"/>
      <c r="E537" s="2333" t="s">
        <v>3467</v>
      </c>
      <c r="F537" s="2333" t="s">
        <v>3468</v>
      </c>
      <c r="G537" s="2185" t="s">
        <v>3469</v>
      </c>
      <c r="H537" s="2333"/>
      <c r="I537" s="2334"/>
      <c r="J537" s="2185"/>
      <c r="K537" s="2336"/>
      <c r="L537" s="2335"/>
      <c r="M537" s="1951"/>
      <c r="N537" s="1962"/>
      <c r="O537" s="1961">
        <v>8730198</v>
      </c>
      <c r="P537" s="1951">
        <v>9131787</v>
      </c>
      <c r="Q537" s="1960">
        <v>9551850</v>
      </c>
    </row>
    <row r="538" spans="1:17" ht="12.75" customHeight="1">
      <c r="A538" s="2332" t="s">
        <v>3454</v>
      </c>
      <c r="B538" s="2185" t="s">
        <v>3675</v>
      </c>
      <c r="C538" s="2296" t="s">
        <v>3453</v>
      </c>
      <c r="D538" s="2296"/>
      <c r="E538" s="2333" t="s">
        <v>3467</v>
      </c>
      <c r="F538" s="2333" t="s">
        <v>3468</v>
      </c>
      <c r="G538" s="2185" t="s">
        <v>3469</v>
      </c>
      <c r="H538" s="2333"/>
      <c r="I538" s="2334"/>
      <c r="J538" s="2185"/>
      <c r="K538" s="2336"/>
      <c r="L538" s="2335"/>
      <c r="M538" s="1951"/>
      <c r="N538" s="1962"/>
      <c r="O538" s="1961">
        <v>63000</v>
      </c>
      <c r="P538" s="1951">
        <v>65898</v>
      </c>
      <c r="Q538" s="1960">
        <v>68930</v>
      </c>
    </row>
    <row r="539" spans="1:17" ht="12.75" customHeight="1">
      <c r="A539" s="2332" t="s">
        <v>3464</v>
      </c>
      <c r="B539" s="2185" t="s">
        <v>3605</v>
      </c>
      <c r="C539" s="2296" t="s">
        <v>3453</v>
      </c>
      <c r="D539" s="2296"/>
      <c r="E539" s="2333" t="s">
        <v>3467</v>
      </c>
      <c r="F539" s="2333" t="s">
        <v>3468</v>
      </c>
      <c r="G539" s="2185" t="s">
        <v>3469</v>
      </c>
      <c r="H539" s="2333"/>
      <c r="I539" s="2334"/>
      <c r="J539" s="2185"/>
      <c r="K539" s="2336"/>
      <c r="L539" s="2335"/>
      <c r="M539" s="1951"/>
      <c r="N539" s="1962"/>
      <c r="O539" s="1961">
        <v>36000000</v>
      </c>
      <c r="P539" s="1951">
        <v>37656000</v>
      </c>
      <c r="Q539" s="1960">
        <v>39388176</v>
      </c>
    </row>
    <row r="540" spans="1:17" ht="12.75" customHeight="1">
      <c r="A540" s="2332" t="s">
        <v>3473</v>
      </c>
      <c r="B540" s="2185" t="s">
        <v>3474</v>
      </c>
      <c r="C540" s="2296" t="s">
        <v>3453</v>
      </c>
      <c r="D540" s="2296"/>
      <c r="E540" s="2333" t="s">
        <v>3467</v>
      </c>
      <c r="F540" s="2333" t="s">
        <v>3468</v>
      </c>
      <c r="G540" s="2185" t="s">
        <v>3469</v>
      </c>
      <c r="H540" s="2333"/>
      <c r="I540" s="2334"/>
      <c r="J540" s="2185"/>
      <c r="K540" s="2336"/>
      <c r="L540" s="2335"/>
      <c r="M540" s="1951"/>
      <c r="N540" s="1962"/>
      <c r="O540" s="1961">
        <v>1987</v>
      </c>
      <c r="P540" s="1951">
        <v>2079</v>
      </c>
      <c r="Q540" s="1960">
        <v>2175</v>
      </c>
    </row>
    <row r="541" spans="1:17" ht="12.75" customHeight="1">
      <c r="A541" s="2332" t="s">
        <v>3531</v>
      </c>
      <c r="B541" s="2185" t="s">
        <v>3532</v>
      </c>
      <c r="C541" s="2296" t="s">
        <v>3453</v>
      </c>
      <c r="D541" s="2296"/>
      <c r="E541" s="2333" t="s">
        <v>3467</v>
      </c>
      <c r="F541" s="2333" t="s">
        <v>3468</v>
      </c>
      <c r="G541" s="2185" t="s">
        <v>3469</v>
      </c>
      <c r="H541" s="2333"/>
      <c r="I541" s="2334"/>
      <c r="J541" s="2185"/>
      <c r="K541" s="2336"/>
      <c r="L541" s="2335"/>
      <c r="M541" s="1951"/>
      <c r="N541" s="1962"/>
      <c r="O541" s="1961">
        <v>0</v>
      </c>
      <c r="P541" s="1951">
        <v>0</v>
      </c>
      <c r="Q541" s="1960">
        <v>0</v>
      </c>
    </row>
    <row r="542" spans="1:17" ht="12.75" customHeight="1">
      <c r="A542" s="2332" t="s">
        <v>3483</v>
      </c>
      <c r="B542" s="2185" t="s">
        <v>3676</v>
      </c>
      <c r="C542" s="2296" t="s">
        <v>3453</v>
      </c>
      <c r="D542" s="2296"/>
      <c r="E542" s="2333" t="s">
        <v>3467</v>
      </c>
      <c r="F542" s="2333" t="s">
        <v>3468</v>
      </c>
      <c r="G542" s="2185" t="s">
        <v>3469</v>
      </c>
      <c r="H542" s="2333"/>
      <c r="I542" s="2334"/>
      <c r="J542" s="2185"/>
      <c r="K542" s="2336"/>
      <c r="L542" s="2335"/>
      <c r="M542" s="1951"/>
      <c r="N542" s="1962"/>
      <c r="O542" s="1961">
        <v>14588</v>
      </c>
      <c r="P542" s="1951">
        <v>15260</v>
      </c>
      <c r="Q542" s="1960">
        <v>15961</v>
      </c>
    </row>
    <row r="543" spans="1:17" ht="12.75" customHeight="1">
      <c r="A543" s="2332" t="s">
        <v>3490</v>
      </c>
      <c r="B543" s="2185" t="s">
        <v>3747</v>
      </c>
      <c r="C543" s="2296" t="s">
        <v>3748</v>
      </c>
      <c r="D543" s="2296"/>
      <c r="E543" s="2333" t="s">
        <v>3467</v>
      </c>
      <c r="F543" s="2333" t="s">
        <v>3468</v>
      </c>
      <c r="G543" s="2185" t="s">
        <v>3469</v>
      </c>
      <c r="H543" s="2333"/>
      <c r="I543" s="2334"/>
      <c r="J543" s="2185"/>
      <c r="K543" s="2336"/>
      <c r="L543" s="2335"/>
      <c r="M543" s="1951"/>
      <c r="N543" s="1962"/>
      <c r="O543" s="1961">
        <v>20215</v>
      </c>
      <c r="P543" s="1951">
        <v>21145</v>
      </c>
      <c r="Q543" s="1960">
        <v>22118</v>
      </c>
    </row>
    <row r="544" spans="1:17" ht="12.75" customHeight="1">
      <c r="A544" s="2332" t="s">
        <v>3479</v>
      </c>
      <c r="B544" s="2185" t="s">
        <v>3749</v>
      </c>
      <c r="C544" s="2296" t="s">
        <v>3453</v>
      </c>
      <c r="D544" s="2296"/>
      <c r="E544" s="2333" t="s">
        <v>3467</v>
      </c>
      <c r="F544" s="2333" t="s">
        <v>3468</v>
      </c>
      <c r="G544" s="2185" t="s">
        <v>3469</v>
      </c>
      <c r="H544" s="2333"/>
      <c r="I544" s="2334"/>
      <c r="J544" s="2185"/>
      <c r="K544" s="2336"/>
      <c r="L544" s="2335"/>
      <c r="M544" s="1951"/>
      <c r="N544" s="1962"/>
      <c r="O544" s="1961">
        <v>56500</v>
      </c>
      <c r="P544" s="1951">
        <v>59099</v>
      </c>
      <c r="Q544" s="1960">
        <v>61818</v>
      </c>
    </row>
    <row r="545" spans="1:17" ht="12.75" customHeight="1">
      <c r="A545" s="2332" t="s">
        <v>3541</v>
      </c>
      <c r="B545" s="2185" t="s">
        <v>3542</v>
      </c>
      <c r="C545" s="2296" t="s">
        <v>3453</v>
      </c>
      <c r="D545" s="2296"/>
      <c r="E545" s="2333" t="s">
        <v>3467</v>
      </c>
      <c r="F545" s="2333" t="s">
        <v>3468</v>
      </c>
      <c r="G545" s="2185" t="s">
        <v>3469</v>
      </c>
      <c r="H545" s="2333"/>
      <c r="I545" s="2334"/>
      <c r="J545" s="2185"/>
      <c r="K545" s="2336"/>
      <c r="L545" s="2335"/>
      <c r="M545" s="1951"/>
      <c r="N545" s="1962"/>
      <c r="O545" s="1961">
        <v>1923</v>
      </c>
      <c r="P545" s="1951">
        <v>2012</v>
      </c>
      <c r="Q545" s="1960">
        <v>2104</v>
      </c>
    </row>
    <row r="546" spans="1:17" ht="12.75" customHeight="1">
      <c r="A546" s="2332" t="s">
        <v>3531</v>
      </c>
      <c r="B546" s="2185" t="s">
        <v>3532</v>
      </c>
      <c r="C546" s="2296" t="s">
        <v>3453</v>
      </c>
      <c r="D546" s="2296"/>
      <c r="E546" s="2333" t="s">
        <v>3467</v>
      </c>
      <c r="F546" s="2333" t="s">
        <v>3468</v>
      </c>
      <c r="G546" s="2185" t="s">
        <v>3469</v>
      </c>
      <c r="H546" s="2333"/>
      <c r="I546" s="2334"/>
      <c r="J546" s="2185"/>
      <c r="K546" s="2336"/>
      <c r="L546" s="2335"/>
      <c r="M546" s="1951"/>
      <c r="N546" s="1962"/>
      <c r="O546" s="1961">
        <v>0</v>
      </c>
      <c r="P546" s="1951">
        <v>0</v>
      </c>
      <c r="Q546" s="1960">
        <v>1</v>
      </c>
    </row>
    <row r="547" spans="1:17" ht="12.75" customHeight="1">
      <c r="A547" s="2332" t="s">
        <v>3576</v>
      </c>
      <c r="B547" s="2185" t="s">
        <v>3750</v>
      </c>
      <c r="C547" s="2296" t="s">
        <v>3453</v>
      </c>
      <c r="D547" s="2296"/>
      <c r="E547" s="2333" t="s">
        <v>3467</v>
      </c>
      <c r="F547" s="2333" t="s">
        <v>3468</v>
      </c>
      <c r="G547" s="2185" t="s">
        <v>3469</v>
      </c>
      <c r="H547" s="2333"/>
      <c r="I547" s="2334"/>
      <c r="J547" s="2185"/>
      <c r="K547" s="2336"/>
      <c r="L547" s="2335"/>
      <c r="M547" s="1951"/>
      <c r="N547" s="1962"/>
      <c r="O547" s="1961">
        <v>65240</v>
      </c>
      <c r="P547" s="1951">
        <v>68242</v>
      </c>
      <c r="Q547" s="1960">
        <v>71381</v>
      </c>
    </row>
    <row r="548" spans="1:17" ht="12.75" customHeight="1">
      <c r="A548" s="2332" t="s">
        <v>3510</v>
      </c>
      <c r="B548" s="2185" t="s">
        <v>3511</v>
      </c>
      <c r="C548" s="2296" t="s">
        <v>3453</v>
      </c>
      <c r="D548" s="2296"/>
      <c r="E548" s="2333" t="s">
        <v>3467</v>
      </c>
      <c r="F548" s="2333" t="s">
        <v>3468</v>
      </c>
      <c r="G548" s="2185" t="s">
        <v>3469</v>
      </c>
      <c r="H548" s="2333"/>
      <c r="I548" s="2334"/>
      <c r="J548" s="2185"/>
      <c r="K548" s="2336"/>
      <c r="L548" s="2335"/>
      <c r="M548" s="1951"/>
      <c r="N548" s="1962"/>
      <c r="O548" s="1961">
        <v>1183</v>
      </c>
      <c r="P548" s="1951">
        <v>1238</v>
      </c>
      <c r="Q548" s="1960">
        <v>1295</v>
      </c>
    </row>
    <row r="549" spans="1:17" ht="12.75" customHeight="1">
      <c r="A549" s="2332" t="s">
        <v>3454</v>
      </c>
      <c r="B549" s="2185" t="s">
        <v>3574</v>
      </c>
      <c r="C549" s="2296" t="s">
        <v>3453</v>
      </c>
      <c r="D549" s="2296"/>
      <c r="E549" s="2333" t="s">
        <v>3467</v>
      </c>
      <c r="F549" s="2333" t="s">
        <v>3468</v>
      </c>
      <c r="G549" s="2185" t="s">
        <v>3469</v>
      </c>
      <c r="H549" s="2333"/>
      <c r="I549" s="2334"/>
      <c r="J549" s="2185"/>
      <c r="K549" s="2336"/>
      <c r="L549" s="2335"/>
      <c r="M549" s="1951"/>
      <c r="N549" s="1962"/>
      <c r="O549" s="1961">
        <v>0</v>
      </c>
      <c r="P549" s="1951">
        <v>0</v>
      </c>
      <c r="Q549" s="1960">
        <v>0</v>
      </c>
    </row>
    <row r="550" spans="1:17" ht="12.75" customHeight="1">
      <c r="A550" s="2332" t="s">
        <v>3464</v>
      </c>
      <c r="B550" s="2185" t="s">
        <v>3556</v>
      </c>
      <c r="C550" s="2296" t="s">
        <v>3453</v>
      </c>
      <c r="D550" s="2296"/>
      <c r="E550" s="2333" t="s">
        <v>3467</v>
      </c>
      <c r="F550" s="2333" t="s">
        <v>3468</v>
      </c>
      <c r="G550" s="2185" t="s">
        <v>3469</v>
      </c>
      <c r="H550" s="2333"/>
      <c r="I550" s="2334"/>
      <c r="J550" s="2185"/>
      <c r="K550" s="2336"/>
      <c r="L550" s="2335"/>
      <c r="M550" s="1951"/>
      <c r="N550" s="1962"/>
      <c r="O550" s="1961">
        <v>1200648</v>
      </c>
      <c r="P550" s="1951">
        <v>1255878</v>
      </c>
      <c r="Q550" s="1960">
        <v>1313649</v>
      </c>
    </row>
    <row r="551" spans="1:17" ht="12.75" customHeight="1">
      <c r="A551" s="2332" t="s">
        <v>3459</v>
      </c>
      <c r="B551" s="2185" t="s">
        <v>3709</v>
      </c>
      <c r="C551" s="2296" t="s">
        <v>3453</v>
      </c>
      <c r="D551" s="2296"/>
      <c r="E551" s="2333" t="s">
        <v>3467</v>
      </c>
      <c r="F551" s="2333" t="s">
        <v>3468</v>
      </c>
      <c r="G551" s="2185" t="s">
        <v>3469</v>
      </c>
      <c r="H551" s="2333"/>
      <c r="I551" s="2334"/>
      <c r="J551" s="2185"/>
      <c r="K551" s="2336"/>
      <c r="L551" s="2335"/>
      <c r="M551" s="1951"/>
      <c r="N551" s="1962"/>
      <c r="O551" s="1961">
        <v>38732</v>
      </c>
      <c r="P551" s="1951">
        <v>40514</v>
      </c>
      <c r="Q551" s="1960">
        <v>42377</v>
      </c>
    </row>
    <row r="552" spans="1:17" ht="12.75" customHeight="1">
      <c r="A552" s="2332" t="s">
        <v>3558</v>
      </c>
      <c r="B552" s="2185" t="s">
        <v>3559</v>
      </c>
      <c r="C552" s="2296" t="s">
        <v>3453</v>
      </c>
      <c r="D552" s="2296"/>
      <c r="E552" s="2333" t="s">
        <v>3467</v>
      </c>
      <c r="F552" s="2333" t="s">
        <v>3468</v>
      </c>
      <c r="G552" s="2185" t="s">
        <v>3469</v>
      </c>
      <c r="H552" s="2333"/>
      <c r="I552" s="2334"/>
      <c r="J552" s="2185"/>
      <c r="K552" s="2336"/>
      <c r="L552" s="2335"/>
      <c r="M552" s="1951"/>
      <c r="N552" s="1962"/>
      <c r="O552" s="1961">
        <v>91249</v>
      </c>
      <c r="P552" s="1951">
        <v>95447</v>
      </c>
      <c r="Q552" s="1960">
        <v>99837</v>
      </c>
    </row>
    <row r="553" spans="1:17" ht="12.75" customHeight="1">
      <c r="A553" s="2332" t="s">
        <v>3470</v>
      </c>
      <c r="B553" s="2185" t="s">
        <v>3751</v>
      </c>
      <c r="C553" s="2296" t="s">
        <v>3453</v>
      </c>
      <c r="D553" s="2296"/>
      <c r="E553" s="2333" t="s">
        <v>3467</v>
      </c>
      <c r="F553" s="2333" t="s">
        <v>3468</v>
      </c>
      <c r="G553" s="2185" t="s">
        <v>3469</v>
      </c>
      <c r="H553" s="2333"/>
      <c r="I553" s="2334"/>
      <c r="J553" s="2185"/>
      <c r="K553" s="2336"/>
      <c r="L553" s="2335"/>
      <c r="M553" s="1951"/>
      <c r="N553" s="1962"/>
      <c r="O553" s="1961">
        <v>6712</v>
      </c>
      <c r="P553" s="1951">
        <v>6712</v>
      </c>
      <c r="Q553" s="1960">
        <v>7021</v>
      </c>
    </row>
    <row r="554" spans="1:17" ht="12.75" customHeight="1">
      <c r="A554" s="2332" t="s">
        <v>3501</v>
      </c>
      <c r="B554" s="2185" t="s">
        <v>3553</v>
      </c>
      <c r="C554" s="2296" t="s">
        <v>3453</v>
      </c>
      <c r="D554" s="2296"/>
      <c r="E554" s="2333" t="s">
        <v>3467</v>
      </c>
      <c r="F554" s="2333" t="s">
        <v>3468</v>
      </c>
      <c r="G554" s="2185" t="s">
        <v>3469</v>
      </c>
      <c r="H554" s="2333"/>
      <c r="I554" s="2334"/>
      <c r="J554" s="2185"/>
      <c r="K554" s="2336"/>
      <c r="L554" s="2335"/>
      <c r="M554" s="1951"/>
      <c r="N554" s="1962"/>
      <c r="O554" s="1961">
        <v>673</v>
      </c>
      <c r="P554" s="1951">
        <v>704</v>
      </c>
      <c r="Q554" s="1960">
        <v>737</v>
      </c>
    </row>
    <row r="555" spans="1:17" ht="12.75" customHeight="1">
      <c r="A555" s="2332" t="s">
        <v>3531</v>
      </c>
      <c r="B555" s="2185" t="s">
        <v>3532</v>
      </c>
      <c r="C555" s="2296" t="s">
        <v>3453</v>
      </c>
      <c r="D555" s="2296"/>
      <c r="E555" s="2333" t="s">
        <v>3467</v>
      </c>
      <c r="F555" s="2333" t="s">
        <v>3468</v>
      </c>
      <c r="G555" s="2185" t="s">
        <v>3469</v>
      </c>
      <c r="H555" s="2333"/>
      <c r="I555" s="2334"/>
      <c r="J555" s="2185"/>
      <c r="K555" s="2336"/>
      <c r="L555" s="2335"/>
      <c r="M555" s="1951"/>
      <c r="N555" s="1962"/>
      <c r="O555" s="1961">
        <v>0</v>
      </c>
      <c r="P555" s="1951">
        <v>0</v>
      </c>
      <c r="Q555" s="1960">
        <v>0</v>
      </c>
    </row>
    <row r="556" spans="1:17" ht="12.75" customHeight="1">
      <c r="A556" s="2332" t="s">
        <v>3487</v>
      </c>
      <c r="B556" s="2185" t="s">
        <v>3647</v>
      </c>
      <c r="C556" s="2296" t="s">
        <v>3453</v>
      </c>
      <c r="D556" s="2296"/>
      <c r="E556" s="2333" t="s">
        <v>3467</v>
      </c>
      <c r="F556" s="2333" t="s">
        <v>3468</v>
      </c>
      <c r="G556" s="2185" t="s">
        <v>3469</v>
      </c>
      <c r="H556" s="2333"/>
      <c r="I556" s="2334"/>
      <c r="J556" s="2185"/>
      <c r="K556" s="2336"/>
      <c r="L556" s="2335"/>
      <c r="M556" s="1951"/>
      <c r="N556" s="1962"/>
      <c r="O556" s="1961">
        <v>12952655</v>
      </c>
      <c r="P556" s="1951">
        <v>13548478</v>
      </c>
      <c r="Q556" s="1960">
        <v>14171708</v>
      </c>
    </row>
    <row r="557" spans="1:17" ht="12.75" customHeight="1">
      <c r="A557" s="2332" t="s">
        <v>3490</v>
      </c>
      <c r="B557" s="2185" t="s">
        <v>3586</v>
      </c>
      <c r="C557" s="2296" t="s">
        <v>3453</v>
      </c>
      <c r="D557" s="2296"/>
      <c r="E557" s="2333" t="s">
        <v>3467</v>
      </c>
      <c r="F557" s="2333" t="s">
        <v>3468</v>
      </c>
      <c r="G557" s="2185" t="s">
        <v>3469</v>
      </c>
      <c r="H557" s="2333"/>
      <c r="I557" s="2334"/>
      <c r="J557" s="2185"/>
      <c r="K557" s="2336"/>
      <c r="L557" s="2335"/>
      <c r="M557" s="1951"/>
      <c r="N557" s="1962"/>
      <c r="O557" s="1961">
        <v>15291</v>
      </c>
      <c r="P557" s="1951">
        <v>15995</v>
      </c>
      <c r="Q557" s="1960">
        <v>16731</v>
      </c>
    </row>
    <row r="558" spans="1:17" ht="12.75" customHeight="1">
      <c r="A558" s="2332" t="s">
        <v>3531</v>
      </c>
      <c r="B558" s="2185" t="s">
        <v>3532</v>
      </c>
      <c r="C558" s="2296" t="s">
        <v>3453</v>
      </c>
      <c r="D558" s="2296"/>
      <c r="E558" s="2333" t="s">
        <v>3467</v>
      </c>
      <c r="F558" s="2333" t="s">
        <v>3468</v>
      </c>
      <c r="G558" s="2185" t="s">
        <v>3469</v>
      </c>
      <c r="H558" s="2333"/>
      <c r="I558" s="2334"/>
      <c r="J558" s="2185"/>
      <c r="K558" s="2336"/>
      <c r="L558" s="2335"/>
      <c r="M558" s="1951"/>
      <c r="N558" s="1962"/>
      <c r="O558" s="1961">
        <v>0</v>
      </c>
      <c r="P558" s="1951">
        <v>0</v>
      </c>
      <c r="Q558" s="1960">
        <v>0</v>
      </c>
    </row>
    <row r="559" spans="1:17" ht="12.75" customHeight="1">
      <c r="A559" s="2332" t="s">
        <v>3490</v>
      </c>
      <c r="B559" s="2185" t="s">
        <v>3752</v>
      </c>
      <c r="C559" s="2296" t="s">
        <v>3453</v>
      </c>
      <c r="D559" s="2296"/>
      <c r="E559" s="2333" t="s">
        <v>3467</v>
      </c>
      <c r="F559" s="2333" t="s">
        <v>3468</v>
      </c>
      <c r="G559" s="2185" t="s">
        <v>3469</v>
      </c>
      <c r="H559" s="2333"/>
      <c r="I559" s="2334"/>
      <c r="J559" s="2185"/>
      <c r="K559" s="2336"/>
      <c r="L559" s="2335"/>
      <c r="M559" s="1951"/>
      <c r="N559" s="1962"/>
      <c r="O559" s="1961">
        <v>6488083</v>
      </c>
      <c r="P559" s="1951">
        <v>7488083</v>
      </c>
      <c r="Q559" s="1960">
        <v>7847511</v>
      </c>
    </row>
    <row r="560" spans="1:17" ht="12.75" customHeight="1">
      <c r="A560" s="2332" t="s">
        <v>3459</v>
      </c>
      <c r="B560" s="2185" t="s">
        <v>3742</v>
      </c>
      <c r="C560" s="2296" t="s">
        <v>3453</v>
      </c>
      <c r="D560" s="2296"/>
      <c r="E560" s="2333" t="s">
        <v>3467</v>
      </c>
      <c r="F560" s="2333" t="s">
        <v>3468</v>
      </c>
      <c r="G560" s="2185" t="s">
        <v>3469</v>
      </c>
      <c r="H560" s="2333"/>
      <c r="I560" s="2334"/>
      <c r="J560" s="2185"/>
      <c r="K560" s="2336"/>
      <c r="L560" s="2335"/>
      <c r="M560" s="1951"/>
      <c r="N560" s="1962"/>
      <c r="O560" s="1961">
        <v>12055000</v>
      </c>
      <c r="P560" s="1951">
        <v>12609530</v>
      </c>
      <c r="Q560" s="1960">
        <v>13189569</v>
      </c>
    </row>
    <row r="561" spans="1:17" ht="12.75" customHeight="1">
      <c r="A561" s="2332" t="s">
        <v>3470</v>
      </c>
      <c r="B561" s="2185" t="s">
        <v>3600</v>
      </c>
      <c r="C561" s="2296" t="s">
        <v>3453</v>
      </c>
      <c r="D561" s="2296"/>
      <c r="E561" s="2333" t="s">
        <v>3467</v>
      </c>
      <c r="F561" s="2333" t="s">
        <v>3468</v>
      </c>
      <c r="G561" s="2185" t="s">
        <v>3469</v>
      </c>
      <c r="H561" s="2333"/>
      <c r="I561" s="2334"/>
      <c r="J561" s="2185"/>
      <c r="K561" s="2336"/>
      <c r="L561" s="2335"/>
      <c r="M561" s="1951"/>
      <c r="N561" s="1962"/>
      <c r="O561" s="1961">
        <v>4460</v>
      </c>
      <c r="P561" s="1951">
        <v>4666</v>
      </c>
      <c r="Q561" s="1960">
        <v>4880</v>
      </c>
    </row>
    <row r="562" spans="1:17" ht="12.75" customHeight="1">
      <c r="A562" s="2332" t="s">
        <v>3485</v>
      </c>
      <c r="B562" s="2185" t="s">
        <v>3505</v>
      </c>
      <c r="C562" s="2296" t="s">
        <v>3453</v>
      </c>
      <c r="D562" s="2296"/>
      <c r="E562" s="2333" t="s">
        <v>3467</v>
      </c>
      <c r="F562" s="2333" t="s">
        <v>3468</v>
      </c>
      <c r="G562" s="2185" t="s">
        <v>3469</v>
      </c>
      <c r="H562" s="2333"/>
      <c r="I562" s="2334"/>
      <c r="J562" s="2185"/>
      <c r="K562" s="2336"/>
      <c r="L562" s="2335"/>
      <c r="M562" s="1951"/>
      <c r="N562" s="1962"/>
      <c r="O562" s="1961">
        <v>1355</v>
      </c>
      <c r="P562" s="1951">
        <v>1417</v>
      </c>
      <c r="Q562" s="1960">
        <v>1483</v>
      </c>
    </row>
    <row r="563" spans="1:17" ht="12.75" customHeight="1">
      <c r="A563" s="2332" t="s">
        <v>3464</v>
      </c>
      <c r="B563" s="2185" t="s">
        <v>3489</v>
      </c>
      <c r="C563" s="2296" t="s">
        <v>3453</v>
      </c>
      <c r="D563" s="2296"/>
      <c r="E563" s="2333" t="s">
        <v>3467</v>
      </c>
      <c r="F563" s="2333" t="s">
        <v>3468</v>
      </c>
      <c r="G563" s="2185" t="s">
        <v>3469</v>
      </c>
      <c r="H563" s="2333"/>
      <c r="I563" s="2334"/>
      <c r="J563" s="2185"/>
      <c r="K563" s="2336"/>
      <c r="L563" s="2335"/>
      <c r="M563" s="1951"/>
      <c r="N563" s="1962"/>
      <c r="O563" s="1961">
        <v>25397</v>
      </c>
      <c r="P563" s="1951">
        <v>26566</v>
      </c>
      <c r="Q563" s="1960">
        <v>27788</v>
      </c>
    </row>
    <row r="564" spans="1:17" ht="12.75" customHeight="1">
      <c r="A564" s="2332" t="s">
        <v>3499</v>
      </c>
      <c r="B564" s="2185" t="s">
        <v>3589</v>
      </c>
      <c r="C564" s="2296" t="s">
        <v>3453</v>
      </c>
      <c r="D564" s="2296"/>
      <c r="E564" s="2333" t="s">
        <v>3467</v>
      </c>
      <c r="F564" s="2333" t="s">
        <v>3468</v>
      </c>
      <c r="G564" s="2185" t="s">
        <v>3469</v>
      </c>
      <c r="H564" s="2333"/>
      <c r="I564" s="2334"/>
      <c r="J564" s="2185"/>
      <c r="K564" s="2336"/>
      <c r="L564" s="2335"/>
      <c r="M564" s="1951"/>
      <c r="N564" s="1962"/>
      <c r="O564" s="1961">
        <v>497339</v>
      </c>
      <c r="P564" s="1951">
        <v>520217</v>
      </c>
      <c r="Q564" s="1960">
        <v>544147</v>
      </c>
    </row>
    <row r="565" spans="1:17" ht="12.75" customHeight="1">
      <c r="A565" s="2332" t="s">
        <v>3459</v>
      </c>
      <c r="B565" s="2185" t="s">
        <v>3753</v>
      </c>
      <c r="C565" s="2296" t="s">
        <v>3453</v>
      </c>
      <c r="D565" s="2296"/>
      <c r="E565" s="2333" t="s">
        <v>3467</v>
      </c>
      <c r="F565" s="2333" t="s">
        <v>3468</v>
      </c>
      <c r="G565" s="2185" t="s">
        <v>3469</v>
      </c>
      <c r="H565" s="2333"/>
      <c r="I565" s="2334"/>
      <c r="J565" s="2185"/>
      <c r="K565" s="2336"/>
      <c r="L565" s="2335"/>
      <c r="M565" s="1951"/>
      <c r="N565" s="1962"/>
      <c r="O565" s="1961">
        <v>4000000</v>
      </c>
      <c r="P565" s="1951">
        <v>4184000</v>
      </c>
      <c r="Q565" s="1960">
        <v>4376464</v>
      </c>
    </row>
    <row r="566" spans="1:17" ht="12.75" customHeight="1">
      <c r="A566" s="2332" t="s">
        <v>3454</v>
      </c>
      <c r="B566" s="2185" t="s">
        <v>3512</v>
      </c>
      <c r="C566" s="2296" t="s">
        <v>3453</v>
      </c>
      <c r="D566" s="2296"/>
      <c r="E566" s="2333" t="s">
        <v>3456</v>
      </c>
      <c r="F566" s="2333" t="s">
        <v>3457</v>
      </c>
      <c r="G566" s="2185" t="s">
        <v>3461</v>
      </c>
      <c r="H566" s="2333"/>
      <c r="I566" s="2334"/>
      <c r="J566" s="2185"/>
      <c r="K566" s="2336"/>
      <c r="L566" s="2335"/>
      <c r="M566" s="1951"/>
      <c r="N566" s="1962"/>
      <c r="O566" s="1961">
        <v>0</v>
      </c>
      <c r="P566" s="1951">
        <v>0</v>
      </c>
      <c r="Q566" s="1960">
        <v>0</v>
      </c>
    </row>
    <row r="567" spans="1:17" ht="12.75" customHeight="1">
      <c r="A567" s="2332" t="s">
        <v>3487</v>
      </c>
      <c r="B567" s="2185" t="s">
        <v>3754</v>
      </c>
      <c r="C567" s="2296" t="s">
        <v>3755</v>
      </c>
      <c r="D567" s="2296"/>
      <c r="E567" s="2333" t="s">
        <v>3456</v>
      </c>
      <c r="F567" s="2333" t="s">
        <v>3457</v>
      </c>
      <c r="G567" s="2185" t="s">
        <v>3461</v>
      </c>
      <c r="H567" s="2333"/>
      <c r="I567" s="2334"/>
      <c r="J567" s="2185"/>
      <c r="K567" s="2336"/>
      <c r="L567" s="2335"/>
      <c r="M567" s="1951"/>
      <c r="N567" s="1962"/>
      <c r="O567" s="1961">
        <v>109367</v>
      </c>
      <c r="P567" s="1951">
        <v>114398</v>
      </c>
      <c r="Q567" s="1960">
        <v>119661</v>
      </c>
    </row>
    <row r="568" spans="1:17" ht="12.75" customHeight="1">
      <c r="A568" s="2332" t="s">
        <v>3479</v>
      </c>
      <c r="B568" s="2185" t="s">
        <v>3664</v>
      </c>
      <c r="C568" s="2296" t="s">
        <v>3453</v>
      </c>
      <c r="D568" s="2296"/>
      <c r="E568" s="2333" t="s">
        <v>3456</v>
      </c>
      <c r="F568" s="2333" t="s">
        <v>3457</v>
      </c>
      <c r="G568" s="2185" t="s">
        <v>3458</v>
      </c>
      <c r="H568" s="2333"/>
      <c r="I568" s="2334"/>
      <c r="J568" s="2185"/>
      <c r="K568" s="2336"/>
      <c r="L568" s="2335"/>
      <c r="M568" s="1951"/>
      <c r="N568" s="1962"/>
      <c r="O568" s="1961">
        <v>2000</v>
      </c>
      <c r="P568" s="1951">
        <v>2000</v>
      </c>
      <c r="Q568" s="1960">
        <v>2000</v>
      </c>
    </row>
    <row r="569" spans="1:17" ht="12.75" customHeight="1">
      <c r="A569" s="2332" t="s">
        <v>3531</v>
      </c>
      <c r="B569" s="2185" t="s">
        <v>3532</v>
      </c>
      <c r="C569" s="2296" t="s">
        <v>3453</v>
      </c>
      <c r="D569" s="2296"/>
      <c r="E569" s="2333" t="s">
        <v>3456</v>
      </c>
      <c r="F569" s="2333" t="s">
        <v>3457</v>
      </c>
      <c r="G569" s="2185" t="s">
        <v>3461</v>
      </c>
      <c r="H569" s="2333"/>
      <c r="I569" s="2334"/>
      <c r="J569" s="2185"/>
      <c r="K569" s="2336"/>
      <c r="L569" s="2335"/>
      <c r="M569" s="1951"/>
      <c r="N569" s="1962"/>
      <c r="O569" s="1961">
        <v>0</v>
      </c>
      <c r="P569" s="1951">
        <v>0</v>
      </c>
      <c r="Q569" s="1960">
        <v>0</v>
      </c>
    </row>
    <row r="570" spans="1:17" ht="12.75" customHeight="1">
      <c r="A570" s="2332" t="s">
        <v>3523</v>
      </c>
      <c r="B570" s="2185" t="s">
        <v>3720</v>
      </c>
      <c r="C570" s="2296" t="s">
        <v>3453</v>
      </c>
      <c r="D570" s="2296"/>
      <c r="E570" s="2333" t="s">
        <v>3456</v>
      </c>
      <c r="F570" s="2333" t="s">
        <v>3457</v>
      </c>
      <c r="G570" s="2185" t="s">
        <v>3458</v>
      </c>
      <c r="H570" s="2333"/>
      <c r="I570" s="2334"/>
      <c r="J570" s="2185"/>
      <c r="K570" s="2336"/>
      <c r="L570" s="2335"/>
      <c r="M570" s="1951"/>
      <c r="N570" s="1962"/>
      <c r="O570" s="1961">
        <v>2366</v>
      </c>
      <c r="P570" s="1951">
        <v>2475</v>
      </c>
      <c r="Q570" s="1960">
        <v>2589</v>
      </c>
    </row>
    <row r="571" spans="1:17" ht="12.75" customHeight="1">
      <c r="A571" s="2332" t="s">
        <v>3479</v>
      </c>
      <c r="B571" s="2185" t="s">
        <v>3756</v>
      </c>
      <c r="C571" s="2296" t="s">
        <v>3453</v>
      </c>
      <c r="D571" s="2296"/>
      <c r="E571" s="2333" t="s">
        <v>3513</v>
      </c>
      <c r="F571" s="2333" t="s">
        <v>3514</v>
      </c>
      <c r="G571" s="2185" t="s">
        <v>3515</v>
      </c>
      <c r="H571" s="2333"/>
      <c r="I571" s="2334"/>
      <c r="J571" s="2185"/>
      <c r="K571" s="2336"/>
      <c r="L571" s="2335"/>
      <c r="M571" s="1951"/>
      <c r="N571" s="1962"/>
      <c r="O571" s="1961">
        <v>2285</v>
      </c>
      <c r="P571" s="1951">
        <v>2391</v>
      </c>
      <c r="Q571" s="1960">
        <v>2501</v>
      </c>
    </row>
    <row r="572" spans="1:17" ht="12.75" customHeight="1">
      <c r="A572" s="2332" t="s">
        <v>3558</v>
      </c>
      <c r="B572" s="2185" t="s">
        <v>3559</v>
      </c>
      <c r="C572" s="2296" t="s">
        <v>3453</v>
      </c>
      <c r="D572" s="2296"/>
      <c r="E572" s="2333" t="s">
        <v>3467</v>
      </c>
      <c r="F572" s="2333" t="s">
        <v>3468</v>
      </c>
      <c r="G572" s="2185" t="s">
        <v>3469</v>
      </c>
      <c r="H572" s="2333"/>
      <c r="I572" s="2334"/>
      <c r="J572" s="2185"/>
      <c r="K572" s="2336"/>
      <c r="L572" s="2335"/>
      <c r="M572" s="1951"/>
      <c r="N572" s="1962"/>
      <c r="O572" s="1961">
        <v>2427</v>
      </c>
      <c r="P572" s="1951">
        <v>2539</v>
      </c>
      <c r="Q572" s="1960">
        <v>2656</v>
      </c>
    </row>
    <row r="573" spans="1:17" ht="12.75" customHeight="1">
      <c r="A573" s="2332" t="s">
        <v>3531</v>
      </c>
      <c r="B573" s="2185" t="s">
        <v>3532</v>
      </c>
      <c r="C573" s="2296" t="s">
        <v>3453</v>
      </c>
      <c r="D573" s="2296"/>
      <c r="E573" s="2333" t="s">
        <v>3467</v>
      </c>
      <c r="F573" s="2333" t="s">
        <v>3468</v>
      </c>
      <c r="G573" s="2185" t="s">
        <v>3469</v>
      </c>
      <c r="H573" s="2333"/>
      <c r="I573" s="2334"/>
      <c r="J573" s="2185"/>
      <c r="K573" s="2336"/>
      <c r="L573" s="2335"/>
      <c r="M573" s="1951"/>
      <c r="N573" s="1962"/>
      <c r="O573" s="1961">
        <v>0</v>
      </c>
      <c r="P573" s="1951">
        <v>0</v>
      </c>
      <c r="Q573" s="1960">
        <v>0</v>
      </c>
    </row>
    <row r="574" spans="1:17" ht="12.75" customHeight="1">
      <c r="A574" s="2332" t="s">
        <v>3563</v>
      </c>
      <c r="B574" s="2185" t="s">
        <v>3564</v>
      </c>
      <c r="C574" s="2296" t="s">
        <v>3453</v>
      </c>
      <c r="D574" s="2296"/>
      <c r="E574" s="2333" t="s">
        <v>3456</v>
      </c>
      <c r="F574" s="2333" t="s">
        <v>3457</v>
      </c>
      <c r="G574" s="2185" t="s">
        <v>3458</v>
      </c>
      <c r="H574" s="2333"/>
      <c r="I574" s="2334"/>
      <c r="J574" s="2185"/>
      <c r="K574" s="2336"/>
      <c r="L574" s="2335"/>
      <c r="M574" s="1951"/>
      <c r="N574" s="1962"/>
      <c r="O574" s="1961">
        <v>25074</v>
      </c>
      <c r="P574" s="1951">
        <v>26228</v>
      </c>
      <c r="Q574" s="1960">
        <v>27434</v>
      </c>
    </row>
    <row r="575" spans="1:17" ht="12.75" customHeight="1">
      <c r="A575" s="2332" t="s">
        <v>3563</v>
      </c>
      <c r="B575" s="2185" t="s">
        <v>3757</v>
      </c>
      <c r="C575" s="2296" t="s">
        <v>3453</v>
      </c>
      <c r="D575" s="2296"/>
      <c r="E575" s="2333" t="s">
        <v>3456</v>
      </c>
      <c r="F575" s="2333" t="s">
        <v>3457</v>
      </c>
      <c r="G575" s="2185" t="s">
        <v>3461</v>
      </c>
      <c r="H575" s="2333"/>
      <c r="I575" s="2334"/>
      <c r="J575" s="2185"/>
      <c r="K575" s="2336"/>
      <c r="L575" s="2335"/>
      <c r="M575" s="1951"/>
      <c r="N575" s="1962"/>
      <c r="O575" s="1961">
        <v>4000</v>
      </c>
      <c r="P575" s="1951">
        <v>4184</v>
      </c>
      <c r="Q575" s="1960">
        <v>4377</v>
      </c>
    </row>
    <row r="576" spans="1:17" ht="12.75" customHeight="1">
      <c r="A576" s="2332" t="s">
        <v>3506</v>
      </c>
      <c r="B576" s="2185" t="s">
        <v>3610</v>
      </c>
      <c r="C576" s="2296" t="s">
        <v>3453</v>
      </c>
      <c r="D576" s="2296"/>
      <c r="E576" s="2333" t="s">
        <v>3456</v>
      </c>
      <c r="F576" s="2333" t="s">
        <v>3457</v>
      </c>
      <c r="G576" s="2185" t="s">
        <v>3481</v>
      </c>
      <c r="H576" s="2333"/>
      <c r="I576" s="2334"/>
      <c r="J576" s="2185"/>
      <c r="K576" s="2336"/>
      <c r="L576" s="2335"/>
      <c r="M576" s="1951"/>
      <c r="N576" s="1962"/>
      <c r="O576" s="1961">
        <v>0</v>
      </c>
      <c r="P576" s="1951">
        <v>0</v>
      </c>
      <c r="Q576" s="1960">
        <v>0</v>
      </c>
    </row>
    <row r="577" spans="1:17" ht="12.75" customHeight="1">
      <c r="A577" s="2332" t="s">
        <v>3523</v>
      </c>
      <c r="B577" s="2185" t="s">
        <v>3758</v>
      </c>
      <c r="C577" s="2296" t="s">
        <v>3453</v>
      </c>
      <c r="D577" s="2296"/>
      <c r="E577" s="2333" t="s">
        <v>3456</v>
      </c>
      <c r="F577" s="2333" t="s">
        <v>3457</v>
      </c>
      <c r="G577" s="2185" t="s">
        <v>3461</v>
      </c>
      <c r="H577" s="2333"/>
      <c r="I577" s="2334"/>
      <c r="J577" s="2185"/>
      <c r="K577" s="2336"/>
      <c r="L577" s="2335"/>
      <c r="M577" s="1951"/>
      <c r="N577" s="1962"/>
      <c r="O577" s="1961">
        <v>0</v>
      </c>
      <c r="P577" s="1951">
        <v>0</v>
      </c>
      <c r="Q577" s="1960">
        <v>0</v>
      </c>
    </row>
    <row r="578" spans="1:17" ht="12.75" customHeight="1">
      <c r="A578" s="2332" t="s">
        <v>3454</v>
      </c>
      <c r="B578" s="2185" t="s">
        <v>3675</v>
      </c>
      <c r="C578" s="2296" t="s">
        <v>3453</v>
      </c>
      <c r="D578" s="2296"/>
      <c r="E578" s="2333" t="s">
        <v>3456</v>
      </c>
      <c r="F578" s="2333" t="s">
        <v>3457</v>
      </c>
      <c r="G578" s="2185" t="s">
        <v>3458</v>
      </c>
      <c r="H578" s="2333"/>
      <c r="I578" s="2334"/>
      <c r="J578" s="2185"/>
      <c r="K578" s="2336"/>
      <c r="L578" s="2335"/>
      <c r="M578" s="1951"/>
      <c r="N578" s="1962"/>
      <c r="O578" s="1961">
        <v>0</v>
      </c>
      <c r="P578" s="1951">
        <v>0</v>
      </c>
      <c r="Q578" s="1960">
        <v>0</v>
      </c>
    </row>
    <row r="579" spans="1:17" ht="12.75" customHeight="1">
      <c r="A579" s="2332" t="s">
        <v>3464</v>
      </c>
      <c r="B579" s="2185" t="s">
        <v>3522</v>
      </c>
      <c r="C579" s="2296" t="s">
        <v>3453</v>
      </c>
      <c r="D579" s="2296"/>
      <c r="E579" s="2333" t="s">
        <v>3525</v>
      </c>
      <c r="F579" s="2333" t="s">
        <v>3457</v>
      </c>
      <c r="G579" s="2185" t="s">
        <v>3526</v>
      </c>
      <c r="H579" s="2333"/>
      <c r="I579" s="2334"/>
      <c r="J579" s="2185"/>
      <c r="K579" s="2336"/>
      <c r="L579" s="2335"/>
      <c r="M579" s="1951"/>
      <c r="N579" s="1962"/>
      <c r="O579" s="1961">
        <v>23516</v>
      </c>
      <c r="P579" s="1951">
        <v>24598</v>
      </c>
      <c r="Q579" s="1960">
        <v>25730</v>
      </c>
    </row>
    <row r="580" spans="1:17" ht="12.75" customHeight="1">
      <c r="A580" s="2332" t="s">
        <v>3538</v>
      </c>
      <c r="B580" s="2185" t="s">
        <v>3759</v>
      </c>
      <c r="C580" s="2296" t="s">
        <v>3463</v>
      </c>
      <c r="D580" s="2296"/>
      <c r="E580" s="2333" t="s">
        <v>3467</v>
      </c>
      <c r="F580" s="2333" t="s">
        <v>3468</v>
      </c>
      <c r="G580" s="2185" t="s">
        <v>3469</v>
      </c>
      <c r="H580" s="2333"/>
      <c r="I580" s="2334"/>
      <c r="J580" s="2185"/>
      <c r="K580" s="2336"/>
      <c r="L580" s="2335"/>
      <c r="M580" s="1951"/>
      <c r="N580" s="1962"/>
      <c r="O580" s="1961">
        <v>60000</v>
      </c>
      <c r="P580" s="1951">
        <v>62760</v>
      </c>
      <c r="Q580" s="1960">
        <v>65647</v>
      </c>
    </row>
    <row r="581" spans="1:17" ht="12.75" customHeight="1">
      <c r="A581" s="2332" t="s">
        <v>3485</v>
      </c>
      <c r="B581" s="2185" t="s">
        <v>3486</v>
      </c>
      <c r="C581" s="2296" t="s">
        <v>3453</v>
      </c>
      <c r="D581" s="2296"/>
      <c r="E581" s="2333" t="s">
        <v>3467</v>
      </c>
      <c r="F581" s="2333" t="s">
        <v>3468</v>
      </c>
      <c r="G581" s="2185" t="s">
        <v>2676</v>
      </c>
      <c r="H581" s="2333"/>
      <c r="I581" s="2334"/>
      <c r="J581" s="2185"/>
      <c r="K581" s="2336"/>
      <c r="L581" s="2335"/>
      <c r="M581" s="1951"/>
      <c r="N581" s="1962"/>
      <c r="O581" s="1961">
        <v>36316</v>
      </c>
      <c r="P581" s="1951">
        <v>37987</v>
      </c>
      <c r="Q581" s="1960">
        <v>39734</v>
      </c>
    </row>
    <row r="582" spans="1:17" ht="12.75" customHeight="1">
      <c r="A582" s="2332" t="s">
        <v>3541</v>
      </c>
      <c r="B582" s="2185" t="s">
        <v>3606</v>
      </c>
      <c r="C582" s="2296" t="s">
        <v>3453</v>
      </c>
      <c r="D582" s="2296"/>
      <c r="E582" s="2333" t="s">
        <v>3467</v>
      </c>
      <c r="F582" s="2333" t="s">
        <v>3468</v>
      </c>
      <c r="G582" s="2185" t="s">
        <v>3469</v>
      </c>
      <c r="H582" s="2333"/>
      <c r="I582" s="2334"/>
      <c r="J582" s="2185"/>
      <c r="K582" s="2336"/>
      <c r="L582" s="2335"/>
      <c r="M582" s="1951"/>
      <c r="N582" s="1962"/>
      <c r="O582" s="1961">
        <v>177143</v>
      </c>
      <c r="P582" s="1951">
        <v>185292</v>
      </c>
      <c r="Q582" s="1960">
        <v>193815</v>
      </c>
    </row>
    <row r="583" spans="1:17" ht="12.75" customHeight="1">
      <c r="A583" s="2332" t="s">
        <v>3558</v>
      </c>
      <c r="B583" s="2185" t="s">
        <v>3559</v>
      </c>
      <c r="C583" s="2296" t="s">
        <v>3453</v>
      </c>
      <c r="D583" s="2296"/>
      <c r="E583" s="2333" t="s">
        <v>3456</v>
      </c>
      <c r="F583" s="2333" t="s">
        <v>3457</v>
      </c>
      <c r="G583" s="2185" t="s">
        <v>3461</v>
      </c>
      <c r="H583" s="2333"/>
      <c r="I583" s="2334"/>
      <c r="J583" s="2185"/>
      <c r="K583" s="2336"/>
      <c r="L583" s="2335"/>
      <c r="M583" s="1951"/>
      <c r="N583" s="1962"/>
      <c r="O583" s="1961">
        <v>5552</v>
      </c>
      <c r="P583" s="1951">
        <v>5808</v>
      </c>
      <c r="Q583" s="1960">
        <v>6075</v>
      </c>
    </row>
    <row r="584" spans="1:17" ht="12.75" customHeight="1">
      <c r="A584" s="2332" t="s">
        <v>3464</v>
      </c>
      <c r="B584" s="2185" t="s">
        <v>3482</v>
      </c>
      <c r="C584" s="2296" t="s">
        <v>3453</v>
      </c>
      <c r="D584" s="2296"/>
      <c r="E584" s="2333" t="s">
        <v>3467</v>
      </c>
      <c r="F584" s="2333" t="s">
        <v>3468</v>
      </c>
      <c r="G584" s="2185" t="s">
        <v>2676</v>
      </c>
      <c r="H584" s="2333"/>
      <c r="I584" s="2334"/>
      <c r="J584" s="2185"/>
      <c r="K584" s="2336"/>
      <c r="L584" s="2335"/>
      <c r="M584" s="1951"/>
      <c r="N584" s="1962"/>
      <c r="O584" s="1961">
        <v>531928</v>
      </c>
      <c r="P584" s="1951">
        <v>556397</v>
      </c>
      <c r="Q584" s="1960">
        <v>581991</v>
      </c>
    </row>
    <row r="585" spans="1:17" ht="12.75" customHeight="1">
      <c r="A585" s="2332" t="s">
        <v>3454</v>
      </c>
      <c r="B585" s="2185" t="s">
        <v>3545</v>
      </c>
      <c r="C585" s="2296" t="s">
        <v>3453</v>
      </c>
      <c r="D585" s="2296"/>
      <c r="E585" s="2333" t="s">
        <v>3467</v>
      </c>
      <c r="F585" s="2333" t="s">
        <v>3468</v>
      </c>
      <c r="G585" s="2185" t="s">
        <v>3469</v>
      </c>
      <c r="H585" s="2333"/>
      <c r="I585" s="2334"/>
      <c r="J585" s="2185"/>
      <c r="K585" s="2336"/>
      <c r="L585" s="2335"/>
      <c r="M585" s="1951"/>
      <c r="N585" s="1962"/>
      <c r="O585" s="1961">
        <v>0</v>
      </c>
      <c r="P585" s="1951">
        <v>0</v>
      </c>
      <c r="Q585" s="1960">
        <v>0</v>
      </c>
    </row>
    <row r="586" spans="1:17" ht="12.75" customHeight="1">
      <c r="A586" s="2332" t="s">
        <v>3464</v>
      </c>
      <c r="B586" s="2185" t="s">
        <v>3489</v>
      </c>
      <c r="C586" s="2296" t="s">
        <v>3453</v>
      </c>
      <c r="D586" s="2296"/>
      <c r="E586" s="2333" t="s">
        <v>3467</v>
      </c>
      <c r="F586" s="2333" t="s">
        <v>3468</v>
      </c>
      <c r="G586" s="2185" t="s">
        <v>3469</v>
      </c>
      <c r="H586" s="2333"/>
      <c r="I586" s="2334"/>
      <c r="J586" s="2185"/>
      <c r="K586" s="2336"/>
      <c r="L586" s="2335"/>
      <c r="M586" s="1951"/>
      <c r="N586" s="1962"/>
      <c r="O586" s="1961">
        <v>0</v>
      </c>
      <c r="P586" s="1951">
        <v>0</v>
      </c>
      <c r="Q586" s="1960">
        <v>1</v>
      </c>
    </row>
    <row r="587" spans="1:17" ht="12.75" customHeight="1">
      <c r="A587" s="2332" t="s">
        <v>3558</v>
      </c>
      <c r="B587" s="2185" t="s">
        <v>3696</v>
      </c>
      <c r="C587" s="2296" t="s">
        <v>3453</v>
      </c>
      <c r="D587" s="2296"/>
      <c r="E587" s="2333" t="s">
        <v>3456</v>
      </c>
      <c r="F587" s="2333" t="s">
        <v>3457</v>
      </c>
      <c r="G587" s="2185" t="s">
        <v>3461</v>
      </c>
      <c r="H587" s="2333"/>
      <c r="I587" s="2334"/>
      <c r="J587" s="2185"/>
      <c r="K587" s="2336"/>
      <c r="L587" s="2335"/>
      <c r="M587" s="1951"/>
      <c r="N587" s="1962"/>
      <c r="O587" s="1961">
        <v>0</v>
      </c>
      <c r="P587" s="1951">
        <v>0</v>
      </c>
      <c r="Q587" s="1960">
        <v>0</v>
      </c>
    </row>
    <row r="588" spans="1:17" ht="12.75" customHeight="1">
      <c r="A588" s="2332" t="s">
        <v>3451</v>
      </c>
      <c r="B588" s="2185" t="s">
        <v>3760</v>
      </c>
      <c r="C588" s="2296" t="s">
        <v>3453</v>
      </c>
      <c r="D588" s="2296"/>
      <c r="E588" s="2333" t="s">
        <v>3456</v>
      </c>
      <c r="F588" s="2333" t="s">
        <v>3457</v>
      </c>
      <c r="G588" s="2185" t="s">
        <v>3458</v>
      </c>
      <c r="H588" s="2333"/>
      <c r="I588" s="2334"/>
      <c r="J588" s="2185"/>
      <c r="K588" s="2336"/>
      <c r="L588" s="2335"/>
      <c r="M588" s="1951"/>
      <c r="N588" s="1962"/>
      <c r="O588" s="1961">
        <v>25704</v>
      </c>
      <c r="P588" s="1951">
        <v>26886</v>
      </c>
      <c r="Q588" s="1960">
        <v>28123</v>
      </c>
    </row>
    <row r="589" spans="1:17" ht="12.75" customHeight="1">
      <c r="A589" s="2332" t="s">
        <v>3454</v>
      </c>
      <c r="B589" s="2185" t="s">
        <v>3545</v>
      </c>
      <c r="C589" s="2296" t="s">
        <v>3453</v>
      </c>
      <c r="D589" s="2296"/>
      <c r="E589" s="2333" t="s">
        <v>3467</v>
      </c>
      <c r="F589" s="2333" t="s">
        <v>3468</v>
      </c>
      <c r="G589" s="2185" t="s">
        <v>3469</v>
      </c>
      <c r="H589" s="2333"/>
      <c r="I589" s="2334"/>
      <c r="J589" s="2185"/>
      <c r="K589" s="2336"/>
      <c r="L589" s="2335"/>
      <c r="M589" s="1951"/>
      <c r="N589" s="1962"/>
      <c r="O589" s="1961">
        <v>0</v>
      </c>
      <c r="P589" s="1951">
        <v>0</v>
      </c>
      <c r="Q589" s="1960">
        <v>0</v>
      </c>
    </row>
    <row r="590" spans="1:17" ht="12.75" customHeight="1">
      <c r="A590" s="2332" t="s">
        <v>3520</v>
      </c>
      <c r="B590" s="2185" t="s">
        <v>3668</v>
      </c>
      <c r="C590" s="2296" t="s">
        <v>3453</v>
      </c>
      <c r="D590" s="2296"/>
      <c r="E590" s="2333" t="s">
        <v>3456</v>
      </c>
      <c r="F590" s="2333" t="s">
        <v>3457</v>
      </c>
      <c r="G590" s="2185" t="s">
        <v>3461</v>
      </c>
      <c r="H590" s="2333"/>
      <c r="I590" s="2334"/>
      <c r="J590" s="2185"/>
      <c r="K590" s="2336"/>
      <c r="L590" s="2335"/>
      <c r="M590" s="1951"/>
      <c r="N590" s="1962"/>
      <c r="O590" s="1961">
        <v>0</v>
      </c>
      <c r="P590" s="1951">
        <v>0</v>
      </c>
      <c r="Q590" s="1960">
        <v>0</v>
      </c>
    </row>
    <row r="591" spans="1:17" ht="12.75" customHeight="1">
      <c r="A591" s="2332" t="s">
        <v>3490</v>
      </c>
      <c r="B591" s="2185" t="s">
        <v>3761</v>
      </c>
      <c r="C591" s="2296" t="s">
        <v>3762</v>
      </c>
      <c r="D591" s="2296"/>
      <c r="E591" s="2333" t="s">
        <v>3467</v>
      </c>
      <c r="F591" s="2333" t="s">
        <v>3468</v>
      </c>
      <c r="G591" s="2185" t="s">
        <v>3469</v>
      </c>
      <c r="H591" s="2333"/>
      <c r="I591" s="2334"/>
      <c r="J591" s="2185"/>
      <c r="K591" s="2336"/>
      <c r="L591" s="2335"/>
      <c r="M591" s="1951"/>
      <c r="N591" s="1962"/>
      <c r="O591" s="1961">
        <v>854085</v>
      </c>
      <c r="P591" s="1951">
        <v>893373</v>
      </c>
      <c r="Q591" s="1960">
        <v>934469</v>
      </c>
    </row>
    <row r="592" spans="1:17" ht="12.75" customHeight="1">
      <c r="A592" s="2332" t="s">
        <v>3487</v>
      </c>
      <c r="B592" s="2185" t="s">
        <v>3488</v>
      </c>
      <c r="C592" s="2296" t="s">
        <v>3453</v>
      </c>
      <c r="D592" s="2296"/>
      <c r="E592" s="2333" t="s">
        <v>3456</v>
      </c>
      <c r="F592" s="2333" t="s">
        <v>3457</v>
      </c>
      <c r="G592" s="2185" t="s">
        <v>3461</v>
      </c>
      <c r="H592" s="2333"/>
      <c r="I592" s="2334"/>
      <c r="J592" s="2185"/>
      <c r="K592" s="2336"/>
      <c r="L592" s="2335"/>
      <c r="M592" s="1951"/>
      <c r="N592" s="1962"/>
      <c r="O592" s="1961">
        <v>392384</v>
      </c>
      <c r="P592" s="1951">
        <v>410434</v>
      </c>
      <c r="Q592" s="1960">
        <v>429314</v>
      </c>
    </row>
    <row r="593" spans="1:17" ht="12.75" customHeight="1">
      <c r="A593" s="2332" t="s">
        <v>3490</v>
      </c>
      <c r="B593" s="2185" t="s">
        <v>3494</v>
      </c>
      <c r="C593" s="2296" t="s">
        <v>3453</v>
      </c>
      <c r="D593" s="2296"/>
      <c r="E593" s="2333" t="s">
        <v>3456</v>
      </c>
      <c r="F593" s="2333" t="s">
        <v>3457</v>
      </c>
      <c r="G593" s="2185" t="s">
        <v>3526</v>
      </c>
      <c r="H593" s="2333"/>
      <c r="I593" s="2334"/>
      <c r="J593" s="2185"/>
      <c r="K593" s="2336"/>
      <c r="L593" s="2335"/>
      <c r="M593" s="1951"/>
      <c r="N593" s="1962"/>
      <c r="O593" s="1961">
        <v>860701</v>
      </c>
      <c r="P593" s="1951">
        <v>900294</v>
      </c>
      <c r="Q593" s="1960">
        <v>941707</v>
      </c>
    </row>
    <row r="594" spans="1:17" ht="12.75" customHeight="1">
      <c r="A594" s="2332" t="s">
        <v>3459</v>
      </c>
      <c r="B594" s="2185" t="s">
        <v>3742</v>
      </c>
      <c r="C594" s="2296" t="s">
        <v>3453</v>
      </c>
      <c r="D594" s="2296"/>
      <c r="E594" s="2333" t="s">
        <v>3456</v>
      </c>
      <c r="F594" s="2333" t="s">
        <v>3457</v>
      </c>
      <c r="G594" s="2185" t="s">
        <v>3461</v>
      </c>
      <c r="H594" s="2333"/>
      <c r="I594" s="2334"/>
      <c r="J594" s="2185"/>
      <c r="K594" s="2336"/>
      <c r="L594" s="2335"/>
      <c r="M594" s="1951"/>
      <c r="N594" s="1962"/>
      <c r="O594" s="1961">
        <v>5591809</v>
      </c>
      <c r="P594" s="1951">
        <v>5849033</v>
      </c>
      <c r="Q594" s="1960">
        <v>6118088</v>
      </c>
    </row>
    <row r="595" spans="1:17" ht="12.75" customHeight="1">
      <c r="A595" s="2332" t="s">
        <v>3523</v>
      </c>
      <c r="B595" s="2185" t="s">
        <v>3626</v>
      </c>
      <c r="C595" s="2296" t="s">
        <v>3453</v>
      </c>
      <c r="D595" s="2296"/>
      <c r="E595" s="2333" t="s">
        <v>3467</v>
      </c>
      <c r="F595" s="2333" t="s">
        <v>3468</v>
      </c>
      <c r="G595" s="2185" t="s">
        <v>3469</v>
      </c>
      <c r="H595" s="2333"/>
      <c r="I595" s="2334"/>
      <c r="J595" s="2185"/>
      <c r="K595" s="2336"/>
      <c r="L595" s="2335"/>
      <c r="M595" s="1951"/>
      <c r="N595" s="1962"/>
      <c r="O595" s="1961">
        <v>776213</v>
      </c>
      <c r="P595" s="1951">
        <v>811919</v>
      </c>
      <c r="Q595" s="1960">
        <v>849268</v>
      </c>
    </row>
    <row r="596" spans="1:17" ht="12.75" customHeight="1">
      <c r="A596" s="2332" t="s">
        <v>3464</v>
      </c>
      <c r="B596" s="2185" t="s">
        <v>3605</v>
      </c>
      <c r="C596" s="2296" t="s">
        <v>3453</v>
      </c>
      <c r="D596" s="2296"/>
      <c r="E596" s="2333" t="s">
        <v>3456</v>
      </c>
      <c r="F596" s="2333" t="s">
        <v>3457</v>
      </c>
      <c r="G596" s="2185" t="s">
        <v>3458</v>
      </c>
      <c r="H596" s="2333"/>
      <c r="I596" s="2334"/>
      <c r="J596" s="2185"/>
      <c r="K596" s="2336"/>
      <c r="L596" s="2335"/>
      <c r="M596" s="1951"/>
      <c r="N596" s="1962"/>
      <c r="O596" s="1961">
        <v>125</v>
      </c>
      <c r="P596" s="1951">
        <v>131</v>
      </c>
      <c r="Q596" s="1960">
        <v>137</v>
      </c>
    </row>
    <row r="597" spans="1:17" ht="12.75" customHeight="1">
      <c r="A597" s="2332" t="s">
        <v>3490</v>
      </c>
      <c r="B597" s="2185" t="s">
        <v>3763</v>
      </c>
      <c r="C597" s="2296" t="s">
        <v>3453</v>
      </c>
      <c r="D597" s="2296"/>
      <c r="E597" s="2333" t="s">
        <v>3467</v>
      </c>
      <c r="F597" s="2333" t="s">
        <v>3468</v>
      </c>
      <c r="G597" s="2185" t="s">
        <v>3469</v>
      </c>
      <c r="H597" s="2333"/>
      <c r="I597" s="2334"/>
      <c r="J597" s="2185"/>
      <c r="K597" s="2336"/>
      <c r="L597" s="2335"/>
      <c r="M597" s="1951"/>
      <c r="N597" s="1962"/>
      <c r="O597" s="1961">
        <v>11265</v>
      </c>
      <c r="P597" s="1951">
        <v>11784</v>
      </c>
      <c r="Q597" s="1960">
        <v>12326</v>
      </c>
    </row>
    <row r="598" spans="1:17" ht="12.75" customHeight="1">
      <c r="A598" s="2332" t="s">
        <v>3499</v>
      </c>
      <c r="B598" s="2185" t="s">
        <v>3500</v>
      </c>
      <c r="C598" s="2296" t="s">
        <v>3453</v>
      </c>
      <c r="D598" s="2296"/>
      <c r="E598" s="2333" t="s">
        <v>3456</v>
      </c>
      <c r="F598" s="2333" t="s">
        <v>3457</v>
      </c>
      <c r="G598" s="2185" t="s">
        <v>3461</v>
      </c>
      <c r="H598" s="2333"/>
      <c r="I598" s="2334"/>
      <c r="J598" s="2185"/>
      <c r="K598" s="2336"/>
      <c r="L598" s="2335"/>
      <c r="M598" s="1951"/>
      <c r="N598" s="1962"/>
      <c r="O598" s="1961">
        <v>109313</v>
      </c>
      <c r="P598" s="1951">
        <v>114341</v>
      </c>
      <c r="Q598" s="1960">
        <v>119601</v>
      </c>
    </row>
    <row r="599" spans="1:17" ht="12.75" customHeight="1">
      <c r="A599" s="2332" t="s">
        <v>3487</v>
      </c>
      <c r="B599" s="2185" t="s">
        <v>3488</v>
      </c>
      <c r="C599" s="2296" t="s">
        <v>3453</v>
      </c>
      <c r="D599" s="2296"/>
      <c r="E599" s="2333" t="s">
        <v>3467</v>
      </c>
      <c r="F599" s="2333" t="s">
        <v>3468</v>
      </c>
      <c r="G599" s="2185" t="s">
        <v>3469</v>
      </c>
      <c r="H599" s="2333"/>
      <c r="I599" s="2334"/>
      <c r="J599" s="2185"/>
      <c r="K599" s="2336"/>
      <c r="L599" s="2335"/>
      <c r="M599" s="1951"/>
      <c r="N599" s="1962"/>
      <c r="O599" s="1961">
        <v>56549</v>
      </c>
      <c r="P599" s="1951">
        <v>59151</v>
      </c>
      <c r="Q599" s="1960">
        <v>61872</v>
      </c>
    </row>
    <row r="600" spans="1:17" ht="12.75" customHeight="1">
      <c r="A600" s="2332" t="s">
        <v>3490</v>
      </c>
      <c r="B600" s="2185" t="s">
        <v>3764</v>
      </c>
      <c r="C600" s="2296" t="s">
        <v>3453</v>
      </c>
      <c r="D600" s="2296"/>
      <c r="E600" s="2333" t="s">
        <v>3456</v>
      </c>
      <c r="F600" s="2333" t="s">
        <v>3457</v>
      </c>
      <c r="G600" s="2185" t="s">
        <v>3458</v>
      </c>
      <c r="H600" s="2333"/>
      <c r="I600" s="2334"/>
      <c r="J600" s="2185"/>
      <c r="K600" s="2336"/>
      <c r="L600" s="2335"/>
      <c r="M600" s="1951"/>
      <c r="N600" s="1962"/>
      <c r="O600" s="1961">
        <v>15955</v>
      </c>
      <c r="P600" s="1951">
        <v>16689</v>
      </c>
      <c r="Q600" s="1960">
        <v>17457</v>
      </c>
    </row>
    <row r="601" spans="1:17" ht="12.75" customHeight="1">
      <c r="A601" s="2332" t="s">
        <v>3459</v>
      </c>
      <c r="B601" s="2185" t="s">
        <v>3742</v>
      </c>
      <c r="C601" s="2296" t="s">
        <v>3453</v>
      </c>
      <c r="D601" s="2296"/>
      <c r="E601" s="2333" t="s">
        <v>3456</v>
      </c>
      <c r="F601" s="2333" t="s">
        <v>3457</v>
      </c>
      <c r="G601" s="2185" t="s">
        <v>3458</v>
      </c>
      <c r="H601" s="2333"/>
      <c r="I601" s="2334"/>
      <c r="J601" s="2185"/>
      <c r="K601" s="2336"/>
      <c r="L601" s="2335"/>
      <c r="M601" s="1951"/>
      <c r="N601" s="1962"/>
      <c r="O601" s="1961">
        <v>70000</v>
      </c>
      <c r="P601" s="1951">
        <v>73220</v>
      </c>
      <c r="Q601" s="1960">
        <v>76589</v>
      </c>
    </row>
    <row r="602" spans="1:17" ht="12.75" customHeight="1">
      <c r="A602" s="2332" t="s">
        <v>3541</v>
      </c>
      <c r="B602" s="2185" t="s">
        <v>3606</v>
      </c>
      <c r="C602" s="2296" t="s">
        <v>3453</v>
      </c>
      <c r="D602" s="2296"/>
      <c r="E602" s="2333" t="s">
        <v>3456</v>
      </c>
      <c r="F602" s="2333" t="s">
        <v>3457</v>
      </c>
      <c r="G602" s="2185" t="s">
        <v>3458</v>
      </c>
      <c r="H602" s="2333"/>
      <c r="I602" s="2334"/>
      <c r="J602" s="2185"/>
      <c r="K602" s="2336"/>
      <c r="L602" s="2335"/>
      <c r="M602" s="1951"/>
      <c r="N602" s="1962"/>
      <c r="O602" s="1961">
        <v>43472</v>
      </c>
      <c r="P602" s="1951">
        <v>45472</v>
      </c>
      <c r="Q602" s="1960">
        <v>47564</v>
      </c>
    </row>
    <row r="603" spans="1:17" ht="12.75" customHeight="1">
      <c r="A603" s="2332" t="s">
        <v>3506</v>
      </c>
      <c r="B603" s="2185" t="s">
        <v>3765</v>
      </c>
      <c r="C603" s="2296" t="s">
        <v>3463</v>
      </c>
      <c r="D603" s="2296"/>
      <c r="E603" s="2333" t="s">
        <v>3456</v>
      </c>
      <c r="F603" s="2333" t="s">
        <v>3457</v>
      </c>
      <c r="G603" s="2185" t="s">
        <v>3461</v>
      </c>
      <c r="H603" s="2333"/>
      <c r="I603" s="2334"/>
      <c r="J603" s="2185"/>
      <c r="K603" s="2336"/>
      <c r="L603" s="2335"/>
      <c r="M603" s="1951"/>
      <c r="N603" s="1962"/>
      <c r="O603" s="1961">
        <v>29953</v>
      </c>
      <c r="P603" s="1951">
        <v>31331</v>
      </c>
      <c r="Q603" s="1960">
        <v>32773</v>
      </c>
    </row>
    <row r="604" spans="1:17" ht="12.75" customHeight="1">
      <c r="A604" s="2332" t="s">
        <v>3479</v>
      </c>
      <c r="B604" s="2185" t="s">
        <v>3516</v>
      </c>
      <c r="C604" s="2296" t="s">
        <v>3453</v>
      </c>
      <c r="D604" s="2296"/>
      <c r="E604" s="2333" t="s">
        <v>3456</v>
      </c>
      <c r="F604" s="2333" t="s">
        <v>3457</v>
      </c>
      <c r="G604" s="2185" t="s">
        <v>3461</v>
      </c>
      <c r="H604" s="2333"/>
      <c r="I604" s="2334"/>
      <c r="J604" s="2185"/>
      <c r="K604" s="2336"/>
      <c r="L604" s="2335"/>
      <c r="M604" s="1951"/>
      <c r="N604" s="1962"/>
      <c r="O604" s="1961">
        <v>0</v>
      </c>
      <c r="P604" s="1951">
        <v>0</v>
      </c>
      <c r="Q604" s="1960">
        <v>0</v>
      </c>
    </row>
    <row r="605" spans="1:17" ht="12.75" customHeight="1">
      <c r="A605" s="2332" t="s">
        <v>3470</v>
      </c>
      <c r="B605" s="2185" t="s">
        <v>3600</v>
      </c>
      <c r="C605" s="2296" t="s">
        <v>3453</v>
      </c>
      <c r="D605" s="2296"/>
      <c r="E605" s="2333"/>
      <c r="F605" s="2333"/>
      <c r="G605" s="2185"/>
      <c r="H605" s="2333"/>
      <c r="I605" s="2334"/>
      <c r="J605" s="2185"/>
      <c r="K605" s="2336"/>
      <c r="L605" s="2335"/>
      <c r="M605" s="1951"/>
      <c r="N605" s="1962"/>
      <c r="O605" s="1961">
        <v>15000</v>
      </c>
      <c r="P605" s="1951">
        <v>15690</v>
      </c>
      <c r="Q605" s="1960">
        <v>16412</v>
      </c>
    </row>
    <row r="606" spans="1:17" ht="12.75" customHeight="1">
      <c r="A606" s="2332" t="s">
        <v>3490</v>
      </c>
      <c r="B606" s="2185" t="s">
        <v>3766</v>
      </c>
      <c r="C606" s="2296" t="s">
        <v>3453</v>
      </c>
      <c r="D606" s="2296"/>
      <c r="E606" s="2333" t="s">
        <v>3456</v>
      </c>
      <c r="F606" s="2333" t="s">
        <v>3457</v>
      </c>
      <c r="G606" s="2185" t="s">
        <v>3461</v>
      </c>
      <c r="H606" s="2333"/>
      <c r="I606" s="2334"/>
      <c r="J606" s="2185"/>
      <c r="K606" s="2336"/>
      <c r="L606" s="2335"/>
      <c r="M606" s="1951"/>
      <c r="N606" s="1962"/>
      <c r="O606" s="1961">
        <v>6000</v>
      </c>
      <c r="P606" s="1951">
        <v>6276</v>
      </c>
      <c r="Q606" s="1960">
        <v>6565</v>
      </c>
    </row>
    <row r="607" spans="1:17" ht="12.75" customHeight="1">
      <c r="A607" s="2332" t="s">
        <v>3520</v>
      </c>
      <c r="B607" s="2185" t="s">
        <v>3767</v>
      </c>
      <c r="C607" s="2296" t="s">
        <v>3453</v>
      </c>
      <c r="D607" s="2296"/>
      <c r="E607" s="2333" t="s">
        <v>3456</v>
      </c>
      <c r="F607" s="2333" t="s">
        <v>3457</v>
      </c>
      <c r="G607" s="2185" t="s">
        <v>3481</v>
      </c>
      <c r="H607" s="2333"/>
      <c r="I607" s="2334"/>
      <c r="J607" s="2185"/>
      <c r="K607" s="2336"/>
      <c r="L607" s="2335"/>
      <c r="M607" s="1951"/>
      <c r="N607" s="1962"/>
      <c r="O607" s="1961">
        <v>7306</v>
      </c>
      <c r="P607" s="1951">
        <v>7306</v>
      </c>
      <c r="Q607" s="1960">
        <v>7643</v>
      </c>
    </row>
    <row r="608" spans="1:17" ht="12.75" customHeight="1">
      <c r="A608" s="2332" t="s">
        <v>3490</v>
      </c>
      <c r="B608" s="2185" t="s">
        <v>3493</v>
      </c>
      <c r="C608" s="2296" t="s">
        <v>3453</v>
      </c>
      <c r="D608" s="2296"/>
      <c r="E608" s="2333" t="s">
        <v>3467</v>
      </c>
      <c r="F608" s="2333" t="s">
        <v>3468</v>
      </c>
      <c r="G608" s="2185" t="s">
        <v>3475</v>
      </c>
      <c r="H608" s="2333"/>
      <c r="I608" s="2334"/>
      <c r="J608" s="2185"/>
      <c r="K608" s="2336"/>
      <c r="L608" s="2335"/>
      <c r="M608" s="1951"/>
      <c r="N608" s="1962"/>
      <c r="O608" s="1961">
        <v>10000</v>
      </c>
      <c r="P608" s="1951">
        <v>10460</v>
      </c>
      <c r="Q608" s="1960">
        <v>10942</v>
      </c>
    </row>
    <row r="609" spans="1:17" ht="12.75" customHeight="1">
      <c r="A609" s="2332" t="s">
        <v>3459</v>
      </c>
      <c r="B609" s="2185" t="s">
        <v>3645</v>
      </c>
      <c r="C609" s="2296" t="s">
        <v>3453</v>
      </c>
      <c r="D609" s="2296"/>
      <c r="E609" s="2333"/>
      <c r="F609" s="2333"/>
      <c r="G609" s="2185"/>
      <c r="H609" s="2333"/>
      <c r="I609" s="2334"/>
      <c r="J609" s="2185"/>
      <c r="K609" s="2336"/>
      <c r="L609" s="2335"/>
      <c r="M609" s="1951"/>
      <c r="N609" s="1962"/>
      <c r="O609" s="1961">
        <v>24684</v>
      </c>
      <c r="P609" s="1951">
        <v>25820</v>
      </c>
      <c r="Q609" s="1960">
        <v>27008</v>
      </c>
    </row>
    <row r="610" spans="1:17" ht="12.75" customHeight="1">
      <c r="A610" s="2332" t="s">
        <v>3510</v>
      </c>
      <c r="B610" s="2185" t="s">
        <v>3511</v>
      </c>
      <c r="C610" s="2296" t="s">
        <v>3453</v>
      </c>
      <c r="D610" s="2296"/>
      <c r="E610" s="2333" t="s">
        <v>3456</v>
      </c>
      <c r="F610" s="2333" t="s">
        <v>3457</v>
      </c>
      <c r="G610" s="2185" t="s">
        <v>3458</v>
      </c>
      <c r="H610" s="2333"/>
      <c r="I610" s="2334"/>
      <c r="J610" s="2185"/>
      <c r="K610" s="2336"/>
      <c r="L610" s="2335"/>
      <c r="M610" s="1951"/>
      <c r="N610" s="1962"/>
      <c r="O610" s="1961">
        <v>12576</v>
      </c>
      <c r="P610" s="1951">
        <v>13155</v>
      </c>
      <c r="Q610" s="1960">
        <v>13760</v>
      </c>
    </row>
    <row r="611" spans="1:17" ht="12.75" customHeight="1">
      <c r="A611" s="2332" t="s">
        <v>3487</v>
      </c>
      <c r="B611" s="2185" t="s">
        <v>3488</v>
      </c>
      <c r="C611" s="2296" t="s">
        <v>3453</v>
      </c>
      <c r="D611" s="2296"/>
      <c r="E611" s="2333" t="s">
        <v>3467</v>
      </c>
      <c r="F611" s="2333" t="s">
        <v>3468</v>
      </c>
      <c r="G611" s="2185" t="s">
        <v>2676</v>
      </c>
      <c r="H611" s="2333"/>
      <c r="I611" s="2334"/>
      <c r="J611" s="2185"/>
      <c r="K611" s="2336"/>
      <c r="L611" s="2335"/>
      <c r="M611" s="1951"/>
      <c r="N611" s="1962"/>
      <c r="O611" s="1961">
        <v>2000</v>
      </c>
      <c r="P611" s="1951">
        <v>2000</v>
      </c>
      <c r="Q611" s="1960">
        <v>2000</v>
      </c>
    </row>
    <row r="612" spans="1:17" ht="12.75" customHeight="1">
      <c r="A612" s="2332" t="s">
        <v>3479</v>
      </c>
      <c r="B612" s="2185" t="s">
        <v>3550</v>
      </c>
      <c r="C612" s="2296" t="s">
        <v>3453</v>
      </c>
      <c r="D612" s="2296"/>
      <c r="E612" s="2333" t="s">
        <v>3467</v>
      </c>
      <c r="F612" s="2333" t="s">
        <v>3468</v>
      </c>
      <c r="G612" s="2185" t="s">
        <v>3469</v>
      </c>
      <c r="H612" s="2333"/>
      <c r="I612" s="2334"/>
      <c r="J612" s="2185"/>
      <c r="K612" s="2336"/>
      <c r="L612" s="2335"/>
      <c r="M612" s="1951"/>
      <c r="N612" s="1962"/>
      <c r="O612" s="1961">
        <v>64457</v>
      </c>
      <c r="P612" s="1951">
        <v>67423</v>
      </c>
      <c r="Q612" s="1960">
        <v>70524</v>
      </c>
    </row>
    <row r="613" spans="1:17" ht="12.75" customHeight="1">
      <c r="A613" s="2332" t="s">
        <v>3479</v>
      </c>
      <c r="B613" s="2185" t="s">
        <v>3516</v>
      </c>
      <c r="C613" s="2296" t="s">
        <v>3453</v>
      </c>
      <c r="D613" s="2296"/>
      <c r="E613" s="2333" t="s">
        <v>3467</v>
      </c>
      <c r="F613" s="2333" t="s">
        <v>3468</v>
      </c>
      <c r="G613" s="2185" t="s">
        <v>3469</v>
      </c>
      <c r="H613" s="2333"/>
      <c r="I613" s="2334"/>
      <c r="J613" s="2185"/>
      <c r="K613" s="2336"/>
      <c r="L613" s="2335"/>
      <c r="M613" s="1951"/>
      <c r="N613" s="1962"/>
      <c r="O613" s="1961">
        <v>2000</v>
      </c>
      <c r="P613" s="1951">
        <v>2000</v>
      </c>
      <c r="Q613" s="1960">
        <v>2000</v>
      </c>
    </row>
    <row r="614" spans="1:17" ht="12.75" customHeight="1">
      <c r="A614" s="2332" t="s">
        <v>3543</v>
      </c>
      <c r="B614" s="2185" t="s">
        <v>3683</v>
      </c>
      <c r="C614" s="2296" t="s">
        <v>3453</v>
      </c>
      <c r="D614" s="2296"/>
      <c r="E614" s="2333" t="s">
        <v>3525</v>
      </c>
      <c r="F614" s="2333" t="s">
        <v>3457</v>
      </c>
      <c r="G614" s="2185" t="s">
        <v>3526</v>
      </c>
      <c r="H614" s="2333"/>
      <c r="I614" s="2334"/>
      <c r="J614" s="2185"/>
      <c r="K614" s="2336"/>
      <c r="L614" s="2335"/>
      <c r="M614" s="1951"/>
      <c r="N614" s="1962"/>
      <c r="O614" s="1961">
        <v>2588</v>
      </c>
      <c r="P614" s="1951">
        <v>2708</v>
      </c>
      <c r="Q614" s="1960">
        <v>2832</v>
      </c>
    </row>
    <row r="615" spans="1:17" ht="12.75" customHeight="1">
      <c r="A615" s="2332" t="s">
        <v>3451</v>
      </c>
      <c r="B615" s="2185" t="s">
        <v>3671</v>
      </c>
      <c r="C615" s="2296" t="s">
        <v>3453</v>
      </c>
      <c r="D615" s="2296"/>
      <c r="E615" s="2333"/>
      <c r="F615" s="2333"/>
      <c r="G615" s="2185"/>
      <c r="H615" s="2333"/>
      <c r="I615" s="2334"/>
      <c r="J615" s="2185"/>
      <c r="K615" s="2336"/>
      <c r="L615" s="2335"/>
      <c r="M615" s="1951"/>
      <c r="N615" s="1962"/>
      <c r="O615" s="1961">
        <v>592</v>
      </c>
      <c r="P615" s="1951">
        <v>620</v>
      </c>
      <c r="Q615" s="1960">
        <v>648</v>
      </c>
    </row>
    <row r="616" spans="1:17" ht="12.75" customHeight="1">
      <c r="A616" s="2332" t="s">
        <v>3464</v>
      </c>
      <c r="B616" s="2185" t="s">
        <v>3665</v>
      </c>
      <c r="C616" s="2296" t="s">
        <v>3453</v>
      </c>
      <c r="D616" s="2296"/>
      <c r="E616" s="2333" t="s">
        <v>3467</v>
      </c>
      <c r="F616" s="2333" t="s">
        <v>3468</v>
      </c>
      <c r="G616" s="2185" t="s">
        <v>2676</v>
      </c>
      <c r="H616" s="2333"/>
      <c r="I616" s="2334"/>
      <c r="J616" s="2185"/>
      <c r="K616" s="2336"/>
      <c r="L616" s="2335"/>
      <c r="M616" s="1951"/>
      <c r="N616" s="1962"/>
      <c r="O616" s="1961">
        <v>9500</v>
      </c>
      <c r="P616" s="1951">
        <v>9937</v>
      </c>
      <c r="Q616" s="1960">
        <v>10395</v>
      </c>
    </row>
    <row r="617" spans="1:17" ht="12.75" customHeight="1">
      <c r="A617" s="2332" t="s">
        <v>3454</v>
      </c>
      <c r="B617" s="2185" t="s">
        <v>3675</v>
      </c>
      <c r="C617" s="2296" t="s">
        <v>3453</v>
      </c>
      <c r="D617" s="2296"/>
      <c r="E617" s="2333" t="s">
        <v>3467</v>
      </c>
      <c r="F617" s="2333" t="s">
        <v>3468</v>
      </c>
      <c r="G617" s="2185" t="s">
        <v>3469</v>
      </c>
      <c r="H617" s="2333"/>
      <c r="I617" s="2334"/>
      <c r="J617" s="2185"/>
      <c r="K617" s="2336"/>
      <c r="L617" s="2335"/>
      <c r="M617" s="1951"/>
      <c r="N617" s="1962"/>
      <c r="O617" s="1961">
        <v>284689</v>
      </c>
      <c r="P617" s="1951">
        <v>297785</v>
      </c>
      <c r="Q617" s="1960">
        <v>311483</v>
      </c>
    </row>
    <row r="618" spans="1:17" ht="12.75" customHeight="1">
      <c r="A618" s="2332" t="s">
        <v>3533</v>
      </c>
      <c r="B618" s="2185" t="s">
        <v>3635</v>
      </c>
      <c r="C618" s="2296" t="s">
        <v>3453</v>
      </c>
      <c r="D618" s="2296"/>
      <c r="E618" s="2333"/>
      <c r="F618" s="2333"/>
      <c r="G618" s="2185"/>
      <c r="H618" s="2333"/>
      <c r="I618" s="2334"/>
      <c r="J618" s="2185"/>
      <c r="K618" s="2336"/>
      <c r="L618" s="2335"/>
      <c r="M618" s="1951"/>
      <c r="N618" s="1962"/>
      <c r="O618" s="1961">
        <v>44983</v>
      </c>
      <c r="P618" s="1951">
        <v>47053</v>
      </c>
      <c r="Q618" s="1960">
        <v>49217</v>
      </c>
    </row>
    <row r="619" spans="1:17" ht="12.75" customHeight="1">
      <c r="A619" s="2332" t="s">
        <v>3485</v>
      </c>
      <c r="B619" s="2185" t="s">
        <v>3505</v>
      </c>
      <c r="C619" s="2296" t="s">
        <v>3453</v>
      </c>
      <c r="D619" s="2296"/>
      <c r="E619" s="2333" t="s">
        <v>3456</v>
      </c>
      <c r="F619" s="2333" t="s">
        <v>3457</v>
      </c>
      <c r="G619" s="2185" t="s">
        <v>3461</v>
      </c>
      <c r="H619" s="2333"/>
      <c r="I619" s="2334"/>
      <c r="J619" s="2185"/>
      <c r="K619" s="2336"/>
      <c r="L619" s="2335"/>
      <c r="M619" s="1951"/>
      <c r="N619" s="1962"/>
      <c r="O619" s="1961">
        <v>1000</v>
      </c>
      <c r="P619" s="1951">
        <v>1000</v>
      </c>
      <c r="Q619" s="1960">
        <v>1000</v>
      </c>
    </row>
    <row r="620" spans="1:17" ht="12.75" customHeight="1">
      <c r="A620" s="2332" t="s">
        <v>3477</v>
      </c>
      <c r="B620" s="2185" t="s">
        <v>3575</v>
      </c>
      <c r="C620" s="2296" t="s">
        <v>3453</v>
      </c>
      <c r="D620" s="2296"/>
      <c r="E620" s="2333" t="s">
        <v>3467</v>
      </c>
      <c r="F620" s="2333" t="s">
        <v>3468</v>
      </c>
      <c r="G620" s="2185" t="s">
        <v>3469</v>
      </c>
      <c r="H620" s="2333"/>
      <c r="I620" s="2334"/>
      <c r="J620" s="2185"/>
      <c r="K620" s="2336"/>
      <c r="L620" s="2335"/>
      <c r="M620" s="1951"/>
      <c r="N620" s="1962"/>
      <c r="O620" s="1961">
        <v>1018244</v>
      </c>
      <c r="P620" s="1951">
        <v>1065084</v>
      </c>
      <c r="Q620" s="1960">
        <v>1114078</v>
      </c>
    </row>
    <row r="621" spans="1:17" ht="12.75" customHeight="1">
      <c r="A621" s="2332" t="s">
        <v>3531</v>
      </c>
      <c r="B621" s="2185" t="s">
        <v>3532</v>
      </c>
      <c r="C621" s="2296" t="s">
        <v>3453</v>
      </c>
      <c r="D621" s="2296"/>
      <c r="E621" s="2333" t="s">
        <v>3467</v>
      </c>
      <c r="F621" s="2333" t="s">
        <v>3468</v>
      </c>
      <c r="G621" s="2185" t="s">
        <v>3469</v>
      </c>
      <c r="H621" s="2333"/>
      <c r="I621" s="2334"/>
      <c r="J621" s="2185"/>
      <c r="K621" s="2336"/>
      <c r="L621" s="2335"/>
      <c r="M621" s="1951"/>
      <c r="N621" s="1962"/>
      <c r="O621" s="1961">
        <v>0</v>
      </c>
      <c r="P621" s="1951">
        <v>0</v>
      </c>
      <c r="Q621" s="1960">
        <v>0</v>
      </c>
    </row>
    <row r="622" spans="1:17" ht="12.75" customHeight="1">
      <c r="A622" s="2332" t="s">
        <v>3506</v>
      </c>
      <c r="B622" s="2185" t="s">
        <v>3610</v>
      </c>
      <c r="C622" s="2296" t="s">
        <v>3453</v>
      </c>
      <c r="D622" s="2296"/>
      <c r="E622" s="2333" t="s">
        <v>3467</v>
      </c>
      <c r="F622" s="2333" t="s">
        <v>3468</v>
      </c>
      <c r="G622" s="2185" t="s">
        <v>3475</v>
      </c>
      <c r="H622" s="2333"/>
      <c r="I622" s="2334"/>
      <c r="J622" s="2185"/>
      <c r="K622" s="2336"/>
      <c r="L622" s="2335"/>
      <c r="M622" s="1951"/>
      <c r="N622" s="1962"/>
      <c r="O622" s="1961">
        <v>1084094</v>
      </c>
      <c r="P622" s="1951">
        <v>1133963</v>
      </c>
      <c r="Q622" s="1960">
        <v>1186125</v>
      </c>
    </row>
    <row r="623" spans="1:17" ht="12.75" customHeight="1">
      <c r="A623" s="2332" t="s">
        <v>3533</v>
      </c>
      <c r="B623" s="2185" t="s">
        <v>3768</v>
      </c>
      <c r="C623" s="2296" t="s">
        <v>3453</v>
      </c>
      <c r="D623" s="2296"/>
      <c r="E623" s="2333" t="s">
        <v>3467</v>
      </c>
      <c r="F623" s="2333" t="s">
        <v>3468</v>
      </c>
      <c r="G623" s="2185" t="s">
        <v>3469</v>
      </c>
      <c r="H623" s="2333"/>
      <c r="I623" s="2334"/>
      <c r="J623" s="2185"/>
      <c r="K623" s="2336"/>
      <c r="L623" s="2335"/>
      <c r="M623" s="1951"/>
      <c r="N623" s="1962"/>
      <c r="O623" s="1961">
        <v>2190</v>
      </c>
      <c r="P623" s="1951">
        <v>2291</v>
      </c>
      <c r="Q623" s="1960">
        <v>2397</v>
      </c>
    </row>
    <row r="624" spans="1:17" ht="12.75" customHeight="1">
      <c r="A624" s="2332" t="s">
        <v>3536</v>
      </c>
      <c r="B624" s="2185" t="s">
        <v>3537</v>
      </c>
      <c r="C624" s="2296" t="s">
        <v>3453</v>
      </c>
      <c r="D624" s="2296"/>
      <c r="E624" s="2333" t="s">
        <v>3467</v>
      </c>
      <c r="F624" s="2333" t="s">
        <v>3468</v>
      </c>
      <c r="G624" s="2185" t="s">
        <v>3469</v>
      </c>
      <c r="H624" s="2333"/>
      <c r="I624" s="2334"/>
      <c r="J624" s="2185"/>
      <c r="K624" s="2336"/>
      <c r="L624" s="2335"/>
      <c r="M624" s="1951"/>
      <c r="N624" s="1962"/>
      <c r="O624" s="1961">
        <v>195640</v>
      </c>
      <c r="P624" s="1951">
        <v>204640</v>
      </c>
      <c r="Q624" s="1960">
        <v>214053</v>
      </c>
    </row>
    <row r="625" spans="1:17" ht="12.75" customHeight="1">
      <c r="A625" s="2332" t="s">
        <v>3470</v>
      </c>
      <c r="B625" s="2185" t="s">
        <v>3554</v>
      </c>
      <c r="C625" s="2296" t="s">
        <v>3453</v>
      </c>
      <c r="D625" s="2296"/>
      <c r="E625" s="2333" t="s">
        <v>3467</v>
      </c>
      <c r="F625" s="2333" t="s">
        <v>3468</v>
      </c>
      <c r="G625" s="2185" t="s">
        <v>3469</v>
      </c>
      <c r="H625" s="2333"/>
      <c r="I625" s="2334"/>
      <c r="J625" s="2185"/>
      <c r="K625" s="2336"/>
      <c r="L625" s="2335"/>
      <c r="M625" s="1951"/>
      <c r="N625" s="1962"/>
      <c r="O625" s="1961">
        <v>958</v>
      </c>
      <c r="P625" s="1951">
        <v>1003</v>
      </c>
      <c r="Q625" s="1960">
        <v>1049</v>
      </c>
    </row>
    <row r="626" spans="1:17" ht="12.75" customHeight="1">
      <c r="A626" s="2332" t="s">
        <v>3572</v>
      </c>
      <c r="B626" s="2185" t="s">
        <v>3688</v>
      </c>
      <c r="C626" s="2296" t="s">
        <v>3453</v>
      </c>
      <c r="D626" s="2296"/>
      <c r="E626" s="2333" t="s">
        <v>3456</v>
      </c>
      <c r="F626" s="2333" t="s">
        <v>3457</v>
      </c>
      <c r="G626" s="2185" t="s">
        <v>3461</v>
      </c>
      <c r="H626" s="2333"/>
      <c r="I626" s="2334"/>
      <c r="J626" s="2185"/>
      <c r="K626" s="2336"/>
      <c r="L626" s="2335"/>
      <c r="M626" s="1951"/>
      <c r="N626" s="1962"/>
      <c r="O626" s="1961">
        <v>127</v>
      </c>
      <c r="P626" s="1951">
        <v>133</v>
      </c>
      <c r="Q626" s="1960">
        <v>139</v>
      </c>
    </row>
    <row r="627" spans="1:17" ht="12.75" customHeight="1">
      <c r="A627" s="2332" t="s">
        <v>3543</v>
      </c>
      <c r="B627" s="2185" t="s">
        <v>3623</v>
      </c>
      <c r="C627" s="2296" t="s">
        <v>3453</v>
      </c>
      <c r="D627" s="2296"/>
      <c r="E627" s="2333" t="s">
        <v>3467</v>
      </c>
      <c r="F627" s="2333" t="s">
        <v>3468</v>
      </c>
      <c r="G627" s="2185" t="s">
        <v>3469</v>
      </c>
      <c r="H627" s="2333"/>
      <c r="I627" s="2334"/>
      <c r="J627" s="2185"/>
      <c r="K627" s="2336"/>
      <c r="L627" s="2335"/>
      <c r="M627" s="1951"/>
      <c r="N627" s="1962"/>
      <c r="O627" s="1961">
        <v>46267</v>
      </c>
      <c r="P627" s="1951">
        <v>48396</v>
      </c>
      <c r="Q627" s="1960">
        <v>50622</v>
      </c>
    </row>
    <row r="628" spans="1:17" ht="12.75" customHeight="1">
      <c r="A628" s="2332" t="s">
        <v>3543</v>
      </c>
      <c r="B628" s="2185" t="s">
        <v>3683</v>
      </c>
      <c r="C628" s="2296" t="s">
        <v>3453</v>
      </c>
      <c r="D628" s="2296"/>
      <c r="E628" s="2333" t="s">
        <v>3456</v>
      </c>
      <c r="F628" s="2333" t="s">
        <v>3457</v>
      </c>
      <c r="G628" s="2185" t="s">
        <v>3461</v>
      </c>
      <c r="H628" s="2333"/>
      <c r="I628" s="2334"/>
      <c r="J628" s="2185"/>
      <c r="K628" s="2336"/>
      <c r="L628" s="2335"/>
      <c r="M628" s="1951"/>
      <c r="N628" s="1962"/>
      <c r="O628" s="1961">
        <v>0</v>
      </c>
      <c r="P628" s="1951">
        <v>0</v>
      </c>
      <c r="Q628" s="1960">
        <v>0</v>
      </c>
    </row>
    <row r="629" spans="1:17" ht="12.75" customHeight="1">
      <c r="A629" s="2332" t="s">
        <v>3558</v>
      </c>
      <c r="B629" s="2185" t="s">
        <v>3769</v>
      </c>
      <c r="C629" s="2296" t="s">
        <v>3453</v>
      </c>
      <c r="D629" s="2296"/>
      <c r="E629" s="2333" t="s">
        <v>3467</v>
      </c>
      <c r="F629" s="2333" t="s">
        <v>3468</v>
      </c>
      <c r="G629" s="2185" t="s">
        <v>3469</v>
      </c>
      <c r="H629" s="2333"/>
      <c r="I629" s="2334"/>
      <c r="J629" s="2185"/>
      <c r="K629" s="2336"/>
      <c r="L629" s="2335"/>
      <c r="M629" s="1951"/>
      <c r="N629" s="1962"/>
      <c r="O629" s="1961">
        <v>10317</v>
      </c>
      <c r="P629" s="1951">
        <v>10792</v>
      </c>
      <c r="Q629" s="1960">
        <v>11288</v>
      </c>
    </row>
    <row r="630" spans="1:17" ht="12.75" customHeight="1">
      <c r="A630" s="2332" t="s">
        <v>3538</v>
      </c>
      <c r="B630" s="2185" t="s">
        <v>3539</v>
      </c>
      <c r="C630" s="2296" t="s">
        <v>3453</v>
      </c>
      <c r="D630" s="2296"/>
      <c r="E630" s="2333" t="s">
        <v>3456</v>
      </c>
      <c r="F630" s="2333" t="s">
        <v>3457</v>
      </c>
      <c r="G630" s="2185" t="s">
        <v>3461</v>
      </c>
      <c r="H630" s="2333"/>
      <c r="I630" s="2334"/>
      <c r="J630" s="2185"/>
      <c r="K630" s="2336"/>
      <c r="L630" s="2335"/>
      <c r="M630" s="1951"/>
      <c r="N630" s="1962"/>
      <c r="O630" s="1961">
        <v>50005</v>
      </c>
      <c r="P630" s="1951">
        <v>52306</v>
      </c>
      <c r="Q630" s="1960">
        <v>54712</v>
      </c>
    </row>
    <row r="631" spans="1:17" ht="12.75" customHeight="1">
      <c r="A631" s="2332" t="s">
        <v>3454</v>
      </c>
      <c r="B631" s="2185" t="s">
        <v>3512</v>
      </c>
      <c r="C631" s="2296" t="s">
        <v>3453</v>
      </c>
      <c r="D631" s="2296"/>
      <c r="E631" s="2333" t="s">
        <v>3456</v>
      </c>
      <c r="F631" s="2333" t="s">
        <v>3457</v>
      </c>
      <c r="G631" s="2185" t="s">
        <v>3461</v>
      </c>
      <c r="H631" s="2333"/>
      <c r="I631" s="2334"/>
      <c r="J631" s="2185"/>
      <c r="K631" s="2336"/>
      <c r="L631" s="2335"/>
      <c r="M631" s="1951"/>
      <c r="N631" s="1962"/>
      <c r="O631" s="1961">
        <v>0</v>
      </c>
      <c r="P631" s="1951">
        <v>0</v>
      </c>
      <c r="Q631" s="1960">
        <v>0</v>
      </c>
    </row>
    <row r="632" spans="1:17" ht="12.75" customHeight="1">
      <c r="A632" s="2332" t="s">
        <v>3565</v>
      </c>
      <c r="B632" s="2185" t="s">
        <v>3770</v>
      </c>
      <c r="C632" s="2296" t="s">
        <v>3453</v>
      </c>
      <c r="D632" s="2296"/>
      <c r="E632" s="2333" t="s">
        <v>3513</v>
      </c>
      <c r="F632" s="2333" t="s">
        <v>3514</v>
      </c>
      <c r="G632" s="2185" t="s">
        <v>3515</v>
      </c>
      <c r="H632" s="2333"/>
      <c r="I632" s="2334"/>
      <c r="J632" s="2185"/>
      <c r="K632" s="2336"/>
      <c r="L632" s="2335"/>
      <c r="M632" s="1951"/>
      <c r="N632" s="1962"/>
      <c r="O632" s="1961">
        <v>46999</v>
      </c>
      <c r="P632" s="1951">
        <v>46999</v>
      </c>
      <c r="Q632" s="1960">
        <v>49161</v>
      </c>
    </row>
    <row r="633" spans="1:17" ht="12.75" customHeight="1">
      <c r="A633" s="2332" t="s">
        <v>3479</v>
      </c>
      <c r="B633" s="2185" t="s">
        <v>3664</v>
      </c>
      <c r="C633" s="2296" t="s">
        <v>3453</v>
      </c>
      <c r="D633" s="2296"/>
      <c r="E633" s="2333" t="s">
        <v>3467</v>
      </c>
      <c r="F633" s="2333" t="s">
        <v>3468</v>
      </c>
      <c r="G633" s="2185" t="s">
        <v>3475</v>
      </c>
      <c r="H633" s="2333"/>
      <c r="I633" s="2334"/>
      <c r="J633" s="2185"/>
      <c r="K633" s="2336"/>
      <c r="L633" s="2335"/>
      <c r="M633" s="1951"/>
      <c r="N633" s="1962"/>
      <c r="O633" s="1961">
        <v>0</v>
      </c>
      <c r="P633" s="1951">
        <v>0</v>
      </c>
      <c r="Q633" s="1960">
        <v>0</v>
      </c>
    </row>
    <row r="634" spans="1:17" ht="12.75" customHeight="1">
      <c r="A634" s="2332" t="s">
        <v>3477</v>
      </c>
      <c r="B634" s="2185" t="s">
        <v>3771</v>
      </c>
      <c r="C634" s="2296" t="s">
        <v>3453</v>
      </c>
      <c r="D634" s="2296"/>
      <c r="E634" s="2333" t="s">
        <v>3467</v>
      </c>
      <c r="F634" s="2333" t="s">
        <v>3468</v>
      </c>
      <c r="G634" s="2185" t="s">
        <v>3475</v>
      </c>
      <c r="H634" s="2333"/>
      <c r="I634" s="2334"/>
      <c r="J634" s="2185"/>
      <c r="K634" s="2336"/>
      <c r="L634" s="2335"/>
      <c r="M634" s="1951"/>
      <c r="N634" s="1962"/>
      <c r="O634" s="1961">
        <v>5713</v>
      </c>
      <c r="P634" s="1951">
        <v>5976</v>
      </c>
      <c r="Q634" s="1960">
        <v>6251</v>
      </c>
    </row>
    <row r="635" spans="1:17" ht="12.75" customHeight="1">
      <c r="A635" s="2332" t="s">
        <v>3584</v>
      </c>
      <c r="B635" s="2185" t="s">
        <v>3608</v>
      </c>
      <c r="C635" s="2296" t="s">
        <v>3453</v>
      </c>
      <c r="D635" s="2296"/>
      <c r="E635" s="2333" t="s">
        <v>3467</v>
      </c>
      <c r="F635" s="2333" t="s">
        <v>3468</v>
      </c>
      <c r="G635" s="2185" t="s">
        <v>3475</v>
      </c>
      <c r="H635" s="2333"/>
      <c r="I635" s="2334"/>
      <c r="J635" s="2185"/>
      <c r="K635" s="2336"/>
      <c r="L635" s="2335"/>
      <c r="M635" s="1951"/>
      <c r="N635" s="1962"/>
      <c r="O635" s="1961">
        <v>3000</v>
      </c>
      <c r="P635" s="1951">
        <v>3138</v>
      </c>
      <c r="Q635" s="1960">
        <v>3283</v>
      </c>
    </row>
    <row r="636" spans="1:17" ht="12.75" customHeight="1">
      <c r="A636" s="2332" t="s">
        <v>3538</v>
      </c>
      <c r="B636" s="2185" t="s">
        <v>3772</v>
      </c>
      <c r="C636" s="2296" t="s">
        <v>3582</v>
      </c>
      <c r="D636" s="2296"/>
      <c r="E636" s="2333" t="s">
        <v>3467</v>
      </c>
      <c r="F636" s="2333" t="s">
        <v>3468</v>
      </c>
      <c r="G636" s="2185" t="s">
        <v>3469</v>
      </c>
      <c r="H636" s="2333"/>
      <c r="I636" s="2334"/>
      <c r="J636" s="2185"/>
      <c r="K636" s="2336"/>
      <c r="L636" s="2335"/>
      <c r="M636" s="1951"/>
      <c r="N636" s="1962"/>
      <c r="O636" s="1961">
        <v>186000</v>
      </c>
      <c r="P636" s="1951">
        <v>194556</v>
      </c>
      <c r="Q636" s="1960">
        <v>203506</v>
      </c>
    </row>
    <row r="637" spans="1:17" ht="12.75" customHeight="1">
      <c r="A637" s="2332" t="s">
        <v>3490</v>
      </c>
      <c r="B637" s="2185" t="s">
        <v>3607</v>
      </c>
      <c r="C637" s="2296" t="s">
        <v>3453</v>
      </c>
      <c r="D637" s="2296"/>
      <c r="E637" s="2333" t="s">
        <v>3456</v>
      </c>
      <c r="F637" s="2333" t="s">
        <v>3457</v>
      </c>
      <c r="G637" s="2185" t="s">
        <v>3461</v>
      </c>
      <c r="H637" s="2333"/>
      <c r="I637" s="2334"/>
      <c r="J637" s="2185"/>
      <c r="K637" s="2336"/>
      <c r="L637" s="2335"/>
      <c r="M637" s="1951"/>
      <c r="N637" s="1962"/>
      <c r="O637" s="1961">
        <v>3877</v>
      </c>
      <c r="P637" s="1951">
        <v>4056</v>
      </c>
      <c r="Q637" s="1960">
        <v>4242</v>
      </c>
    </row>
    <row r="638" spans="1:17" ht="12.75" customHeight="1">
      <c r="A638" s="2332" t="s">
        <v>3483</v>
      </c>
      <c r="B638" s="2185" t="s">
        <v>3676</v>
      </c>
      <c r="C638" s="2296" t="s">
        <v>3453</v>
      </c>
      <c r="D638" s="2296"/>
      <c r="E638" s="2333" t="s">
        <v>3467</v>
      </c>
      <c r="F638" s="2333" t="s">
        <v>3468</v>
      </c>
      <c r="G638" s="2185" t="s">
        <v>2676</v>
      </c>
      <c r="H638" s="2333"/>
      <c r="I638" s="2334"/>
      <c r="J638" s="2185"/>
      <c r="K638" s="2336"/>
      <c r="L638" s="2335"/>
      <c r="M638" s="1951"/>
      <c r="N638" s="1962"/>
      <c r="O638" s="1961">
        <v>347304</v>
      </c>
      <c r="P638" s="1951">
        <v>363281</v>
      </c>
      <c r="Q638" s="1960">
        <v>379992</v>
      </c>
    </row>
    <row r="639" spans="1:17" ht="12.75" customHeight="1">
      <c r="A639" s="2332" t="s">
        <v>3506</v>
      </c>
      <c r="B639" s="2185" t="s">
        <v>3773</v>
      </c>
      <c r="C639" s="2296" t="s">
        <v>3453</v>
      </c>
      <c r="D639" s="2296"/>
      <c r="E639" s="2333" t="s">
        <v>3467</v>
      </c>
      <c r="F639" s="2333" t="s">
        <v>3468</v>
      </c>
      <c r="G639" s="2185" t="s">
        <v>3469</v>
      </c>
      <c r="H639" s="2333"/>
      <c r="I639" s="2334"/>
      <c r="J639" s="2185"/>
      <c r="K639" s="2336"/>
      <c r="L639" s="2335"/>
      <c r="M639" s="1951"/>
      <c r="N639" s="1962"/>
      <c r="O639" s="1961">
        <v>1527523</v>
      </c>
      <c r="P639" s="1951">
        <v>1527523</v>
      </c>
      <c r="Q639" s="1960">
        <v>1597790</v>
      </c>
    </row>
    <row r="640" spans="1:17" ht="12.75" customHeight="1">
      <c r="A640" s="2332" t="s">
        <v>3454</v>
      </c>
      <c r="B640" s="2185" t="s">
        <v>3545</v>
      </c>
      <c r="C640" s="2296" t="s">
        <v>3453</v>
      </c>
      <c r="D640" s="2296"/>
      <c r="E640" s="2333"/>
      <c r="F640" s="2333"/>
      <c r="G640" s="2185"/>
      <c r="H640" s="2333"/>
      <c r="I640" s="2334"/>
      <c r="J640" s="2185"/>
      <c r="K640" s="2336"/>
      <c r="L640" s="2335"/>
      <c r="M640" s="1951"/>
      <c r="N640" s="1962"/>
      <c r="O640" s="1961">
        <v>0</v>
      </c>
      <c r="P640" s="1951">
        <v>0</v>
      </c>
      <c r="Q640" s="1960">
        <v>0</v>
      </c>
    </row>
    <row r="641" spans="1:17" ht="12.75" customHeight="1">
      <c r="A641" s="2332" t="s">
        <v>3531</v>
      </c>
      <c r="B641" s="2185" t="s">
        <v>3532</v>
      </c>
      <c r="C641" s="2296" t="s">
        <v>3453</v>
      </c>
      <c r="D641" s="2296"/>
      <c r="E641" s="2333" t="s">
        <v>3456</v>
      </c>
      <c r="F641" s="2333" t="s">
        <v>3457</v>
      </c>
      <c r="G641" s="2185" t="s">
        <v>3461</v>
      </c>
      <c r="H641" s="2333"/>
      <c r="I641" s="2334"/>
      <c r="J641" s="2185"/>
      <c r="K641" s="2336"/>
      <c r="L641" s="2335"/>
      <c r="M641" s="1951"/>
      <c r="N641" s="1962"/>
      <c r="O641" s="1961">
        <v>0</v>
      </c>
      <c r="P641" s="1951">
        <v>0</v>
      </c>
      <c r="Q641" s="1960">
        <v>0</v>
      </c>
    </row>
    <row r="642" spans="1:17" ht="12.75" customHeight="1">
      <c r="A642" s="2332" t="s">
        <v>3572</v>
      </c>
      <c r="B642" s="2185" t="s">
        <v>3688</v>
      </c>
      <c r="C642" s="2296" t="s">
        <v>3453</v>
      </c>
      <c r="D642" s="2296"/>
      <c r="E642" s="2333" t="s">
        <v>3467</v>
      </c>
      <c r="F642" s="2333" t="s">
        <v>3468</v>
      </c>
      <c r="G642" s="2185" t="s">
        <v>3475</v>
      </c>
      <c r="H642" s="2333"/>
      <c r="I642" s="2334"/>
      <c r="J642" s="2185"/>
      <c r="K642" s="2336"/>
      <c r="L642" s="2335"/>
      <c r="M642" s="1951"/>
      <c r="N642" s="1962"/>
      <c r="O642" s="1961">
        <v>41126</v>
      </c>
      <c r="P642" s="1951">
        <v>43018</v>
      </c>
      <c r="Q642" s="1960">
        <v>44997</v>
      </c>
    </row>
    <row r="643" spans="1:17" ht="12.75" customHeight="1">
      <c r="A643" s="2332" t="s">
        <v>3479</v>
      </c>
      <c r="B643" s="2185" t="s">
        <v>3774</v>
      </c>
      <c r="C643" s="2296" t="s">
        <v>3453</v>
      </c>
      <c r="D643" s="2296"/>
      <c r="E643" s="2333" t="s">
        <v>3525</v>
      </c>
      <c r="F643" s="2333" t="s">
        <v>3457</v>
      </c>
      <c r="G643" s="2185" t="s">
        <v>3526</v>
      </c>
      <c r="H643" s="2333"/>
      <c r="I643" s="2334"/>
      <c r="J643" s="2185"/>
      <c r="K643" s="2336"/>
      <c r="L643" s="2335"/>
      <c r="M643" s="1951"/>
      <c r="N643" s="1962"/>
      <c r="O643" s="1961">
        <v>2054</v>
      </c>
      <c r="P643" s="1951">
        <v>2149</v>
      </c>
      <c r="Q643" s="1960">
        <v>2248</v>
      </c>
    </row>
    <row r="644" spans="1:17" ht="12.75" customHeight="1">
      <c r="A644" s="2332" t="s">
        <v>3473</v>
      </c>
      <c r="B644" s="2185" t="s">
        <v>3552</v>
      </c>
      <c r="C644" s="2296" t="s">
        <v>3453</v>
      </c>
      <c r="D644" s="2296"/>
      <c r="E644" s="2333" t="s">
        <v>3456</v>
      </c>
      <c r="F644" s="2333" t="s">
        <v>3457</v>
      </c>
      <c r="G644" s="2185" t="s">
        <v>3458</v>
      </c>
      <c r="H644" s="2333"/>
      <c r="I644" s="2334"/>
      <c r="J644" s="2185"/>
      <c r="K644" s="2336"/>
      <c r="L644" s="2335"/>
      <c r="M644" s="1951"/>
      <c r="N644" s="1962"/>
      <c r="O644" s="1961">
        <v>240</v>
      </c>
      <c r="P644" s="1951">
        <v>252</v>
      </c>
      <c r="Q644" s="1960">
        <v>263</v>
      </c>
    </row>
    <row r="645" spans="1:17" ht="12.75" customHeight="1">
      <c r="A645" s="2332" t="s">
        <v>3459</v>
      </c>
      <c r="B645" s="2185" t="s">
        <v>3645</v>
      </c>
      <c r="C645" s="2296" t="s">
        <v>3453</v>
      </c>
      <c r="D645" s="2296"/>
      <c r="E645" s="2333" t="s">
        <v>3456</v>
      </c>
      <c r="F645" s="2333" t="s">
        <v>3457</v>
      </c>
      <c r="G645" s="2185" t="s">
        <v>3458</v>
      </c>
      <c r="H645" s="2333"/>
      <c r="I645" s="2334"/>
      <c r="J645" s="2185"/>
      <c r="K645" s="2336"/>
      <c r="L645" s="2335"/>
      <c r="M645" s="1951"/>
      <c r="N645" s="1962"/>
      <c r="O645" s="1961">
        <v>186625</v>
      </c>
      <c r="P645" s="1951">
        <v>195210</v>
      </c>
      <c r="Q645" s="1960">
        <v>204189</v>
      </c>
    </row>
    <row r="646" spans="1:17" ht="12.75" customHeight="1">
      <c r="A646" s="2332" t="s">
        <v>3538</v>
      </c>
      <c r="B646" s="2185" t="s">
        <v>3539</v>
      </c>
      <c r="C646" s="2296" t="s">
        <v>3453</v>
      </c>
      <c r="D646" s="2296"/>
      <c r="E646" s="2333" t="s">
        <v>3456</v>
      </c>
      <c r="F646" s="2333" t="s">
        <v>3457</v>
      </c>
      <c r="G646" s="2185" t="s">
        <v>3526</v>
      </c>
      <c r="H646" s="2333"/>
      <c r="I646" s="2334"/>
      <c r="J646" s="2185"/>
      <c r="K646" s="2336"/>
      <c r="L646" s="2335"/>
      <c r="M646" s="1951"/>
      <c r="N646" s="1962"/>
      <c r="O646" s="1961">
        <v>53059</v>
      </c>
      <c r="P646" s="1951">
        <v>55500</v>
      </c>
      <c r="Q646" s="1960">
        <v>58053</v>
      </c>
    </row>
    <row r="647" spans="1:17" ht="12.75" customHeight="1">
      <c r="A647" s="2332" t="s">
        <v>3479</v>
      </c>
      <c r="B647" s="2185" t="s">
        <v>3480</v>
      </c>
      <c r="C647" s="2296" t="s">
        <v>3453</v>
      </c>
      <c r="D647" s="2296"/>
      <c r="E647" s="2333" t="s">
        <v>3456</v>
      </c>
      <c r="F647" s="2333" t="s">
        <v>3457</v>
      </c>
      <c r="G647" s="2185" t="s">
        <v>3458</v>
      </c>
      <c r="H647" s="2333"/>
      <c r="I647" s="2334"/>
      <c r="J647" s="2185"/>
      <c r="K647" s="2336"/>
      <c r="L647" s="2335"/>
      <c r="M647" s="1951"/>
      <c r="N647" s="1962"/>
      <c r="O647" s="1961">
        <v>5307306</v>
      </c>
      <c r="P647" s="1951">
        <v>5551443</v>
      </c>
      <c r="Q647" s="1960">
        <v>5806809</v>
      </c>
    </row>
    <row r="648" spans="1:17" ht="12.75" customHeight="1">
      <c r="A648" s="2332" t="s">
        <v>3538</v>
      </c>
      <c r="B648" s="2185" t="s">
        <v>3539</v>
      </c>
      <c r="C648" s="2296" t="s">
        <v>3453</v>
      </c>
      <c r="D648" s="2296"/>
      <c r="E648" s="2333" t="s">
        <v>3456</v>
      </c>
      <c r="F648" s="2333" t="s">
        <v>3457</v>
      </c>
      <c r="G648" s="2185" t="s">
        <v>3461</v>
      </c>
      <c r="H648" s="2333"/>
      <c r="I648" s="2334"/>
      <c r="J648" s="2185"/>
      <c r="K648" s="2336"/>
      <c r="L648" s="2335"/>
      <c r="M648" s="1951"/>
      <c r="N648" s="1962"/>
      <c r="O648" s="1961">
        <v>975206</v>
      </c>
      <c r="P648" s="1951">
        <v>1020066</v>
      </c>
      <c r="Q648" s="1960">
        <v>1066989</v>
      </c>
    </row>
    <row r="649" spans="1:17" ht="12.75" customHeight="1">
      <c r="A649" s="2332" t="s">
        <v>3538</v>
      </c>
      <c r="B649" s="2185" t="s">
        <v>3678</v>
      </c>
      <c r="C649" s="2296" t="s">
        <v>3453</v>
      </c>
      <c r="D649" s="2296"/>
      <c r="E649" s="2333" t="s">
        <v>3456</v>
      </c>
      <c r="F649" s="2333" t="s">
        <v>3457</v>
      </c>
      <c r="G649" s="2185" t="s">
        <v>3458</v>
      </c>
      <c r="H649" s="2333"/>
      <c r="I649" s="2334"/>
      <c r="J649" s="2185"/>
      <c r="K649" s="2336"/>
      <c r="L649" s="2335"/>
      <c r="M649" s="1951"/>
      <c r="N649" s="1962"/>
      <c r="O649" s="1961">
        <v>10056</v>
      </c>
      <c r="P649" s="1951">
        <v>10519</v>
      </c>
      <c r="Q649" s="1960">
        <v>11002</v>
      </c>
    </row>
    <row r="650" spans="1:17" ht="12.75" customHeight="1">
      <c r="A650" s="2332" t="s">
        <v>3531</v>
      </c>
      <c r="B650" s="2185" t="s">
        <v>3593</v>
      </c>
      <c r="C650" s="2296" t="s">
        <v>3453</v>
      </c>
      <c r="D650" s="2296"/>
      <c r="E650" s="2333" t="s">
        <v>3513</v>
      </c>
      <c r="F650" s="2333" t="s">
        <v>3514</v>
      </c>
      <c r="G650" s="2185" t="s">
        <v>3515</v>
      </c>
      <c r="H650" s="2333"/>
      <c r="I650" s="2334"/>
      <c r="J650" s="2185"/>
      <c r="K650" s="2336"/>
      <c r="L650" s="2335"/>
      <c r="M650" s="1951"/>
      <c r="N650" s="1962"/>
      <c r="O650" s="1961">
        <v>2523406</v>
      </c>
      <c r="P650" s="1951">
        <v>2659670</v>
      </c>
      <c r="Q650" s="1960">
        <v>2803292</v>
      </c>
    </row>
    <row r="651" spans="1:17" ht="12.75" customHeight="1">
      <c r="A651" s="2332" t="s">
        <v>3477</v>
      </c>
      <c r="B651" s="2185" t="s">
        <v>3478</v>
      </c>
      <c r="C651" s="2296" t="s">
        <v>3453</v>
      </c>
      <c r="D651" s="2296"/>
      <c r="E651" s="2333"/>
      <c r="F651" s="2333"/>
      <c r="G651" s="2185"/>
      <c r="H651" s="2333"/>
      <c r="I651" s="2334"/>
      <c r="J651" s="2185"/>
      <c r="K651" s="2336"/>
      <c r="L651" s="2335"/>
      <c r="M651" s="1951"/>
      <c r="N651" s="1962"/>
      <c r="O651" s="1961">
        <v>2000</v>
      </c>
      <c r="P651" s="1951">
        <v>2000</v>
      </c>
      <c r="Q651" s="1960">
        <v>2000</v>
      </c>
    </row>
    <row r="652" spans="1:17" ht="12.75" customHeight="1">
      <c r="A652" s="2332" t="s">
        <v>3454</v>
      </c>
      <c r="B652" s="2185" t="s">
        <v>3455</v>
      </c>
      <c r="C652" s="2296" t="s">
        <v>3453</v>
      </c>
      <c r="D652" s="2296"/>
      <c r="E652" s="2333" t="s">
        <v>3456</v>
      </c>
      <c r="F652" s="2333" t="s">
        <v>3457</v>
      </c>
      <c r="G652" s="2185" t="s">
        <v>3461</v>
      </c>
      <c r="H652" s="2333"/>
      <c r="I652" s="2334"/>
      <c r="J652" s="2185"/>
      <c r="K652" s="2336"/>
      <c r="L652" s="2335"/>
      <c r="M652" s="1951"/>
      <c r="N652" s="1962"/>
      <c r="O652" s="1961">
        <v>2172227</v>
      </c>
      <c r="P652" s="1951">
        <v>2272150</v>
      </c>
      <c r="Q652" s="1960">
        <v>2376669</v>
      </c>
    </row>
    <row r="653" spans="1:17" ht="12.75" customHeight="1">
      <c r="A653" s="2332" t="s">
        <v>3563</v>
      </c>
      <c r="B653" s="2185" t="s">
        <v>3659</v>
      </c>
      <c r="C653" s="2296" t="s">
        <v>3453</v>
      </c>
      <c r="D653" s="2296"/>
      <c r="E653" s="2333" t="s">
        <v>3456</v>
      </c>
      <c r="F653" s="2333" t="s">
        <v>3457</v>
      </c>
      <c r="G653" s="2185" t="s">
        <v>3461</v>
      </c>
      <c r="H653" s="2333"/>
      <c r="I653" s="2334"/>
      <c r="J653" s="2185"/>
      <c r="K653" s="2336"/>
      <c r="L653" s="2335"/>
      <c r="M653" s="1951"/>
      <c r="N653" s="1962"/>
      <c r="O653" s="1961">
        <v>700</v>
      </c>
      <c r="P653" s="1951">
        <v>733</v>
      </c>
      <c r="Q653" s="1960">
        <v>766</v>
      </c>
    </row>
    <row r="654" spans="1:17" ht="12.75" customHeight="1">
      <c r="A654" s="2332" t="s">
        <v>3464</v>
      </c>
      <c r="B654" s="2185" t="s">
        <v>3605</v>
      </c>
      <c r="C654" s="2296" t="s">
        <v>3453</v>
      </c>
      <c r="D654" s="2296"/>
      <c r="E654" s="2333" t="s">
        <v>3467</v>
      </c>
      <c r="F654" s="2333" t="s">
        <v>3468</v>
      </c>
      <c r="G654" s="2185" t="s">
        <v>3469</v>
      </c>
      <c r="H654" s="2333"/>
      <c r="I654" s="2334"/>
      <c r="J654" s="2185"/>
      <c r="K654" s="2336"/>
      <c r="L654" s="2335"/>
      <c r="M654" s="1951"/>
      <c r="N654" s="1962"/>
      <c r="O654" s="1961">
        <v>0</v>
      </c>
      <c r="P654" s="1951">
        <v>0</v>
      </c>
      <c r="Q654" s="1960">
        <v>0</v>
      </c>
    </row>
    <row r="655" spans="1:17" ht="12.75" customHeight="1">
      <c r="A655" s="2332" t="s">
        <v>3531</v>
      </c>
      <c r="B655" s="2185" t="s">
        <v>3532</v>
      </c>
      <c r="C655" s="2296" t="s">
        <v>3453</v>
      </c>
      <c r="D655" s="2296"/>
      <c r="E655" s="2333" t="s">
        <v>3456</v>
      </c>
      <c r="F655" s="2333" t="s">
        <v>3457</v>
      </c>
      <c r="G655" s="2185" t="s">
        <v>3458</v>
      </c>
      <c r="H655" s="2333"/>
      <c r="I655" s="2334"/>
      <c r="J655" s="2185"/>
      <c r="K655" s="2336"/>
      <c r="L655" s="2335"/>
      <c r="M655" s="1951"/>
      <c r="N655" s="1962"/>
      <c r="O655" s="1961">
        <v>0</v>
      </c>
      <c r="P655" s="1951">
        <v>0</v>
      </c>
      <c r="Q655" s="1960">
        <v>0</v>
      </c>
    </row>
    <row r="656" spans="1:17" ht="12.75" customHeight="1">
      <c r="A656" s="2332" t="s">
        <v>3459</v>
      </c>
      <c r="B656" s="2185" t="s">
        <v>3619</v>
      </c>
      <c r="C656" s="2296" t="s">
        <v>3453</v>
      </c>
      <c r="D656" s="2296"/>
      <c r="E656" s="2333" t="s">
        <v>3467</v>
      </c>
      <c r="F656" s="2333" t="s">
        <v>3468</v>
      </c>
      <c r="G656" s="2185" t="s">
        <v>3469</v>
      </c>
      <c r="H656" s="2333"/>
      <c r="I656" s="2334"/>
      <c r="J656" s="2185"/>
      <c r="K656" s="2336"/>
      <c r="L656" s="2335"/>
      <c r="M656" s="1951"/>
      <c r="N656" s="1962"/>
      <c r="O656" s="1961">
        <v>0</v>
      </c>
      <c r="P656" s="1951">
        <v>0</v>
      </c>
      <c r="Q656" s="1960">
        <v>0</v>
      </c>
    </row>
    <row r="657" spans="1:17" ht="12.75" customHeight="1">
      <c r="A657" s="2332" t="s">
        <v>3479</v>
      </c>
      <c r="B657" s="2185" t="s">
        <v>3550</v>
      </c>
      <c r="C657" s="2296" t="s">
        <v>3453</v>
      </c>
      <c r="D657" s="2296"/>
      <c r="E657" s="2333" t="s">
        <v>3456</v>
      </c>
      <c r="F657" s="2333" t="s">
        <v>3457</v>
      </c>
      <c r="G657" s="2185" t="s">
        <v>3461</v>
      </c>
      <c r="H657" s="2333"/>
      <c r="I657" s="2334"/>
      <c r="J657" s="2185"/>
      <c r="K657" s="2336"/>
      <c r="L657" s="2335"/>
      <c r="M657" s="1951"/>
      <c r="N657" s="1962"/>
      <c r="O657" s="1961">
        <v>177244</v>
      </c>
      <c r="P657" s="1951">
        <v>185398</v>
      </c>
      <c r="Q657" s="1960">
        <v>193926</v>
      </c>
    </row>
    <row r="658" spans="1:17" ht="12.75" customHeight="1">
      <c r="A658" s="2332" t="s">
        <v>3473</v>
      </c>
      <c r="B658" s="2185" t="s">
        <v>3552</v>
      </c>
      <c r="C658" s="2296" t="s">
        <v>3453</v>
      </c>
      <c r="D658" s="2296"/>
      <c r="E658" s="2333" t="s">
        <v>3456</v>
      </c>
      <c r="F658" s="2333" t="s">
        <v>3457</v>
      </c>
      <c r="G658" s="2185" t="s">
        <v>3461</v>
      </c>
      <c r="H658" s="2333"/>
      <c r="I658" s="2334"/>
      <c r="J658" s="2185"/>
      <c r="K658" s="2336"/>
      <c r="L658" s="2335"/>
      <c r="M658" s="1951"/>
      <c r="N658" s="1962"/>
      <c r="O658" s="1961">
        <v>83016</v>
      </c>
      <c r="P658" s="1951">
        <v>86835</v>
      </c>
      <c r="Q658" s="1960">
        <v>90830</v>
      </c>
    </row>
    <row r="659" spans="1:17" ht="12.75" customHeight="1">
      <c r="A659" s="2332" t="s">
        <v>3464</v>
      </c>
      <c r="B659" s="2185" t="s">
        <v>3775</v>
      </c>
      <c r="C659" s="2296" t="s">
        <v>3453</v>
      </c>
      <c r="D659" s="2296"/>
      <c r="E659" s="2333" t="s">
        <v>3467</v>
      </c>
      <c r="F659" s="2333" t="s">
        <v>3468</v>
      </c>
      <c r="G659" s="2185" t="s">
        <v>3469</v>
      </c>
      <c r="H659" s="2333"/>
      <c r="I659" s="2334"/>
      <c r="J659" s="2185"/>
      <c r="K659" s="2336"/>
      <c r="L659" s="2335"/>
      <c r="M659" s="1951"/>
      <c r="N659" s="1962"/>
      <c r="O659" s="1961">
        <v>204088</v>
      </c>
      <c r="P659" s="1951">
        <v>213477</v>
      </c>
      <c r="Q659" s="1960">
        <v>223296</v>
      </c>
    </row>
    <row r="660" spans="1:17" ht="12.75" customHeight="1">
      <c r="A660" s="2332" t="s">
        <v>3531</v>
      </c>
      <c r="B660" s="2185" t="s">
        <v>3532</v>
      </c>
      <c r="C660" s="2296" t="s">
        <v>3453</v>
      </c>
      <c r="D660" s="2296"/>
      <c r="E660" s="2333" t="s">
        <v>3456</v>
      </c>
      <c r="F660" s="2333" t="s">
        <v>3457</v>
      </c>
      <c r="G660" s="2185" t="s">
        <v>3461</v>
      </c>
      <c r="H660" s="2333"/>
      <c r="I660" s="2334"/>
      <c r="J660" s="2185"/>
      <c r="K660" s="2336"/>
      <c r="L660" s="2335"/>
      <c r="M660" s="1951"/>
      <c r="N660" s="1962"/>
      <c r="O660" s="1961">
        <v>0</v>
      </c>
      <c r="P660" s="1951">
        <v>0</v>
      </c>
      <c r="Q660" s="1960">
        <v>0</v>
      </c>
    </row>
    <row r="661" spans="1:17" ht="12.75" customHeight="1">
      <c r="A661" s="2332" t="s">
        <v>3454</v>
      </c>
      <c r="B661" s="2185" t="s">
        <v>3512</v>
      </c>
      <c r="C661" s="2296" t="s">
        <v>3453</v>
      </c>
      <c r="D661" s="2296"/>
      <c r="E661" s="2333" t="s">
        <v>3456</v>
      </c>
      <c r="F661" s="2333" t="s">
        <v>3457</v>
      </c>
      <c r="G661" s="2185" t="s">
        <v>3461</v>
      </c>
      <c r="H661" s="2333"/>
      <c r="I661" s="2334"/>
      <c r="J661" s="2185"/>
      <c r="K661" s="2336"/>
      <c r="L661" s="2335"/>
      <c r="M661" s="1951"/>
      <c r="N661" s="1962"/>
      <c r="O661" s="1961">
        <v>0</v>
      </c>
      <c r="P661" s="1951">
        <v>0</v>
      </c>
      <c r="Q661" s="1960">
        <v>0</v>
      </c>
    </row>
    <row r="662" spans="1:17" ht="12.75" customHeight="1">
      <c r="A662" s="2332" t="s">
        <v>3487</v>
      </c>
      <c r="B662" s="2185" t="s">
        <v>3776</v>
      </c>
      <c r="C662" s="2296" t="s">
        <v>3463</v>
      </c>
      <c r="D662" s="2296"/>
      <c r="E662" s="2333" t="s">
        <v>3456</v>
      </c>
      <c r="F662" s="2333" t="s">
        <v>3457</v>
      </c>
      <c r="G662" s="2185" t="s">
        <v>3461</v>
      </c>
      <c r="H662" s="2333"/>
      <c r="I662" s="2334"/>
      <c r="J662" s="2185"/>
      <c r="K662" s="2336"/>
      <c r="L662" s="2335"/>
      <c r="M662" s="1951"/>
      <c r="N662" s="1962"/>
      <c r="O662" s="1961">
        <v>130684</v>
      </c>
      <c r="P662" s="1951">
        <v>136788</v>
      </c>
      <c r="Q662" s="1960">
        <v>143172</v>
      </c>
    </row>
    <row r="663" spans="1:17" ht="12.75" customHeight="1">
      <c r="A663" s="2332" t="s">
        <v>3479</v>
      </c>
      <c r="B663" s="2185" t="s">
        <v>3664</v>
      </c>
      <c r="C663" s="2296" t="s">
        <v>3453</v>
      </c>
      <c r="D663" s="2296"/>
      <c r="E663" s="2333" t="s">
        <v>3456</v>
      </c>
      <c r="F663" s="2333" t="s">
        <v>3457</v>
      </c>
      <c r="G663" s="2185" t="s">
        <v>3481</v>
      </c>
      <c r="H663" s="2333"/>
      <c r="I663" s="2334"/>
      <c r="J663" s="2185"/>
      <c r="K663" s="2336"/>
      <c r="L663" s="2335"/>
      <c r="M663" s="1951"/>
      <c r="N663" s="1962"/>
      <c r="O663" s="1961">
        <v>1183</v>
      </c>
      <c r="P663" s="1951">
        <v>1238</v>
      </c>
      <c r="Q663" s="1960">
        <v>1295</v>
      </c>
    </row>
    <row r="664" spans="1:17" ht="12.75" customHeight="1">
      <c r="A664" s="2332" t="s">
        <v>3558</v>
      </c>
      <c r="B664" s="2185" t="s">
        <v>3777</v>
      </c>
      <c r="C664" s="2296" t="s">
        <v>3453</v>
      </c>
      <c r="D664" s="2296"/>
      <c r="E664" s="2333" t="s">
        <v>3467</v>
      </c>
      <c r="F664" s="2333" t="s">
        <v>3468</v>
      </c>
      <c r="G664" s="2185" t="s">
        <v>3469</v>
      </c>
      <c r="H664" s="2333"/>
      <c r="I664" s="2334"/>
      <c r="J664" s="2185"/>
      <c r="K664" s="2336"/>
      <c r="L664" s="2335"/>
      <c r="M664" s="1951"/>
      <c r="N664" s="1962"/>
      <c r="O664" s="1961">
        <v>17662</v>
      </c>
      <c r="P664" s="1951">
        <v>18475</v>
      </c>
      <c r="Q664" s="1960">
        <v>19325</v>
      </c>
    </row>
    <row r="665" spans="1:17" ht="12.75" customHeight="1">
      <c r="A665" s="2332" t="s">
        <v>3523</v>
      </c>
      <c r="B665" s="2185" t="s">
        <v>3535</v>
      </c>
      <c r="C665" s="2296" t="s">
        <v>3453</v>
      </c>
      <c r="D665" s="2296"/>
      <c r="E665" s="2333" t="s">
        <v>3456</v>
      </c>
      <c r="F665" s="2333" t="s">
        <v>3457</v>
      </c>
      <c r="G665" s="2185" t="s">
        <v>3461</v>
      </c>
      <c r="H665" s="2333"/>
      <c r="I665" s="2334"/>
      <c r="J665" s="2185"/>
      <c r="K665" s="2336"/>
      <c r="L665" s="2335"/>
      <c r="M665" s="1951"/>
      <c r="N665" s="1962"/>
      <c r="O665" s="1961">
        <v>2000</v>
      </c>
      <c r="P665" s="1951">
        <v>2000</v>
      </c>
      <c r="Q665" s="1960">
        <v>2000</v>
      </c>
    </row>
    <row r="666" spans="1:17" ht="12.75" customHeight="1">
      <c r="A666" s="2332" t="s">
        <v>3477</v>
      </c>
      <c r="B666" s="2185" t="s">
        <v>3778</v>
      </c>
      <c r="C666" s="2296" t="s">
        <v>3453</v>
      </c>
      <c r="D666" s="2296"/>
      <c r="E666" s="2333" t="s">
        <v>3467</v>
      </c>
      <c r="F666" s="2333" t="s">
        <v>3468</v>
      </c>
      <c r="G666" s="2185" t="s">
        <v>3469</v>
      </c>
      <c r="H666" s="2333"/>
      <c r="I666" s="2334"/>
      <c r="J666" s="2185"/>
      <c r="K666" s="2336"/>
      <c r="L666" s="2335"/>
      <c r="M666" s="1951"/>
      <c r="N666" s="1962"/>
      <c r="O666" s="1961">
        <v>11524000</v>
      </c>
      <c r="P666" s="1951">
        <v>12054104</v>
      </c>
      <c r="Q666" s="1960">
        <v>12608593</v>
      </c>
    </row>
    <row r="667" spans="1:17" ht="12.75" customHeight="1">
      <c r="A667" s="2332" t="s">
        <v>3563</v>
      </c>
      <c r="B667" s="2185" t="s">
        <v>3564</v>
      </c>
      <c r="C667" s="2296" t="s">
        <v>3453</v>
      </c>
      <c r="D667" s="2296"/>
      <c r="E667" s="2333" t="s">
        <v>3456</v>
      </c>
      <c r="F667" s="2333" t="s">
        <v>3457</v>
      </c>
      <c r="G667" s="2185" t="s">
        <v>3458</v>
      </c>
      <c r="H667" s="2333"/>
      <c r="I667" s="2334"/>
      <c r="J667" s="2185"/>
      <c r="K667" s="2336"/>
      <c r="L667" s="2335"/>
      <c r="M667" s="1951"/>
      <c r="N667" s="1962"/>
      <c r="O667" s="1961">
        <v>3823</v>
      </c>
      <c r="P667" s="1951">
        <v>3999</v>
      </c>
      <c r="Q667" s="1960">
        <v>4183</v>
      </c>
    </row>
    <row r="668" spans="1:17" ht="12.75" customHeight="1">
      <c r="A668" s="2332" t="s">
        <v>3490</v>
      </c>
      <c r="B668" s="2185" t="s">
        <v>3494</v>
      </c>
      <c r="C668" s="2296" t="s">
        <v>3453</v>
      </c>
      <c r="D668" s="2296"/>
      <c r="E668" s="2333" t="s">
        <v>3456</v>
      </c>
      <c r="F668" s="2333" t="s">
        <v>3457</v>
      </c>
      <c r="G668" s="2185" t="s">
        <v>3461</v>
      </c>
      <c r="H668" s="2333"/>
      <c r="I668" s="2334"/>
      <c r="J668" s="2185"/>
      <c r="K668" s="2336"/>
      <c r="L668" s="2335"/>
      <c r="M668" s="1951"/>
      <c r="N668" s="1962"/>
      <c r="O668" s="1961">
        <v>172951</v>
      </c>
      <c r="P668" s="1951">
        <v>180907</v>
      </c>
      <c r="Q668" s="1960">
        <v>189229</v>
      </c>
    </row>
    <row r="669" spans="1:17" ht="12.75" customHeight="1">
      <c r="A669" s="2332" t="s">
        <v>3483</v>
      </c>
      <c r="B669" s="2185" t="s">
        <v>3779</v>
      </c>
      <c r="C669" s="2296" t="s">
        <v>3463</v>
      </c>
      <c r="D669" s="2296"/>
      <c r="E669" s="2333" t="s">
        <v>3456</v>
      </c>
      <c r="F669" s="2333" t="s">
        <v>3457</v>
      </c>
      <c r="G669" s="2185" t="s">
        <v>3481</v>
      </c>
      <c r="H669" s="2333"/>
      <c r="I669" s="2334"/>
      <c r="J669" s="2185"/>
      <c r="K669" s="2336"/>
      <c r="L669" s="2335"/>
      <c r="M669" s="1951"/>
      <c r="N669" s="1962"/>
      <c r="O669" s="1961">
        <v>2345</v>
      </c>
      <c r="P669" s="1951">
        <v>2453</v>
      </c>
      <c r="Q669" s="1960">
        <v>2566</v>
      </c>
    </row>
    <row r="670" spans="1:17" ht="12.75" customHeight="1">
      <c r="A670" s="2332" t="s">
        <v>3485</v>
      </c>
      <c r="B670" s="2185" t="s">
        <v>3505</v>
      </c>
      <c r="C670" s="2296" t="s">
        <v>3453</v>
      </c>
      <c r="D670" s="2296"/>
      <c r="E670" s="2333" t="s">
        <v>3513</v>
      </c>
      <c r="F670" s="2333" t="s">
        <v>3514</v>
      </c>
      <c r="G670" s="2185" t="s">
        <v>3515</v>
      </c>
      <c r="H670" s="2333"/>
      <c r="I670" s="2334"/>
      <c r="J670" s="2185"/>
      <c r="K670" s="2336"/>
      <c r="L670" s="2335"/>
      <c r="M670" s="1951"/>
      <c r="N670" s="1962"/>
      <c r="O670" s="1961">
        <v>215000</v>
      </c>
      <c r="P670" s="1951">
        <v>224890</v>
      </c>
      <c r="Q670" s="1960">
        <v>235235</v>
      </c>
    </row>
    <row r="671" spans="1:17" ht="12.75" customHeight="1">
      <c r="A671" s="2332" t="s">
        <v>3501</v>
      </c>
      <c r="B671" s="2185" t="s">
        <v>3553</v>
      </c>
      <c r="C671" s="2296" t="s">
        <v>3453</v>
      </c>
      <c r="D671" s="2296"/>
      <c r="E671" s="2333" t="s">
        <v>3456</v>
      </c>
      <c r="F671" s="2333" t="s">
        <v>3457</v>
      </c>
      <c r="G671" s="2185" t="s">
        <v>3461</v>
      </c>
      <c r="H671" s="2333"/>
      <c r="I671" s="2334"/>
      <c r="J671" s="2185"/>
      <c r="K671" s="2336"/>
      <c r="L671" s="2335"/>
      <c r="M671" s="1951"/>
      <c r="N671" s="1962"/>
      <c r="O671" s="1961">
        <v>137012</v>
      </c>
      <c r="P671" s="1951">
        <v>143315</v>
      </c>
      <c r="Q671" s="1960">
        <v>149907</v>
      </c>
    </row>
    <row r="672" spans="1:17" ht="12.75" customHeight="1">
      <c r="A672" s="2332" t="s">
        <v>3464</v>
      </c>
      <c r="B672" s="2185" t="s">
        <v>3630</v>
      </c>
      <c r="C672" s="2296" t="s">
        <v>3453</v>
      </c>
      <c r="D672" s="2296"/>
      <c r="E672" s="2333" t="s">
        <v>3467</v>
      </c>
      <c r="F672" s="2333" t="s">
        <v>3468</v>
      </c>
      <c r="G672" s="2185" t="s">
        <v>3469</v>
      </c>
      <c r="H672" s="2333"/>
      <c r="I672" s="2334"/>
      <c r="J672" s="2185"/>
      <c r="K672" s="2336"/>
      <c r="L672" s="2335"/>
      <c r="M672" s="1951"/>
      <c r="N672" s="1962"/>
      <c r="O672" s="1961">
        <v>7645</v>
      </c>
      <c r="P672" s="1951">
        <v>7997</v>
      </c>
      <c r="Q672" s="1960">
        <v>8365</v>
      </c>
    </row>
    <row r="673" spans="1:17" ht="12.75" customHeight="1">
      <c r="A673" s="2332" t="s">
        <v>3510</v>
      </c>
      <c r="B673" s="2185" t="s">
        <v>3642</v>
      </c>
      <c r="C673" s="2296" t="s">
        <v>3453</v>
      </c>
      <c r="D673" s="2296"/>
      <c r="E673" s="2333" t="s">
        <v>3456</v>
      </c>
      <c r="F673" s="2333" t="s">
        <v>3457</v>
      </c>
      <c r="G673" s="2185" t="s">
        <v>3481</v>
      </c>
      <c r="H673" s="2333"/>
      <c r="I673" s="2334"/>
      <c r="J673" s="2185"/>
      <c r="K673" s="2336"/>
      <c r="L673" s="2335"/>
      <c r="M673" s="1951"/>
      <c r="N673" s="1962"/>
      <c r="O673" s="1961">
        <v>3807658</v>
      </c>
      <c r="P673" s="1951">
        <v>3982811</v>
      </c>
      <c r="Q673" s="1960">
        <v>4166020</v>
      </c>
    </row>
    <row r="674" spans="1:17" ht="12.75" customHeight="1">
      <c r="A674" s="2332" t="s">
        <v>3520</v>
      </c>
      <c r="B674" s="2185" t="s">
        <v>3780</v>
      </c>
      <c r="C674" s="2296" t="s">
        <v>3453</v>
      </c>
      <c r="D674" s="2296"/>
      <c r="E674" s="2333" t="s">
        <v>3456</v>
      </c>
      <c r="F674" s="2333" t="s">
        <v>3457</v>
      </c>
      <c r="G674" s="2185" t="s">
        <v>3461</v>
      </c>
      <c r="H674" s="2333"/>
      <c r="I674" s="2334"/>
      <c r="J674" s="2185"/>
      <c r="K674" s="2336"/>
      <c r="L674" s="2335"/>
      <c r="M674" s="1951"/>
      <c r="N674" s="1962"/>
      <c r="O674" s="1961">
        <v>0</v>
      </c>
      <c r="P674" s="1951">
        <v>0</v>
      </c>
      <c r="Q674" s="1960">
        <v>0</v>
      </c>
    </row>
    <row r="675" spans="1:17" ht="12.75" customHeight="1">
      <c r="A675" s="2332" t="s">
        <v>3536</v>
      </c>
      <c r="B675" s="2185" t="s">
        <v>3537</v>
      </c>
      <c r="C675" s="2296" t="s">
        <v>3453</v>
      </c>
      <c r="D675" s="2296"/>
      <c r="E675" s="2333" t="s">
        <v>3467</v>
      </c>
      <c r="F675" s="2333" t="s">
        <v>3468</v>
      </c>
      <c r="G675" s="2185" t="s">
        <v>3469</v>
      </c>
      <c r="H675" s="2333"/>
      <c r="I675" s="2334"/>
      <c r="J675" s="2185"/>
      <c r="K675" s="2336"/>
      <c r="L675" s="2335"/>
      <c r="M675" s="1951"/>
      <c r="N675" s="1962"/>
      <c r="O675" s="1961">
        <v>555309</v>
      </c>
      <c r="P675" s="1951">
        <v>580854</v>
      </c>
      <c r="Q675" s="1960">
        <v>607573</v>
      </c>
    </row>
    <row r="676" spans="1:17" ht="12.75" customHeight="1">
      <c r="A676" s="2332" t="s">
        <v>3523</v>
      </c>
      <c r="B676" s="2185" t="s">
        <v>3781</v>
      </c>
      <c r="C676" s="2296" t="s">
        <v>3453</v>
      </c>
      <c r="D676" s="2296"/>
      <c r="E676" s="2333" t="s">
        <v>3456</v>
      </c>
      <c r="F676" s="2333" t="s">
        <v>3457</v>
      </c>
      <c r="G676" s="2185" t="s">
        <v>3461</v>
      </c>
      <c r="H676" s="2333"/>
      <c r="I676" s="2334"/>
      <c r="J676" s="2185"/>
      <c r="K676" s="2336"/>
      <c r="L676" s="2335"/>
      <c r="M676" s="1951"/>
      <c r="N676" s="1962"/>
      <c r="O676" s="1961">
        <v>864256</v>
      </c>
      <c r="P676" s="1951">
        <v>864256</v>
      </c>
      <c r="Q676" s="1960">
        <v>904012</v>
      </c>
    </row>
    <row r="677" spans="1:17" ht="12.75" customHeight="1">
      <c r="A677" s="2332" t="s">
        <v>3563</v>
      </c>
      <c r="B677" s="2185" t="s">
        <v>3564</v>
      </c>
      <c r="C677" s="2296" t="s">
        <v>3453</v>
      </c>
      <c r="D677" s="2296"/>
      <c r="E677" s="2333" t="s">
        <v>3456</v>
      </c>
      <c r="F677" s="2333" t="s">
        <v>3457</v>
      </c>
      <c r="G677" s="2185" t="s">
        <v>3458</v>
      </c>
      <c r="H677" s="2333"/>
      <c r="I677" s="2334"/>
      <c r="J677" s="2185"/>
      <c r="K677" s="2336"/>
      <c r="L677" s="2335"/>
      <c r="M677" s="1951"/>
      <c r="N677" s="1962"/>
      <c r="O677" s="1961">
        <v>64480</v>
      </c>
      <c r="P677" s="1951">
        <v>67447</v>
      </c>
      <c r="Q677" s="1960">
        <v>70549</v>
      </c>
    </row>
    <row r="678" spans="1:17" ht="12.75" customHeight="1">
      <c r="A678" s="2332" t="s">
        <v>3464</v>
      </c>
      <c r="B678" s="2185" t="s">
        <v>3782</v>
      </c>
      <c r="C678" s="2296" t="s">
        <v>3453</v>
      </c>
      <c r="D678" s="2296"/>
      <c r="E678" s="2333" t="s">
        <v>3467</v>
      </c>
      <c r="F678" s="2333" t="s">
        <v>3468</v>
      </c>
      <c r="G678" s="2185" t="s">
        <v>3469</v>
      </c>
      <c r="H678" s="2333"/>
      <c r="I678" s="2334"/>
      <c r="J678" s="2185"/>
      <c r="K678" s="2336"/>
      <c r="L678" s="2335"/>
      <c r="M678" s="1951"/>
      <c r="N678" s="1962"/>
      <c r="O678" s="1961">
        <v>2614618</v>
      </c>
      <c r="P678" s="1951">
        <v>2614618</v>
      </c>
      <c r="Q678" s="1960">
        <v>2734891</v>
      </c>
    </row>
    <row r="679" spans="1:17" ht="12.75" customHeight="1">
      <c r="A679" s="2332" t="s">
        <v>3531</v>
      </c>
      <c r="B679" s="2185" t="s">
        <v>3697</v>
      </c>
      <c r="C679" s="2296" t="s">
        <v>3453</v>
      </c>
      <c r="D679" s="2296"/>
      <c r="E679" s="2333" t="s">
        <v>3467</v>
      </c>
      <c r="F679" s="2333" t="s">
        <v>3468</v>
      </c>
      <c r="G679" s="2185" t="s">
        <v>3469</v>
      </c>
      <c r="H679" s="2333"/>
      <c r="I679" s="2334"/>
      <c r="J679" s="2185"/>
      <c r="K679" s="2336"/>
      <c r="L679" s="2335"/>
      <c r="M679" s="1951"/>
      <c r="N679" s="1962"/>
      <c r="O679" s="1961">
        <v>0</v>
      </c>
      <c r="P679" s="1951">
        <v>0</v>
      </c>
      <c r="Q679" s="1960">
        <v>0</v>
      </c>
    </row>
    <row r="680" spans="1:17" ht="12.75" customHeight="1">
      <c r="A680" s="2332" t="s">
        <v>3454</v>
      </c>
      <c r="B680" s="2185" t="s">
        <v>3574</v>
      </c>
      <c r="C680" s="2296" t="s">
        <v>3453</v>
      </c>
      <c r="D680" s="2296"/>
      <c r="E680" s="2333" t="s">
        <v>3467</v>
      </c>
      <c r="F680" s="2333" t="s">
        <v>3468</v>
      </c>
      <c r="G680" s="2185" t="s">
        <v>3475</v>
      </c>
      <c r="H680" s="2333"/>
      <c r="I680" s="2334"/>
      <c r="J680" s="2185"/>
      <c r="K680" s="2336"/>
      <c r="L680" s="2335"/>
      <c r="M680" s="1951"/>
      <c r="N680" s="1962"/>
      <c r="O680" s="1961">
        <v>0</v>
      </c>
      <c r="P680" s="1951">
        <v>0</v>
      </c>
      <c r="Q680" s="1960">
        <v>0</v>
      </c>
    </row>
    <row r="681" spans="1:17" ht="12.75" customHeight="1">
      <c r="A681" s="2332" t="s">
        <v>3470</v>
      </c>
      <c r="B681" s="2185" t="s">
        <v>3783</v>
      </c>
      <c r="C681" s="2296" t="s">
        <v>3562</v>
      </c>
      <c r="D681" s="2296"/>
      <c r="E681" s="2333" t="s">
        <v>3467</v>
      </c>
      <c r="F681" s="2333" t="s">
        <v>3468</v>
      </c>
      <c r="G681" s="2185" t="s">
        <v>3469</v>
      </c>
      <c r="H681" s="2333"/>
      <c r="I681" s="2334"/>
      <c r="J681" s="2185"/>
      <c r="K681" s="2336"/>
      <c r="L681" s="2335"/>
      <c r="M681" s="1951"/>
      <c r="N681" s="1962"/>
      <c r="O681" s="1961">
        <v>9767</v>
      </c>
      <c r="P681" s="1951">
        <v>10217</v>
      </c>
      <c r="Q681" s="1960">
        <v>10687</v>
      </c>
    </row>
    <row r="682" spans="1:17" ht="12.75" customHeight="1">
      <c r="A682" s="2332" t="s">
        <v>3459</v>
      </c>
      <c r="B682" s="2185" t="s">
        <v>3742</v>
      </c>
      <c r="C682" s="2296" t="s">
        <v>3453</v>
      </c>
      <c r="D682" s="2296"/>
      <c r="E682" s="2333" t="s">
        <v>3456</v>
      </c>
      <c r="F682" s="2333" t="s">
        <v>3457</v>
      </c>
      <c r="G682" s="2185" t="s">
        <v>3461</v>
      </c>
      <c r="H682" s="2333"/>
      <c r="I682" s="2334"/>
      <c r="J682" s="2185"/>
      <c r="K682" s="2336"/>
      <c r="L682" s="2335"/>
      <c r="M682" s="1951"/>
      <c r="N682" s="1962"/>
      <c r="O682" s="1961">
        <v>196815</v>
      </c>
      <c r="P682" s="1951">
        <v>205869</v>
      </c>
      <c r="Q682" s="1960">
        <v>215339</v>
      </c>
    </row>
    <row r="683" spans="1:17" ht="12.75" customHeight="1">
      <c r="A683" s="2332" t="s">
        <v>3490</v>
      </c>
      <c r="B683" s="2185" t="s">
        <v>3784</v>
      </c>
      <c r="C683" s="2296" t="s">
        <v>3453</v>
      </c>
      <c r="D683" s="2296"/>
      <c r="E683" s="2333" t="s">
        <v>3456</v>
      </c>
      <c r="F683" s="2333" t="s">
        <v>3457</v>
      </c>
      <c r="G683" s="2185" t="s">
        <v>3461</v>
      </c>
      <c r="H683" s="2333"/>
      <c r="I683" s="2334"/>
      <c r="J683" s="2185"/>
      <c r="K683" s="2336"/>
      <c r="L683" s="2335"/>
      <c r="M683" s="1951"/>
      <c r="N683" s="1962"/>
      <c r="O683" s="1961">
        <v>9676432</v>
      </c>
      <c r="P683" s="1951">
        <v>9105006</v>
      </c>
      <c r="Q683" s="1960">
        <v>8380586</v>
      </c>
    </row>
    <row r="684" spans="1:17" ht="12.75" customHeight="1">
      <c r="A684" s="2332" t="s">
        <v>3576</v>
      </c>
      <c r="B684" s="2185" t="s">
        <v>3577</v>
      </c>
      <c r="C684" s="2296" t="s">
        <v>3453</v>
      </c>
      <c r="D684" s="2296"/>
      <c r="E684" s="2333" t="s">
        <v>3456</v>
      </c>
      <c r="F684" s="2333" t="s">
        <v>3457</v>
      </c>
      <c r="G684" s="2185" t="s">
        <v>3461</v>
      </c>
      <c r="H684" s="2333"/>
      <c r="I684" s="2334"/>
      <c r="J684" s="2185"/>
      <c r="K684" s="2336"/>
      <c r="L684" s="2335"/>
      <c r="M684" s="1951"/>
      <c r="N684" s="1962"/>
      <c r="O684" s="1961">
        <v>12036</v>
      </c>
      <c r="P684" s="1951">
        <v>12590</v>
      </c>
      <c r="Q684" s="1960">
        <v>13169</v>
      </c>
    </row>
    <row r="685" spans="1:17" ht="12.75" customHeight="1">
      <c r="A685" s="2332" t="s">
        <v>3464</v>
      </c>
      <c r="B685" s="2185" t="s">
        <v>3476</v>
      </c>
      <c r="C685" s="2296" t="s">
        <v>3453</v>
      </c>
      <c r="D685" s="2296"/>
      <c r="E685" s="2333" t="s">
        <v>3456</v>
      </c>
      <c r="F685" s="2333" t="s">
        <v>3457</v>
      </c>
      <c r="G685" s="2185" t="s">
        <v>3458</v>
      </c>
      <c r="H685" s="2333"/>
      <c r="I685" s="2334"/>
      <c r="J685" s="2185"/>
      <c r="K685" s="2336"/>
      <c r="L685" s="2335"/>
      <c r="M685" s="1951"/>
      <c r="N685" s="1962"/>
      <c r="O685" s="1961">
        <v>75000</v>
      </c>
      <c r="P685" s="1951">
        <v>78450</v>
      </c>
      <c r="Q685" s="1960">
        <v>82059</v>
      </c>
    </row>
    <row r="686" spans="1:17" ht="12.75" customHeight="1">
      <c r="A686" s="2332" t="s">
        <v>3454</v>
      </c>
      <c r="B686" s="2185" t="s">
        <v>3662</v>
      </c>
      <c r="C686" s="2296" t="s">
        <v>3453</v>
      </c>
      <c r="D686" s="2296"/>
      <c r="E686" s="2333" t="s">
        <v>3456</v>
      </c>
      <c r="F686" s="2333" t="s">
        <v>3457</v>
      </c>
      <c r="G686" s="2185" t="s">
        <v>3461</v>
      </c>
      <c r="H686" s="2333"/>
      <c r="I686" s="2334"/>
      <c r="J686" s="2185"/>
      <c r="K686" s="2336"/>
      <c r="L686" s="2335"/>
      <c r="M686" s="1951"/>
      <c r="N686" s="1962"/>
      <c r="O686" s="1961">
        <v>0</v>
      </c>
      <c r="P686" s="1951">
        <v>0</v>
      </c>
      <c r="Q686" s="1960">
        <v>0</v>
      </c>
    </row>
    <row r="687" spans="1:17" ht="12.75" customHeight="1">
      <c r="A687" s="2332" t="s">
        <v>3536</v>
      </c>
      <c r="B687" s="2185" t="s">
        <v>3537</v>
      </c>
      <c r="C687" s="2296" t="s">
        <v>3453</v>
      </c>
      <c r="D687" s="2296"/>
      <c r="E687" s="2333" t="s">
        <v>3467</v>
      </c>
      <c r="F687" s="2333" t="s">
        <v>3468</v>
      </c>
      <c r="G687" s="2185" t="s">
        <v>2676</v>
      </c>
      <c r="H687" s="2333"/>
      <c r="I687" s="2334"/>
      <c r="J687" s="2185"/>
      <c r="K687" s="2336"/>
      <c r="L687" s="2335"/>
      <c r="M687" s="1951"/>
      <c r="N687" s="1962"/>
      <c r="O687" s="1961">
        <v>56363</v>
      </c>
      <c r="P687" s="1951">
        <v>58956</v>
      </c>
      <c r="Q687" s="1960">
        <v>61668</v>
      </c>
    </row>
    <row r="688" spans="1:17" ht="12.75" customHeight="1">
      <c r="A688" s="2332" t="s">
        <v>3454</v>
      </c>
      <c r="B688" s="2185" t="s">
        <v>3695</v>
      </c>
      <c r="C688" s="2296" t="s">
        <v>3453</v>
      </c>
      <c r="D688" s="2296"/>
      <c r="E688" s="2333" t="s">
        <v>3456</v>
      </c>
      <c r="F688" s="2333" t="s">
        <v>3457</v>
      </c>
      <c r="G688" s="2185" t="s">
        <v>3461</v>
      </c>
      <c r="H688" s="2333"/>
      <c r="I688" s="2334"/>
      <c r="J688" s="2185"/>
      <c r="K688" s="2336"/>
      <c r="L688" s="2335"/>
      <c r="M688" s="1951"/>
      <c r="N688" s="1962"/>
      <c r="O688" s="1961">
        <v>367691</v>
      </c>
      <c r="P688" s="1951">
        <v>384605</v>
      </c>
      <c r="Q688" s="1960">
        <v>402297</v>
      </c>
    </row>
    <row r="689" spans="1:17" ht="12.75" customHeight="1">
      <c r="A689" s="2332" t="s">
        <v>3487</v>
      </c>
      <c r="B689" s="2185" t="s">
        <v>3647</v>
      </c>
      <c r="C689" s="2296" t="s">
        <v>3453</v>
      </c>
      <c r="D689" s="2296"/>
      <c r="E689" s="2333" t="s">
        <v>3467</v>
      </c>
      <c r="F689" s="2333" t="s">
        <v>3468</v>
      </c>
      <c r="G689" s="2185" t="s">
        <v>3469</v>
      </c>
      <c r="H689" s="2333"/>
      <c r="I689" s="2334"/>
      <c r="J689" s="2185"/>
      <c r="K689" s="2336"/>
      <c r="L689" s="2335"/>
      <c r="M689" s="1951"/>
      <c r="N689" s="1962"/>
      <c r="O689" s="1961">
        <v>70580</v>
      </c>
      <c r="P689" s="1951">
        <v>73827</v>
      </c>
      <c r="Q689" s="1960">
        <v>77223</v>
      </c>
    </row>
    <row r="690" spans="1:17" ht="12.75" customHeight="1">
      <c r="A690" s="2332" t="s">
        <v>3563</v>
      </c>
      <c r="B690" s="2185" t="s">
        <v>3785</v>
      </c>
      <c r="C690" s="2296" t="s">
        <v>3453</v>
      </c>
      <c r="D690" s="2296"/>
      <c r="E690" s="2333" t="s">
        <v>3456</v>
      </c>
      <c r="F690" s="2333" t="s">
        <v>3457</v>
      </c>
      <c r="G690" s="2185" t="s">
        <v>3481</v>
      </c>
      <c r="H690" s="2333"/>
      <c r="I690" s="2334"/>
      <c r="J690" s="2185"/>
      <c r="K690" s="2336"/>
      <c r="L690" s="2335"/>
      <c r="M690" s="1951"/>
      <c r="N690" s="1962"/>
      <c r="O690" s="1961">
        <v>1000</v>
      </c>
      <c r="P690" s="1951">
        <v>1046</v>
      </c>
      <c r="Q690" s="1960">
        <v>1095</v>
      </c>
    </row>
    <row r="691" spans="1:17" ht="12.75" customHeight="1">
      <c r="A691" s="2332" t="s">
        <v>3538</v>
      </c>
      <c r="B691" s="2185" t="s">
        <v>3539</v>
      </c>
      <c r="C691" s="2296" t="s">
        <v>3453</v>
      </c>
      <c r="D691" s="2296"/>
      <c r="E691" s="2333" t="s">
        <v>3467</v>
      </c>
      <c r="F691" s="2333" t="s">
        <v>3468</v>
      </c>
      <c r="G691" s="2185" t="s">
        <v>2676</v>
      </c>
      <c r="H691" s="2333"/>
      <c r="I691" s="2334"/>
      <c r="J691" s="2185"/>
      <c r="K691" s="2336"/>
      <c r="L691" s="2335"/>
      <c r="M691" s="1951"/>
      <c r="N691" s="1962"/>
      <c r="O691" s="1961">
        <v>22936</v>
      </c>
      <c r="P691" s="1951">
        <v>23992</v>
      </c>
      <c r="Q691" s="1960">
        <v>25095</v>
      </c>
    </row>
    <row r="692" spans="1:17" ht="12.75" customHeight="1">
      <c r="A692" s="2332" t="s">
        <v>3485</v>
      </c>
      <c r="B692" s="2185" t="s">
        <v>3486</v>
      </c>
      <c r="C692" s="2296" t="s">
        <v>3453</v>
      </c>
      <c r="D692" s="2296"/>
      <c r="E692" s="2333" t="s">
        <v>3467</v>
      </c>
      <c r="F692" s="2333" t="s">
        <v>3468</v>
      </c>
      <c r="G692" s="2185" t="s">
        <v>3469</v>
      </c>
      <c r="H692" s="2333"/>
      <c r="I692" s="2334"/>
      <c r="J692" s="2185"/>
      <c r="K692" s="2336"/>
      <c r="L692" s="2335"/>
      <c r="M692" s="1951"/>
      <c r="N692" s="1962"/>
      <c r="O692" s="1961">
        <v>2276</v>
      </c>
      <c r="P692" s="1951">
        <v>2381</v>
      </c>
      <c r="Q692" s="1960">
        <v>2491</v>
      </c>
    </row>
    <row r="693" spans="1:17" ht="12.75" customHeight="1">
      <c r="A693" s="2332" t="s">
        <v>3508</v>
      </c>
      <c r="B693" s="2185" t="s">
        <v>3786</v>
      </c>
      <c r="C693" s="2296" t="s">
        <v>3497</v>
      </c>
      <c r="D693" s="2296"/>
      <c r="E693" s="2333" t="s">
        <v>3467</v>
      </c>
      <c r="F693" s="2333" t="s">
        <v>3468</v>
      </c>
      <c r="G693" s="2185" t="s">
        <v>3469</v>
      </c>
      <c r="H693" s="2333"/>
      <c r="I693" s="2334"/>
      <c r="J693" s="2185"/>
      <c r="K693" s="2336"/>
      <c r="L693" s="2335"/>
      <c r="M693" s="1951"/>
      <c r="N693" s="1962"/>
      <c r="O693" s="1961">
        <v>13000</v>
      </c>
      <c r="P693" s="1951">
        <v>13598</v>
      </c>
      <c r="Q693" s="1960">
        <v>14224</v>
      </c>
    </row>
    <row r="694" spans="1:17" ht="12.75" customHeight="1">
      <c r="A694" s="2332" t="s">
        <v>3473</v>
      </c>
      <c r="B694" s="2185" t="s">
        <v>3552</v>
      </c>
      <c r="C694" s="2296" t="s">
        <v>3453</v>
      </c>
      <c r="D694" s="2296"/>
      <c r="E694" s="2333" t="s">
        <v>3456</v>
      </c>
      <c r="F694" s="2333" t="s">
        <v>3457</v>
      </c>
      <c r="G694" s="2185" t="s">
        <v>3458</v>
      </c>
      <c r="H694" s="2333"/>
      <c r="I694" s="2334"/>
      <c r="J694" s="2185"/>
      <c r="K694" s="2336"/>
      <c r="L694" s="2335"/>
      <c r="M694" s="1951"/>
      <c r="N694" s="1962"/>
      <c r="O694" s="1961">
        <v>19924</v>
      </c>
      <c r="P694" s="1951">
        <v>20841</v>
      </c>
      <c r="Q694" s="1960">
        <v>21800</v>
      </c>
    </row>
    <row r="695" spans="1:17" ht="12.75" customHeight="1">
      <c r="A695" s="2332" t="s">
        <v>3459</v>
      </c>
      <c r="B695" s="2185" t="s">
        <v>3787</v>
      </c>
      <c r="C695" s="2296" t="s">
        <v>3453</v>
      </c>
      <c r="D695" s="2296"/>
      <c r="E695" s="2333" t="s">
        <v>3467</v>
      </c>
      <c r="F695" s="2333" t="s">
        <v>3468</v>
      </c>
      <c r="G695" s="2185" t="s">
        <v>3469</v>
      </c>
      <c r="H695" s="2333"/>
      <c r="I695" s="2334"/>
      <c r="J695" s="2185"/>
      <c r="K695" s="2336"/>
      <c r="L695" s="2335"/>
      <c r="M695" s="1951"/>
      <c r="N695" s="1962"/>
      <c r="O695" s="1961">
        <v>0</v>
      </c>
      <c r="P695" s="1951">
        <v>0</v>
      </c>
      <c r="Q695" s="1960">
        <v>0</v>
      </c>
    </row>
    <row r="696" spans="1:17" ht="12.75" customHeight="1">
      <c r="A696" s="2332" t="s">
        <v>3506</v>
      </c>
      <c r="B696" s="2185" t="s">
        <v>3610</v>
      </c>
      <c r="C696" s="2296" t="s">
        <v>3453</v>
      </c>
      <c r="D696" s="2296"/>
      <c r="E696" s="2333" t="s">
        <v>3467</v>
      </c>
      <c r="F696" s="2333" t="s">
        <v>3468</v>
      </c>
      <c r="G696" s="2185" t="s">
        <v>2676</v>
      </c>
      <c r="H696" s="2333"/>
      <c r="I696" s="2334"/>
      <c r="J696" s="2185"/>
      <c r="K696" s="2336"/>
      <c r="L696" s="2335"/>
      <c r="M696" s="1951"/>
      <c r="N696" s="1962"/>
      <c r="O696" s="1961">
        <v>125656</v>
      </c>
      <c r="P696" s="1951">
        <v>131437</v>
      </c>
      <c r="Q696" s="1960">
        <v>137483</v>
      </c>
    </row>
    <row r="697" spans="1:17" ht="12.75" customHeight="1">
      <c r="A697" s="2332" t="s">
        <v>3531</v>
      </c>
      <c r="B697" s="2185" t="s">
        <v>3532</v>
      </c>
      <c r="C697" s="2296" t="s">
        <v>3453</v>
      </c>
      <c r="D697" s="2296"/>
      <c r="E697" s="2333" t="s">
        <v>3456</v>
      </c>
      <c r="F697" s="2333" t="s">
        <v>3457</v>
      </c>
      <c r="G697" s="2185" t="s">
        <v>3461</v>
      </c>
      <c r="H697" s="2333"/>
      <c r="I697" s="2334"/>
      <c r="J697" s="2185"/>
      <c r="K697" s="2336"/>
      <c r="L697" s="2335"/>
      <c r="M697" s="1951"/>
      <c r="N697" s="1962"/>
      <c r="O697" s="1961">
        <v>0</v>
      </c>
      <c r="P697" s="1951">
        <v>0</v>
      </c>
      <c r="Q697" s="1960">
        <v>0</v>
      </c>
    </row>
    <row r="698" spans="1:17" ht="12.75" customHeight="1">
      <c r="A698" s="2332" t="s">
        <v>3490</v>
      </c>
      <c r="B698" s="2185" t="s">
        <v>3493</v>
      </c>
      <c r="C698" s="2296" t="s">
        <v>3453</v>
      </c>
      <c r="D698" s="2296"/>
      <c r="E698" s="2333" t="s">
        <v>3456</v>
      </c>
      <c r="F698" s="2333" t="s">
        <v>3457</v>
      </c>
      <c r="G698" s="2185" t="s">
        <v>3461</v>
      </c>
      <c r="H698" s="2333"/>
      <c r="I698" s="2334"/>
      <c r="J698" s="2185"/>
      <c r="K698" s="2336"/>
      <c r="L698" s="2335"/>
      <c r="M698" s="1951"/>
      <c r="N698" s="1962"/>
      <c r="O698" s="1961">
        <v>309890</v>
      </c>
      <c r="P698" s="1951">
        <v>324145</v>
      </c>
      <c r="Q698" s="1960">
        <v>339056</v>
      </c>
    </row>
    <row r="699" spans="1:17" ht="12.75" customHeight="1">
      <c r="A699" s="2332" t="s">
        <v>3531</v>
      </c>
      <c r="B699" s="2185" t="s">
        <v>3532</v>
      </c>
      <c r="C699" s="2296" t="s">
        <v>3453</v>
      </c>
      <c r="D699" s="2296"/>
      <c r="E699" s="2333" t="s">
        <v>3467</v>
      </c>
      <c r="F699" s="2333" t="s">
        <v>3468</v>
      </c>
      <c r="G699" s="2185" t="s">
        <v>3469</v>
      </c>
      <c r="H699" s="2333"/>
      <c r="I699" s="2334"/>
      <c r="J699" s="2185"/>
      <c r="K699" s="2336"/>
      <c r="L699" s="2335"/>
      <c r="M699" s="1951"/>
      <c r="N699" s="1962"/>
      <c r="O699" s="1961">
        <v>0</v>
      </c>
      <c r="P699" s="1951">
        <v>0</v>
      </c>
      <c r="Q699" s="1960">
        <v>0</v>
      </c>
    </row>
    <row r="700" spans="1:17" ht="12.75" customHeight="1">
      <c r="A700" s="2332" t="s">
        <v>3510</v>
      </c>
      <c r="B700" s="2185" t="s">
        <v>3642</v>
      </c>
      <c r="C700" s="2296" t="s">
        <v>3453</v>
      </c>
      <c r="D700" s="2296"/>
      <c r="E700" s="2333" t="s">
        <v>3467</v>
      </c>
      <c r="F700" s="2333" t="s">
        <v>3468</v>
      </c>
      <c r="G700" s="2185" t="s">
        <v>3469</v>
      </c>
      <c r="H700" s="2333"/>
      <c r="I700" s="2334"/>
      <c r="J700" s="2185"/>
      <c r="K700" s="2336"/>
      <c r="L700" s="2335"/>
      <c r="M700" s="1951"/>
      <c r="N700" s="1962"/>
      <c r="O700" s="1961">
        <v>274491</v>
      </c>
      <c r="P700" s="1951">
        <v>287118</v>
      </c>
      <c r="Q700" s="1960">
        <v>300325</v>
      </c>
    </row>
    <row r="701" spans="1:17" ht="12.75" customHeight="1">
      <c r="A701" s="2332" t="s">
        <v>3520</v>
      </c>
      <c r="B701" s="2185" t="s">
        <v>3603</v>
      </c>
      <c r="C701" s="2296" t="s">
        <v>3453</v>
      </c>
      <c r="D701" s="2296"/>
      <c r="E701" s="2333" t="s">
        <v>3456</v>
      </c>
      <c r="F701" s="2333" t="s">
        <v>3457</v>
      </c>
      <c r="G701" s="2185" t="s">
        <v>3458</v>
      </c>
      <c r="H701" s="2333"/>
      <c r="I701" s="2334"/>
      <c r="J701" s="2185"/>
      <c r="K701" s="2336"/>
      <c r="L701" s="2335"/>
      <c r="M701" s="1951"/>
      <c r="N701" s="1962"/>
      <c r="O701" s="1961">
        <v>250182</v>
      </c>
      <c r="P701" s="1951">
        <v>261692</v>
      </c>
      <c r="Q701" s="1960">
        <v>273729</v>
      </c>
    </row>
    <row r="702" spans="1:17" ht="12.75" customHeight="1">
      <c r="A702" s="2332" t="s">
        <v>3523</v>
      </c>
      <c r="B702" s="2185" t="s">
        <v>3720</v>
      </c>
      <c r="C702" s="2296" t="s">
        <v>3453</v>
      </c>
      <c r="D702" s="2296"/>
      <c r="E702" s="2333" t="s">
        <v>3456</v>
      </c>
      <c r="F702" s="2333" t="s">
        <v>3457</v>
      </c>
      <c r="G702" s="2185" t="s">
        <v>3458</v>
      </c>
      <c r="H702" s="2333"/>
      <c r="I702" s="2334"/>
      <c r="J702" s="2185"/>
      <c r="K702" s="2336"/>
      <c r="L702" s="2335"/>
      <c r="M702" s="1951"/>
      <c r="N702" s="1962"/>
      <c r="O702" s="1961">
        <v>0</v>
      </c>
      <c r="P702" s="1951">
        <v>0</v>
      </c>
      <c r="Q702" s="1960">
        <v>0</v>
      </c>
    </row>
    <row r="703" spans="1:17" ht="12.75" customHeight="1">
      <c r="A703" s="2332" t="s">
        <v>3485</v>
      </c>
      <c r="B703" s="2185" t="s">
        <v>3505</v>
      </c>
      <c r="C703" s="2296" t="s">
        <v>3453</v>
      </c>
      <c r="D703" s="2296"/>
      <c r="E703" s="2333" t="s">
        <v>3467</v>
      </c>
      <c r="F703" s="2333" t="s">
        <v>3468</v>
      </c>
      <c r="G703" s="2185" t="s">
        <v>3469</v>
      </c>
      <c r="H703" s="2333"/>
      <c r="I703" s="2334"/>
      <c r="J703" s="2185"/>
      <c r="K703" s="2336"/>
      <c r="L703" s="2335"/>
      <c r="M703" s="1951"/>
      <c r="N703" s="1962"/>
      <c r="O703" s="1961">
        <v>0</v>
      </c>
      <c r="P703" s="1951">
        <v>0</v>
      </c>
      <c r="Q703" s="1960">
        <v>0</v>
      </c>
    </row>
    <row r="704" spans="1:17" ht="12.75" customHeight="1">
      <c r="A704" s="2332" t="s">
        <v>3572</v>
      </c>
      <c r="B704" s="2185" t="s">
        <v>3573</v>
      </c>
      <c r="C704" s="2296" t="s">
        <v>3453</v>
      </c>
      <c r="D704" s="2296"/>
      <c r="E704" s="2333" t="s">
        <v>3456</v>
      </c>
      <c r="F704" s="2333" t="s">
        <v>3457</v>
      </c>
      <c r="G704" s="2185" t="s">
        <v>3461</v>
      </c>
      <c r="H704" s="2333"/>
      <c r="I704" s="2334"/>
      <c r="J704" s="2185"/>
      <c r="K704" s="2336"/>
      <c r="L704" s="2335"/>
      <c r="M704" s="1951"/>
      <c r="N704" s="1962"/>
      <c r="O704" s="1961">
        <v>7645</v>
      </c>
      <c r="P704" s="1951">
        <v>7997</v>
      </c>
      <c r="Q704" s="1960">
        <v>8365</v>
      </c>
    </row>
    <row r="705" spans="1:17" ht="12.75" customHeight="1">
      <c r="A705" s="2332" t="s">
        <v>3520</v>
      </c>
      <c r="B705" s="2185" t="s">
        <v>3788</v>
      </c>
      <c r="C705" s="2296" t="s">
        <v>3789</v>
      </c>
      <c r="D705" s="2296"/>
      <c r="E705" s="2333" t="s">
        <v>3467</v>
      </c>
      <c r="F705" s="2333" t="s">
        <v>3468</v>
      </c>
      <c r="G705" s="2185" t="s">
        <v>3469</v>
      </c>
      <c r="H705" s="2333"/>
      <c r="I705" s="2334"/>
      <c r="J705" s="2185"/>
      <c r="K705" s="2336"/>
      <c r="L705" s="2335"/>
      <c r="M705" s="1951"/>
      <c r="N705" s="1962"/>
      <c r="O705" s="1961">
        <v>500000</v>
      </c>
      <c r="P705" s="1951">
        <v>523000</v>
      </c>
      <c r="Q705" s="1960">
        <v>547058</v>
      </c>
    </row>
    <row r="706" spans="1:17" ht="12.75" customHeight="1">
      <c r="A706" s="2332" t="s">
        <v>3523</v>
      </c>
      <c r="B706" s="2185" t="s">
        <v>3790</v>
      </c>
      <c r="C706" s="2296" t="s">
        <v>3453</v>
      </c>
      <c r="D706" s="2296"/>
      <c r="E706" s="2333" t="s">
        <v>3467</v>
      </c>
      <c r="F706" s="2333" t="s">
        <v>3468</v>
      </c>
      <c r="G706" s="2185" t="s">
        <v>3469</v>
      </c>
      <c r="H706" s="2333"/>
      <c r="I706" s="2334"/>
      <c r="J706" s="2185"/>
      <c r="K706" s="2336"/>
      <c r="L706" s="2335"/>
      <c r="M706" s="1951"/>
      <c r="N706" s="1962"/>
      <c r="O706" s="1961">
        <v>5000</v>
      </c>
      <c r="P706" s="1951">
        <v>5230</v>
      </c>
      <c r="Q706" s="1960">
        <v>5471</v>
      </c>
    </row>
    <row r="707" spans="1:17" ht="12.75" customHeight="1">
      <c r="A707" s="2332" t="s">
        <v>3479</v>
      </c>
      <c r="B707" s="2185" t="s">
        <v>3749</v>
      </c>
      <c r="C707" s="2296" t="s">
        <v>3453</v>
      </c>
      <c r="D707" s="2296"/>
      <c r="E707" s="2333" t="s">
        <v>3456</v>
      </c>
      <c r="F707" s="2333" t="s">
        <v>3457</v>
      </c>
      <c r="G707" s="2185" t="s">
        <v>3461</v>
      </c>
      <c r="H707" s="2333"/>
      <c r="I707" s="2334"/>
      <c r="J707" s="2185"/>
      <c r="K707" s="2336"/>
      <c r="L707" s="2335"/>
      <c r="M707" s="1951"/>
      <c r="N707" s="1962"/>
      <c r="O707" s="1961">
        <v>2000</v>
      </c>
      <c r="P707" s="1951">
        <v>2000</v>
      </c>
      <c r="Q707" s="1960">
        <v>2000</v>
      </c>
    </row>
    <row r="708" spans="1:17" ht="12.75" customHeight="1">
      <c r="A708" s="2332" t="s">
        <v>3454</v>
      </c>
      <c r="B708" s="2185" t="s">
        <v>3512</v>
      </c>
      <c r="C708" s="2296" t="s">
        <v>3453</v>
      </c>
      <c r="D708" s="2296"/>
      <c r="E708" s="2333" t="s">
        <v>3456</v>
      </c>
      <c r="F708" s="2333" t="s">
        <v>3457</v>
      </c>
      <c r="G708" s="2185" t="s">
        <v>3461</v>
      </c>
      <c r="H708" s="2333"/>
      <c r="I708" s="2334"/>
      <c r="J708" s="2185"/>
      <c r="K708" s="2336"/>
      <c r="L708" s="2335"/>
      <c r="M708" s="1951"/>
      <c r="N708" s="1962"/>
      <c r="O708" s="1961">
        <v>0</v>
      </c>
      <c r="P708" s="1951">
        <v>0</v>
      </c>
      <c r="Q708" s="1960">
        <v>0</v>
      </c>
    </row>
    <row r="709" spans="1:17" ht="12.75" customHeight="1">
      <c r="A709" s="2332" t="s">
        <v>3572</v>
      </c>
      <c r="B709" s="2185" t="s">
        <v>3573</v>
      </c>
      <c r="C709" s="2296" t="s">
        <v>3453</v>
      </c>
      <c r="D709" s="2296"/>
      <c r="E709" s="2333" t="s">
        <v>3467</v>
      </c>
      <c r="F709" s="2333" t="s">
        <v>3468</v>
      </c>
      <c r="G709" s="2185" t="s">
        <v>2676</v>
      </c>
      <c r="H709" s="2333"/>
      <c r="I709" s="2334"/>
      <c r="J709" s="2185"/>
      <c r="K709" s="2336"/>
      <c r="L709" s="2335"/>
      <c r="M709" s="1951"/>
      <c r="N709" s="1962"/>
      <c r="O709" s="1961">
        <v>131411</v>
      </c>
      <c r="P709" s="1951">
        <v>137456</v>
      </c>
      <c r="Q709" s="1960">
        <v>143779</v>
      </c>
    </row>
    <row r="710" spans="1:17" ht="12.75" customHeight="1">
      <c r="A710" s="2332" t="s">
        <v>3499</v>
      </c>
      <c r="B710" s="2185" t="s">
        <v>3791</v>
      </c>
      <c r="C710" s="2296" t="s">
        <v>3453</v>
      </c>
      <c r="D710" s="2296"/>
      <c r="E710" s="2333" t="s">
        <v>3467</v>
      </c>
      <c r="F710" s="2333" t="s">
        <v>3468</v>
      </c>
      <c r="G710" s="2185" t="s">
        <v>3469</v>
      </c>
      <c r="H710" s="2333"/>
      <c r="I710" s="2334"/>
      <c r="J710" s="2185"/>
      <c r="K710" s="2336"/>
      <c r="L710" s="2335"/>
      <c r="M710" s="1951"/>
      <c r="N710" s="1962"/>
      <c r="O710" s="1961">
        <v>1102</v>
      </c>
      <c r="P710" s="1951">
        <v>1153</v>
      </c>
      <c r="Q710" s="1960">
        <v>1206</v>
      </c>
    </row>
    <row r="711" spans="1:17" ht="12.75" customHeight="1">
      <c r="A711" s="2332" t="s">
        <v>3490</v>
      </c>
      <c r="B711" s="2185" t="s">
        <v>3586</v>
      </c>
      <c r="C711" s="2296" t="s">
        <v>3453</v>
      </c>
      <c r="D711" s="2296"/>
      <c r="E711" s="2333" t="s">
        <v>3456</v>
      </c>
      <c r="F711" s="2333" t="s">
        <v>3457</v>
      </c>
      <c r="G711" s="2185" t="s">
        <v>3458</v>
      </c>
      <c r="H711" s="2333"/>
      <c r="I711" s="2334"/>
      <c r="J711" s="2185"/>
      <c r="K711" s="2336"/>
      <c r="L711" s="2335"/>
      <c r="M711" s="1951"/>
      <c r="N711" s="1962"/>
      <c r="O711" s="1961">
        <v>3500</v>
      </c>
      <c r="P711" s="1951">
        <v>3500</v>
      </c>
      <c r="Q711" s="1960">
        <v>3500</v>
      </c>
    </row>
    <row r="712" spans="1:17" ht="12.75" customHeight="1">
      <c r="A712" s="2332" t="s">
        <v>3487</v>
      </c>
      <c r="B712" s="2185" t="s">
        <v>3647</v>
      </c>
      <c r="C712" s="2296" t="s">
        <v>3453</v>
      </c>
      <c r="D712" s="2296"/>
      <c r="E712" s="2333" t="s">
        <v>3456</v>
      </c>
      <c r="F712" s="2333" t="s">
        <v>3457</v>
      </c>
      <c r="G712" s="2185" t="s">
        <v>3458</v>
      </c>
      <c r="H712" s="2333"/>
      <c r="I712" s="2334"/>
      <c r="J712" s="2185"/>
      <c r="K712" s="2336"/>
      <c r="L712" s="2335"/>
      <c r="M712" s="1951"/>
      <c r="N712" s="1962"/>
      <c r="O712" s="1961">
        <v>2670477</v>
      </c>
      <c r="P712" s="1951">
        <v>2793319</v>
      </c>
      <c r="Q712" s="1960">
        <v>2921812</v>
      </c>
    </row>
    <row r="713" spans="1:17" ht="12.75" customHeight="1">
      <c r="A713" s="2332" t="s">
        <v>3508</v>
      </c>
      <c r="B713" s="2185" t="s">
        <v>3555</v>
      </c>
      <c r="C713" s="2296" t="s">
        <v>3453</v>
      </c>
      <c r="D713" s="2296"/>
      <c r="E713" s="2333" t="s">
        <v>3467</v>
      </c>
      <c r="F713" s="2333" t="s">
        <v>3468</v>
      </c>
      <c r="G713" s="2185" t="s">
        <v>3469</v>
      </c>
      <c r="H713" s="2333"/>
      <c r="I713" s="2334"/>
      <c r="J713" s="2185"/>
      <c r="K713" s="2336"/>
      <c r="L713" s="2335"/>
      <c r="M713" s="1951"/>
      <c r="N713" s="1962"/>
      <c r="O713" s="1961">
        <v>20000</v>
      </c>
      <c r="P713" s="1951">
        <v>20920</v>
      </c>
      <c r="Q713" s="1960">
        <v>21883</v>
      </c>
    </row>
    <row r="714" spans="1:17" ht="12.75" customHeight="1">
      <c r="A714" s="2332" t="s">
        <v>3533</v>
      </c>
      <c r="B714" s="2185" t="s">
        <v>3534</v>
      </c>
      <c r="C714" s="2296" t="s">
        <v>3453</v>
      </c>
      <c r="D714" s="2296"/>
      <c r="E714" s="2333" t="s">
        <v>3467</v>
      </c>
      <c r="F714" s="2333" t="s">
        <v>3468</v>
      </c>
      <c r="G714" s="2185" t="s">
        <v>3469</v>
      </c>
      <c r="H714" s="2333"/>
      <c r="I714" s="2334"/>
      <c r="J714" s="2185"/>
      <c r="K714" s="2336"/>
      <c r="L714" s="2335"/>
      <c r="M714" s="1951"/>
      <c r="N714" s="1962"/>
      <c r="O714" s="1961">
        <v>57670</v>
      </c>
      <c r="P714" s="1951">
        <v>60323</v>
      </c>
      <c r="Q714" s="1960">
        <v>63098</v>
      </c>
    </row>
    <row r="715" spans="1:17" ht="12.75" customHeight="1">
      <c r="A715" s="2332" t="s">
        <v>3490</v>
      </c>
      <c r="B715" s="2185" t="s">
        <v>3792</v>
      </c>
      <c r="C715" s="2296" t="s">
        <v>3453</v>
      </c>
      <c r="D715" s="2296"/>
      <c r="E715" s="2333" t="s">
        <v>3467</v>
      </c>
      <c r="F715" s="2333" t="s">
        <v>3468</v>
      </c>
      <c r="G715" s="2185" t="s">
        <v>3475</v>
      </c>
      <c r="H715" s="2333"/>
      <c r="I715" s="2334"/>
      <c r="J715" s="2185"/>
      <c r="K715" s="2336"/>
      <c r="L715" s="2335"/>
      <c r="M715" s="1951"/>
      <c r="N715" s="1962"/>
      <c r="O715" s="1961">
        <v>307500000</v>
      </c>
      <c r="P715" s="1951">
        <v>321645000</v>
      </c>
      <c r="Q715" s="1960">
        <v>336440670</v>
      </c>
    </row>
    <row r="716" spans="1:17" ht="12.75" customHeight="1">
      <c r="A716" s="2332" t="s">
        <v>3459</v>
      </c>
      <c r="B716" s="2185" t="s">
        <v>3793</v>
      </c>
      <c r="C716" s="2296" t="s">
        <v>3453</v>
      </c>
      <c r="D716" s="2296"/>
      <c r="E716" s="2333" t="s">
        <v>3456</v>
      </c>
      <c r="F716" s="2333" t="s">
        <v>3457</v>
      </c>
      <c r="G716" s="2185" t="s">
        <v>3458</v>
      </c>
      <c r="H716" s="2333"/>
      <c r="I716" s="2334"/>
      <c r="J716" s="2185"/>
      <c r="K716" s="2336"/>
      <c r="L716" s="2335"/>
      <c r="M716" s="1951"/>
      <c r="N716" s="1962"/>
      <c r="O716" s="1961">
        <v>3700000</v>
      </c>
      <c r="P716" s="1951">
        <v>3870200</v>
      </c>
      <c r="Q716" s="1960">
        <v>4048230</v>
      </c>
    </row>
    <row r="717" spans="1:17" ht="12.75" customHeight="1">
      <c r="A717" s="2332" t="s">
        <v>3454</v>
      </c>
      <c r="B717" s="2185" t="s">
        <v>3512</v>
      </c>
      <c r="C717" s="2296" t="s">
        <v>3453</v>
      </c>
      <c r="D717" s="2296"/>
      <c r="E717" s="2333" t="s">
        <v>3467</v>
      </c>
      <c r="F717" s="2333" t="s">
        <v>3468</v>
      </c>
      <c r="G717" s="2185" t="s">
        <v>3469</v>
      </c>
      <c r="H717" s="2333"/>
      <c r="I717" s="2334"/>
      <c r="J717" s="2185"/>
      <c r="K717" s="2336"/>
      <c r="L717" s="2335"/>
      <c r="M717" s="1951"/>
      <c r="N717" s="1962"/>
      <c r="O717" s="1961">
        <v>0</v>
      </c>
      <c r="P717" s="1951">
        <v>0</v>
      </c>
      <c r="Q717" s="1960">
        <v>0</v>
      </c>
    </row>
    <row r="718" spans="1:17" ht="12.75" customHeight="1">
      <c r="A718" s="2332" t="s">
        <v>3459</v>
      </c>
      <c r="B718" s="2185" t="s">
        <v>3619</v>
      </c>
      <c r="C718" s="2296" t="s">
        <v>3453</v>
      </c>
      <c r="D718" s="2296"/>
      <c r="E718" s="2333" t="s">
        <v>3456</v>
      </c>
      <c r="F718" s="2333" t="s">
        <v>3457</v>
      </c>
      <c r="G718" s="2185" t="s">
        <v>3461</v>
      </c>
      <c r="H718" s="2333"/>
      <c r="I718" s="2334"/>
      <c r="J718" s="2185"/>
      <c r="K718" s="2336"/>
      <c r="L718" s="2335"/>
      <c r="M718" s="1951"/>
      <c r="N718" s="1962"/>
      <c r="O718" s="1961">
        <v>0</v>
      </c>
      <c r="P718" s="1951">
        <v>0</v>
      </c>
      <c r="Q718" s="1960">
        <v>0</v>
      </c>
    </row>
    <row r="719" spans="1:17" ht="12.75" customHeight="1">
      <c r="A719" s="2332" t="s">
        <v>3506</v>
      </c>
      <c r="B719" s="2185" t="s">
        <v>3794</v>
      </c>
      <c r="C719" s="2296" t="s">
        <v>3795</v>
      </c>
      <c r="D719" s="2296"/>
      <c r="E719" s="2333" t="s">
        <v>3467</v>
      </c>
      <c r="F719" s="2333" t="s">
        <v>3468</v>
      </c>
      <c r="G719" s="2185" t="s">
        <v>3469</v>
      </c>
      <c r="H719" s="2333"/>
      <c r="I719" s="2334"/>
      <c r="J719" s="2185"/>
      <c r="K719" s="2336"/>
      <c r="L719" s="2335"/>
      <c r="M719" s="1951"/>
      <c r="N719" s="1962"/>
      <c r="O719" s="1961">
        <v>186000</v>
      </c>
      <c r="P719" s="1951">
        <v>194556</v>
      </c>
      <c r="Q719" s="1960">
        <v>203506</v>
      </c>
    </row>
    <row r="720" spans="1:17" ht="12.75" customHeight="1">
      <c r="A720" s="2332" t="s">
        <v>3459</v>
      </c>
      <c r="B720" s="2185" t="s">
        <v>3680</v>
      </c>
      <c r="C720" s="2296" t="s">
        <v>3453</v>
      </c>
      <c r="D720" s="2296"/>
      <c r="E720" s="2333" t="s">
        <v>3467</v>
      </c>
      <c r="F720" s="2333" t="s">
        <v>3468</v>
      </c>
      <c r="G720" s="2185" t="s">
        <v>2676</v>
      </c>
      <c r="H720" s="2333"/>
      <c r="I720" s="2334"/>
      <c r="J720" s="2185"/>
      <c r="K720" s="2336"/>
      <c r="L720" s="2335"/>
      <c r="M720" s="1951"/>
      <c r="N720" s="1962"/>
      <c r="O720" s="1961">
        <v>32130</v>
      </c>
      <c r="P720" s="1951">
        <v>33608</v>
      </c>
      <c r="Q720" s="1960">
        <v>35154</v>
      </c>
    </row>
    <row r="721" spans="1:17" ht="12.75" customHeight="1">
      <c r="A721" s="2332" t="s">
        <v>3454</v>
      </c>
      <c r="B721" s="2185" t="s">
        <v>3675</v>
      </c>
      <c r="C721" s="2296" t="s">
        <v>3453</v>
      </c>
      <c r="D721" s="2296"/>
      <c r="E721" s="2333" t="s">
        <v>3525</v>
      </c>
      <c r="F721" s="2333" t="s">
        <v>3457</v>
      </c>
      <c r="G721" s="2185" t="s">
        <v>3526</v>
      </c>
      <c r="H721" s="2333"/>
      <c r="I721" s="2334"/>
      <c r="J721" s="2185"/>
      <c r="K721" s="2336"/>
      <c r="L721" s="2335"/>
      <c r="M721" s="1951"/>
      <c r="N721" s="1962"/>
      <c r="O721" s="1961">
        <v>48000</v>
      </c>
      <c r="P721" s="1951">
        <v>50208</v>
      </c>
      <c r="Q721" s="1960">
        <v>52518</v>
      </c>
    </row>
    <row r="722" spans="1:17" ht="12.75" customHeight="1">
      <c r="A722" s="2332" t="s">
        <v>3558</v>
      </c>
      <c r="B722" s="2185" t="s">
        <v>3559</v>
      </c>
      <c r="C722" s="2296" t="s">
        <v>3453</v>
      </c>
      <c r="D722" s="2296"/>
      <c r="E722" s="2333" t="s">
        <v>3456</v>
      </c>
      <c r="F722" s="2333" t="s">
        <v>3457</v>
      </c>
      <c r="G722" s="2185" t="s">
        <v>3458</v>
      </c>
      <c r="H722" s="2333"/>
      <c r="I722" s="2334"/>
      <c r="J722" s="2185"/>
      <c r="K722" s="2336"/>
      <c r="L722" s="2335"/>
      <c r="M722" s="1951"/>
      <c r="N722" s="1962"/>
      <c r="O722" s="1961">
        <v>110</v>
      </c>
      <c r="P722" s="1951">
        <v>116</v>
      </c>
      <c r="Q722" s="1960">
        <v>121</v>
      </c>
    </row>
    <row r="723" spans="1:17" ht="12.75" customHeight="1">
      <c r="A723" s="2332" t="s">
        <v>3454</v>
      </c>
      <c r="B723" s="2185" t="s">
        <v>3796</v>
      </c>
      <c r="C723" s="2296" t="s">
        <v>3453</v>
      </c>
      <c r="D723" s="2296"/>
      <c r="E723" s="2333" t="s">
        <v>3456</v>
      </c>
      <c r="F723" s="2333" t="s">
        <v>3457</v>
      </c>
      <c r="G723" s="2185" t="s">
        <v>3458</v>
      </c>
      <c r="H723" s="2333"/>
      <c r="I723" s="2334"/>
      <c r="J723" s="2185"/>
      <c r="K723" s="2336"/>
      <c r="L723" s="2335"/>
      <c r="M723" s="1951"/>
      <c r="N723" s="1962"/>
      <c r="O723" s="1961">
        <v>25000</v>
      </c>
      <c r="P723" s="1951">
        <v>26150</v>
      </c>
      <c r="Q723" s="1960">
        <v>27353</v>
      </c>
    </row>
    <row r="724" spans="1:17" ht="12.75" customHeight="1">
      <c r="A724" s="2332" t="s">
        <v>3485</v>
      </c>
      <c r="B724" s="2185" t="s">
        <v>3505</v>
      </c>
      <c r="C724" s="2296" t="s">
        <v>3453</v>
      </c>
      <c r="D724" s="2296"/>
      <c r="E724" s="2333" t="s">
        <v>3467</v>
      </c>
      <c r="F724" s="2333" t="s">
        <v>3468</v>
      </c>
      <c r="G724" s="2185" t="s">
        <v>3469</v>
      </c>
      <c r="H724" s="2333"/>
      <c r="I724" s="2334"/>
      <c r="J724" s="2185"/>
      <c r="K724" s="2336"/>
      <c r="L724" s="2335"/>
      <c r="M724" s="1951"/>
      <c r="N724" s="1962"/>
      <c r="O724" s="1961">
        <v>41575</v>
      </c>
      <c r="P724" s="1951">
        <v>43488</v>
      </c>
      <c r="Q724" s="1960">
        <v>45488</v>
      </c>
    </row>
    <row r="725" spans="1:17" ht="12.75" customHeight="1">
      <c r="A725" s="2332" t="s">
        <v>3454</v>
      </c>
      <c r="B725" s="2185" t="s">
        <v>3545</v>
      </c>
      <c r="C725" s="2296" t="s">
        <v>3453</v>
      </c>
      <c r="D725" s="2296"/>
      <c r="E725" s="2333" t="s">
        <v>3467</v>
      </c>
      <c r="F725" s="2333" t="s">
        <v>3468</v>
      </c>
      <c r="G725" s="2185" t="s">
        <v>3469</v>
      </c>
      <c r="H725" s="2333"/>
      <c r="I725" s="2334"/>
      <c r="J725" s="2185"/>
      <c r="K725" s="2336"/>
      <c r="L725" s="2335"/>
      <c r="M725" s="1951"/>
      <c r="N725" s="1962"/>
      <c r="O725" s="1961">
        <v>0</v>
      </c>
      <c r="P725" s="1951">
        <v>0</v>
      </c>
      <c r="Q725" s="1960">
        <v>0</v>
      </c>
    </row>
    <row r="726" spans="1:17" ht="12.75" customHeight="1">
      <c r="A726" s="2332" t="s">
        <v>3490</v>
      </c>
      <c r="B726" s="2185" t="s">
        <v>3586</v>
      </c>
      <c r="C726" s="2296" t="s">
        <v>3453</v>
      </c>
      <c r="D726" s="2296"/>
      <c r="E726" s="2333" t="s">
        <v>3456</v>
      </c>
      <c r="F726" s="2333" t="s">
        <v>3457</v>
      </c>
      <c r="G726" s="2185" t="s">
        <v>3461</v>
      </c>
      <c r="H726" s="2333"/>
      <c r="I726" s="2334"/>
      <c r="J726" s="2185"/>
      <c r="K726" s="2336"/>
      <c r="L726" s="2335"/>
      <c r="M726" s="1951"/>
      <c r="N726" s="1962"/>
      <c r="O726" s="1961">
        <v>0</v>
      </c>
      <c r="P726" s="1951">
        <v>0</v>
      </c>
      <c r="Q726" s="1960">
        <v>0</v>
      </c>
    </row>
    <row r="727" spans="1:17" ht="12.75" customHeight="1">
      <c r="A727" s="2332" t="s">
        <v>3483</v>
      </c>
      <c r="B727" s="2185" t="s">
        <v>3583</v>
      </c>
      <c r="C727" s="2296" t="s">
        <v>3453</v>
      </c>
      <c r="D727" s="2296"/>
      <c r="E727" s="2333" t="s">
        <v>3456</v>
      </c>
      <c r="F727" s="2333" t="s">
        <v>3457</v>
      </c>
      <c r="G727" s="2185" t="s">
        <v>3461</v>
      </c>
      <c r="H727" s="2333"/>
      <c r="I727" s="2334"/>
      <c r="J727" s="2185"/>
      <c r="K727" s="2336"/>
      <c r="L727" s="2335"/>
      <c r="M727" s="1951"/>
      <c r="N727" s="1962"/>
      <c r="O727" s="1961">
        <v>1127980</v>
      </c>
      <c r="P727" s="1951">
        <v>1179868</v>
      </c>
      <c r="Q727" s="1960">
        <v>1234141</v>
      </c>
    </row>
    <row r="728" spans="1:17" ht="12.75" customHeight="1">
      <c r="A728" s="2332" t="s">
        <v>3531</v>
      </c>
      <c r="B728" s="2185" t="s">
        <v>3532</v>
      </c>
      <c r="C728" s="2296" t="s">
        <v>3453</v>
      </c>
      <c r="D728" s="2296"/>
      <c r="E728" s="2333" t="s">
        <v>3467</v>
      </c>
      <c r="F728" s="2333" t="s">
        <v>3468</v>
      </c>
      <c r="G728" s="2185" t="s">
        <v>3469</v>
      </c>
      <c r="H728" s="2333"/>
      <c r="I728" s="2334"/>
      <c r="J728" s="2185"/>
      <c r="K728" s="2336"/>
      <c r="L728" s="2335"/>
      <c r="M728" s="1951"/>
      <c r="N728" s="1962"/>
      <c r="O728" s="1961">
        <v>0</v>
      </c>
      <c r="P728" s="1951">
        <v>0</v>
      </c>
      <c r="Q728" s="1960">
        <v>0</v>
      </c>
    </row>
    <row r="729" spans="1:17" ht="12.75" customHeight="1">
      <c r="A729" s="2332" t="s">
        <v>3533</v>
      </c>
      <c r="B729" s="2185" t="s">
        <v>3534</v>
      </c>
      <c r="C729" s="2296" t="s">
        <v>3453</v>
      </c>
      <c r="D729" s="2296"/>
      <c r="E729" s="2333" t="s">
        <v>3467</v>
      </c>
      <c r="F729" s="2333" t="s">
        <v>3468</v>
      </c>
      <c r="G729" s="2185" t="s">
        <v>3469</v>
      </c>
      <c r="H729" s="2333"/>
      <c r="I729" s="2334"/>
      <c r="J729" s="2185"/>
      <c r="K729" s="2336"/>
      <c r="L729" s="2335"/>
      <c r="M729" s="1951"/>
      <c r="N729" s="1962"/>
      <c r="O729" s="1961">
        <v>0</v>
      </c>
      <c r="P729" s="1951">
        <v>0</v>
      </c>
      <c r="Q729" s="1960">
        <v>0</v>
      </c>
    </row>
    <row r="730" spans="1:17" ht="12.75" customHeight="1">
      <c r="A730" s="2332" t="s">
        <v>3501</v>
      </c>
      <c r="B730" s="2185" t="s">
        <v>3553</v>
      </c>
      <c r="C730" s="2296" t="s">
        <v>3453</v>
      </c>
      <c r="D730" s="2296"/>
      <c r="E730" s="2333" t="s">
        <v>3467</v>
      </c>
      <c r="F730" s="2333" t="s">
        <v>3468</v>
      </c>
      <c r="G730" s="2185" t="s">
        <v>3475</v>
      </c>
      <c r="H730" s="2333"/>
      <c r="I730" s="2334"/>
      <c r="J730" s="2185"/>
      <c r="K730" s="2336"/>
      <c r="L730" s="2335"/>
      <c r="M730" s="1951"/>
      <c r="N730" s="1962"/>
      <c r="O730" s="1961">
        <v>10724</v>
      </c>
      <c r="P730" s="1951">
        <v>11218</v>
      </c>
      <c r="Q730" s="1960">
        <v>11734</v>
      </c>
    </row>
    <row r="731" spans="1:17" ht="12.75" customHeight="1">
      <c r="A731" s="2332" t="s">
        <v>3464</v>
      </c>
      <c r="B731" s="2185" t="s">
        <v>3489</v>
      </c>
      <c r="C731" s="2296" t="s">
        <v>3453</v>
      </c>
      <c r="D731" s="2296"/>
      <c r="E731" s="2333" t="s">
        <v>3467</v>
      </c>
      <c r="F731" s="2333" t="s">
        <v>3468</v>
      </c>
      <c r="G731" s="2185" t="s">
        <v>3469</v>
      </c>
      <c r="H731" s="2333"/>
      <c r="I731" s="2334"/>
      <c r="J731" s="2185"/>
      <c r="K731" s="2336"/>
      <c r="L731" s="2335"/>
      <c r="M731" s="1951"/>
      <c r="N731" s="1962"/>
      <c r="O731" s="1961">
        <v>5734</v>
      </c>
      <c r="P731" s="1951">
        <v>5998</v>
      </c>
      <c r="Q731" s="1960">
        <v>6274</v>
      </c>
    </row>
    <row r="732" spans="1:17" ht="12.75" customHeight="1">
      <c r="A732" s="2332" t="s">
        <v>3479</v>
      </c>
      <c r="B732" s="2185" t="s">
        <v>3516</v>
      </c>
      <c r="C732" s="2296" t="s">
        <v>3453</v>
      </c>
      <c r="D732" s="2296"/>
      <c r="E732" s="2333" t="s">
        <v>3456</v>
      </c>
      <c r="F732" s="2333" t="s">
        <v>3457</v>
      </c>
      <c r="G732" s="2185" t="s">
        <v>3461</v>
      </c>
      <c r="H732" s="2333"/>
      <c r="I732" s="2334"/>
      <c r="J732" s="2185"/>
      <c r="K732" s="2336"/>
      <c r="L732" s="2335"/>
      <c r="M732" s="1951"/>
      <c r="N732" s="1962"/>
      <c r="O732" s="1961">
        <v>54732</v>
      </c>
      <c r="P732" s="1951">
        <v>57250</v>
      </c>
      <c r="Q732" s="1960">
        <v>59884</v>
      </c>
    </row>
    <row r="733" spans="1:17" ht="12.75" customHeight="1">
      <c r="A733" s="2332" t="s">
        <v>3459</v>
      </c>
      <c r="B733" s="2185" t="s">
        <v>3612</v>
      </c>
      <c r="C733" s="2296" t="s">
        <v>3453</v>
      </c>
      <c r="D733" s="2296"/>
      <c r="E733" s="2333" t="s">
        <v>3467</v>
      </c>
      <c r="F733" s="2333" t="s">
        <v>3468</v>
      </c>
      <c r="G733" s="2185" t="s">
        <v>2676</v>
      </c>
      <c r="H733" s="2333"/>
      <c r="I733" s="2334"/>
      <c r="J733" s="2185"/>
      <c r="K733" s="2336"/>
      <c r="L733" s="2335"/>
      <c r="M733" s="1951"/>
      <c r="N733" s="1962"/>
      <c r="O733" s="1961">
        <v>0</v>
      </c>
      <c r="P733" s="1951">
        <v>0</v>
      </c>
      <c r="Q733" s="1960">
        <v>0</v>
      </c>
    </row>
    <row r="734" spans="1:17" ht="12.75" customHeight="1">
      <c r="A734" s="2332" t="s">
        <v>3464</v>
      </c>
      <c r="B734" s="2185" t="s">
        <v>3556</v>
      </c>
      <c r="C734" s="2296" t="s">
        <v>3453</v>
      </c>
      <c r="D734" s="2296"/>
      <c r="E734" s="2333" t="s">
        <v>3513</v>
      </c>
      <c r="F734" s="2333" t="s">
        <v>3514</v>
      </c>
      <c r="G734" s="2185" t="s">
        <v>3515</v>
      </c>
      <c r="H734" s="2333"/>
      <c r="I734" s="2334"/>
      <c r="J734" s="2185"/>
      <c r="K734" s="2336"/>
      <c r="L734" s="2335"/>
      <c r="M734" s="1951"/>
      <c r="N734" s="1962"/>
      <c r="O734" s="1961">
        <v>246430</v>
      </c>
      <c r="P734" s="1951">
        <v>257766</v>
      </c>
      <c r="Q734" s="1960">
        <v>269624</v>
      </c>
    </row>
    <row r="735" spans="1:17" ht="12.75" customHeight="1">
      <c r="A735" s="2332" t="s">
        <v>3477</v>
      </c>
      <c r="B735" s="2185" t="s">
        <v>3478</v>
      </c>
      <c r="C735" s="2296" t="s">
        <v>3453</v>
      </c>
      <c r="D735" s="2296"/>
      <c r="E735" s="2333" t="s">
        <v>3467</v>
      </c>
      <c r="F735" s="2333" t="s">
        <v>3468</v>
      </c>
      <c r="G735" s="2185" t="s">
        <v>3475</v>
      </c>
      <c r="H735" s="2333"/>
      <c r="I735" s="2334"/>
      <c r="J735" s="2185"/>
      <c r="K735" s="2336"/>
      <c r="L735" s="2335"/>
      <c r="M735" s="1951"/>
      <c r="N735" s="1962"/>
      <c r="O735" s="1961">
        <v>19278</v>
      </c>
      <c r="P735" s="1951">
        <v>20165</v>
      </c>
      <c r="Q735" s="1960">
        <v>21093</v>
      </c>
    </row>
    <row r="736" spans="1:17" ht="12.75" customHeight="1">
      <c r="A736" s="2332" t="s">
        <v>3485</v>
      </c>
      <c r="B736" s="2185" t="s">
        <v>3486</v>
      </c>
      <c r="C736" s="2296" t="s">
        <v>3453</v>
      </c>
      <c r="D736" s="2296"/>
      <c r="E736" s="2333" t="s">
        <v>3456</v>
      </c>
      <c r="F736" s="2333" t="s">
        <v>3457</v>
      </c>
      <c r="G736" s="2185" t="s">
        <v>3458</v>
      </c>
      <c r="H736" s="2333"/>
      <c r="I736" s="2334"/>
      <c r="J736" s="2185"/>
      <c r="K736" s="2336"/>
      <c r="L736" s="2335"/>
      <c r="M736" s="1951"/>
      <c r="N736" s="1962"/>
      <c r="O736" s="1961">
        <v>592427</v>
      </c>
      <c r="P736" s="1951">
        <v>619679</v>
      </c>
      <c r="Q736" s="1960">
        <v>648184</v>
      </c>
    </row>
    <row r="737" spans="1:17" ht="12.75" customHeight="1">
      <c r="A737" s="2332" t="s">
        <v>3454</v>
      </c>
      <c r="B737" s="2185" t="s">
        <v>3545</v>
      </c>
      <c r="C737" s="2296" t="s">
        <v>3453</v>
      </c>
      <c r="D737" s="2296"/>
      <c r="E737" s="2333" t="s">
        <v>3467</v>
      </c>
      <c r="F737" s="2333" t="s">
        <v>3468</v>
      </c>
      <c r="G737" s="2185" t="s">
        <v>3469</v>
      </c>
      <c r="H737" s="2333"/>
      <c r="I737" s="2334"/>
      <c r="J737" s="2185"/>
      <c r="K737" s="2336"/>
      <c r="L737" s="2335"/>
      <c r="M737" s="1951"/>
      <c r="N737" s="1962"/>
      <c r="O737" s="1961">
        <v>0</v>
      </c>
      <c r="P737" s="1951">
        <v>0</v>
      </c>
      <c r="Q737" s="1960">
        <v>0</v>
      </c>
    </row>
    <row r="738" spans="1:17" ht="12.75" customHeight="1">
      <c r="A738" s="2332" t="s">
        <v>3506</v>
      </c>
      <c r="B738" s="2185" t="s">
        <v>3507</v>
      </c>
      <c r="C738" s="2296" t="s">
        <v>3453</v>
      </c>
      <c r="D738" s="2296"/>
      <c r="E738" s="2333" t="s">
        <v>3467</v>
      </c>
      <c r="F738" s="2333" t="s">
        <v>3468</v>
      </c>
      <c r="G738" s="2185" t="s">
        <v>3469</v>
      </c>
      <c r="H738" s="2333"/>
      <c r="I738" s="2334"/>
      <c r="J738" s="2185"/>
      <c r="K738" s="2336"/>
      <c r="L738" s="2335"/>
      <c r="M738" s="1951"/>
      <c r="N738" s="1962"/>
      <c r="O738" s="1961">
        <v>2644</v>
      </c>
      <c r="P738" s="1951">
        <v>2766</v>
      </c>
      <c r="Q738" s="1960">
        <v>2893</v>
      </c>
    </row>
    <row r="739" spans="1:17" ht="12.75" customHeight="1">
      <c r="A739" s="2332" t="s">
        <v>3520</v>
      </c>
      <c r="B739" s="2185" t="s">
        <v>3668</v>
      </c>
      <c r="C739" s="2296" t="s">
        <v>3453</v>
      </c>
      <c r="D739" s="2296"/>
      <c r="E739" s="2333" t="s">
        <v>3456</v>
      </c>
      <c r="F739" s="2333" t="s">
        <v>3457</v>
      </c>
      <c r="G739" s="2185" t="s">
        <v>3458</v>
      </c>
      <c r="H739" s="2333"/>
      <c r="I739" s="2334"/>
      <c r="J739" s="2185"/>
      <c r="K739" s="2336"/>
      <c r="L739" s="2335"/>
      <c r="M739" s="1951"/>
      <c r="N739" s="1962"/>
      <c r="O739" s="1961">
        <v>0</v>
      </c>
      <c r="P739" s="1951">
        <v>0</v>
      </c>
      <c r="Q739" s="1960">
        <v>0</v>
      </c>
    </row>
    <row r="740" spans="1:17" ht="12.75" customHeight="1">
      <c r="A740" s="2332" t="s">
        <v>3459</v>
      </c>
      <c r="B740" s="2185" t="s">
        <v>3797</v>
      </c>
      <c r="C740" s="2296" t="s">
        <v>3453</v>
      </c>
      <c r="D740" s="2296"/>
      <c r="E740" s="2333" t="s">
        <v>3456</v>
      </c>
      <c r="F740" s="2333" t="s">
        <v>3457</v>
      </c>
      <c r="G740" s="2185" t="s">
        <v>3458</v>
      </c>
      <c r="H740" s="2333"/>
      <c r="I740" s="2334"/>
      <c r="J740" s="2185"/>
      <c r="K740" s="2336"/>
      <c r="L740" s="2335"/>
      <c r="M740" s="1951"/>
      <c r="N740" s="1962"/>
      <c r="O740" s="1961">
        <v>10324</v>
      </c>
      <c r="P740" s="1951">
        <v>10799</v>
      </c>
      <c r="Q740" s="1960">
        <v>11296</v>
      </c>
    </row>
    <row r="741" spans="1:17" ht="12.75" customHeight="1">
      <c r="A741" s="2332" t="s">
        <v>3531</v>
      </c>
      <c r="B741" s="2185" t="s">
        <v>3532</v>
      </c>
      <c r="C741" s="2296" t="s">
        <v>3453</v>
      </c>
      <c r="D741" s="2296"/>
      <c r="E741" s="2333" t="s">
        <v>3456</v>
      </c>
      <c r="F741" s="2333" t="s">
        <v>3457</v>
      </c>
      <c r="G741" s="2185" t="s">
        <v>3458</v>
      </c>
      <c r="H741" s="2333"/>
      <c r="I741" s="2334"/>
      <c r="J741" s="2185"/>
      <c r="K741" s="2336"/>
      <c r="L741" s="2335"/>
      <c r="M741" s="1951"/>
      <c r="N741" s="1962"/>
      <c r="O741" s="1961">
        <v>0</v>
      </c>
      <c r="P741" s="1951">
        <v>0</v>
      </c>
      <c r="Q741" s="1960">
        <v>0</v>
      </c>
    </row>
    <row r="742" spans="1:17" ht="12.75" customHeight="1">
      <c r="A742" s="2332" t="s">
        <v>3510</v>
      </c>
      <c r="B742" s="2185" t="s">
        <v>3511</v>
      </c>
      <c r="C742" s="2296" t="s">
        <v>3453</v>
      </c>
      <c r="D742" s="2296"/>
      <c r="E742" s="2333" t="s">
        <v>3467</v>
      </c>
      <c r="F742" s="2333" t="s">
        <v>3468</v>
      </c>
      <c r="G742" s="2185" t="s">
        <v>2676</v>
      </c>
      <c r="H742" s="2333"/>
      <c r="I742" s="2334"/>
      <c r="J742" s="2185"/>
      <c r="K742" s="2336"/>
      <c r="L742" s="2335"/>
      <c r="M742" s="1951"/>
      <c r="N742" s="1962"/>
      <c r="O742" s="1961">
        <v>2366</v>
      </c>
      <c r="P742" s="1951">
        <v>2475</v>
      </c>
      <c r="Q742" s="1960">
        <v>2589</v>
      </c>
    </row>
    <row r="743" spans="1:17" ht="12.75" customHeight="1">
      <c r="A743" s="2332" t="s">
        <v>3520</v>
      </c>
      <c r="B743" s="2185" t="s">
        <v>3603</v>
      </c>
      <c r="C743" s="2296" t="s">
        <v>3453</v>
      </c>
      <c r="D743" s="2296"/>
      <c r="E743" s="2333" t="s">
        <v>3456</v>
      </c>
      <c r="F743" s="2333" t="s">
        <v>3457</v>
      </c>
      <c r="G743" s="2185" t="s">
        <v>3458</v>
      </c>
      <c r="H743" s="2333"/>
      <c r="I743" s="2334"/>
      <c r="J743" s="2185"/>
      <c r="K743" s="2336"/>
      <c r="L743" s="2335"/>
      <c r="M743" s="1951"/>
      <c r="N743" s="1962"/>
      <c r="O743" s="1961">
        <v>0</v>
      </c>
      <c r="P743" s="1951">
        <v>0</v>
      </c>
      <c r="Q743" s="1960">
        <v>1</v>
      </c>
    </row>
    <row r="744" spans="1:17" ht="12.75" customHeight="1">
      <c r="A744" s="2332" t="s">
        <v>3490</v>
      </c>
      <c r="B744" s="2185" t="s">
        <v>3798</v>
      </c>
      <c r="C744" s="2296" t="s">
        <v>3615</v>
      </c>
      <c r="D744" s="2296"/>
      <c r="E744" s="2333" t="s">
        <v>3467</v>
      </c>
      <c r="F744" s="2333" t="s">
        <v>3468</v>
      </c>
      <c r="G744" s="2185" t="s">
        <v>3469</v>
      </c>
      <c r="H744" s="2333"/>
      <c r="I744" s="2334"/>
      <c r="J744" s="2185"/>
      <c r="K744" s="2336"/>
      <c r="L744" s="2335"/>
      <c r="M744" s="1951"/>
      <c r="N744" s="1962"/>
      <c r="O744" s="1961">
        <v>0</v>
      </c>
      <c r="P744" s="1951">
        <v>0</v>
      </c>
      <c r="Q744" s="1960">
        <v>1</v>
      </c>
    </row>
    <row r="745" spans="1:17" ht="12.75" customHeight="1">
      <c r="A745" s="2332" t="s">
        <v>3464</v>
      </c>
      <c r="B745" s="2185" t="s">
        <v>3639</v>
      </c>
      <c r="C745" s="2296" t="s">
        <v>3453</v>
      </c>
      <c r="D745" s="2296"/>
      <c r="E745" s="2333" t="s">
        <v>3456</v>
      </c>
      <c r="F745" s="2333" t="s">
        <v>3457</v>
      </c>
      <c r="G745" s="2185" t="s">
        <v>3461</v>
      </c>
      <c r="H745" s="2333"/>
      <c r="I745" s="2334"/>
      <c r="J745" s="2185"/>
      <c r="K745" s="2336"/>
      <c r="L745" s="2335"/>
      <c r="M745" s="1951"/>
      <c r="N745" s="1962"/>
      <c r="O745" s="1961">
        <v>129319</v>
      </c>
      <c r="P745" s="1951">
        <v>135268</v>
      </c>
      <c r="Q745" s="1960">
        <v>141490</v>
      </c>
    </row>
    <row r="746" spans="1:17" ht="12.75" customHeight="1">
      <c r="A746" s="2332" t="s">
        <v>3533</v>
      </c>
      <c r="B746" s="2185" t="s">
        <v>3534</v>
      </c>
      <c r="C746" s="2296" t="s">
        <v>3453</v>
      </c>
      <c r="D746" s="2296"/>
      <c r="E746" s="2333" t="s">
        <v>3467</v>
      </c>
      <c r="F746" s="2333" t="s">
        <v>3468</v>
      </c>
      <c r="G746" s="2185" t="s">
        <v>3469</v>
      </c>
      <c r="H746" s="2333"/>
      <c r="I746" s="2334"/>
      <c r="J746" s="2185"/>
      <c r="K746" s="2336"/>
      <c r="L746" s="2335"/>
      <c r="M746" s="1951"/>
      <c r="N746" s="1962"/>
      <c r="O746" s="1961">
        <v>2000</v>
      </c>
      <c r="P746" s="1951">
        <v>2000</v>
      </c>
      <c r="Q746" s="1960">
        <v>2000</v>
      </c>
    </row>
    <row r="747" spans="1:17" ht="12.75" customHeight="1">
      <c r="A747" s="2332" t="s">
        <v>3584</v>
      </c>
      <c r="B747" s="2185" t="s">
        <v>3799</v>
      </c>
      <c r="C747" s="2296" t="s">
        <v>3453</v>
      </c>
      <c r="D747" s="2296"/>
      <c r="E747" s="2333" t="s">
        <v>3467</v>
      </c>
      <c r="F747" s="2333" t="s">
        <v>3468</v>
      </c>
      <c r="G747" s="2185" t="s">
        <v>3469</v>
      </c>
      <c r="H747" s="2333"/>
      <c r="I747" s="2334"/>
      <c r="J747" s="2185"/>
      <c r="K747" s="2336"/>
      <c r="L747" s="2335"/>
      <c r="M747" s="1951"/>
      <c r="N747" s="1962"/>
      <c r="O747" s="1961">
        <v>14732</v>
      </c>
      <c r="P747" s="1951">
        <v>15410</v>
      </c>
      <c r="Q747" s="1960">
        <v>16119</v>
      </c>
    </row>
    <row r="748" spans="1:17" ht="12.75" customHeight="1">
      <c r="A748" s="2332" t="s">
        <v>3459</v>
      </c>
      <c r="B748" s="2185" t="s">
        <v>3498</v>
      </c>
      <c r="C748" s="2296" t="s">
        <v>3453</v>
      </c>
      <c r="D748" s="2296"/>
      <c r="E748" s="2333" t="s">
        <v>3456</v>
      </c>
      <c r="F748" s="2333" t="s">
        <v>3457</v>
      </c>
      <c r="G748" s="2185" t="s">
        <v>3461</v>
      </c>
      <c r="H748" s="2333"/>
      <c r="I748" s="2334"/>
      <c r="J748" s="2185"/>
      <c r="K748" s="2336"/>
      <c r="L748" s="2335"/>
      <c r="M748" s="1951"/>
      <c r="N748" s="1962"/>
      <c r="O748" s="1961">
        <v>215419</v>
      </c>
      <c r="P748" s="1951">
        <v>225329</v>
      </c>
      <c r="Q748" s="1960">
        <v>235694</v>
      </c>
    </row>
    <row r="749" spans="1:17" ht="12.75" customHeight="1">
      <c r="A749" s="2332" t="s">
        <v>3459</v>
      </c>
      <c r="B749" s="2185" t="s">
        <v>3612</v>
      </c>
      <c r="C749" s="2296" t="s">
        <v>3453</v>
      </c>
      <c r="D749" s="2296"/>
      <c r="E749" s="2333" t="s">
        <v>3456</v>
      </c>
      <c r="F749" s="2333" t="s">
        <v>3457</v>
      </c>
      <c r="G749" s="2185" t="s">
        <v>3461</v>
      </c>
      <c r="H749" s="2333"/>
      <c r="I749" s="2334"/>
      <c r="J749" s="2185"/>
      <c r="K749" s="2336"/>
      <c r="L749" s="2335"/>
      <c r="M749" s="1951"/>
      <c r="N749" s="1962"/>
      <c r="O749" s="1961">
        <v>0</v>
      </c>
      <c r="P749" s="1951">
        <v>0</v>
      </c>
      <c r="Q749" s="1960">
        <v>0</v>
      </c>
    </row>
    <row r="750" spans="1:17" ht="12.75" customHeight="1">
      <c r="A750" s="2332" t="s">
        <v>3473</v>
      </c>
      <c r="B750" s="2185" t="s">
        <v>3552</v>
      </c>
      <c r="C750" s="2296" t="s">
        <v>3453</v>
      </c>
      <c r="D750" s="2296"/>
      <c r="E750" s="2333" t="s">
        <v>3467</v>
      </c>
      <c r="F750" s="2333" t="s">
        <v>3468</v>
      </c>
      <c r="G750" s="2185" t="s">
        <v>3475</v>
      </c>
      <c r="H750" s="2333"/>
      <c r="I750" s="2334"/>
      <c r="J750" s="2185"/>
      <c r="K750" s="2336"/>
      <c r="L750" s="2335"/>
      <c r="M750" s="1951"/>
      <c r="N750" s="1962"/>
      <c r="O750" s="1961">
        <v>13751</v>
      </c>
      <c r="P750" s="1951">
        <v>14384</v>
      </c>
      <c r="Q750" s="1960">
        <v>15046</v>
      </c>
    </row>
    <row r="751" spans="1:17" ht="12.75" customHeight="1">
      <c r="A751" s="2332" t="s">
        <v>3470</v>
      </c>
      <c r="B751" s="2185" t="s">
        <v>3600</v>
      </c>
      <c r="C751" s="2296" t="s">
        <v>3453</v>
      </c>
      <c r="D751" s="2296"/>
      <c r="E751" s="2333" t="s">
        <v>3456</v>
      </c>
      <c r="F751" s="2333" t="s">
        <v>3457</v>
      </c>
      <c r="G751" s="2185" t="s">
        <v>3461</v>
      </c>
      <c r="H751" s="2333"/>
      <c r="I751" s="2334"/>
      <c r="J751" s="2185"/>
      <c r="K751" s="2336"/>
      <c r="L751" s="2335"/>
      <c r="M751" s="1951"/>
      <c r="N751" s="1962"/>
      <c r="O751" s="1961">
        <v>11</v>
      </c>
      <c r="P751" s="1951">
        <v>12</v>
      </c>
      <c r="Q751" s="1960">
        <v>13</v>
      </c>
    </row>
    <row r="752" spans="1:17" ht="12.75" customHeight="1">
      <c r="A752" s="2332" t="s">
        <v>3459</v>
      </c>
      <c r="B752" s="2185" t="s">
        <v>3669</v>
      </c>
      <c r="C752" s="2296" t="s">
        <v>3453</v>
      </c>
      <c r="D752" s="2296"/>
      <c r="E752" s="2333" t="s">
        <v>3456</v>
      </c>
      <c r="F752" s="2333" t="s">
        <v>3457</v>
      </c>
      <c r="G752" s="2185" t="s">
        <v>3461</v>
      </c>
      <c r="H752" s="2333"/>
      <c r="I752" s="2334"/>
      <c r="J752" s="2185"/>
      <c r="K752" s="2336"/>
      <c r="L752" s="2335"/>
      <c r="M752" s="1951"/>
      <c r="N752" s="1962"/>
      <c r="O752" s="1961">
        <v>177244</v>
      </c>
      <c r="P752" s="1951">
        <v>185398</v>
      </c>
      <c r="Q752" s="1960">
        <v>193926</v>
      </c>
    </row>
    <row r="753" spans="1:17" ht="12.75" customHeight="1">
      <c r="A753" s="2332" t="s">
        <v>3464</v>
      </c>
      <c r="B753" s="2185" t="s">
        <v>3800</v>
      </c>
      <c r="C753" s="2296" t="s">
        <v>3453</v>
      </c>
      <c r="D753" s="2296"/>
      <c r="E753" s="2333" t="s">
        <v>3467</v>
      </c>
      <c r="F753" s="2333" t="s">
        <v>3468</v>
      </c>
      <c r="G753" s="2185" t="s">
        <v>3469</v>
      </c>
      <c r="H753" s="2333"/>
      <c r="I753" s="2334"/>
      <c r="J753" s="2185"/>
      <c r="K753" s="2336"/>
      <c r="L753" s="2335"/>
      <c r="M753" s="1951"/>
      <c r="N753" s="1962"/>
      <c r="O753" s="1961">
        <v>500</v>
      </c>
      <c r="P753" s="1951">
        <v>523</v>
      </c>
      <c r="Q753" s="1960">
        <v>548</v>
      </c>
    </row>
    <row r="754" spans="1:17" ht="12.75" customHeight="1">
      <c r="A754" s="2332" t="s">
        <v>3479</v>
      </c>
      <c r="B754" s="2185" t="s">
        <v>3516</v>
      </c>
      <c r="C754" s="2296" t="s">
        <v>3453</v>
      </c>
      <c r="D754" s="2296"/>
      <c r="E754" s="2333" t="s">
        <v>3467</v>
      </c>
      <c r="F754" s="2333" t="s">
        <v>3468</v>
      </c>
      <c r="G754" s="2185" t="s">
        <v>3469</v>
      </c>
      <c r="H754" s="2333"/>
      <c r="I754" s="2334"/>
      <c r="J754" s="2185"/>
      <c r="K754" s="2336"/>
      <c r="L754" s="2335"/>
      <c r="M754" s="1951"/>
      <c r="N754" s="1962"/>
      <c r="O754" s="1961">
        <v>8093</v>
      </c>
      <c r="P754" s="1951">
        <v>8466</v>
      </c>
      <c r="Q754" s="1960">
        <v>8855</v>
      </c>
    </row>
    <row r="755" spans="1:17" ht="12.75" customHeight="1">
      <c r="A755" s="2332" t="s">
        <v>3459</v>
      </c>
      <c r="B755" s="2185" t="s">
        <v>3801</v>
      </c>
      <c r="C755" s="2296" t="s">
        <v>3453</v>
      </c>
      <c r="D755" s="2296"/>
      <c r="E755" s="2333" t="s">
        <v>3467</v>
      </c>
      <c r="F755" s="2333" t="s">
        <v>3468</v>
      </c>
      <c r="G755" s="2185" t="s">
        <v>3469</v>
      </c>
      <c r="H755" s="2333"/>
      <c r="I755" s="2334"/>
      <c r="J755" s="2185"/>
      <c r="K755" s="2336"/>
      <c r="L755" s="2335"/>
      <c r="M755" s="1951"/>
      <c r="N755" s="1962"/>
      <c r="O755" s="1961">
        <v>4000</v>
      </c>
      <c r="P755" s="1951">
        <v>4184</v>
      </c>
      <c r="Q755" s="1960">
        <v>4377</v>
      </c>
    </row>
    <row r="756" spans="1:17" ht="12.75" customHeight="1">
      <c r="A756" s="2332" t="s">
        <v>3533</v>
      </c>
      <c r="B756" s="2185" t="s">
        <v>3635</v>
      </c>
      <c r="C756" s="2296" t="s">
        <v>3453</v>
      </c>
      <c r="D756" s="2296"/>
      <c r="E756" s="2333" t="s">
        <v>3456</v>
      </c>
      <c r="F756" s="2333" t="s">
        <v>3457</v>
      </c>
      <c r="G756" s="2185" t="s">
        <v>3461</v>
      </c>
      <c r="H756" s="2333"/>
      <c r="I756" s="2334"/>
      <c r="J756" s="2185"/>
      <c r="K756" s="2336"/>
      <c r="L756" s="2335"/>
      <c r="M756" s="1951"/>
      <c r="N756" s="1962"/>
      <c r="O756" s="1961">
        <v>154917</v>
      </c>
      <c r="P756" s="1951">
        <v>162044</v>
      </c>
      <c r="Q756" s="1960">
        <v>169498</v>
      </c>
    </row>
    <row r="757" spans="1:17" ht="12.75" customHeight="1">
      <c r="A757" s="2332" t="s">
        <v>3454</v>
      </c>
      <c r="B757" s="2185" t="s">
        <v>3545</v>
      </c>
      <c r="C757" s="2296" t="s">
        <v>3453</v>
      </c>
      <c r="D757" s="2296"/>
      <c r="E757" s="2333" t="s">
        <v>3456</v>
      </c>
      <c r="F757" s="2333" t="s">
        <v>3457</v>
      </c>
      <c r="G757" s="2185" t="s">
        <v>3458</v>
      </c>
      <c r="H757" s="2333"/>
      <c r="I757" s="2334"/>
      <c r="J757" s="2185"/>
      <c r="K757" s="2336"/>
      <c r="L757" s="2335"/>
      <c r="M757" s="1951"/>
      <c r="N757" s="1962"/>
      <c r="O757" s="1961">
        <v>0</v>
      </c>
      <c r="P757" s="1951">
        <v>0</v>
      </c>
      <c r="Q757" s="1960">
        <v>0</v>
      </c>
    </row>
    <row r="758" spans="1:17" ht="12.75" customHeight="1">
      <c r="A758" s="2332" t="s">
        <v>3541</v>
      </c>
      <c r="B758" s="2185" t="s">
        <v>3542</v>
      </c>
      <c r="C758" s="2296" t="s">
        <v>3453</v>
      </c>
      <c r="D758" s="2296"/>
      <c r="E758" s="2333" t="s">
        <v>3456</v>
      </c>
      <c r="F758" s="2333" t="s">
        <v>3457</v>
      </c>
      <c r="G758" s="2185" t="s">
        <v>3461</v>
      </c>
      <c r="H758" s="2333"/>
      <c r="I758" s="2334"/>
      <c r="J758" s="2185"/>
      <c r="K758" s="2336"/>
      <c r="L758" s="2335"/>
      <c r="M758" s="1951"/>
      <c r="N758" s="1962"/>
      <c r="O758" s="1961">
        <v>0</v>
      </c>
      <c r="P758" s="1951">
        <v>0</v>
      </c>
      <c r="Q758" s="1960">
        <v>1</v>
      </c>
    </row>
    <row r="759" spans="1:17" ht="12.75" customHeight="1">
      <c r="A759" s="2332" t="s">
        <v>3487</v>
      </c>
      <c r="B759" s="2185" t="s">
        <v>3488</v>
      </c>
      <c r="C759" s="2296" t="s">
        <v>3453</v>
      </c>
      <c r="D759" s="2296"/>
      <c r="E759" s="2333" t="s">
        <v>3456</v>
      </c>
      <c r="F759" s="2333" t="s">
        <v>3457</v>
      </c>
      <c r="G759" s="2185" t="s">
        <v>3461</v>
      </c>
      <c r="H759" s="2333"/>
      <c r="I759" s="2334"/>
      <c r="J759" s="2185"/>
      <c r="K759" s="2336"/>
      <c r="L759" s="2335"/>
      <c r="M759" s="1951"/>
      <c r="N759" s="1962"/>
      <c r="O759" s="1961">
        <v>5915</v>
      </c>
      <c r="P759" s="1951">
        <v>6188</v>
      </c>
      <c r="Q759" s="1960">
        <v>6472</v>
      </c>
    </row>
    <row r="760" spans="1:17" ht="12.75" customHeight="1">
      <c r="A760" s="2332" t="s">
        <v>3454</v>
      </c>
      <c r="B760" s="2185" t="s">
        <v>3695</v>
      </c>
      <c r="C760" s="2296" t="s">
        <v>3453</v>
      </c>
      <c r="D760" s="2296"/>
      <c r="E760" s="2333" t="s">
        <v>3467</v>
      </c>
      <c r="F760" s="2333" t="s">
        <v>3468</v>
      </c>
      <c r="G760" s="2185" t="s">
        <v>3469</v>
      </c>
      <c r="H760" s="2333"/>
      <c r="I760" s="2334"/>
      <c r="J760" s="2185"/>
      <c r="K760" s="2336"/>
      <c r="L760" s="2335"/>
      <c r="M760" s="1951"/>
      <c r="N760" s="1962"/>
      <c r="O760" s="1961">
        <v>9557</v>
      </c>
      <c r="P760" s="1951">
        <v>9997</v>
      </c>
      <c r="Q760" s="1960">
        <v>10457</v>
      </c>
    </row>
    <row r="761" spans="1:17" ht="12.75" customHeight="1">
      <c r="A761" s="2332" t="s">
        <v>3523</v>
      </c>
      <c r="B761" s="2185" t="s">
        <v>3802</v>
      </c>
      <c r="C761" s="2296" t="s">
        <v>3492</v>
      </c>
      <c r="D761" s="2296"/>
      <c r="E761" s="2333" t="s">
        <v>3467</v>
      </c>
      <c r="F761" s="2333" t="s">
        <v>3468</v>
      </c>
      <c r="G761" s="2185" t="s">
        <v>3475</v>
      </c>
      <c r="H761" s="2333"/>
      <c r="I761" s="2334"/>
      <c r="J761" s="2185"/>
      <c r="K761" s="2336"/>
      <c r="L761" s="2335"/>
      <c r="M761" s="1951"/>
      <c r="N761" s="1962"/>
      <c r="O761" s="1961">
        <v>9500</v>
      </c>
      <c r="P761" s="1951">
        <v>9937</v>
      </c>
      <c r="Q761" s="1960">
        <v>10395</v>
      </c>
    </row>
    <row r="762" spans="1:17" ht="12.75" customHeight="1">
      <c r="A762" s="2332" t="s">
        <v>3483</v>
      </c>
      <c r="B762" s="2185" t="s">
        <v>3484</v>
      </c>
      <c r="C762" s="2296" t="s">
        <v>3453</v>
      </c>
      <c r="D762" s="2296"/>
      <c r="E762" s="2333" t="s">
        <v>3456</v>
      </c>
      <c r="F762" s="2333" t="s">
        <v>3457</v>
      </c>
      <c r="G762" s="2185" t="s">
        <v>3458</v>
      </c>
      <c r="H762" s="2333"/>
      <c r="I762" s="2334"/>
      <c r="J762" s="2185"/>
      <c r="K762" s="2336"/>
      <c r="L762" s="2335"/>
      <c r="M762" s="1951"/>
      <c r="N762" s="1962"/>
      <c r="O762" s="1961">
        <v>523730</v>
      </c>
      <c r="P762" s="1951">
        <v>547822</v>
      </c>
      <c r="Q762" s="1960">
        <v>573021</v>
      </c>
    </row>
    <row r="763" spans="1:17" ht="12.75" customHeight="1">
      <c r="A763" s="2332" t="s">
        <v>3490</v>
      </c>
      <c r="B763" s="2185" t="s">
        <v>3494</v>
      </c>
      <c r="C763" s="2296" t="s">
        <v>3453</v>
      </c>
      <c r="D763" s="2296"/>
      <c r="E763" s="2333" t="s">
        <v>3467</v>
      </c>
      <c r="F763" s="2333" t="s">
        <v>3468</v>
      </c>
      <c r="G763" s="2185" t="s">
        <v>3469</v>
      </c>
      <c r="H763" s="2333"/>
      <c r="I763" s="2334"/>
      <c r="J763" s="2185"/>
      <c r="K763" s="2336"/>
      <c r="L763" s="2335"/>
      <c r="M763" s="1951"/>
      <c r="N763" s="1962"/>
      <c r="O763" s="1961">
        <v>488718</v>
      </c>
      <c r="P763" s="1951">
        <v>511200</v>
      </c>
      <c r="Q763" s="1960">
        <v>534715</v>
      </c>
    </row>
    <row r="764" spans="1:17" ht="12.75" customHeight="1">
      <c r="A764" s="2332" t="s">
        <v>3459</v>
      </c>
      <c r="B764" s="2185" t="s">
        <v>3669</v>
      </c>
      <c r="C764" s="2296" t="s">
        <v>3453</v>
      </c>
      <c r="D764" s="2296"/>
      <c r="E764" s="2333" t="s">
        <v>3456</v>
      </c>
      <c r="F764" s="2333" t="s">
        <v>3457</v>
      </c>
      <c r="G764" s="2185" t="s">
        <v>3458</v>
      </c>
      <c r="H764" s="2333"/>
      <c r="I764" s="2334"/>
      <c r="J764" s="2185"/>
      <c r="K764" s="2336"/>
      <c r="L764" s="2335"/>
      <c r="M764" s="1951"/>
      <c r="N764" s="1962"/>
      <c r="O764" s="1961">
        <v>599</v>
      </c>
      <c r="P764" s="1951">
        <v>627</v>
      </c>
      <c r="Q764" s="1960">
        <v>656</v>
      </c>
    </row>
    <row r="765" spans="1:17" ht="12.75" customHeight="1">
      <c r="A765" s="2332" t="s">
        <v>3523</v>
      </c>
      <c r="B765" s="2185" t="s">
        <v>3803</v>
      </c>
      <c r="C765" s="2296" t="s">
        <v>3453</v>
      </c>
      <c r="D765" s="2296"/>
      <c r="E765" s="2333" t="s">
        <v>3467</v>
      </c>
      <c r="F765" s="2333" t="s">
        <v>3468</v>
      </c>
      <c r="G765" s="2185" t="s">
        <v>3469</v>
      </c>
      <c r="H765" s="2333"/>
      <c r="I765" s="2334"/>
      <c r="J765" s="2185"/>
      <c r="K765" s="2336"/>
      <c r="L765" s="2335"/>
      <c r="M765" s="1951"/>
      <c r="N765" s="1962"/>
      <c r="O765" s="1961">
        <v>214</v>
      </c>
      <c r="P765" s="1951">
        <v>224</v>
      </c>
      <c r="Q765" s="1960">
        <v>235</v>
      </c>
    </row>
    <row r="766" spans="1:17" ht="12.75" customHeight="1">
      <c r="A766" s="2332" t="s">
        <v>3543</v>
      </c>
      <c r="B766" s="2185" t="s">
        <v>3683</v>
      </c>
      <c r="C766" s="2296" t="s">
        <v>3453</v>
      </c>
      <c r="D766" s="2296"/>
      <c r="E766" s="2333" t="s">
        <v>3467</v>
      </c>
      <c r="F766" s="2333" t="s">
        <v>3468</v>
      </c>
      <c r="G766" s="2185" t="s">
        <v>2676</v>
      </c>
      <c r="H766" s="2333"/>
      <c r="I766" s="2334"/>
      <c r="J766" s="2185"/>
      <c r="K766" s="2336"/>
      <c r="L766" s="2335"/>
      <c r="M766" s="1951"/>
      <c r="N766" s="1962"/>
      <c r="O766" s="1961">
        <v>0</v>
      </c>
      <c r="P766" s="1951">
        <v>0</v>
      </c>
      <c r="Q766" s="1960">
        <v>0</v>
      </c>
    </row>
    <row r="767" spans="1:17" ht="12.75" customHeight="1">
      <c r="A767" s="2332" t="s">
        <v>3459</v>
      </c>
      <c r="B767" s="2185" t="s">
        <v>3649</v>
      </c>
      <c r="C767" s="2296" t="s">
        <v>3453</v>
      </c>
      <c r="D767" s="2296"/>
      <c r="E767" s="2333" t="s">
        <v>3467</v>
      </c>
      <c r="F767" s="2333" t="s">
        <v>3468</v>
      </c>
      <c r="G767" s="2185" t="s">
        <v>3469</v>
      </c>
      <c r="H767" s="2333"/>
      <c r="I767" s="2334"/>
      <c r="J767" s="2185"/>
      <c r="K767" s="2336"/>
      <c r="L767" s="2335"/>
      <c r="M767" s="1951"/>
      <c r="N767" s="1962"/>
      <c r="O767" s="1961">
        <v>0</v>
      </c>
      <c r="P767" s="1951">
        <v>0</v>
      </c>
      <c r="Q767" s="1960">
        <v>0</v>
      </c>
    </row>
    <row r="768" spans="1:17" ht="12.75" customHeight="1">
      <c r="A768" s="2332" t="s">
        <v>3479</v>
      </c>
      <c r="B768" s="2185" t="s">
        <v>3664</v>
      </c>
      <c r="C768" s="2296" t="s">
        <v>3453</v>
      </c>
      <c r="D768" s="2296"/>
      <c r="E768" s="2333" t="s">
        <v>3467</v>
      </c>
      <c r="F768" s="2333" t="s">
        <v>3468</v>
      </c>
      <c r="G768" s="2185" t="s">
        <v>3469</v>
      </c>
      <c r="H768" s="2333"/>
      <c r="I768" s="2334"/>
      <c r="J768" s="2185"/>
      <c r="K768" s="2336"/>
      <c r="L768" s="2335"/>
      <c r="M768" s="1951"/>
      <c r="N768" s="1962"/>
      <c r="O768" s="1961">
        <v>14969</v>
      </c>
      <c r="P768" s="1951">
        <v>15658</v>
      </c>
      <c r="Q768" s="1960">
        <v>16378</v>
      </c>
    </row>
    <row r="769" spans="1:17" ht="12.75" customHeight="1">
      <c r="A769" s="2332" t="s">
        <v>3477</v>
      </c>
      <c r="B769" s="2185" t="s">
        <v>3575</v>
      </c>
      <c r="C769" s="2296" t="s">
        <v>3453</v>
      </c>
      <c r="D769" s="2296"/>
      <c r="E769" s="2333" t="s">
        <v>3456</v>
      </c>
      <c r="F769" s="2333" t="s">
        <v>3457</v>
      </c>
      <c r="G769" s="2185" t="s">
        <v>3458</v>
      </c>
      <c r="H769" s="2333"/>
      <c r="I769" s="2334"/>
      <c r="J769" s="2185"/>
      <c r="K769" s="2336"/>
      <c r="L769" s="2335"/>
      <c r="M769" s="1951"/>
      <c r="N769" s="1962"/>
      <c r="O769" s="1961">
        <v>14064</v>
      </c>
      <c r="P769" s="1951">
        <v>14711</v>
      </c>
      <c r="Q769" s="1960">
        <v>15388</v>
      </c>
    </row>
    <row r="770" spans="1:17" ht="12.75" customHeight="1">
      <c r="A770" s="2332" t="s">
        <v>3464</v>
      </c>
      <c r="B770" s="2185" t="s">
        <v>3556</v>
      </c>
      <c r="C770" s="2296" t="s">
        <v>3453</v>
      </c>
      <c r="D770" s="2296"/>
      <c r="E770" s="2333" t="s">
        <v>3456</v>
      </c>
      <c r="F770" s="2333" t="s">
        <v>3457</v>
      </c>
      <c r="G770" s="2185" t="s">
        <v>3461</v>
      </c>
      <c r="H770" s="2333"/>
      <c r="I770" s="2334"/>
      <c r="J770" s="2185"/>
      <c r="K770" s="2336"/>
      <c r="L770" s="2335"/>
      <c r="M770" s="1951"/>
      <c r="N770" s="1962"/>
      <c r="O770" s="1961">
        <v>167432</v>
      </c>
      <c r="P770" s="1951">
        <v>175134</v>
      </c>
      <c r="Q770" s="1960">
        <v>183191</v>
      </c>
    </row>
    <row r="771" spans="1:17" ht="12.75" customHeight="1">
      <c r="A771" s="2332" t="s">
        <v>3490</v>
      </c>
      <c r="B771" s="2185" t="s">
        <v>3804</v>
      </c>
      <c r="C771" s="2296" t="s">
        <v>3615</v>
      </c>
      <c r="D771" s="2296"/>
      <c r="E771" s="2333" t="s">
        <v>3467</v>
      </c>
      <c r="F771" s="2333" t="s">
        <v>3468</v>
      </c>
      <c r="G771" s="2185" t="s">
        <v>3469</v>
      </c>
      <c r="H771" s="2333"/>
      <c r="I771" s="2334"/>
      <c r="J771" s="2185"/>
      <c r="K771" s="2336"/>
      <c r="L771" s="2335"/>
      <c r="M771" s="1951"/>
      <c r="N771" s="1962"/>
      <c r="O771" s="1961">
        <v>0</v>
      </c>
      <c r="P771" s="1951">
        <v>0</v>
      </c>
      <c r="Q771" s="1960">
        <v>1</v>
      </c>
    </row>
    <row r="772" spans="1:17" ht="12.75" customHeight="1">
      <c r="A772" s="2332" t="s">
        <v>3490</v>
      </c>
      <c r="B772" s="2185" t="s">
        <v>3494</v>
      </c>
      <c r="C772" s="2296" t="s">
        <v>3453</v>
      </c>
      <c r="D772" s="2296"/>
      <c r="E772" s="2333" t="s">
        <v>3456</v>
      </c>
      <c r="F772" s="2333" t="s">
        <v>3457</v>
      </c>
      <c r="G772" s="2185" t="s">
        <v>3481</v>
      </c>
      <c r="H772" s="2333"/>
      <c r="I772" s="2334"/>
      <c r="J772" s="2185"/>
      <c r="K772" s="2336"/>
      <c r="L772" s="2335"/>
      <c r="M772" s="1951"/>
      <c r="N772" s="1962"/>
      <c r="O772" s="1961">
        <v>100037</v>
      </c>
      <c r="P772" s="1951">
        <v>104639</v>
      </c>
      <c r="Q772" s="1960">
        <v>109453</v>
      </c>
    </row>
    <row r="773" spans="1:17" ht="12.75" customHeight="1">
      <c r="A773" s="2332" t="s">
        <v>3510</v>
      </c>
      <c r="B773" s="2185" t="s">
        <v>3642</v>
      </c>
      <c r="C773" s="2296" t="s">
        <v>3453</v>
      </c>
      <c r="D773" s="2296"/>
      <c r="E773" s="2333" t="s">
        <v>3467</v>
      </c>
      <c r="F773" s="2333" t="s">
        <v>3468</v>
      </c>
      <c r="G773" s="2185" t="s">
        <v>3469</v>
      </c>
      <c r="H773" s="2333"/>
      <c r="I773" s="2334"/>
      <c r="J773" s="2185"/>
      <c r="K773" s="2336"/>
      <c r="L773" s="2335"/>
      <c r="M773" s="1951"/>
      <c r="N773" s="1962"/>
      <c r="O773" s="1961">
        <v>139745</v>
      </c>
      <c r="P773" s="1951">
        <v>146174</v>
      </c>
      <c r="Q773" s="1960">
        <v>152898</v>
      </c>
    </row>
    <row r="774" spans="1:17" ht="12.75" customHeight="1">
      <c r="A774" s="2332" t="s">
        <v>3485</v>
      </c>
      <c r="B774" s="2185" t="s">
        <v>3639</v>
      </c>
      <c r="C774" s="2296" t="s">
        <v>3453</v>
      </c>
      <c r="D774" s="2296"/>
      <c r="E774" s="2333" t="s">
        <v>3456</v>
      </c>
      <c r="F774" s="2333" t="s">
        <v>3457</v>
      </c>
      <c r="G774" s="2185" t="s">
        <v>3461</v>
      </c>
      <c r="H774" s="2333"/>
      <c r="I774" s="2334"/>
      <c r="J774" s="2185"/>
      <c r="K774" s="2336"/>
      <c r="L774" s="2335"/>
      <c r="M774" s="1951"/>
      <c r="N774" s="1962"/>
      <c r="O774" s="1961">
        <v>871</v>
      </c>
      <c r="P774" s="1951">
        <v>912</v>
      </c>
      <c r="Q774" s="1960">
        <v>953</v>
      </c>
    </row>
    <row r="775" spans="1:17" ht="12.75" customHeight="1">
      <c r="A775" s="2332" t="s">
        <v>3572</v>
      </c>
      <c r="B775" s="2185" t="s">
        <v>3688</v>
      </c>
      <c r="C775" s="2296" t="s">
        <v>3453</v>
      </c>
      <c r="D775" s="2296"/>
      <c r="E775" s="2333" t="s">
        <v>3456</v>
      </c>
      <c r="F775" s="2333" t="s">
        <v>3457</v>
      </c>
      <c r="G775" s="2185" t="s">
        <v>3458</v>
      </c>
      <c r="H775" s="2333"/>
      <c r="I775" s="2334"/>
      <c r="J775" s="2185"/>
      <c r="K775" s="2336"/>
      <c r="L775" s="2335"/>
      <c r="M775" s="1951"/>
      <c r="N775" s="1962"/>
      <c r="O775" s="1961">
        <v>6139</v>
      </c>
      <c r="P775" s="1951">
        <v>6422</v>
      </c>
      <c r="Q775" s="1960">
        <v>6717</v>
      </c>
    </row>
    <row r="776" spans="1:17" ht="12.75" customHeight="1">
      <c r="A776" s="2332" t="s">
        <v>3499</v>
      </c>
      <c r="B776" s="2185" t="s">
        <v>3805</v>
      </c>
      <c r="C776" s="2296" t="s">
        <v>3453</v>
      </c>
      <c r="D776" s="2296"/>
      <c r="E776" s="2333" t="s">
        <v>3467</v>
      </c>
      <c r="F776" s="2333" t="s">
        <v>3468</v>
      </c>
      <c r="G776" s="2185" t="s">
        <v>3469</v>
      </c>
      <c r="H776" s="2333"/>
      <c r="I776" s="2334"/>
      <c r="J776" s="2185"/>
      <c r="K776" s="2336"/>
      <c r="L776" s="2335"/>
      <c r="M776" s="1951"/>
      <c r="N776" s="1962"/>
      <c r="O776" s="1961">
        <v>54916</v>
      </c>
      <c r="P776" s="1951">
        <v>54916</v>
      </c>
      <c r="Q776" s="1960">
        <v>57552</v>
      </c>
    </row>
    <row r="777" spans="1:17" ht="12.75" customHeight="1">
      <c r="A777" s="2332" t="s">
        <v>3487</v>
      </c>
      <c r="B777" s="2185" t="s">
        <v>3488</v>
      </c>
      <c r="C777" s="2296" t="s">
        <v>3453</v>
      </c>
      <c r="D777" s="2296"/>
      <c r="E777" s="2333" t="s">
        <v>3467</v>
      </c>
      <c r="F777" s="2333" t="s">
        <v>3468</v>
      </c>
      <c r="G777" s="2185" t="s">
        <v>3469</v>
      </c>
      <c r="H777" s="2333"/>
      <c r="I777" s="2334"/>
      <c r="J777" s="2185"/>
      <c r="K777" s="2336"/>
      <c r="L777" s="2335"/>
      <c r="M777" s="1951"/>
      <c r="N777" s="1962"/>
      <c r="O777" s="1961">
        <v>70000</v>
      </c>
      <c r="P777" s="1951">
        <v>73220</v>
      </c>
      <c r="Q777" s="1960">
        <v>76589</v>
      </c>
    </row>
    <row r="778" spans="1:17" ht="12.75" customHeight="1">
      <c r="A778" s="2332" t="s">
        <v>3487</v>
      </c>
      <c r="B778" s="2185" t="s">
        <v>3488</v>
      </c>
      <c r="C778" s="2296" t="s">
        <v>3453</v>
      </c>
      <c r="D778" s="2296"/>
      <c r="E778" s="2333" t="s">
        <v>3525</v>
      </c>
      <c r="F778" s="2333" t="s">
        <v>3457</v>
      </c>
      <c r="G778" s="2185" t="s">
        <v>3526</v>
      </c>
      <c r="H778" s="2333"/>
      <c r="I778" s="2334"/>
      <c r="J778" s="2185"/>
      <c r="K778" s="2336"/>
      <c r="L778" s="2335"/>
      <c r="M778" s="1951"/>
      <c r="N778" s="1962"/>
      <c r="O778" s="1961">
        <v>9000000</v>
      </c>
      <c r="P778" s="1951">
        <v>9414000</v>
      </c>
      <c r="Q778" s="1960">
        <v>9847044</v>
      </c>
    </row>
    <row r="779" spans="1:17" ht="12.75" customHeight="1">
      <c r="A779" s="2332" t="s">
        <v>3464</v>
      </c>
      <c r="B779" s="2185" t="s">
        <v>3665</v>
      </c>
      <c r="C779" s="2296" t="s">
        <v>3453</v>
      </c>
      <c r="D779" s="2296"/>
      <c r="E779" s="2333" t="s">
        <v>3456</v>
      </c>
      <c r="F779" s="2333" t="s">
        <v>3457</v>
      </c>
      <c r="G779" s="2185" t="s">
        <v>3458</v>
      </c>
      <c r="H779" s="2333"/>
      <c r="I779" s="2334"/>
      <c r="J779" s="2185"/>
      <c r="K779" s="2336"/>
      <c r="L779" s="2335"/>
      <c r="M779" s="1951"/>
      <c r="N779" s="1962"/>
      <c r="O779" s="1961">
        <v>621642</v>
      </c>
      <c r="P779" s="1951">
        <v>650238</v>
      </c>
      <c r="Q779" s="1960">
        <v>680149</v>
      </c>
    </row>
    <row r="780" spans="1:17" ht="12.75" customHeight="1">
      <c r="A780" s="2332" t="s">
        <v>3464</v>
      </c>
      <c r="B780" s="2185" t="s">
        <v>3556</v>
      </c>
      <c r="C780" s="2296" t="s">
        <v>3453</v>
      </c>
      <c r="D780" s="2296"/>
      <c r="E780" s="2333" t="s">
        <v>3467</v>
      </c>
      <c r="F780" s="2333" t="s">
        <v>3468</v>
      </c>
      <c r="G780" s="2185" t="s">
        <v>3469</v>
      </c>
      <c r="H780" s="2333"/>
      <c r="I780" s="2334"/>
      <c r="J780" s="2185"/>
      <c r="K780" s="2336"/>
      <c r="L780" s="2335"/>
      <c r="M780" s="1951"/>
      <c r="N780" s="1962"/>
      <c r="O780" s="1961">
        <v>608029</v>
      </c>
      <c r="P780" s="1951">
        <v>635999</v>
      </c>
      <c r="Q780" s="1960">
        <v>665255</v>
      </c>
    </row>
    <row r="781" spans="1:17" ht="12.75" customHeight="1">
      <c r="A781" s="2332" t="s">
        <v>3506</v>
      </c>
      <c r="B781" s="2185" t="s">
        <v>3806</v>
      </c>
      <c r="C781" s="2296" t="s">
        <v>3453</v>
      </c>
      <c r="D781" s="2296"/>
      <c r="E781" s="2333" t="s">
        <v>3456</v>
      </c>
      <c r="F781" s="2333" t="s">
        <v>3457</v>
      </c>
      <c r="G781" s="2185" t="s">
        <v>3461</v>
      </c>
      <c r="H781" s="2333"/>
      <c r="I781" s="2334"/>
      <c r="J781" s="2185"/>
      <c r="K781" s="2336"/>
      <c r="L781" s="2335"/>
      <c r="M781" s="1951"/>
      <c r="N781" s="1962"/>
      <c r="O781" s="1961">
        <v>1300000</v>
      </c>
      <c r="P781" s="1951">
        <v>1359800</v>
      </c>
      <c r="Q781" s="1960">
        <v>1422351</v>
      </c>
    </row>
    <row r="782" spans="1:17" ht="12.75" customHeight="1">
      <c r="A782" s="2332" t="s">
        <v>3520</v>
      </c>
      <c r="B782" s="2185" t="s">
        <v>3780</v>
      </c>
      <c r="C782" s="2296" t="s">
        <v>3453</v>
      </c>
      <c r="D782" s="2296"/>
      <c r="E782" s="2333" t="s">
        <v>3456</v>
      </c>
      <c r="F782" s="2333" t="s">
        <v>3457</v>
      </c>
      <c r="G782" s="2185" t="s">
        <v>3481</v>
      </c>
      <c r="H782" s="2333"/>
      <c r="I782" s="2334"/>
      <c r="J782" s="2185"/>
      <c r="K782" s="2336"/>
      <c r="L782" s="2335"/>
      <c r="M782" s="1951"/>
      <c r="N782" s="1962"/>
      <c r="O782" s="1961">
        <v>35986</v>
      </c>
      <c r="P782" s="1951">
        <v>37642</v>
      </c>
      <c r="Q782" s="1960">
        <v>39373</v>
      </c>
    </row>
    <row r="783" spans="1:17" ht="12.75" customHeight="1">
      <c r="A783" s="2332" t="s">
        <v>3531</v>
      </c>
      <c r="B783" s="2185" t="s">
        <v>3697</v>
      </c>
      <c r="C783" s="2296" t="s">
        <v>3453</v>
      </c>
      <c r="D783" s="2296"/>
      <c r="E783" s="2333" t="s">
        <v>3456</v>
      </c>
      <c r="F783" s="2333" t="s">
        <v>3457</v>
      </c>
      <c r="G783" s="2185" t="s">
        <v>3458</v>
      </c>
      <c r="H783" s="2333"/>
      <c r="I783" s="2334"/>
      <c r="J783" s="2185"/>
      <c r="K783" s="2336"/>
      <c r="L783" s="2335"/>
      <c r="M783" s="1951"/>
      <c r="N783" s="1962"/>
      <c r="O783" s="1961">
        <v>756826</v>
      </c>
      <c r="P783" s="1951">
        <v>797692</v>
      </c>
      <c r="Q783" s="1960">
        <v>840769</v>
      </c>
    </row>
    <row r="784" spans="1:17" ht="12.75" customHeight="1">
      <c r="A784" s="2332" t="s">
        <v>3490</v>
      </c>
      <c r="B784" s="2185" t="s">
        <v>3494</v>
      </c>
      <c r="C784" s="2296" t="s">
        <v>3453</v>
      </c>
      <c r="D784" s="2296"/>
      <c r="E784" s="2333"/>
      <c r="F784" s="2333"/>
      <c r="G784" s="2185"/>
      <c r="H784" s="2333"/>
      <c r="I784" s="2334"/>
      <c r="J784" s="2185"/>
      <c r="K784" s="2336"/>
      <c r="L784" s="2335"/>
      <c r="M784" s="1951"/>
      <c r="N784" s="1962"/>
      <c r="O784" s="1961">
        <v>0</v>
      </c>
      <c r="P784" s="1951">
        <v>0</v>
      </c>
      <c r="Q784" s="1960">
        <v>0</v>
      </c>
    </row>
    <row r="785" spans="1:17" ht="12.75" customHeight="1">
      <c r="A785" s="2332" t="s">
        <v>3459</v>
      </c>
      <c r="B785" s="2185" t="s">
        <v>3616</v>
      </c>
      <c r="C785" s="2296" t="s">
        <v>3453</v>
      </c>
      <c r="D785" s="2296"/>
      <c r="E785" s="2333" t="s">
        <v>3456</v>
      </c>
      <c r="F785" s="2333" t="s">
        <v>3457</v>
      </c>
      <c r="G785" s="2185" t="s">
        <v>3461</v>
      </c>
      <c r="H785" s="2333"/>
      <c r="I785" s="2334"/>
      <c r="J785" s="2185"/>
      <c r="K785" s="2336"/>
      <c r="L785" s="2335"/>
      <c r="M785" s="1951"/>
      <c r="N785" s="1962"/>
      <c r="O785" s="1961">
        <v>358588</v>
      </c>
      <c r="P785" s="1951">
        <v>375084</v>
      </c>
      <c r="Q785" s="1960">
        <v>392337</v>
      </c>
    </row>
    <row r="786" spans="1:17" ht="12.75" customHeight="1">
      <c r="A786" s="2332" t="s">
        <v>3490</v>
      </c>
      <c r="B786" s="2185" t="s">
        <v>3807</v>
      </c>
      <c r="C786" s="2296" t="s">
        <v>3453</v>
      </c>
      <c r="D786" s="2296"/>
      <c r="E786" s="2333" t="s">
        <v>3456</v>
      </c>
      <c r="F786" s="2333" t="s">
        <v>3457</v>
      </c>
      <c r="G786" s="2185" t="s">
        <v>3461</v>
      </c>
      <c r="H786" s="2333"/>
      <c r="I786" s="2334"/>
      <c r="J786" s="2185"/>
      <c r="K786" s="2336"/>
      <c r="L786" s="2335"/>
      <c r="M786" s="1951"/>
      <c r="N786" s="1962"/>
      <c r="O786" s="1961">
        <v>2230151</v>
      </c>
      <c r="P786" s="1951">
        <v>2230151</v>
      </c>
      <c r="Q786" s="1960">
        <v>2337199</v>
      </c>
    </row>
    <row r="787" spans="1:17" ht="12.75" customHeight="1">
      <c r="A787" s="2332" t="s">
        <v>3459</v>
      </c>
      <c r="B787" s="2185" t="s">
        <v>3709</v>
      </c>
      <c r="C787" s="2296" t="s">
        <v>3453</v>
      </c>
      <c r="D787" s="2296"/>
      <c r="E787" s="2333" t="s">
        <v>3456</v>
      </c>
      <c r="F787" s="2333" t="s">
        <v>3457</v>
      </c>
      <c r="G787" s="2185" t="s">
        <v>3458</v>
      </c>
      <c r="H787" s="2333"/>
      <c r="I787" s="2334"/>
      <c r="J787" s="2185"/>
      <c r="K787" s="2336"/>
      <c r="L787" s="2335"/>
      <c r="M787" s="1951"/>
      <c r="N787" s="1962"/>
      <c r="O787" s="1961">
        <v>60000</v>
      </c>
      <c r="P787" s="1951">
        <v>62760</v>
      </c>
      <c r="Q787" s="1960">
        <v>65647</v>
      </c>
    </row>
    <row r="788" spans="1:17" ht="12.75" customHeight="1">
      <c r="A788" s="2332" t="s">
        <v>3584</v>
      </c>
      <c r="B788" s="2185" t="s">
        <v>3585</v>
      </c>
      <c r="C788" s="2296" t="s">
        <v>3453</v>
      </c>
      <c r="D788" s="2296"/>
      <c r="E788" s="2333" t="s">
        <v>3456</v>
      </c>
      <c r="F788" s="2333" t="s">
        <v>3457</v>
      </c>
      <c r="G788" s="2185" t="s">
        <v>3481</v>
      </c>
      <c r="H788" s="2333"/>
      <c r="I788" s="2334"/>
      <c r="J788" s="2185"/>
      <c r="K788" s="2336"/>
      <c r="L788" s="2335"/>
      <c r="M788" s="1951"/>
      <c r="N788" s="1962"/>
      <c r="O788" s="1961">
        <v>32575</v>
      </c>
      <c r="P788" s="1951">
        <v>34074</v>
      </c>
      <c r="Q788" s="1960">
        <v>35641</v>
      </c>
    </row>
    <row r="789" spans="1:17" ht="12.75" customHeight="1">
      <c r="A789" s="2332" t="s">
        <v>3483</v>
      </c>
      <c r="B789" s="2185" t="s">
        <v>3583</v>
      </c>
      <c r="C789" s="2296" t="s">
        <v>3453</v>
      </c>
      <c r="D789" s="2296"/>
      <c r="E789" s="2333" t="s">
        <v>3467</v>
      </c>
      <c r="F789" s="2333" t="s">
        <v>3468</v>
      </c>
      <c r="G789" s="2185" t="s">
        <v>3469</v>
      </c>
      <c r="H789" s="2333"/>
      <c r="I789" s="2334"/>
      <c r="J789" s="2185"/>
      <c r="K789" s="2336"/>
      <c r="L789" s="2335"/>
      <c r="M789" s="1951"/>
      <c r="N789" s="1962"/>
      <c r="O789" s="1961">
        <v>51534</v>
      </c>
      <c r="P789" s="1951">
        <v>53905</v>
      </c>
      <c r="Q789" s="1960">
        <v>56385</v>
      </c>
    </row>
    <row r="790" spans="1:17" ht="12.75" customHeight="1">
      <c r="A790" s="2332" t="s">
        <v>3520</v>
      </c>
      <c r="B790" s="2185" t="s">
        <v>3593</v>
      </c>
      <c r="C790" s="2296" t="s">
        <v>3453</v>
      </c>
      <c r="D790" s="2296"/>
      <c r="E790" s="2333" t="s">
        <v>3467</v>
      </c>
      <c r="F790" s="2333" t="s">
        <v>3468</v>
      </c>
      <c r="G790" s="2185" t="s">
        <v>3469</v>
      </c>
      <c r="H790" s="2333"/>
      <c r="I790" s="2334"/>
      <c r="J790" s="2185"/>
      <c r="K790" s="2336"/>
      <c r="L790" s="2335"/>
      <c r="M790" s="1951"/>
      <c r="N790" s="1962"/>
      <c r="O790" s="1961">
        <v>0</v>
      </c>
      <c r="P790" s="1951">
        <v>0</v>
      </c>
      <c r="Q790" s="1960">
        <v>0</v>
      </c>
    </row>
    <row r="791" spans="1:17" ht="12.75" customHeight="1">
      <c r="A791" s="2332" t="s">
        <v>3459</v>
      </c>
      <c r="B791" s="2185" t="s">
        <v>3669</v>
      </c>
      <c r="C791" s="2296" t="s">
        <v>3453</v>
      </c>
      <c r="D791" s="2296"/>
      <c r="E791" s="2333" t="s">
        <v>3456</v>
      </c>
      <c r="F791" s="2333" t="s">
        <v>3457</v>
      </c>
      <c r="G791" s="2185" t="s">
        <v>3461</v>
      </c>
      <c r="H791" s="2333"/>
      <c r="I791" s="2334"/>
      <c r="J791" s="2185"/>
      <c r="K791" s="2336"/>
      <c r="L791" s="2335"/>
      <c r="M791" s="1951"/>
      <c r="N791" s="1962"/>
      <c r="O791" s="1961">
        <v>50786</v>
      </c>
      <c r="P791" s="1951">
        <v>53123</v>
      </c>
      <c r="Q791" s="1960">
        <v>55566</v>
      </c>
    </row>
    <row r="792" spans="1:17" ht="12.75" customHeight="1">
      <c r="A792" s="2332" t="s">
        <v>3490</v>
      </c>
      <c r="B792" s="2185" t="s">
        <v>3494</v>
      </c>
      <c r="C792" s="2296" t="s">
        <v>3453</v>
      </c>
      <c r="D792" s="2296"/>
      <c r="E792" s="2333" t="s">
        <v>3467</v>
      </c>
      <c r="F792" s="2333" t="s">
        <v>3468</v>
      </c>
      <c r="G792" s="2185" t="s">
        <v>3469</v>
      </c>
      <c r="H792" s="2333"/>
      <c r="I792" s="2334"/>
      <c r="J792" s="2185"/>
      <c r="K792" s="2336"/>
      <c r="L792" s="2335"/>
      <c r="M792" s="1951"/>
      <c r="N792" s="1962"/>
      <c r="O792" s="1961">
        <v>0</v>
      </c>
      <c r="P792" s="1951">
        <v>0</v>
      </c>
      <c r="Q792" s="1960">
        <v>0</v>
      </c>
    </row>
    <row r="793" spans="1:17" ht="12.75" customHeight="1">
      <c r="A793" s="2332" t="s">
        <v>3523</v>
      </c>
      <c r="B793" s="2185" t="s">
        <v>3626</v>
      </c>
      <c r="C793" s="2296" t="s">
        <v>3453</v>
      </c>
      <c r="D793" s="2296"/>
      <c r="E793" s="2333" t="s">
        <v>3456</v>
      </c>
      <c r="F793" s="2333" t="s">
        <v>3457</v>
      </c>
      <c r="G793" s="2185" t="s">
        <v>3461</v>
      </c>
      <c r="H793" s="2333"/>
      <c r="I793" s="2334"/>
      <c r="J793" s="2185"/>
      <c r="K793" s="2336"/>
      <c r="L793" s="2335"/>
      <c r="M793" s="1951"/>
      <c r="N793" s="1962"/>
      <c r="O793" s="1961">
        <v>95567</v>
      </c>
      <c r="P793" s="1951">
        <v>99964</v>
      </c>
      <c r="Q793" s="1960">
        <v>104562</v>
      </c>
    </row>
    <row r="794" spans="1:17" ht="12.75" customHeight="1">
      <c r="A794" s="2332" t="s">
        <v>3531</v>
      </c>
      <c r="B794" s="2185" t="s">
        <v>3532</v>
      </c>
      <c r="C794" s="2296" t="s">
        <v>3453</v>
      </c>
      <c r="D794" s="2296"/>
      <c r="E794" s="2333" t="s">
        <v>3467</v>
      </c>
      <c r="F794" s="2333" t="s">
        <v>3468</v>
      </c>
      <c r="G794" s="2185" t="s">
        <v>2676</v>
      </c>
      <c r="H794" s="2333"/>
      <c r="I794" s="2334"/>
      <c r="J794" s="2185"/>
      <c r="K794" s="2336"/>
      <c r="L794" s="2335"/>
      <c r="M794" s="1951"/>
      <c r="N794" s="1962"/>
      <c r="O794" s="1961">
        <v>0</v>
      </c>
      <c r="P794" s="1951">
        <v>0</v>
      </c>
      <c r="Q794" s="1960">
        <v>0</v>
      </c>
    </row>
    <row r="795" spans="1:17" ht="12.75" customHeight="1">
      <c r="A795" s="2332" t="s">
        <v>3584</v>
      </c>
      <c r="B795" s="2185" t="s">
        <v>3585</v>
      </c>
      <c r="C795" s="2296" t="s">
        <v>3453</v>
      </c>
      <c r="D795" s="2296"/>
      <c r="E795" s="2333" t="s">
        <v>3525</v>
      </c>
      <c r="F795" s="2333" t="s">
        <v>3457</v>
      </c>
      <c r="G795" s="2185" t="s">
        <v>3526</v>
      </c>
      <c r="H795" s="2333"/>
      <c r="I795" s="2334"/>
      <c r="J795" s="2185"/>
      <c r="K795" s="2336"/>
      <c r="L795" s="2335"/>
      <c r="M795" s="1951"/>
      <c r="N795" s="1962"/>
      <c r="O795" s="1961">
        <v>9557</v>
      </c>
      <c r="P795" s="1951">
        <v>9997</v>
      </c>
      <c r="Q795" s="1960">
        <v>10457</v>
      </c>
    </row>
    <row r="796" spans="1:17" ht="12.75" customHeight="1">
      <c r="A796" s="2332" t="s">
        <v>3531</v>
      </c>
      <c r="B796" s="2185" t="s">
        <v>3593</v>
      </c>
      <c r="C796" s="2296" t="s">
        <v>3453</v>
      </c>
      <c r="D796" s="2296"/>
      <c r="E796" s="2333" t="s">
        <v>3456</v>
      </c>
      <c r="F796" s="2333" t="s">
        <v>3457</v>
      </c>
      <c r="G796" s="2185" t="s">
        <v>3458</v>
      </c>
      <c r="H796" s="2333"/>
      <c r="I796" s="2334"/>
      <c r="J796" s="2185"/>
      <c r="K796" s="2336"/>
      <c r="L796" s="2335"/>
      <c r="M796" s="1951"/>
      <c r="N796" s="1962"/>
      <c r="O796" s="1961">
        <v>690370</v>
      </c>
      <c r="P796" s="1951">
        <v>727650</v>
      </c>
      <c r="Q796" s="1960">
        <v>766943</v>
      </c>
    </row>
    <row r="797" spans="1:17" ht="12.75" customHeight="1">
      <c r="A797" s="2332" t="s">
        <v>3483</v>
      </c>
      <c r="B797" s="2185" t="s">
        <v>3676</v>
      </c>
      <c r="C797" s="2296" t="s">
        <v>3453</v>
      </c>
      <c r="D797" s="2296"/>
      <c r="E797" s="2333" t="s">
        <v>3456</v>
      </c>
      <c r="F797" s="2333" t="s">
        <v>3457</v>
      </c>
      <c r="G797" s="2185" t="s">
        <v>3458</v>
      </c>
      <c r="H797" s="2333"/>
      <c r="I797" s="2334"/>
      <c r="J797" s="2185"/>
      <c r="K797" s="2336"/>
      <c r="L797" s="2335"/>
      <c r="M797" s="1951"/>
      <c r="N797" s="1962"/>
      <c r="O797" s="1961">
        <v>3823</v>
      </c>
      <c r="P797" s="1951">
        <v>3999</v>
      </c>
      <c r="Q797" s="1960">
        <v>4183</v>
      </c>
    </row>
    <row r="798" spans="1:17" ht="12.75" customHeight="1">
      <c r="A798" s="2332" t="s">
        <v>3490</v>
      </c>
      <c r="B798" s="2185" t="s">
        <v>3494</v>
      </c>
      <c r="C798" s="2296" t="s">
        <v>3453</v>
      </c>
      <c r="D798" s="2296"/>
      <c r="E798" s="2333"/>
      <c r="F798" s="2333"/>
      <c r="G798" s="2185"/>
      <c r="H798" s="2333"/>
      <c r="I798" s="2334"/>
      <c r="J798" s="2185"/>
      <c r="K798" s="2336"/>
      <c r="L798" s="2335"/>
      <c r="M798" s="1951"/>
      <c r="N798" s="1962"/>
      <c r="O798" s="1961">
        <v>1916237</v>
      </c>
      <c r="P798" s="1951">
        <v>2004384</v>
      </c>
      <c r="Q798" s="1960">
        <v>2096586</v>
      </c>
    </row>
    <row r="799" spans="1:17" ht="12.75" customHeight="1">
      <c r="A799" s="2332" t="s">
        <v>3558</v>
      </c>
      <c r="B799" s="2185" t="s">
        <v>3696</v>
      </c>
      <c r="C799" s="2296" t="s">
        <v>3453</v>
      </c>
      <c r="D799" s="2296"/>
      <c r="E799" s="2333" t="s">
        <v>3456</v>
      </c>
      <c r="F799" s="2333" t="s">
        <v>3457</v>
      </c>
      <c r="G799" s="2185" t="s">
        <v>3461</v>
      </c>
      <c r="H799" s="2333"/>
      <c r="I799" s="2334"/>
      <c r="J799" s="2185"/>
      <c r="K799" s="2336"/>
      <c r="L799" s="2335"/>
      <c r="M799" s="1951"/>
      <c r="N799" s="1962"/>
      <c r="O799" s="1961">
        <v>113731</v>
      </c>
      <c r="P799" s="1951">
        <v>118963</v>
      </c>
      <c r="Q799" s="1960">
        <v>124435</v>
      </c>
    </row>
    <row r="800" spans="1:17" ht="12.75" customHeight="1">
      <c r="A800" s="2332" t="s">
        <v>3454</v>
      </c>
      <c r="B800" s="2185" t="s">
        <v>3455</v>
      </c>
      <c r="C800" s="2296" t="s">
        <v>3453</v>
      </c>
      <c r="D800" s="2296"/>
      <c r="E800" s="2333" t="s">
        <v>3467</v>
      </c>
      <c r="F800" s="2333" t="s">
        <v>3468</v>
      </c>
      <c r="G800" s="2185" t="s">
        <v>2676</v>
      </c>
      <c r="H800" s="2333"/>
      <c r="I800" s="2334"/>
      <c r="J800" s="2185"/>
      <c r="K800" s="2336"/>
      <c r="L800" s="2335"/>
      <c r="M800" s="1951"/>
      <c r="N800" s="1962"/>
      <c r="O800" s="1961">
        <v>29744</v>
      </c>
      <c r="P800" s="1951">
        <v>31113</v>
      </c>
      <c r="Q800" s="1960">
        <v>32544</v>
      </c>
    </row>
    <row r="801" spans="1:17" ht="12.75" customHeight="1">
      <c r="A801" s="2332" t="s">
        <v>3538</v>
      </c>
      <c r="B801" s="2185" t="s">
        <v>3539</v>
      </c>
      <c r="C801" s="2296" t="s">
        <v>3453</v>
      </c>
      <c r="D801" s="2296"/>
      <c r="E801" s="2333" t="s">
        <v>3467</v>
      </c>
      <c r="F801" s="2333" t="s">
        <v>3468</v>
      </c>
      <c r="G801" s="2185" t="s">
        <v>3469</v>
      </c>
      <c r="H801" s="2333"/>
      <c r="I801" s="2334"/>
      <c r="J801" s="2185"/>
      <c r="K801" s="2336"/>
      <c r="L801" s="2335"/>
      <c r="M801" s="1951"/>
      <c r="N801" s="1962"/>
      <c r="O801" s="1961">
        <v>3192012</v>
      </c>
      <c r="P801" s="1951">
        <v>3338845</v>
      </c>
      <c r="Q801" s="1960">
        <v>3492432</v>
      </c>
    </row>
    <row r="802" spans="1:17" ht="12.75" customHeight="1">
      <c r="A802" s="2332" t="s">
        <v>3459</v>
      </c>
      <c r="B802" s="2185" t="s">
        <v>3498</v>
      </c>
      <c r="C802" s="2296" t="s">
        <v>3453</v>
      </c>
      <c r="D802" s="2296"/>
      <c r="E802" s="2333" t="s">
        <v>3467</v>
      </c>
      <c r="F802" s="2333" t="s">
        <v>3468</v>
      </c>
      <c r="G802" s="2185" t="s">
        <v>3469</v>
      </c>
      <c r="H802" s="2333"/>
      <c r="I802" s="2334"/>
      <c r="J802" s="2185"/>
      <c r="K802" s="2336"/>
      <c r="L802" s="2335"/>
      <c r="M802" s="1951"/>
      <c r="N802" s="1962"/>
      <c r="O802" s="1961">
        <v>3234</v>
      </c>
      <c r="P802" s="1951">
        <v>3383</v>
      </c>
      <c r="Q802" s="1960">
        <v>3539</v>
      </c>
    </row>
    <row r="803" spans="1:17" ht="12.75" customHeight="1">
      <c r="A803" s="2332" t="s">
        <v>3454</v>
      </c>
      <c r="B803" s="2185" t="s">
        <v>3545</v>
      </c>
      <c r="C803" s="2296" t="s">
        <v>3453</v>
      </c>
      <c r="D803" s="2296"/>
      <c r="E803" s="2333" t="s">
        <v>3456</v>
      </c>
      <c r="F803" s="2333" t="s">
        <v>3457</v>
      </c>
      <c r="G803" s="2185" t="s">
        <v>3481</v>
      </c>
      <c r="H803" s="2333"/>
      <c r="I803" s="2334"/>
      <c r="J803" s="2185"/>
      <c r="K803" s="2336"/>
      <c r="L803" s="2335"/>
      <c r="M803" s="1951"/>
      <c r="N803" s="1962"/>
      <c r="O803" s="1961">
        <v>0</v>
      </c>
      <c r="P803" s="1951">
        <v>0</v>
      </c>
      <c r="Q803" s="1960">
        <v>0</v>
      </c>
    </row>
    <row r="804" spans="1:17" ht="12.75" customHeight="1">
      <c r="A804" s="2332" t="s">
        <v>3520</v>
      </c>
      <c r="B804" s="2185" t="s">
        <v>3780</v>
      </c>
      <c r="C804" s="2296" t="s">
        <v>3453</v>
      </c>
      <c r="D804" s="2296"/>
      <c r="E804" s="2333" t="s">
        <v>3456</v>
      </c>
      <c r="F804" s="2333" t="s">
        <v>3457</v>
      </c>
      <c r="G804" s="2185" t="s">
        <v>3458</v>
      </c>
      <c r="H804" s="2333"/>
      <c r="I804" s="2334"/>
      <c r="J804" s="2185"/>
      <c r="K804" s="2336"/>
      <c r="L804" s="2335"/>
      <c r="M804" s="1951"/>
      <c r="N804" s="1962"/>
      <c r="O804" s="1961">
        <v>29000</v>
      </c>
      <c r="P804" s="1951">
        <v>29000</v>
      </c>
      <c r="Q804" s="1960">
        <v>29000</v>
      </c>
    </row>
    <row r="805" spans="1:17" ht="12.75" customHeight="1">
      <c r="A805" s="2332" t="s">
        <v>3459</v>
      </c>
      <c r="B805" s="2185" t="s">
        <v>3680</v>
      </c>
      <c r="C805" s="2296" t="s">
        <v>3453</v>
      </c>
      <c r="D805" s="2296"/>
      <c r="E805" s="2333" t="s">
        <v>3467</v>
      </c>
      <c r="F805" s="2333" t="s">
        <v>3468</v>
      </c>
      <c r="G805" s="2185" t="s">
        <v>2676</v>
      </c>
      <c r="H805" s="2333"/>
      <c r="I805" s="2334"/>
      <c r="J805" s="2185"/>
      <c r="K805" s="2336"/>
      <c r="L805" s="2335"/>
      <c r="M805" s="1951"/>
      <c r="N805" s="1962"/>
      <c r="O805" s="1961">
        <v>8500</v>
      </c>
      <c r="P805" s="1951">
        <v>8891</v>
      </c>
      <c r="Q805" s="1960">
        <v>9300</v>
      </c>
    </row>
    <row r="806" spans="1:17" ht="12.75" customHeight="1">
      <c r="A806" s="2332" t="s">
        <v>3464</v>
      </c>
      <c r="B806" s="2185" t="s">
        <v>3476</v>
      </c>
      <c r="C806" s="2296" t="s">
        <v>3453</v>
      </c>
      <c r="D806" s="2296"/>
      <c r="E806" s="2333" t="s">
        <v>3456</v>
      </c>
      <c r="F806" s="2333" t="s">
        <v>3457</v>
      </c>
      <c r="G806" s="2185" t="s">
        <v>3461</v>
      </c>
      <c r="H806" s="2333"/>
      <c r="I806" s="2334"/>
      <c r="J806" s="2185"/>
      <c r="K806" s="2336"/>
      <c r="L806" s="2335"/>
      <c r="M806" s="1951"/>
      <c r="N806" s="1962"/>
      <c r="O806" s="1961">
        <v>5600</v>
      </c>
      <c r="P806" s="1951">
        <v>5858</v>
      </c>
      <c r="Q806" s="1960">
        <v>6128</v>
      </c>
    </row>
    <row r="807" spans="1:17" ht="12.75" customHeight="1">
      <c r="A807" s="2332" t="s">
        <v>3464</v>
      </c>
      <c r="B807" s="2185" t="s">
        <v>3808</v>
      </c>
      <c r="C807" s="2296" t="s">
        <v>3453</v>
      </c>
      <c r="D807" s="2296"/>
      <c r="E807" s="2333" t="s">
        <v>3456</v>
      </c>
      <c r="F807" s="2333" t="s">
        <v>3457</v>
      </c>
      <c r="G807" s="2185" t="s">
        <v>3458</v>
      </c>
      <c r="H807" s="2333"/>
      <c r="I807" s="2334"/>
      <c r="J807" s="2185"/>
      <c r="K807" s="2336"/>
      <c r="L807" s="2335"/>
      <c r="M807" s="1951"/>
      <c r="N807" s="1962"/>
      <c r="O807" s="1961">
        <v>4241</v>
      </c>
      <c r="P807" s="1951">
        <v>4437</v>
      </c>
      <c r="Q807" s="1960">
        <v>4641</v>
      </c>
    </row>
    <row r="808" spans="1:17" ht="12.75" customHeight="1">
      <c r="A808" s="2332" t="s">
        <v>3543</v>
      </c>
      <c r="B808" s="2185" t="s">
        <v>3809</v>
      </c>
      <c r="C808" s="2296" t="s">
        <v>3453</v>
      </c>
      <c r="D808" s="2296"/>
      <c r="E808" s="2333" t="s">
        <v>3525</v>
      </c>
      <c r="F808" s="2333" t="s">
        <v>3457</v>
      </c>
      <c r="G808" s="2185" t="s">
        <v>3526</v>
      </c>
      <c r="H808" s="2333"/>
      <c r="I808" s="2334"/>
      <c r="J808" s="2185"/>
      <c r="K808" s="2336"/>
      <c r="L808" s="2335"/>
      <c r="M808" s="1951"/>
      <c r="N808" s="1962"/>
      <c r="O808" s="1961">
        <v>4703</v>
      </c>
      <c r="P808" s="1951">
        <v>4920</v>
      </c>
      <c r="Q808" s="1960">
        <v>5146</v>
      </c>
    </row>
    <row r="809" spans="1:17" ht="12.75" customHeight="1">
      <c r="A809" s="2332" t="s">
        <v>3459</v>
      </c>
      <c r="B809" s="2185" t="s">
        <v>3810</v>
      </c>
      <c r="C809" s="2296" t="s">
        <v>3453</v>
      </c>
      <c r="D809" s="2296"/>
      <c r="E809" s="2333" t="s">
        <v>3456</v>
      </c>
      <c r="F809" s="2333" t="s">
        <v>3457</v>
      </c>
      <c r="G809" s="2185" t="s">
        <v>3458</v>
      </c>
      <c r="H809" s="2333"/>
      <c r="I809" s="2334"/>
      <c r="J809" s="2185"/>
      <c r="K809" s="2336"/>
      <c r="L809" s="2335"/>
      <c r="M809" s="1951"/>
      <c r="N809" s="1962"/>
      <c r="O809" s="1961">
        <v>4100</v>
      </c>
      <c r="P809" s="1951">
        <v>4289</v>
      </c>
      <c r="Q809" s="1960">
        <v>4486</v>
      </c>
    </row>
    <row r="810" spans="1:17" ht="12.75" customHeight="1">
      <c r="A810" s="2332" t="s">
        <v>3464</v>
      </c>
      <c r="B810" s="2185" t="s">
        <v>3482</v>
      </c>
      <c r="C810" s="2296" t="s">
        <v>3453</v>
      </c>
      <c r="D810" s="2296"/>
      <c r="E810" s="2333" t="s">
        <v>3456</v>
      </c>
      <c r="F810" s="2333" t="s">
        <v>3457</v>
      </c>
      <c r="G810" s="2185" t="s">
        <v>3461</v>
      </c>
      <c r="H810" s="2333"/>
      <c r="I810" s="2334"/>
      <c r="J810" s="2185"/>
      <c r="K810" s="2336"/>
      <c r="L810" s="2335"/>
      <c r="M810" s="1951"/>
      <c r="N810" s="1962"/>
      <c r="O810" s="1961">
        <v>126890</v>
      </c>
      <c r="P810" s="1951">
        <v>132727</v>
      </c>
      <c r="Q810" s="1960">
        <v>138833</v>
      </c>
    </row>
    <row r="811" spans="1:17" ht="12.75" customHeight="1">
      <c r="A811" s="2332" t="s">
        <v>3576</v>
      </c>
      <c r="B811" s="2185" t="s">
        <v>3811</v>
      </c>
      <c r="C811" s="2296" t="s">
        <v>3453</v>
      </c>
      <c r="D811" s="2296"/>
      <c r="E811" s="2333"/>
      <c r="F811" s="2333"/>
      <c r="G811" s="2185"/>
      <c r="H811" s="2333"/>
      <c r="I811" s="2334"/>
      <c r="J811" s="2185"/>
      <c r="K811" s="2336"/>
      <c r="L811" s="2335"/>
      <c r="M811" s="1951"/>
      <c r="N811" s="1962"/>
      <c r="O811" s="1961">
        <v>737574</v>
      </c>
      <c r="P811" s="1951">
        <v>737574</v>
      </c>
      <c r="Q811" s="1960">
        <v>771503</v>
      </c>
    </row>
    <row r="812" spans="1:17" ht="12.75" customHeight="1">
      <c r="A812" s="2332" t="s">
        <v>3459</v>
      </c>
      <c r="B812" s="2185" t="s">
        <v>3498</v>
      </c>
      <c r="C812" s="2296" t="s">
        <v>3453</v>
      </c>
      <c r="D812" s="2296"/>
      <c r="E812" s="2333" t="s">
        <v>3456</v>
      </c>
      <c r="F812" s="2333" t="s">
        <v>3457</v>
      </c>
      <c r="G812" s="2185" t="s">
        <v>3458</v>
      </c>
      <c r="H812" s="2333"/>
      <c r="I812" s="2334"/>
      <c r="J812" s="2185"/>
      <c r="K812" s="2336"/>
      <c r="L812" s="2335"/>
      <c r="M812" s="1951"/>
      <c r="N812" s="1962"/>
      <c r="O812" s="1961">
        <v>371411</v>
      </c>
      <c r="P812" s="1951">
        <v>388496</v>
      </c>
      <c r="Q812" s="1960">
        <v>406367</v>
      </c>
    </row>
    <row r="813" spans="1:17" ht="12.75" customHeight="1">
      <c r="A813" s="2332" t="s">
        <v>3508</v>
      </c>
      <c r="B813" s="2185" t="s">
        <v>3812</v>
      </c>
      <c r="C813" s="2296" t="s">
        <v>3453</v>
      </c>
      <c r="D813" s="2296"/>
      <c r="E813" s="2333" t="s">
        <v>3467</v>
      </c>
      <c r="F813" s="2333" t="s">
        <v>3468</v>
      </c>
      <c r="G813" s="2185" t="s">
        <v>3475</v>
      </c>
      <c r="H813" s="2333"/>
      <c r="I813" s="2334"/>
      <c r="J813" s="2185"/>
      <c r="K813" s="2336"/>
      <c r="L813" s="2335"/>
      <c r="M813" s="1951"/>
      <c r="N813" s="1962"/>
      <c r="O813" s="1961">
        <v>136470</v>
      </c>
      <c r="P813" s="1951">
        <v>136470</v>
      </c>
      <c r="Q813" s="1960">
        <v>142748</v>
      </c>
    </row>
    <row r="814" spans="1:17" ht="12.75" customHeight="1">
      <c r="A814" s="2332" t="s">
        <v>3464</v>
      </c>
      <c r="B814" s="2185" t="s">
        <v>3632</v>
      </c>
      <c r="C814" s="2296" t="s">
        <v>3453</v>
      </c>
      <c r="D814" s="2296"/>
      <c r="E814" s="2333" t="s">
        <v>3467</v>
      </c>
      <c r="F814" s="2333" t="s">
        <v>3468</v>
      </c>
      <c r="G814" s="2185" t="s">
        <v>3469</v>
      </c>
      <c r="H814" s="2333"/>
      <c r="I814" s="2334"/>
      <c r="J814" s="2185"/>
      <c r="K814" s="2336"/>
      <c r="L814" s="2335"/>
      <c r="M814" s="1951"/>
      <c r="N814" s="1962"/>
      <c r="O814" s="1961">
        <v>2158553</v>
      </c>
      <c r="P814" s="1951">
        <v>2457863</v>
      </c>
      <c r="Q814" s="1960">
        <v>2640381</v>
      </c>
    </row>
    <row r="815" spans="1:17" ht="12.75" customHeight="1">
      <c r="A815" s="2332" t="s">
        <v>3479</v>
      </c>
      <c r="B815" s="2185" t="s">
        <v>3813</v>
      </c>
      <c r="C815" s="2296" t="s">
        <v>3453</v>
      </c>
      <c r="D815" s="2296"/>
      <c r="E815" s="2333" t="s">
        <v>3456</v>
      </c>
      <c r="F815" s="2333" t="s">
        <v>3457</v>
      </c>
      <c r="G815" s="2185" t="s">
        <v>3458</v>
      </c>
      <c r="H815" s="2333"/>
      <c r="I815" s="2334"/>
      <c r="J815" s="2185"/>
      <c r="K815" s="2336"/>
      <c r="L815" s="2335"/>
      <c r="M815" s="1951"/>
      <c r="N815" s="1962"/>
      <c r="O815" s="1961">
        <v>23288</v>
      </c>
      <c r="P815" s="1951">
        <v>23288</v>
      </c>
      <c r="Q815" s="1960">
        <v>24360</v>
      </c>
    </row>
    <row r="816" spans="1:17" ht="12.75" customHeight="1">
      <c r="A816" s="2332" t="s">
        <v>3483</v>
      </c>
      <c r="B816" s="2185" t="s">
        <v>3484</v>
      </c>
      <c r="C816" s="2296" t="s">
        <v>3453</v>
      </c>
      <c r="D816" s="2296"/>
      <c r="E816" s="2333" t="s">
        <v>3467</v>
      </c>
      <c r="F816" s="2333" t="s">
        <v>3468</v>
      </c>
      <c r="G816" s="2185" t="s">
        <v>3469</v>
      </c>
      <c r="H816" s="2333"/>
      <c r="I816" s="2334"/>
      <c r="J816" s="2185"/>
      <c r="K816" s="2336"/>
      <c r="L816" s="2335"/>
      <c r="M816" s="1951"/>
      <c r="N816" s="1962"/>
      <c r="O816" s="1961">
        <v>24848</v>
      </c>
      <c r="P816" s="1951">
        <v>25992</v>
      </c>
      <c r="Q816" s="1960">
        <v>27187</v>
      </c>
    </row>
    <row r="817" spans="1:17" ht="12.75" customHeight="1">
      <c r="A817" s="2332" t="s">
        <v>3459</v>
      </c>
      <c r="B817" s="2185" t="s">
        <v>3612</v>
      </c>
      <c r="C817" s="2296" t="s">
        <v>3453</v>
      </c>
      <c r="D817" s="2296"/>
      <c r="E817" s="2333" t="s">
        <v>3467</v>
      </c>
      <c r="F817" s="2333" t="s">
        <v>3468</v>
      </c>
      <c r="G817" s="2185" t="s">
        <v>3469</v>
      </c>
      <c r="H817" s="2333"/>
      <c r="I817" s="2334"/>
      <c r="J817" s="2185"/>
      <c r="K817" s="2336"/>
      <c r="L817" s="2335"/>
      <c r="M817" s="1951"/>
      <c r="N817" s="1962"/>
      <c r="O817" s="1961">
        <v>0</v>
      </c>
      <c r="P817" s="1951">
        <v>0</v>
      </c>
      <c r="Q817" s="1960">
        <v>0</v>
      </c>
    </row>
    <row r="818" spans="1:17" ht="12.75" customHeight="1">
      <c r="A818" s="2332" t="s">
        <v>3508</v>
      </c>
      <c r="B818" s="2185" t="s">
        <v>3555</v>
      </c>
      <c r="C818" s="2296" t="s">
        <v>3453</v>
      </c>
      <c r="D818" s="2296"/>
      <c r="E818" s="2333" t="s">
        <v>3456</v>
      </c>
      <c r="F818" s="2333" t="s">
        <v>3457</v>
      </c>
      <c r="G818" s="2185" t="s">
        <v>3458</v>
      </c>
      <c r="H818" s="2333"/>
      <c r="I818" s="2334"/>
      <c r="J818" s="2185"/>
      <c r="K818" s="2336"/>
      <c r="L818" s="2335"/>
      <c r="M818" s="1951"/>
      <c r="N818" s="1962"/>
      <c r="O818" s="1961">
        <v>68824</v>
      </c>
      <c r="P818" s="1951">
        <v>71990</v>
      </c>
      <c r="Q818" s="1960">
        <v>75301</v>
      </c>
    </row>
    <row r="819" spans="1:17" ht="12.75" customHeight="1">
      <c r="A819" s="2332" t="s">
        <v>3464</v>
      </c>
      <c r="B819" s="2185" t="s">
        <v>3522</v>
      </c>
      <c r="C819" s="2296" t="s">
        <v>3453</v>
      </c>
      <c r="D819" s="2296"/>
      <c r="E819" s="2333" t="s">
        <v>3456</v>
      </c>
      <c r="F819" s="2333" t="s">
        <v>3457</v>
      </c>
      <c r="G819" s="2185" t="s">
        <v>3461</v>
      </c>
      <c r="H819" s="2333"/>
      <c r="I819" s="2334"/>
      <c r="J819" s="2185"/>
      <c r="K819" s="2336"/>
      <c r="L819" s="2335"/>
      <c r="M819" s="1951"/>
      <c r="N819" s="1962"/>
      <c r="O819" s="1961">
        <v>38556</v>
      </c>
      <c r="P819" s="1951">
        <v>40330</v>
      </c>
      <c r="Q819" s="1960">
        <v>42185</v>
      </c>
    </row>
    <row r="820" spans="1:17" ht="12.75" customHeight="1">
      <c r="A820" s="2332" t="s">
        <v>3459</v>
      </c>
      <c r="B820" s="2185" t="s">
        <v>3814</v>
      </c>
      <c r="C820" s="2296" t="s">
        <v>3453</v>
      </c>
      <c r="D820" s="2296"/>
      <c r="E820" s="2333" t="s">
        <v>3456</v>
      </c>
      <c r="F820" s="2333" t="s">
        <v>3457</v>
      </c>
      <c r="G820" s="2185" t="s">
        <v>3461</v>
      </c>
      <c r="H820" s="2333"/>
      <c r="I820" s="2334"/>
      <c r="J820" s="2185"/>
      <c r="K820" s="2336"/>
      <c r="L820" s="2335"/>
      <c r="M820" s="1951"/>
      <c r="N820" s="1962"/>
      <c r="O820" s="1961">
        <v>50000</v>
      </c>
      <c r="P820" s="1951">
        <v>52300</v>
      </c>
      <c r="Q820" s="1960">
        <v>54706</v>
      </c>
    </row>
    <row r="821" spans="1:17" ht="12.75" customHeight="1">
      <c r="A821" s="2332" t="s">
        <v>3558</v>
      </c>
      <c r="B821" s="2185" t="s">
        <v>3559</v>
      </c>
      <c r="C821" s="2296" t="s">
        <v>3453</v>
      </c>
      <c r="D821" s="2296"/>
      <c r="E821" s="2333" t="s">
        <v>3456</v>
      </c>
      <c r="F821" s="2333" t="s">
        <v>3457</v>
      </c>
      <c r="G821" s="2185" t="s">
        <v>3461</v>
      </c>
      <c r="H821" s="2333"/>
      <c r="I821" s="2334"/>
      <c r="J821" s="2185"/>
      <c r="K821" s="2336"/>
      <c r="L821" s="2335"/>
      <c r="M821" s="1951"/>
      <c r="N821" s="1962"/>
      <c r="O821" s="1961">
        <v>45000</v>
      </c>
      <c r="P821" s="1951">
        <v>47070</v>
      </c>
      <c r="Q821" s="1960">
        <v>49236</v>
      </c>
    </row>
    <row r="822" spans="1:17" ht="12.75" customHeight="1">
      <c r="A822" s="2332" t="s">
        <v>3536</v>
      </c>
      <c r="B822" s="2185" t="s">
        <v>3548</v>
      </c>
      <c r="C822" s="2296" t="s">
        <v>3453</v>
      </c>
      <c r="D822" s="2296"/>
      <c r="E822" s="2333" t="s">
        <v>3467</v>
      </c>
      <c r="F822" s="2333" t="s">
        <v>3468</v>
      </c>
      <c r="G822" s="2185" t="s">
        <v>3469</v>
      </c>
      <c r="H822" s="2333"/>
      <c r="I822" s="2334"/>
      <c r="J822" s="2185"/>
      <c r="K822" s="2336"/>
      <c r="L822" s="2335"/>
      <c r="M822" s="1951"/>
      <c r="N822" s="1962"/>
      <c r="O822" s="1961">
        <v>30000</v>
      </c>
      <c r="P822" s="1951">
        <v>31380</v>
      </c>
      <c r="Q822" s="1960">
        <v>32824</v>
      </c>
    </row>
    <row r="823" spans="1:17" ht="12.75" customHeight="1">
      <c r="A823" s="2332" t="s">
        <v>3464</v>
      </c>
      <c r="B823" s="2185" t="s">
        <v>3489</v>
      </c>
      <c r="C823" s="2296" t="s">
        <v>3453</v>
      </c>
      <c r="D823" s="2296"/>
      <c r="E823" s="2333" t="s">
        <v>3467</v>
      </c>
      <c r="F823" s="2333" t="s">
        <v>3468</v>
      </c>
      <c r="G823" s="2185" t="s">
        <v>2676</v>
      </c>
      <c r="H823" s="2333"/>
      <c r="I823" s="2334"/>
      <c r="J823" s="2185"/>
      <c r="K823" s="2336"/>
      <c r="L823" s="2335"/>
      <c r="M823" s="1951"/>
      <c r="N823" s="1962"/>
      <c r="O823" s="1961">
        <v>133834</v>
      </c>
      <c r="P823" s="1951">
        <v>139991</v>
      </c>
      <c r="Q823" s="1960">
        <v>146430</v>
      </c>
    </row>
    <row r="824" spans="1:17" ht="12.75" customHeight="1">
      <c r="A824" s="2332" t="s">
        <v>3451</v>
      </c>
      <c r="B824" s="2185" t="s">
        <v>3452</v>
      </c>
      <c r="C824" s="2296" t="s">
        <v>3453</v>
      </c>
      <c r="D824" s="2296"/>
      <c r="E824" s="2333" t="s">
        <v>3456</v>
      </c>
      <c r="F824" s="2333" t="s">
        <v>3457</v>
      </c>
      <c r="G824" s="2185" t="s">
        <v>3526</v>
      </c>
      <c r="H824" s="2333"/>
      <c r="I824" s="2334"/>
      <c r="J824" s="2185"/>
      <c r="K824" s="2336"/>
      <c r="L824" s="2335"/>
      <c r="M824" s="1951"/>
      <c r="N824" s="1962"/>
      <c r="O824" s="1961">
        <v>357018</v>
      </c>
      <c r="P824" s="1951">
        <v>373441</v>
      </c>
      <c r="Q824" s="1960">
        <v>390620</v>
      </c>
    </row>
    <row r="825" spans="1:17" ht="12.75" customHeight="1">
      <c r="A825" s="2332" t="s">
        <v>3490</v>
      </c>
      <c r="B825" s="2185" t="s">
        <v>3607</v>
      </c>
      <c r="C825" s="2296" t="s">
        <v>3453</v>
      </c>
      <c r="D825" s="2296"/>
      <c r="E825" s="2333" t="s">
        <v>3467</v>
      </c>
      <c r="F825" s="2333" t="s">
        <v>3468</v>
      </c>
      <c r="G825" s="2185" t="s">
        <v>3469</v>
      </c>
      <c r="H825" s="2333"/>
      <c r="I825" s="2334"/>
      <c r="J825" s="2185"/>
      <c r="K825" s="2336"/>
      <c r="L825" s="2335"/>
      <c r="M825" s="1951"/>
      <c r="N825" s="1962"/>
      <c r="O825" s="1961">
        <v>59119</v>
      </c>
      <c r="P825" s="1951">
        <v>61839</v>
      </c>
      <c r="Q825" s="1960">
        <v>64684</v>
      </c>
    </row>
    <row r="826" spans="1:17" ht="12.75" customHeight="1">
      <c r="A826" s="2332" t="s">
        <v>3558</v>
      </c>
      <c r="B826" s="2185" t="s">
        <v>3696</v>
      </c>
      <c r="C826" s="2296" t="s">
        <v>3453</v>
      </c>
      <c r="D826" s="2296"/>
      <c r="E826" s="2333" t="s">
        <v>3456</v>
      </c>
      <c r="F826" s="2333" t="s">
        <v>3457</v>
      </c>
      <c r="G826" s="2185" t="s">
        <v>3458</v>
      </c>
      <c r="H826" s="2333"/>
      <c r="I826" s="2334"/>
      <c r="J826" s="2185"/>
      <c r="K826" s="2336"/>
      <c r="L826" s="2335"/>
      <c r="M826" s="1951"/>
      <c r="N826" s="1962"/>
      <c r="O826" s="1961">
        <v>2635</v>
      </c>
      <c r="P826" s="1951">
        <v>2757</v>
      </c>
      <c r="Q826" s="1960">
        <v>2883</v>
      </c>
    </row>
    <row r="827" spans="1:17" ht="12.75" customHeight="1">
      <c r="A827" s="2332" t="s">
        <v>3536</v>
      </c>
      <c r="B827" s="2185" t="s">
        <v>3815</v>
      </c>
      <c r="C827" s="2296" t="s">
        <v>3453</v>
      </c>
      <c r="D827" s="2296"/>
      <c r="E827" s="2333" t="s">
        <v>3456</v>
      </c>
      <c r="F827" s="2333" t="s">
        <v>3457</v>
      </c>
      <c r="G827" s="2185" t="s">
        <v>3461</v>
      </c>
      <c r="H827" s="2333"/>
      <c r="I827" s="2334"/>
      <c r="J827" s="2185"/>
      <c r="K827" s="2336"/>
      <c r="L827" s="2335"/>
      <c r="M827" s="1951"/>
      <c r="N827" s="1962"/>
      <c r="O827" s="1961">
        <v>500</v>
      </c>
      <c r="P827" s="1951">
        <v>523</v>
      </c>
      <c r="Q827" s="1960">
        <v>548</v>
      </c>
    </row>
    <row r="828" spans="1:17" ht="12.75" customHeight="1">
      <c r="A828" s="2332" t="s">
        <v>3459</v>
      </c>
      <c r="B828" s="2185" t="s">
        <v>3816</v>
      </c>
      <c r="C828" s="2296" t="s">
        <v>3453</v>
      </c>
      <c r="D828" s="2296"/>
      <c r="E828" s="2333" t="s">
        <v>3456</v>
      </c>
      <c r="F828" s="2333" t="s">
        <v>3457</v>
      </c>
      <c r="G828" s="2185" t="s">
        <v>3461</v>
      </c>
      <c r="H828" s="2333"/>
      <c r="I828" s="2334"/>
      <c r="J828" s="2185"/>
      <c r="K828" s="2336"/>
      <c r="L828" s="2335"/>
      <c r="M828" s="1951"/>
      <c r="N828" s="1962"/>
      <c r="O828" s="1961">
        <v>0</v>
      </c>
      <c r="P828" s="1951">
        <v>0</v>
      </c>
      <c r="Q828" s="1960">
        <v>0</v>
      </c>
    </row>
    <row r="829" spans="1:17" ht="12.75" customHeight="1">
      <c r="A829" s="2332" t="s">
        <v>3451</v>
      </c>
      <c r="B829" s="2185" t="s">
        <v>3671</v>
      </c>
      <c r="C829" s="2296" t="s">
        <v>3453</v>
      </c>
      <c r="D829" s="2296"/>
      <c r="E829" s="2333" t="s">
        <v>3467</v>
      </c>
      <c r="F829" s="2333" t="s">
        <v>3468</v>
      </c>
      <c r="G829" s="2185" t="s">
        <v>3469</v>
      </c>
      <c r="H829" s="2333"/>
      <c r="I829" s="2334"/>
      <c r="J829" s="2185"/>
      <c r="K829" s="2336"/>
      <c r="L829" s="2335"/>
      <c r="M829" s="1951"/>
      <c r="N829" s="1962"/>
      <c r="O829" s="1961">
        <v>28000</v>
      </c>
      <c r="P829" s="1951">
        <v>29288</v>
      </c>
      <c r="Q829" s="1960">
        <v>30636</v>
      </c>
    </row>
    <row r="830" spans="1:17" ht="12.75" customHeight="1">
      <c r="A830" s="2332" t="s">
        <v>3543</v>
      </c>
      <c r="B830" s="2185" t="s">
        <v>3658</v>
      </c>
      <c r="C830" s="2296" t="s">
        <v>3453</v>
      </c>
      <c r="D830" s="2296"/>
      <c r="E830" s="2333" t="s">
        <v>3456</v>
      </c>
      <c r="F830" s="2333" t="s">
        <v>3457</v>
      </c>
      <c r="G830" s="2185" t="s">
        <v>3458</v>
      </c>
      <c r="H830" s="2333"/>
      <c r="I830" s="2334"/>
      <c r="J830" s="2185"/>
      <c r="K830" s="2336"/>
      <c r="L830" s="2335"/>
      <c r="M830" s="1951"/>
      <c r="N830" s="1962"/>
      <c r="O830" s="1961">
        <v>46507</v>
      </c>
      <c r="P830" s="1951">
        <v>48647</v>
      </c>
      <c r="Q830" s="1960">
        <v>50885</v>
      </c>
    </row>
    <row r="831" spans="1:17" ht="12.75" customHeight="1">
      <c r="A831" s="2332" t="s">
        <v>3558</v>
      </c>
      <c r="B831" s="2185" t="s">
        <v>3696</v>
      </c>
      <c r="C831" s="2296" t="s">
        <v>3453</v>
      </c>
      <c r="D831" s="2296"/>
      <c r="E831" s="2333" t="s">
        <v>3467</v>
      </c>
      <c r="F831" s="2333" t="s">
        <v>3468</v>
      </c>
      <c r="G831" s="2185" t="s">
        <v>3469</v>
      </c>
      <c r="H831" s="2333"/>
      <c r="I831" s="2334"/>
      <c r="J831" s="2185"/>
      <c r="K831" s="2336"/>
      <c r="L831" s="2335"/>
      <c r="M831" s="1951"/>
      <c r="N831" s="1962"/>
      <c r="O831" s="1961">
        <v>143073</v>
      </c>
      <c r="P831" s="1951">
        <v>149655</v>
      </c>
      <c r="Q831" s="1960">
        <v>156539</v>
      </c>
    </row>
    <row r="832" spans="1:17" ht="12.75" customHeight="1">
      <c r="A832" s="2332" t="s">
        <v>3485</v>
      </c>
      <c r="B832" s="2185" t="s">
        <v>3486</v>
      </c>
      <c r="C832" s="2296" t="s">
        <v>3453</v>
      </c>
      <c r="D832" s="2296"/>
      <c r="E832" s="2333" t="s">
        <v>3456</v>
      </c>
      <c r="F832" s="2333" t="s">
        <v>3457</v>
      </c>
      <c r="G832" s="2185" t="s">
        <v>3461</v>
      </c>
      <c r="H832" s="2333"/>
      <c r="I832" s="2334"/>
      <c r="J832" s="2185"/>
      <c r="K832" s="2336"/>
      <c r="L832" s="2335"/>
      <c r="M832" s="1951"/>
      <c r="N832" s="1962"/>
      <c r="O832" s="1961">
        <v>951687</v>
      </c>
      <c r="P832" s="1951">
        <v>995465</v>
      </c>
      <c r="Q832" s="1960">
        <v>1041256</v>
      </c>
    </row>
    <row r="833" spans="1:17" ht="12.75" customHeight="1">
      <c r="A833" s="2332" t="s">
        <v>3572</v>
      </c>
      <c r="B833" s="2185" t="s">
        <v>3817</v>
      </c>
      <c r="C833" s="2296" t="s">
        <v>3497</v>
      </c>
      <c r="D833" s="2296"/>
      <c r="E833" s="2333" t="s">
        <v>3456</v>
      </c>
      <c r="F833" s="2333" t="s">
        <v>3457</v>
      </c>
      <c r="G833" s="2185" t="s">
        <v>3461</v>
      </c>
      <c r="H833" s="2333"/>
      <c r="I833" s="2334"/>
      <c r="J833" s="2185"/>
      <c r="K833" s="2336"/>
      <c r="L833" s="2335"/>
      <c r="M833" s="1951"/>
      <c r="N833" s="1962"/>
      <c r="O833" s="1961">
        <v>1814</v>
      </c>
      <c r="P833" s="1951">
        <v>1898</v>
      </c>
      <c r="Q833" s="1960">
        <v>1985</v>
      </c>
    </row>
    <row r="834" spans="1:17" ht="12.75" customHeight="1">
      <c r="A834" s="2332" t="s">
        <v>3558</v>
      </c>
      <c r="B834" s="2185" t="s">
        <v>3696</v>
      </c>
      <c r="C834" s="2296" t="s">
        <v>3453</v>
      </c>
      <c r="D834" s="2296"/>
      <c r="E834" s="2333" t="s">
        <v>3467</v>
      </c>
      <c r="F834" s="2333" t="s">
        <v>3468</v>
      </c>
      <c r="G834" s="2185" t="s">
        <v>3469</v>
      </c>
      <c r="H834" s="2333"/>
      <c r="I834" s="2334"/>
      <c r="J834" s="2185"/>
      <c r="K834" s="2336"/>
      <c r="L834" s="2335"/>
      <c r="M834" s="1951"/>
      <c r="N834" s="1962"/>
      <c r="O834" s="1961">
        <v>555829</v>
      </c>
      <c r="P834" s="1951">
        <v>581398</v>
      </c>
      <c r="Q834" s="1960">
        <v>608142</v>
      </c>
    </row>
    <row r="835" spans="1:17" ht="12.75" customHeight="1">
      <c r="A835" s="2332" t="s">
        <v>3479</v>
      </c>
      <c r="B835" s="2185" t="s">
        <v>3480</v>
      </c>
      <c r="C835" s="2296" t="s">
        <v>3453</v>
      </c>
      <c r="D835" s="2296"/>
      <c r="E835" s="2333" t="s">
        <v>3525</v>
      </c>
      <c r="F835" s="2333" t="s">
        <v>3457</v>
      </c>
      <c r="G835" s="2185" t="s">
        <v>3526</v>
      </c>
      <c r="H835" s="2333"/>
      <c r="I835" s="2334"/>
      <c r="J835" s="2185"/>
      <c r="K835" s="2336"/>
      <c r="L835" s="2335"/>
      <c r="M835" s="1951"/>
      <c r="N835" s="1962"/>
      <c r="O835" s="1961">
        <v>427637</v>
      </c>
      <c r="P835" s="1951">
        <v>447309</v>
      </c>
      <c r="Q835" s="1960">
        <v>467885</v>
      </c>
    </row>
    <row r="836" spans="1:17" ht="12.75" customHeight="1">
      <c r="A836" s="2332" t="s">
        <v>3454</v>
      </c>
      <c r="B836" s="2185" t="s">
        <v>3545</v>
      </c>
      <c r="C836" s="2296" t="s">
        <v>3453</v>
      </c>
      <c r="D836" s="2296"/>
      <c r="E836" s="2333" t="s">
        <v>3467</v>
      </c>
      <c r="F836" s="2333" t="s">
        <v>3468</v>
      </c>
      <c r="G836" s="2185" t="s">
        <v>3469</v>
      </c>
      <c r="H836" s="2333"/>
      <c r="I836" s="2334"/>
      <c r="J836" s="2185"/>
      <c r="K836" s="2336"/>
      <c r="L836" s="2335"/>
      <c r="M836" s="1951"/>
      <c r="N836" s="1962"/>
      <c r="O836" s="1961">
        <v>0</v>
      </c>
      <c r="P836" s="1951">
        <v>0</v>
      </c>
      <c r="Q836" s="1960">
        <v>0</v>
      </c>
    </row>
    <row r="837" spans="1:17" ht="12.75" customHeight="1">
      <c r="A837" s="2332" t="s">
        <v>3451</v>
      </c>
      <c r="B837" s="2185" t="s">
        <v>3452</v>
      </c>
      <c r="C837" s="2296" t="s">
        <v>3453</v>
      </c>
      <c r="D837" s="2296"/>
      <c r="E837" s="2333" t="s">
        <v>3456</v>
      </c>
      <c r="F837" s="2333" t="s">
        <v>3457</v>
      </c>
      <c r="G837" s="2185" t="s">
        <v>3481</v>
      </c>
      <c r="H837" s="2333"/>
      <c r="I837" s="2334"/>
      <c r="J837" s="2185"/>
      <c r="K837" s="2336"/>
      <c r="L837" s="2335"/>
      <c r="M837" s="1951"/>
      <c r="N837" s="1962"/>
      <c r="O837" s="1961">
        <v>39119</v>
      </c>
      <c r="P837" s="1951">
        <v>40919</v>
      </c>
      <c r="Q837" s="1960">
        <v>42801</v>
      </c>
    </row>
    <row r="838" spans="1:17" ht="12.75" customHeight="1">
      <c r="A838" s="2332" t="s">
        <v>3459</v>
      </c>
      <c r="B838" s="2185" t="s">
        <v>3818</v>
      </c>
      <c r="C838" s="2296" t="s">
        <v>3497</v>
      </c>
      <c r="D838" s="2296"/>
      <c r="E838" s="2333" t="s">
        <v>3467</v>
      </c>
      <c r="F838" s="2333" t="s">
        <v>3468</v>
      </c>
      <c r="G838" s="2185" t="s">
        <v>3469</v>
      </c>
      <c r="H838" s="2333"/>
      <c r="I838" s="2334"/>
      <c r="J838" s="2185"/>
      <c r="K838" s="2336"/>
      <c r="L838" s="2335"/>
      <c r="M838" s="1951"/>
      <c r="N838" s="1962"/>
      <c r="O838" s="1961">
        <v>0</v>
      </c>
      <c r="P838" s="1951">
        <v>0</v>
      </c>
      <c r="Q838" s="1960">
        <v>0</v>
      </c>
    </row>
    <row r="839" spans="1:17" ht="12.75" customHeight="1">
      <c r="A839" s="2332" t="s">
        <v>3510</v>
      </c>
      <c r="B839" s="2185" t="s">
        <v>3642</v>
      </c>
      <c r="C839" s="2296" t="s">
        <v>3453</v>
      </c>
      <c r="D839" s="2296"/>
      <c r="E839" s="2333" t="s">
        <v>3467</v>
      </c>
      <c r="F839" s="2333" t="s">
        <v>3468</v>
      </c>
      <c r="G839" s="2185" t="s">
        <v>3475</v>
      </c>
      <c r="H839" s="2333"/>
      <c r="I839" s="2334"/>
      <c r="J839" s="2185"/>
      <c r="K839" s="2336"/>
      <c r="L839" s="2335"/>
      <c r="M839" s="1951"/>
      <c r="N839" s="1962"/>
      <c r="O839" s="1961">
        <v>60477</v>
      </c>
      <c r="P839" s="1951">
        <v>63259</v>
      </c>
      <c r="Q839" s="1960">
        <v>66169</v>
      </c>
    </row>
    <row r="840" spans="1:17" ht="12.75" customHeight="1">
      <c r="A840" s="2332" t="s">
        <v>3536</v>
      </c>
      <c r="B840" s="2185" t="s">
        <v>3537</v>
      </c>
      <c r="C840" s="2296" t="s">
        <v>3453</v>
      </c>
      <c r="D840" s="2296"/>
      <c r="E840" s="2333" t="s">
        <v>3467</v>
      </c>
      <c r="F840" s="2333" t="s">
        <v>3468</v>
      </c>
      <c r="G840" s="2185" t="s">
        <v>3475</v>
      </c>
      <c r="H840" s="2333"/>
      <c r="I840" s="2334"/>
      <c r="J840" s="2185"/>
      <c r="K840" s="2336"/>
      <c r="L840" s="2335"/>
      <c r="M840" s="1951"/>
      <c r="N840" s="1962"/>
      <c r="O840" s="1961">
        <v>11468</v>
      </c>
      <c r="P840" s="1951">
        <v>11996</v>
      </c>
      <c r="Q840" s="1960">
        <v>12548</v>
      </c>
    </row>
    <row r="841" spans="1:17" ht="12.75" customHeight="1">
      <c r="A841" s="2332" t="s">
        <v>3459</v>
      </c>
      <c r="B841" s="2185" t="s">
        <v>3498</v>
      </c>
      <c r="C841" s="2296" t="s">
        <v>3453</v>
      </c>
      <c r="D841" s="2296"/>
      <c r="E841" s="2333" t="s">
        <v>3467</v>
      </c>
      <c r="F841" s="2333" t="s">
        <v>3468</v>
      </c>
      <c r="G841" s="2185" t="s">
        <v>3475</v>
      </c>
      <c r="H841" s="2333"/>
      <c r="I841" s="2334"/>
      <c r="J841" s="2185"/>
      <c r="K841" s="2336"/>
      <c r="L841" s="2335"/>
      <c r="M841" s="1951"/>
      <c r="N841" s="1962"/>
      <c r="O841" s="1961">
        <v>891292</v>
      </c>
      <c r="P841" s="1951">
        <v>932292</v>
      </c>
      <c r="Q841" s="1960">
        <v>975177</v>
      </c>
    </row>
    <row r="842" spans="1:17" ht="12.75" customHeight="1">
      <c r="A842" s="2332" t="s">
        <v>3536</v>
      </c>
      <c r="B842" s="2185" t="s">
        <v>3548</v>
      </c>
      <c r="C842" s="2296" t="s">
        <v>3453</v>
      </c>
      <c r="D842" s="2296"/>
      <c r="E842" s="2333" t="s">
        <v>3467</v>
      </c>
      <c r="F842" s="2333" t="s">
        <v>3468</v>
      </c>
      <c r="G842" s="2185" t="s">
        <v>3469</v>
      </c>
      <c r="H842" s="2333"/>
      <c r="I842" s="2334"/>
      <c r="J842" s="2185"/>
      <c r="K842" s="2336"/>
      <c r="L842" s="2335"/>
      <c r="M842" s="1951"/>
      <c r="N842" s="1962"/>
      <c r="O842" s="1961">
        <v>42447</v>
      </c>
      <c r="P842" s="1951">
        <v>44400</v>
      </c>
      <c r="Q842" s="1960">
        <v>46442</v>
      </c>
    </row>
    <row r="843" spans="1:17" ht="12.75" customHeight="1">
      <c r="A843" s="2332" t="s">
        <v>3479</v>
      </c>
      <c r="B843" s="2185" t="s">
        <v>3819</v>
      </c>
      <c r="C843" s="2296" t="s">
        <v>3453</v>
      </c>
      <c r="D843" s="2296"/>
      <c r="E843" s="2333"/>
      <c r="F843" s="2333"/>
      <c r="G843" s="2185"/>
      <c r="H843" s="2333"/>
      <c r="I843" s="2334"/>
      <c r="J843" s="2185"/>
      <c r="K843" s="2336"/>
      <c r="L843" s="2335"/>
      <c r="M843" s="1951"/>
      <c r="N843" s="1962"/>
      <c r="O843" s="1961">
        <v>99273</v>
      </c>
      <c r="P843" s="1951">
        <v>103840</v>
      </c>
      <c r="Q843" s="1960">
        <v>108617</v>
      </c>
    </row>
    <row r="844" spans="1:17" ht="12.75" customHeight="1">
      <c r="A844" s="2332" t="s">
        <v>3479</v>
      </c>
      <c r="B844" s="2185" t="s">
        <v>3480</v>
      </c>
      <c r="C844" s="2296" t="s">
        <v>3453</v>
      </c>
      <c r="D844" s="2296"/>
      <c r="E844" s="2333" t="s">
        <v>3456</v>
      </c>
      <c r="F844" s="2333" t="s">
        <v>3457</v>
      </c>
      <c r="G844" s="2185" t="s">
        <v>3458</v>
      </c>
      <c r="H844" s="2333"/>
      <c r="I844" s="2334"/>
      <c r="J844" s="2185"/>
      <c r="K844" s="2336"/>
      <c r="L844" s="2335"/>
      <c r="M844" s="1951"/>
      <c r="N844" s="1962"/>
      <c r="O844" s="1961">
        <v>506396</v>
      </c>
      <c r="P844" s="1951">
        <v>529691</v>
      </c>
      <c r="Q844" s="1960">
        <v>554056</v>
      </c>
    </row>
    <row r="845" spans="1:17" ht="12.75" customHeight="1">
      <c r="A845" s="2332" t="s">
        <v>3543</v>
      </c>
      <c r="B845" s="2185" t="s">
        <v>3623</v>
      </c>
      <c r="C845" s="2296" t="s">
        <v>3453</v>
      </c>
      <c r="D845" s="2296"/>
      <c r="E845" s="2333" t="s">
        <v>3456</v>
      </c>
      <c r="F845" s="2333" t="s">
        <v>3457</v>
      </c>
      <c r="G845" s="2185" t="s">
        <v>3458</v>
      </c>
      <c r="H845" s="2333"/>
      <c r="I845" s="2334"/>
      <c r="J845" s="2185"/>
      <c r="K845" s="2336"/>
      <c r="L845" s="2335"/>
      <c r="M845" s="1951"/>
      <c r="N845" s="1962"/>
      <c r="O845" s="1961">
        <v>45000</v>
      </c>
      <c r="P845" s="1951">
        <v>47070</v>
      </c>
      <c r="Q845" s="1960">
        <v>49236</v>
      </c>
    </row>
    <row r="846" spans="1:17" ht="12.75" customHeight="1">
      <c r="A846" s="2332" t="s">
        <v>3565</v>
      </c>
      <c r="B846" s="2185" t="s">
        <v>3820</v>
      </c>
      <c r="C846" s="2296" t="s">
        <v>3453</v>
      </c>
      <c r="D846" s="2296"/>
      <c r="E846" s="2333" t="s">
        <v>3456</v>
      </c>
      <c r="F846" s="2333" t="s">
        <v>3457</v>
      </c>
      <c r="G846" s="2185" t="s">
        <v>3461</v>
      </c>
      <c r="H846" s="2333"/>
      <c r="I846" s="2334"/>
      <c r="J846" s="2185"/>
      <c r="K846" s="2336"/>
      <c r="L846" s="2335"/>
      <c r="M846" s="1951"/>
      <c r="N846" s="1962"/>
      <c r="O846" s="1961">
        <v>350000</v>
      </c>
      <c r="P846" s="1951">
        <v>366100</v>
      </c>
      <c r="Q846" s="1960">
        <v>382941</v>
      </c>
    </row>
    <row r="847" spans="1:17" ht="12.75" customHeight="1">
      <c r="A847" s="2332" t="s">
        <v>3459</v>
      </c>
      <c r="B847" s="2185" t="s">
        <v>3612</v>
      </c>
      <c r="C847" s="2296" t="s">
        <v>3453</v>
      </c>
      <c r="D847" s="2296"/>
      <c r="E847" s="2333" t="s">
        <v>3456</v>
      </c>
      <c r="F847" s="2333" t="s">
        <v>3457</v>
      </c>
      <c r="G847" s="2185" t="s">
        <v>3461</v>
      </c>
      <c r="H847" s="2333"/>
      <c r="I847" s="2334"/>
      <c r="J847" s="2185"/>
      <c r="K847" s="2336"/>
      <c r="L847" s="2335"/>
      <c r="M847" s="1951"/>
      <c r="N847" s="1962"/>
      <c r="O847" s="1961">
        <v>0</v>
      </c>
      <c r="P847" s="1951">
        <v>0</v>
      </c>
      <c r="Q847" s="1960">
        <v>0</v>
      </c>
    </row>
    <row r="848" spans="1:17" ht="12.75" customHeight="1">
      <c r="A848" s="2332" t="s">
        <v>3533</v>
      </c>
      <c r="B848" s="2185" t="s">
        <v>3635</v>
      </c>
      <c r="C848" s="2296" t="s">
        <v>3453</v>
      </c>
      <c r="D848" s="2296"/>
      <c r="E848" s="2333" t="s">
        <v>3456</v>
      </c>
      <c r="F848" s="2333" t="s">
        <v>3457</v>
      </c>
      <c r="G848" s="2185" t="s">
        <v>3461</v>
      </c>
      <c r="H848" s="2333"/>
      <c r="I848" s="2334"/>
      <c r="J848" s="2185"/>
      <c r="K848" s="2336"/>
      <c r="L848" s="2335"/>
      <c r="M848" s="1951"/>
      <c r="N848" s="1962"/>
      <c r="O848" s="1961">
        <v>290490</v>
      </c>
      <c r="P848" s="1951">
        <v>303853</v>
      </c>
      <c r="Q848" s="1960">
        <v>317830</v>
      </c>
    </row>
    <row r="849" spans="1:17" ht="12.75" customHeight="1">
      <c r="A849" s="2332" t="s">
        <v>3464</v>
      </c>
      <c r="B849" s="2185" t="s">
        <v>3605</v>
      </c>
      <c r="C849" s="2296" t="s">
        <v>3453</v>
      </c>
      <c r="D849" s="2296"/>
      <c r="E849" s="2333" t="s">
        <v>3467</v>
      </c>
      <c r="F849" s="2333" t="s">
        <v>3468</v>
      </c>
      <c r="G849" s="2185" t="s">
        <v>3469</v>
      </c>
      <c r="H849" s="2333"/>
      <c r="I849" s="2334"/>
      <c r="J849" s="2185"/>
      <c r="K849" s="2336"/>
      <c r="L849" s="2335"/>
      <c r="M849" s="1951"/>
      <c r="N849" s="1962"/>
      <c r="O849" s="1961">
        <v>128250</v>
      </c>
      <c r="P849" s="1951">
        <v>134150</v>
      </c>
      <c r="Q849" s="1960">
        <v>140321</v>
      </c>
    </row>
    <row r="850" spans="1:17" ht="12.75" customHeight="1">
      <c r="A850" s="2332" t="s">
        <v>3565</v>
      </c>
      <c r="B850" s="2185" t="s">
        <v>3628</v>
      </c>
      <c r="C850" s="2296" t="s">
        <v>3453</v>
      </c>
      <c r="D850" s="2296"/>
      <c r="E850" s="2333" t="s">
        <v>3467</v>
      </c>
      <c r="F850" s="2333" t="s">
        <v>3468</v>
      </c>
      <c r="G850" s="2185" t="s">
        <v>2676</v>
      </c>
      <c r="H850" s="2333"/>
      <c r="I850" s="2334"/>
      <c r="J850" s="2185"/>
      <c r="K850" s="2336"/>
      <c r="L850" s="2335"/>
      <c r="M850" s="1951"/>
      <c r="N850" s="1962"/>
      <c r="O850" s="1961">
        <v>32870</v>
      </c>
      <c r="P850" s="1951">
        <v>34383</v>
      </c>
      <c r="Q850" s="1960">
        <v>35964</v>
      </c>
    </row>
    <row r="851" spans="1:17" ht="12.75" customHeight="1">
      <c r="A851" s="2332" t="s">
        <v>3543</v>
      </c>
      <c r="B851" s="2185" t="s">
        <v>3658</v>
      </c>
      <c r="C851" s="2296" t="s">
        <v>3453</v>
      </c>
      <c r="D851" s="2296"/>
      <c r="E851" s="2333" t="s">
        <v>3456</v>
      </c>
      <c r="F851" s="2333" t="s">
        <v>3457</v>
      </c>
      <c r="G851" s="2185" t="s">
        <v>3458</v>
      </c>
      <c r="H851" s="2333"/>
      <c r="I851" s="2334"/>
      <c r="J851" s="2185"/>
      <c r="K851" s="2336"/>
      <c r="L851" s="2335"/>
      <c r="M851" s="1951"/>
      <c r="N851" s="1962"/>
      <c r="O851" s="1961">
        <v>49876</v>
      </c>
      <c r="P851" s="1951">
        <v>52171</v>
      </c>
      <c r="Q851" s="1960">
        <v>54571</v>
      </c>
    </row>
    <row r="852" spans="1:17" ht="12.75" customHeight="1">
      <c r="A852" s="2332" t="s">
        <v>3490</v>
      </c>
      <c r="B852" s="2185" t="s">
        <v>3493</v>
      </c>
      <c r="C852" s="2296" t="s">
        <v>3453</v>
      </c>
      <c r="D852" s="2296"/>
      <c r="E852" s="2333" t="s">
        <v>3456</v>
      </c>
      <c r="F852" s="2333" t="s">
        <v>3457</v>
      </c>
      <c r="G852" s="2185" t="s">
        <v>3481</v>
      </c>
      <c r="H852" s="2333"/>
      <c r="I852" s="2334"/>
      <c r="J852" s="2185"/>
      <c r="K852" s="2336"/>
      <c r="L852" s="2335"/>
      <c r="M852" s="1951"/>
      <c r="N852" s="1962"/>
      <c r="O852" s="1961">
        <v>142300</v>
      </c>
      <c r="P852" s="1951">
        <v>148846</v>
      </c>
      <c r="Q852" s="1960">
        <v>155693</v>
      </c>
    </row>
    <row r="853" spans="1:17" ht="12.75" customHeight="1">
      <c r="A853" s="2332" t="s">
        <v>3479</v>
      </c>
      <c r="B853" s="2185" t="s">
        <v>3821</v>
      </c>
      <c r="C853" s="2296" t="s">
        <v>3453</v>
      </c>
      <c r="D853" s="2296"/>
      <c r="E853" s="2333" t="s">
        <v>3456</v>
      </c>
      <c r="F853" s="2333" t="s">
        <v>3457</v>
      </c>
      <c r="G853" s="2185" t="s">
        <v>3458</v>
      </c>
      <c r="H853" s="2333"/>
      <c r="I853" s="2334"/>
      <c r="J853" s="2185"/>
      <c r="K853" s="2336"/>
      <c r="L853" s="2335"/>
      <c r="M853" s="1951"/>
      <c r="N853" s="1962"/>
      <c r="O853" s="1961">
        <v>15669</v>
      </c>
      <c r="P853" s="1951">
        <v>16390</v>
      </c>
      <c r="Q853" s="1960">
        <v>17144</v>
      </c>
    </row>
    <row r="854" spans="1:17" ht="12.75" customHeight="1">
      <c r="A854" s="2332" t="s">
        <v>3464</v>
      </c>
      <c r="B854" s="2185" t="s">
        <v>3822</v>
      </c>
      <c r="C854" s="2296" t="s">
        <v>3497</v>
      </c>
      <c r="D854" s="2296"/>
      <c r="E854" s="2333" t="s">
        <v>3456</v>
      </c>
      <c r="F854" s="2333" t="s">
        <v>3457</v>
      </c>
      <c r="G854" s="2185" t="s">
        <v>3458</v>
      </c>
      <c r="H854" s="2333"/>
      <c r="I854" s="2334"/>
      <c r="J854" s="2185"/>
      <c r="K854" s="2336"/>
      <c r="L854" s="2335"/>
      <c r="M854" s="1951"/>
      <c r="N854" s="1962"/>
      <c r="O854" s="1961">
        <v>1000</v>
      </c>
      <c r="P854" s="1951">
        <v>1046</v>
      </c>
      <c r="Q854" s="1960">
        <v>1095</v>
      </c>
    </row>
    <row r="855" spans="1:17" ht="12.75" customHeight="1">
      <c r="A855" s="2332" t="s">
        <v>3490</v>
      </c>
      <c r="B855" s="2185" t="s">
        <v>3586</v>
      </c>
      <c r="C855" s="2296" t="s">
        <v>3453</v>
      </c>
      <c r="D855" s="2296"/>
      <c r="E855" s="2333" t="s">
        <v>3456</v>
      </c>
      <c r="F855" s="2333" t="s">
        <v>3457</v>
      </c>
      <c r="G855" s="2185" t="s">
        <v>3461</v>
      </c>
      <c r="H855" s="2333"/>
      <c r="I855" s="2334"/>
      <c r="J855" s="2185"/>
      <c r="K855" s="2336"/>
      <c r="L855" s="2335"/>
      <c r="M855" s="1951"/>
      <c r="N855" s="1962"/>
      <c r="O855" s="1961">
        <v>2736823</v>
      </c>
      <c r="P855" s="1951">
        <v>2862717</v>
      </c>
      <c r="Q855" s="1960">
        <v>2994402</v>
      </c>
    </row>
    <row r="856" spans="1:17" ht="12.75" customHeight="1">
      <c r="A856" s="2332" t="s">
        <v>3543</v>
      </c>
      <c r="B856" s="2185" t="s">
        <v>3623</v>
      </c>
      <c r="C856" s="2296" t="s">
        <v>3453</v>
      </c>
      <c r="D856" s="2296"/>
      <c r="E856" s="2333" t="s">
        <v>3467</v>
      </c>
      <c r="F856" s="2333" t="s">
        <v>3468</v>
      </c>
      <c r="G856" s="2185" t="s">
        <v>2676</v>
      </c>
      <c r="H856" s="2333"/>
      <c r="I856" s="2334"/>
      <c r="J856" s="2185"/>
      <c r="K856" s="2336"/>
      <c r="L856" s="2335"/>
      <c r="M856" s="1951"/>
      <c r="N856" s="1962"/>
      <c r="O856" s="1961">
        <v>4979</v>
      </c>
      <c r="P856" s="1951">
        <v>5209</v>
      </c>
      <c r="Q856" s="1960">
        <v>5448</v>
      </c>
    </row>
    <row r="857" spans="1:17" ht="12.75" customHeight="1">
      <c r="A857" s="2332" t="s">
        <v>3523</v>
      </c>
      <c r="B857" s="2185" t="s">
        <v>3626</v>
      </c>
      <c r="C857" s="2296" t="s">
        <v>3453</v>
      </c>
      <c r="D857" s="2296"/>
      <c r="E857" s="2333" t="s">
        <v>3456</v>
      </c>
      <c r="F857" s="2333" t="s">
        <v>3457</v>
      </c>
      <c r="G857" s="2185" t="s">
        <v>3461</v>
      </c>
      <c r="H857" s="2333"/>
      <c r="I857" s="2334"/>
      <c r="J857" s="2185"/>
      <c r="K857" s="2336"/>
      <c r="L857" s="2335"/>
      <c r="M857" s="1951"/>
      <c r="N857" s="1962"/>
      <c r="O857" s="1961">
        <v>930605</v>
      </c>
      <c r="P857" s="1951">
        <v>973413</v>
      </c>
      <c r="Q857" s="1960">
        <v>1018190</v>
      </c>
    </row>
    <row r="858" spans="1:17" ht="12.75" customHeight="1">
      <c r="A858" s="2332" t="s">
        <v>3483</v>
      </c>
      <c r="B858" s="2185" t="s">
        <v>3583</v>
      </c>
      <c r="C858" s="2296" t="s">
        <v>3453</v>
      </c>
      <c r="D858" s="2296"/>
      <c r="E858" s="2333" t="s">
        <v>3456</v>
      </c>
      <c r="F858" s="2333" t="s">
        <v>3457</v>
      </c>
      <c r="G858" s="2185" t="s">
        <v>3458</v>
      </c>
      <c r="H858" s="2333"/>
      <c r="I858" s="2334"/>
      <c r="J858" s="2185"/>
      <c r="K858" s="2336"/>
      <c r="L858" s="2335"/>
      <c r="M858" s="1951"/>
      <c r="N858" s="1962"/>
      <c r="O858" s="1961">
        <v>198318</v>
      </c>
      <c r="P858" s="1951">
        <v>207441</v>
      </c>
      <c r="Q858" s="1960">
        <v>216983</v>
      </c>
    </row>
    <row r="859" spans="1:17" ht="12.75" customHeight="1">
      <c r="A859" s="2332" t="s">
        <v>3454</v>
      </c>
      <c r="B859" s="2185" t="s">
        <v>3574</v>
      </c>
      <c r="C859" s="2296" t="s">
        <v>3453</v>
      </c>
      <c r="D859" s="2296"/>
      <c r="E859" s="2333" t="s">
        <v>3456</v>
      </c>
      <c r="F859" s="2333" t="s">
        <v>3457</v>
      </c>
      <c r="G859" s="2185" t="s">
        <v>3461</v>
      </c>
      <c r="H859" s="2333"/>
      <c r="I859" s="2334"/>
      <c r="J859" s="2185"/>
      <c r="K859" s="2336"/>
      <c r="L859" s="2335"/>
      <c r="M859" s="1951"/>
      <c r="N859" s="1962"/>
      <c r="O859" s="1961">
        <v>0</v>
      </c>
      <c r="P859" s="1951">
        <v>0</v>
      </c>
      <c r="Q859" s="1960">
        <v>0</v>
      </c>
    </row>
    <row r="860" spans="1:17" ht="12.75" customHeight="1">
      <c r="A860" s="2332" t="s">
        <v>3499</v>
      </c>
      <c r="B860" s="2185" t="s">
        <v>3823</v>
      </c>
      <c r="C860" s="2296" t="s">
        <v>3453</v>
      </c>
      <c r="D860" s="2296"/>
      <c r="E860" s="2333" t="s">
        <v>3467</v>
      </c>
      <c r="F860" s="2333" t="s">
        <v>3468</v>
      </c>
      <c r="G860" s="2185" t="s">
        <v>3475</v>
      </c>
      <c r="H860" s="2333"/>
      <c r="I860" s="2334"/>
      <c r="J860" s="2185"/>
      <c r="K860" s="2336"/>
      <c r="L860" s="2335"/>
      <c r="M860" s="1951"/>
      <c r="N860" s="1962"/>
      <c r="O860" s="1961">
        <v>2433</v>
      </c>
      <c r="P860" s="1951">
        <v>2545</v>
      </c>
      <c r="Q860" s="1960">
        <v>2662</v>
      </c>
    </row>
    <row r="861" spans="1:17" ht="12.75" customHeight="1">
      <c r="A861" s="2332" t="s">
        <v>3454</v>
      </c>
      <c r="B861" s="2185" t="s">
        <v>3545</v>
      </c>
      <c r="C861" s="2296" t="s">
        <v>3453</v>
      </c>
      <c r="D861" s="2296"/>
      <c r="E861" s="2333" t="s">
        <v>3467</v>
      </c>
      <c r="F861" s="2333" t="s">
        <v>3468</v>
      </c>
      <c r="G861" s="2185" t="s">
        <v>3469</v>
      </c>
      <c r="H861" s="2333"/>
      <c r="I861" s="2334"/>
      <c r="J861" s="2185"/>
      <c r="K861" s="2336"/>
      <c r="L861" s="2335"/>
      <c r="M861" s="1951"/>
      <c r="N861" s="1962"/>
      <c r="O861" s="1961">
        <v>0</v>
      </c>
      <c r="P861" s="1951">
        <v>0</v>
      </c>
      <c r="Q861" s="1960">
        <v>0</v>
      </c>
    </row>
    <row r="862" spans="1:17" ht="12.75" customHeight="1">
      <c r="A862" s="2332" t="s">
        <v>3520</v>
      </c>
      <c r="B862" s="2185" t="s">
        <v>3668</v>
      </c>
      <c r="C862" s="2296" t="s">
        <v>3453</v>
      </c>
      <c r="D862" s="2296"/>
      <c r="E862" s="2333" t="s">
        <v>3467</v>
      </c>
      <c r="F862" s="2333" t="s">
        <v>3468</v>
      </c>
      <c r="G862" s="2185" t="s">
        <v>3469</v>
      </c>
      <c r="H862" s="2333"/>
      <c r="I862" s="2334"/>
      <c r="J862" s="2185"/>
      <c r="K862" s="2336"/>
      <c r="L862" s="2335"/>
      <c r="M862" s="1951"/>
      <c r="N862" s="1962"/>
      <c r="O862" s="1961">
        <v>90663</v>
      </c>
      <c r="P862" s="1951">
        <v>94834</v>
      </c>
      <c r="Q862" s="1960">
        <v>99196</v>
      </c>
    </row>
    <row r="863" spans="1:17" ht="12.75" customHeight="1">
      <c r="A863" s="2332" t="s">
        <v>3506</v>
      </c>
      <c r="B863" s="2185" t="s">
        <v>3507</v>
      </c>
      <c r="C863" s="2296" t="s">
        <v>3453</v>
      </c>
      <c r="D863" s="2296"/>
      <c r="E863" s="2333" t="s">
        <v>3467</v>
      </c>
      <c r="F863" s="2333" t="s">
        <v>3468</v>
      </c>
      <c r="G863" s="2185" t="s">
        <v>3469</v>
      </c>
      <c r="H863" s="2333"/>
      <c r="I863" s="2334"/>
      <c r="J863" s="2185"/>
      <c r="K863" s="2336"/>
      <c r="L863" s="2335"/>
      <c r="M863" s="1951"/>
      <c r="N863" s="1962"/>
      <c r="O863" s="1961">
        <v>30000</v>
      </c>
      <c r="P863" s="1951">
        <v>31380</v>
      </c>
      <c r="Q863" s="1960">
        <v>32824</v>
      </c>
    </row>
    <row r="864" spans="1:17" ht="12.75" customHeight="1">
      <c r="A864" s="2332" t="s">
        <v>3531</v>
      </c>
      <c r="B864" s="2185" t="s">
        <v>3532</v>
      </c>
      <c r="C864" s="2296" t="s">
        <v>3453</v>
      </c>
      <c r="D864" s="2296"/>
      <c r="E864" s="2333" t="s">
        <v>3467</v>
      </c>
      <c r="F864" s="2333" t="s">
        <v>3468</v>
      </c>
      <c r="G864" s="2185" t="s">
        <v>3469</v>
      </c>
      <c r="H864" s="2333"/>
      <c r="I864" s="2334"/>
      <c r="J864" s="2185"/>
      <c r="K864" s="2336"/>
      <c r="L864" s="2335"/>
      <c r="M864" s="1951"/>
      <c r="N864" s="1962"/>
      <c r="O864" s="1961">
        <v>0</v>
      </c>
      <c r="P864" s="1951">
        <v>0</v>
      </c>
      <c r="Q864" s="1960">
        <v>0</v>
      </c>
    </row>
    <row r="865" spans="1:17" ht="12.75" customHeight="1">
      <c r="A865" s="2332" t="s">
        <v>3543</v>
      </c>
      <c r="B865" s="2185" t="s">
        <v>3587</v>
      </c>
      <c r="C865" s="2296" t="s">
        <v>3453</v>
      </c>
      <c r="D865" s="2296"/>
      <c r="E865" s="2333" t="s">
        <v>3467</v>
      </c>
      <c r="F865" s="2333" t="s">
        <v>3468</v>
      </c>
      <c r="G865" s="2185" t="s">
        <v>3469</v>
      </c>
      <c r="H865" s="2333"/>
      <c r="I865" s="2334"/>
      <c r="J865" s="2185"/>
      <c r="K865" s="2336"/>
      <c r="L865" s="2335"/>
      <c r="M865" s="1951"/>
      <c r="N865" s="1962"/>
      <c r="O865" s="1961">
        <v>0</v>
      </c>
      <c r="P865" s="1951">
        <v>0</v>
      </c>
      <c r="Q865" s="1960">
        <v>0</v>
      </c>
    </row>
    <row r="866" spans="1:17" ht="12.75" customHeight="1">
      <c r="A866" s="2332" t="s">
        <v>3572</v>
      </c>
      <c r="B866" s="2185" t="s">
        <v>3573</v>
      </c>
      <c r="C866" s="2296" t="s">
        <v>3453</v>
      </c>
      <c r="D866" s="2296"/>
      <c r="E866" s="2333"/>
      <c r="F866" s="2333"/>
      <c r="G866" s="2185"/>
      <c r="H866" s="2333"/>
      <c r="I866" s="2334"/>
      <c r="J866" s="2185"/>
      <c r="K866" s="2336"/>
      <c r="L866" s="2335"/>
      <c r="M866" s="1951"/>
      <c r="N866" s="1962"/>
      <c r="O866" s="1961">
        <v>46667</v>
      </c>
      <c r="P866" s="1951">
        <v>48814</v>
      </c>
      <c r="Q866" s="1960">
        <v>51060</v>
      </c>
    </row>
    <row r="867" spans="1:17" ht="12.75" customHeight="1">
      <c r="A867" s="2332" t="s">
        <v>3510</v>
      </c>
      <c r="B867" s="2185" t="s">
        <v>3511</v>
      </c>
      <c r="C867" s="2296" t="s">
        <v>3453</v>
      </c>
      <c r="D867" s="2296"/>
      <c r="E867" s="2333" t="s">
        <v>3456</v>
      </c>
      <c r="F867" s="2333" t="s">
        <v>3457</v>
      </c>
      <c r="G867" s="2185" t="s">
        <v>3461</v>
      </c>
      <c r="H867" s="2333"/>
      <c r="I867" s="2334"/>
      <c r="J867" s="2185"/>
      <c r="K867" s="2336"/>
      <c r="L867" s="2335"/>
      <c r="M867" s="1951"/>
      <c r="N867" s="1962"/>
      <c r="O867" s="1961">
        <v>7690</v>
      </c>
      <c r="P867" s="1951">
        <v>8044</v>
      </c>
      <c r="Q867" s="1960">
        <v>8414</v>
      </c>
    </row>
    <row r="868" spans="1:17" ht="12.75" customHeight="1">
      <c r="A868" s="2332" t="s">
        <v>3506</v>
      </c>
      <c r="B868" s="2185" t="s">
        <v>3610</v>
      </c>
      <c r="C868" s="2296" t="s">
        <v>3453</v>
      </c>
      <c r="D868" s="2296"/>
      <c r="E868" s="2333" t="s">
        <v>3456</v>
      </c>
      <c r="F868" s="2333" t="s">
        <v>3457</v>
      </c>
      <c r="G868" s="2185" t="s">
        <v>3461</v>
      </c>
      <c r="H868" s="2333"/>
      <c r="I868" s="2334"/>
      <c r="J868" s="2185"/>
      <c r="K868" s="2336"/>
      <c r="L868" s="2335"/>
      <c r="M868" s="1951"/>
      <c r="N868" s="1962"/>
      <c r="O868" s="1961">
        <v>230646</v>
      </c>
      <c r="P868" s="1951">
        <v>241256</v>
      </c>
      <c r="Q868" s="1960">
        <v>252354</v>
      </c>
    </row>
    <row r="869" spans="1:17" ht="12.75" customHeight="1">
      <c r="A869" s="2332" t="s">
        <v>3464</v>
      </c>
      <c r="B869" s="2185" t="s">
        <v>3665</v>
      </c>
      <c r="C869" s="2296" t="s">
        <v>3453</v>
      </c>
      <c r="D869" s="2296"/>
      <c r="E869" s="2333" t="s">
        <v>3456</v>
      </c>
      <c r="F869" s="2333" t="s">
        <v>3457</v>
      </c>
      <c r="G869" s="2185" t="s">
        <v>3461</v>
      </c>
      <c r="H869" s="2333"/>
      <c r="I869" s="2334"/>
      <c r="J869" s="2185"/>
      <c r="K869" s="2336"/>
      <c r="L869" s="2335"/>
      <c r="M869" s="1951"/>
      <c r="N869" s="1962"/>
      <c r="O869" s="1961">
        <v>17885</v>
      </c>
      <c r="P869" s="1951">
        <v>18708</v>
      </c>
      <c r="Q869" s="1960">
        <v>19569</v>
      </c>
    </row>
    <row r="870" spans="1:17" ht="12.75" customHeight="1">
      <c r="A870" s="2332" t="s">
        <v>3483</v>
      </c>
      <c r="B870" s="2185" t="s">
        <v>3824</v>
      </c>
      <c r="C870" s="2296" t="s">
        <v>3453</v>
      </c>
      <c r="D870" s="2296"/>
      <c r="E870" s="2333" t="s">
        <v>3456</v>
      </c>
      <c r="F870" s="2333" t="s">
        <v>3457</v>
      </c>
      <c r="G870" s="2185" t="s">
        <v>3458</v>
      </c>
      <c r="H870" s="2333"/>
      <c r="I870" s="2334"/>
      <c r="J870" s="2185"/>
      <c r="K870" s="2336"/>
      <c r="L870" s="2335"/>
      <c r="M870" s="1951"/>
      <c r="N870" s="1962"/>
      <c r="O870" s="1961">
        <v>3018</v>
      </c>
      <c r="P870" s="1951">
        <v>3018</v>
      </c>
      <c r="Q870" s="1960">
        <v>3157</v>
      </c>
    </row>
    <row r="871" spans="1:17" ht="12.75" customHeight="1">
      <c r="A871" s="2332" t="s">
        <v>3536</v>
      </c>
      <c r="B871" s="2185" t="s">
        <v>3825</v>
      </c>
      <c r="C871" s="2296" t="s">
        <v>3497</v>
      </c>
      <c r="D871" s="2296"/>
      <c r="E871" s="2333" t="s">
        <v>3456</v>
      </c>
      <c r="F871" s="2333" t="s">
        <v>3457</v>
      </c>
      <c r="G871" s="2185" t="s">
        <v>3461</v>
      </c>
      <c r="H871" s="2333"/>
      <c r="I871" s="2334"/>
      <c r="J871" s="2185"/>
      <c r="K871" s="2336"/>
      <c r="L871" s="2335"/>
      <c r="M871" s="1951"/>
      <c r="N871" s="1962"/>
      <c r="O871" s="1961">
        <v>24</v>
      </c>
      <c r="P871" s="1951">
        <v>26</v>
      </c>
      <c r="Q871" s="1960">
        <v>27</v>
      </c>
    </row>
    <row r="872" spans="1:17" ht="12.75" customHeight="1">
      <c r="A872" s="2332" t="s">
        <v>3490</v>
      </c>
      <c r="B872" s="2185" t="s">
        <v>3826</v>
      </c>
      <c r="C872" s="2296" t="s">
        <v>3453</v>
      </c>
      <c r="D872" s="2296"/>
      <c r="E872" s="2333" t="s">
        <v>3456</v>
      </c>
      <c r="F872" s="2333" t="s">
        <v>3457</v>
      </c>
      <c r="G872" s="2185" t="s">
        <v>3461</v>
      </c>
      <c r="H872" s="2333"/>
      <c r="I872" s="2334"/>
      <c r="J872" s="2185"/>
      <c r="K872" s="2336"/>
      <c r="L872" s="2335"/>
      <c r="M872" s="1951"/>
      <c r="N872" s="1962"/>
      <c r="O872" s="1961">
        <v>9190308</v>
      </c>
      <c r="P872" s="1951">
        <v>9613063</v>
      </c>
      <c r="Q872" s="1960">
        <v>10055264</v>
      </c>
    </row>
    <row r="873" spans="1:17" ht="12.75" customHeight="1">
      <c r="A873" s="2332" t="s">
        <v>3454</v>
      </c>
      <c r="B873" s="2185" t="s">
        <v>3512</v>
      </c>
      <c r="C873" s="2296" t="s">
        <v>3453</v>
      </c>
      <c r="D873" s="2296"/>
      <c r="E873" s="2333" t="s">
        <v>3456</v>
      </c>
      <c r="F873" s="2333" t="s">
        <v>3457</v>
      </c>
      <c r="G873" s="2185" t="s">
        <v>3461</v>
      </c>
      <c r="H873" s="2333"/>
      <c r="I873" s="2334"/>
      <c r="J873" s="2185"/>
      <c r="K873" s="2336"/>
      <c r="L873" s="2335"/>
      <c r="M873" s="1951"/>
      <c r="N873" s="1962"/>
      <c r="O873" s="1961">
        <v>0</v>
      </c>
      <c r="P873" s="1951">
        <v>0</v>
      </c>
      <c r="Q873" s="1960">
        <v>0</v>
      </c>
    </row>
    <row r="874" spans="1:17" ht="12.75" customHeight="1">
      <c r="A874" s="2332" t="s">
        <v>3459</v>
      </c>
      <c r="B874" s="2185" t="s">
        <v>3498</v>
      </c>
      <c r="C874" s="2296" t="s">
        <v>3453</v>
      </c>
      <c r="D874" s="2296"/>
      <c r="E874" s="2333" t="s">
        <v>3456</v>
      </c>
      <c r="F874" s="2333" t="s">
        <v>3457</v>
      </c>
      <c r="G874" s="2185" t="s">
        <v>3461</v>
      </c>
      <c r="H874" s="2333"/>
      <c r="I874" s="2334"/>
      <c r="J874" s="2185"/>
      <c r="K874" s="2336"/>
      <c r="L874" s="2335"/>
      <c r="M874" s="1951"/>
      <c r="N874" s="1962"/>
      <c r="O874" s="1961">
        <v>955869</v>
      </c>
      <c r="P874" s="1951">
        <v>999839</v>
      </c>
      <c r="Q874" s="1960">
        <v>1045832</v>
      </c>
    </row>
    <row r="875" spans="1:17" ht="12.75" customHeight="1">
      <c r="A875" s="2332" t="s">
        <v>3454</v>
      </c>
      <c r="B875" s="2185" t="s">
        <v>3545</v>
      </c>
      <c r="C875" s="2296" t="s">
        <v>3453</v>
      </c>
      <c r="D875" s="2296"/>
      <c r="E875" s="2333" t="s">
        <v>3456</v>
      </c>
      <c r="F875" s="2333" t="s">
        <v>3457</v>
      </c>
      <c r="G875" s="2185" t="s">
        <v>3461</v>
      </c>
      <c r="H875" s="2333"/>
      <c r="I875" s="2334"/>
      <c r="J875" s="2185"/>
      <c r="K875" s="2336"/>
      <c r="L875" s="2335"/>
      <c r="M875" s="1951"/>
      <c r="N875" s="1962"/>
      <c r="O875" s="1961">
        <v>0</v>
      </c>
      <c r="P875" s="1951">
        <v>0</v>
      </c>
      <c r="Q875" s="1960">
        <v>0</v>
      </c>
    </row>
    <row r="876" spans="1:17" ht="12.75" customHeight="1">
      <c r="A876" s="2332" t="s">
        <v>3538</v>
      </c>
      <c r="B876" s="2185" t="s">
        <v>3539</v>
      </c>
      <c r="C876" s="2296" t="s">
        <v>3453</v>
      </c>
      <c r="D876" s="2296"/>
      <c r="E876" s="2333" t="s">
        <v>3456</v>
      </c>
      <c r="F876" s="2333" t="s">
        <v>3457</v>
      </c>
      <c r="G876" s="2185" t="s">
        <v>3458</v>
      </c>
      <c r="H876" s="2333"/>
      <c r="I876" s="2334"/>
      <c r="J876" s="2185"/>
      <c r="K876" s="2336"/>
      <c r="L876" s="2335"/>
      <c r="M876" s="1951"/>
      <c r="N876" s="1962"/>
      <c r="O876" s="1961">
        <v>269240</v>
      </c>
      <c r="P876" s="1951">
        <v>281626</v>
      </c>
      <c r="Q876" s="1960">
        <v>294580</v>
      </c>
    </row>
    <row r="877" spans="1:17" ht="12.75" customHeight="1">
      <c r="A877" s="2332" t="s">
        <v>3454</v>
      </c>
      <c r="B877" s="2185" t="s">
        <v>3675</v>
      </c>
      <c r="C877" s="2296" t="s">
        <v>3453</v>
      </c>
      <c r="D877" s="2296"/>
      <c r="E877" s="2333" t="s">
        <v>3467</v>
      </c>
      <c r="F877" s="2333" t="s">
        <v>3468</v>
      </c>
      <c r="G877" s="2185" t="s">
        <v>3469</v>
      </c>
      <c r="H877" s="2333"/>
      <c r="I877" s="2334"/>
      <c r="J877" s="2185"/>
      <c r="K877" s="2336"/>
      <c r="L877" s="2335"/>
      <c r="M877" s="1951"/>
      <c r="N877" s="1962"/>
      <c r="O877" s="1961">
        <v>0</v>
      </c>
      <c r="P877" s="1951">
        <v>0</v>
      </c>
      <c r="Q877" s="1960">
        <v>1</v>
      </c>
    </row>
    <row r="878" spans="1:17" ht="12.75" customHeight="1">
      <c r="A878" s="2332" t="s">
        <v>3473</v>
      </c>
      <c r="B878" s="2185" t="s">
        <v>3474</v>
      </c>
      <c r="C878" s="2296" t="s">
        <v>3453</v>
      </c>
      <c r="D878" s="2296"/>
      <c r="E878" s="2333" t="s">
        <v>3525</v>
      </c>
      <c r="F878" s="2333" t="s">
        <v>3457</v>
      </c>
      <c r="G878" s="2185" t="s">
        <v>3526</v>
      </c>
      <c r="H878" s="2333"/>
      <c r="I878" s="2334"/>
      <c r="J878" s="2185"/>
      <c r="K878" s="2336"/>
      <c r="L878" s="2335"/>
      <c r="M878" s="1951"/>
      <c r="N878" s="1962"/>
      <c r="O878" s="1961">
        <v>0</v>
      </c>
      <c r="P878" s="1951">
        <v>0</v>
      </c>
      <c r="Q878" s="1960">
        <v>0</v>
      </c>
    </row>
    <row r="879" spans="1:17" ht="12.75" customHeight="1">
      <c r="A879" s="2332" t="s">
        <v>3531</v>
      </c>
      <c r="B879" s="2185" t="s">
        <v>3532</v>
      </c>
      <c r="C879" s="2296" t="s">
        <v>3453</v>
      </c>
      <c r="D879" s="2296"/>
      <c r="E879" s="2333" t="s">
        <v>3456</v>
      </c>
      <c r="F879" s="2333" t="s">
        <v>3457</v>
      </c>
      <c r="G879" s="2185" t="s">
        <v>3458</v>
      </c>
      <c r="H879" s="2333"/>
      <c r="I879" s="2334"/>
      <c r="J879" s="2185"/>
      <c r="K879" s="2336"/>
      <c r="L879" s="2335"/>
      <c r="M879" s="1951"/>
      <c r="N879" s="1962"/>
      <c r="O879" s="1961">
        <v>0</v>
      </c>
      <c r="P879" s="1951">
        <v>0</v>
      </c>
      <c r="Q879" s="1960">
        <v>0</v>
      </c>
    </row>
    <row r="880" spans="1:17" ht="12.75" customHeight="1">
      <c r="A880" s="2332" t="s">
        <v>3464</v>
      </c>
      <c r="B880" s="2185" t="s">
        <v>3630</v>
      </c>
      <c r="C880" s="2296" t="s">
        <v>3453</v>
      </c>
      <c r="D880" s="2296"/>
      <c r="E880" s="2333" t="s">
        <v>3456</v>
      </c>
      <c r="F880" s="2333" t="s">
        <v>3457</v>
      </c>
      <c r="G880" s="2185" t="s">
        <v>3461</v>
      </c>
      <c r="H880" s="2333"/>
      <c r="I880" s="2334"/>
      <c r="J880" s="2185"/>
      <c r="K880" s="2336"/>
      <c r="L880" s="2335"/>
      <c r="M880" s="1951"/>
      <c r="N880" s="1962"/>
      <c r="O880" s="1961">
        <v>24490</v>
      </c>
      <c r="P880" s="1951">
        <v>25617</v>
      </c>
      <c r="Q880" s="1960">
        <v>26795</v>
      </c>
    </row>
    <row r="881" spans="1:17" ht="12.75" customHeight="1">
      <c r="A881" s="2332" t="s">
        <v>3506</v>
      </c>
      <c r="B881" s="2185" t="s">
        <v>3507</v>
      </c>
      <c r="C881" s="2296" t="s">
        <v>3453</v>
      </c>
      <c r="D881" s="2296"/>
      <c r="E881" s="2333" t="s">
        <v>3467</v>
      </c>
      <c r="F881" s="2333" t="s">
        <v>3468</v>
      </c>
      <c r="G881" s="2185" t="s">
        <v>3475</v>
      </c>
      <c r="H881" s="2333"/>
      <c r="I881" s="2334"/>
      <c r="J881" s="2185"/>
      <c r="K881" s="2336"/>
      <c r="L881" s="2335"/>
      <c r="M881" s="1951"/>
      <c r="N881" s="1962"/>
      <c r="O881" s="1961">
        <v>213880</v>
      </c>
      <c r="P881" s="1951">
        <v>223718</v>
      </c>
      <c r="Q881" s="1960">
        <v>234009</v>
      </c>
    </row>
    <row r="882" spans="1:17" ht="12.75" customHeight="1">
      <c r="A882" s="2332" t="s">
        <v>3454</v>
      </c>
      <c r="B882" s="2185" t="s">
        <v>3512</v>
      </c>
      <c r="C882" s="2296" t="s">
        <v>3453</v>
      </c>
      <c r="D882" s="2296"/>
      <c r="E882" s="2333" t="s">
        <v>3467</v>
      </c>
      <c r="F882" s="2333" t="s">
        <v>3468</v>
      </c>
      <c r="G882" s="2185" t="s">
        <v>3469</v>
      </c>
      <c r="H882" s="2333"/>
      <c r="I882" s="2334"/>
      <c r="J882" s="2185"/>
      <c r="K882" s="2336"/>
      <c r="L882" s="2335"/>
      <c r="M882" s="1951"/>
      <c r="N882" s="1962"/>
      <c r="O882" s="1961">
        <v>0</v>
      </c>
      <c r="P882" s="1951">
        <v>0</v>
      </c>
      <c r="Q882" s="1960">
        <v>0</v>
      </c>
    </row>
    <row r="883" spans="1:17" ht="12.75" customHeight="1">
      <c r="A883" s="2332" t="s">
        <v>3459</v>
      </c>
      <c r="B883" s="2185" t="s">
        <v>3827</v>
      </c>
      <c r="C883" s="2296" t="s">
        <v>3492</v>
      </c>
      <c r="D883" s="2296"/>
      <c r="E883" s="2333" t="s">
        <v>3456</v>
      </c>
      <c r="F883" s="2333" t="s">
        <v>3457</v>
      </c>
      <c r="G883" s="2185" t="s">
        <v>3481</v>
      </c>
      <c r="H883" s="2333"/>
      <c r="I883" s="2334"/>
      <c r="J883" s="2185"/>
      <c r="K883" s="2336"/>
      <c r="L883" s="2335"/>
      <c r="M883" s="1951"/>
      <c r="N883" s="1962"/>
      <c r="O883" s="1961">
        <v>30000</v>
      </c>
      <c r="P883" s="1951">
        <v>31380</v>
      </c>
      <c r="Q883" s="1960">
        <v>32824</v>
      </c>
    </row>
    <row r="884" spans="1:17" ht="12.75" customHeight="1">
      <c r="A884" s="2332" t="s">
        <v>3572</v>
      </c>
      <c r="B884" s="2185" t="s">
        <v>3828</v>
      </c>
      <c r="C884" s="2296" t="s">
        <v>3453</v>
      </c>
      <c r="D884" s="2296"/>
      <c r="E884" s="2333" t="s">
        <v>3456</v>
      </c>
      <c r="F884" s="2333" t="s">
        <v>3457</v>
      </c>
      <c r="G884" s="2185" t="s">
        <v>3461</v>
      </c>
      <c r="H884" s="2333"/>
      <c r="I884" s="2334"/>
      <c r="J884" s="2185"/>
      <c r="K884" s="2336"/>
      <c r="L884" s="2335"/>
      <c r="M884" s="1951"/>
      <c r="N884" s="1962"/>
      <c r="O884" s="1961">
        <v>519</v>
      </c>
      <c r="P884" s="1951">
        <v>519</v>
      </c>
      <c r="Q884" s="1960">
        <v>543</v>
      </c>
    </row>
    <row r="885" spans="1:17" ht="12.75" customHeight="1">
      <c r="A885" s="2332" t="s">
        <v>3464</v>
      </c>
      <c r="B885" s="2185" t="s">
        <v>3829</v>
      </c>
      <c r="C885" s="2296" t="s">
        <v>3453</v>
      </c>
      <c r="D885" s="2296"/>
      <c r="E885" s="2333" t="s">
        <v>3456</v>
      </c>
      <c r="F885" s="2333" t="s">
        <v>3457</v>
      </c>
      <c r="G885" s="2185" t="s">
        <v>3461</v>
      </c>
      <c r="H885" s="2333"/>
      <c r="I885" s="2334"/>
      <c r="J885" s="2185"/>
      <c r="K885" s="2336"/>
      <c r="L885" s="2335"/>
      <c r="M885" s="1951"/>
      <c r="N885" s="1962"/>
      <c r="O885" s="1961">
        <v>43500</v>
      </c>
      <c r="P885" s="1951">
        <v>45501</v>
      </c>
      <c r="Q885" s="1960">
        <v>47595</v>
      </c>
    </row>
    <row r="886" spans="1:17" ht="12.75" customHeight="1">
      <c r="A886" s="2332" t="s">
        <v>3464</v>
      </c>
      <c r="B886" s="2185" t="s">
        <v>3632</v>
      </c>
      <c r="C886" s="2296" t="s">
        <v>3453</v>
      </c>
      <c r="D886" s="2296"/>
      <c r="E886" s="2333" t="s">
        <v>3513</v>
      </c>
      <c r="F886" s="2333" t="s">
        <v>3514</v>
      </c>
      <c r="G886" s="2185" t="s">
        <v>3515</v>
      </c>
      <c r="H886" s="2333"/>
      <c r="I886" s="2334"/>
      <c r="J886" s="2185"/>
      <c r="K886" s="2336"/>
      <c r="L886" s="2335"/>
      <c r="M886" s="1951"/>
      <c r="N886" s="1962"/>
      <c r="O886" s="1961">
        <v>732635</v>
      </c>
      <c r="P886" s="1951">
        <v>566310</v>
      </c>
      <c r="Q886" s="1960">
        <v>522904</v>
      </c>
    </row>
    <row r="887" spans="1:17" ht="12.75" customHeight="1">
      <c r="A887" s="2332" t="s">
        <v>3506</v>
      </c>
      <c r="B887" s="2185" t="s">
        <v>3610</v>
      </c>
      <c r="C887" s="2296" t="s">
        <v>3453</v>
      </c>
      <c r="D887" s="2296"/>
      <c r="E887" s="2333" t="s">
        <v>3456</v>
      </c>
      <c r="F887" s="2333" t="s">
        <v>3457</v>
      </c>
      <c r="G887" s="2185" t="s">
        <v>3458</v>
      </c>
      <c r="H887" s="2333"/>
      <c r="I887" s="2334"/>
      <c r="J887" s="2185"/>
      <c r="K887" s="2336"/>
      <c r="L887" s="2335"/>
      <c r="M887" s="1951"/>
      <c r="N887" s="1962"/>
      <c r="O887" s="1961">
        <v>165996</v>
      </c>
      <c r="P887" s="1951">
        <v>173632</v>
      </c>
      <c r="Q887" s="1960">
        <v>181619</v>
      </c>
    </row>
    <row r="888" spans="1:17" ht="12.75" customHeight="1">
      <c r="A888" s="2332" t="s">
        <v>3464</v>
      </c>
      <c r="B888" s="2185" t="s">
        <v>3830</v>
      </c>
      <c r="C888" s="2296" t="s">
        <v>3497</v>
      </c>
      <c r="D888" s="2296"/>
      <c r="E888" s="2333" t="s">
        <v>3467</v>
      </c>
      <c r="F888" s="2333" t="s">
        <v>3468</v>
      </c>
      <c r="G888" s="2185" t="s">
        <v>3469</v>
      </c>
      <c r="H888" s="2333"/>
      <c r="I888" s="2334"/>
      <c r="J888" s="2185"/>
      <c r="K888" s="2336"/>
      <c r="L888" s="2335"/>
      <c r="M888" s="1951"/>
      <c r="N888" s="1962"/>
      <c r="O888" s="1961">
        <v>85770</v>
      </c>
      <c r="P888" s="1951">
        <v>89716</v>
      </c>
      <c r="Q888" s="1960">
        <v>93843</v>
      </c>
    </row>
    <row r="889" spans="1:17" ht="12.75" customHeight="1">
      <c r="A889" s="2332" t="s">
        <v>3584</v>
      </c>
      <c r="B889" s="2185" t="s">
        <v>3585</v>
      </c>
      <c r="C889" s="2296" t="s">
        <v>3453</v>
      </c>
      <c r="D889" s="2296"/>
      <c r="E889" s="2333" t="s">
        <v>3467</v>
      </c>
      <c r="F889" s="2333" t="s">
        <v>3468</v>
      </c>
      <c r="G889" s="2185" t="s">
        <v>3475</v>
      </c>
      <c r="H889" s="2333"/>
      <c r="I889" s="2334"/>
      <c r="J889" s="2185"/>
      <c r="K889" s="2336"/>
      <c r="L889" s="2335"/>
      <c r="M889" s="1951"/>
      <c r="N889" s="1962"/>
      <c r="O889" s="1961">
        <v>53866</v>
      </c>
      <c r="P889" s="1951">
        <v>56344</v>
      </c>
      <c r="Q889" s="1960">
        <v>58936</v>
      </c>
    </row>
    <row r="890" spans="1:17" ht="12.75" customHeight="1">
      <c r="A890" s="2332" t="s">
        <v>3454</v>
      </c>
      <c r="B890" s="2185" t="s">
        <v>3574</v>
      </c>
      <c r="C890" s="2296" t="s">
        <v>3453</v>
      </c>
      <c r="D890" s="2296"/>
      <c r="E890" s="2333" t="s">
        <v>3456</v>
      </c>
      <c r="F890" s="2333" t="s">
        <v>3457</v>
      </c>
      <c r="G890" s="2185" t="s">
        <v>3461</v>
      </c>
      <c r="H890" s="2333"/>
      <c r="I890" s="2334"/>
      <c r="J890" s="2185"/>
      <c r="K890" s="2336"/>
      <c r="L890" s="2335"/>
      <c r="M890" s="1951"/>
      <c r="N890" s="1962"/>
      <c r="O890" s="1961">
        <v>0</v>
      </c>
      <c r="P890" s="1951">
        <v>0</v>
      </c>
      <c r="Q890" s="1960">
        <v>0</v>
      </c>
    </row>
    <row r="891" spans="1:17" ht="12.75" customHeight="1">
      <c r="A891" s="2332" t="s">
        <v>3454</v>
      </c>
      <c r="B891" s="2185" t="s">
        <v>3512</v>
      </c>
      <c r="C891" s="2296" t="s">
        <v>3453</v>
      </c>
      <c r="D891" s="2296"/>
      <c r="E891" s="2333" t="s">
        <v>3456</v>
      </c>
      <c r="F891" s="2333" t="s">
        <v>3457</v>
      </c>
      <c r="G891" s="2185" t="s">
        <v>3461</v>
      </c>
      <c r="H891" s="2333"/>
      <c r="I891" s="2334"/>
      <c r="J891" s="2185"/>
      <c r="K891" s="2336"/>
      <c r="L891" s="2335"/>
      <c r="M891" s="1951"/>
      <c r="N891" s="1962"/>
      <c r="O891" s="1961">
        <v>0</v>
      </c>
      <c r="P891" s="1951">
        <v>0</v>
      </c>
      <c r="Q891" s="1960">
        <v>0</v>
      </c>
    </row>
    <row r="892" spans="1:17" ht="12.75" customHeight="1">
      <c r="A892" s="2332" t="s">
        <v>3531</v>
      </c>
      <c r="B892" s="2185" t="s">
        <v>3532</v>
      </c>
      <c r="C892" s="2296" t="s">
        <v>3453</v>
      </c>
      <c r="D892" s="2296"/>
      <c r="E892" s="2333" t="s">
        <v>3467</v>
      </c>
      <c r="F892" s="2333" t="s">
        <v>3468</v>
      </c>
      <c r="G892" s="2185" t="s">
        <v>3469</v>
      </c>
      <c r="H892" s="2333"/>
      <c r="I892" s="2334"/>
      <c r="J892" s="2185"/>
      <c r="K892" s="2336"/>
      <c r="L892" s="2335"/>
      <c r="M892" s="1951"/>
      <c r="N892" s="1962"/>
      <c r="O892" s="1961">
        <v>0</v>
      </c>
      <c r="P892" s="1951">
        <v>0</v>
      </c>
      <c r="Q892" s="1960">
        <v>0</v>
      </c>
    </row>
    <row r="893" spans="1:17" ht="12.75" customHeight="1">
      <c r="A893" s="2332" t="s">
        <v>3523</v>
      </c>
      <c r="B893" s="2185" t="s">
        <v>3831</v>
      </c>
      <c r="C893" s="2296" t="s">
        <v>3453</v>
      </c>
      <c r="D893" s="2296"/>
      <c r="E893" s="2333" t="s">
        <v>3467</v>
      </c>
      <c r="F893" s="2333" t="s">
        <v>3468</v>
      </c>
      <c r="G893" s="2185" t="s">
        <v>3469</v>
      </c>
      <c r="H893" s="2333"/>
      <c r="I893" s="2334"/>
      <c r="J893" s="2185"/>
      <c r="K893" s="2336"/>
      <c r="L893" s="2335"/>
      <c r="M893" s="1951"/>
      <c r="N893" s="1962"/>
      <c r="O893" s="1961">
        <v>7134000</v>
      </c>
      <c r="P893" s="1951">
        <v>0</v>
      </c>
      <c r="Q893" s="1960">
        <v>0</v>
      </c>
    </row>
    <row r="894" spans="1:17" ht="12.75" customHeight="1">
      <c r="A894" s="2332" t="s">
        <v>3543</v>
      </c>
      <c r="B894" s="2185" t="s">
        <v>3587</v>
      </c>
      <c r="C894" s="2296" t="s">
        <v>3453</v>
      </c>
      <c r="D894" s="2296"/>
      <c r="E894" s="2333" t="s">
        <v>3467</v>
      </c>
      <c r="F894" s="2333" t="s">
        <v>3468</v>
      </c>
      <c r="G894" s="2185" t="s">
        <v>3475</v>
      </c>
      <c r="H894" s="2333"/>
      <c r="I894" s="2334"/>
      <c r="J894" s="2185"/>
      <c r="K894" s="2336"/>
      <c r="L894" s="2335"/>
      <c r="M894" s="1951"/>
      <c r="N894" s="1962"/>
      <c r="O894" s="1961">
        <v>0</v>
      </c>
      <c r="P894" s="1951">
        <v>0</v>
      </c>
      <c r="Q894" s="1960">
        <v>0</v>
      </c>
    </row>
    <row r="895" spans="1:17" ht="12.75" customHeight="1">
      <c r="A895" s="2332" t="s">
        <v>3459</v>
      </c>
      <c r="B895" s="2185" t="s">
        <v>3832</v>
      </c>
      <c r="C895" s="2296" t="s">
        <v>3453</v>
      </c>
      <c r="D895" s="2296"/>
      <c r="E895" s="2333" t="s">
        <v>3467</v>
      </c>
      <c r="F895" s="2333" t="s">
        <v>3468</v>
      </c>
      <c r="G895" s="2185" t="s">
        <v>3469</v>
      </c>
      <c r="H895" s="2333"/>
      <c r="I895" s="2334"/>
      <c r="J895" s="2185"/>
      <c r="K895" s="2336"/>
      <c r="L895" s="2335"/>
      <c r="M895" s="1951"/>
      <c r="N895" s="1962"/>
      <c r="O895" s="1961">
        <v>1000</v>
      </c>
      <c r="P895" s="1951">
        <v>1046</v>
      </c>
      <c r="Q895" s="1960">
        <v>1095</v>
      </c>
    </row>
    <row r="896" spans="1:17" ht="12.75" customHeight="1">
      <c r="A896" s="2332" t="s">
        <v>3485</v>
      </c>
      <c r="B896" s="2185" t="s">
        <v>3505</v>
      </c>
      <c r="C896" s="2296" t="s">
        <v>3453</v>
      </c>
      <c r="D896" s="2296"/>
      <c r="E896" s="2333" t="s">
        <v>3467</v>
      </c>
      <c r="F896" s="2333" t="s">
        <v>3468</v>
      </c>
      <c r="G896" s="2185" t="s">
        <v>3475</v>
      </c>
      <c r="H896" s="2333"/>
      <c r="I896" s="2334"/>
      <c r="J896" s="2185"/>
      <c r="K896" s="2336"/>
      <c r="L896" s="2335"/>
      <c r="M896" s="1951"/>
      <c r="N896" s="1962"/>
      <c r="O896" s="1961">
        <v>250</v>
      </c>
      <c r="P896" s="1951">
        <v>262</v>
      </c>
      <c r="Q896" s="1960">
        <v>274</v>
      </c>
    </row>
    <row r="897" spans="1:17" ht="12.75" customHeight="1">
      <c r="A897" s="2332" t="s">
        <v>3454</v>
      </c>
      <c r="B897" s="2185" t="s">
        <v>3662</v>
      </c>
      <c r="C897" s="2296" t="s">
        <v>3453</v>
      </c>
      <c r="D897" s="2296"/>
      <c r="E897" s="2333" t="s">
        <v>3513</v>
      </c>
      <c r="F897" s="2333" t="s">
        <v>3514</v>
      </c>
      <c r="G897" s="2185" t="s">
        <v>3515</v>
      </c>
      <c r="H897" s="2333"/>
      <c r="I897" s="2334"/>
      <c r="J897" s="2185"/>
      <c r="K897" s="2336"/>
      <c r="L897" s="2335"/>
      <c r="M897" s="1951"/>
      <c r="N897" s="1962"/>
      <c r="O897" s="1961">
        <v>2000</v>
      </c>
      <c r="P897" s="1951">
        <v>2000</v>
      </c>
      <c r="Q897" s="1960">
        <v>2000</v>
      </c>
    </row>
    <row r="898" spans="1:17" ht="12.75" customHeight="1">
      <c r="A898" s="2332" t="s">
        <v>3501</v>
      </c>
      <c r="B898" s="2185" t="s">
        <v>3833</v>
      </c>
      <c r="C898" s="2296" t="s">
        <v>3453</v>
      </c>
      <c r="D898" s="2296"/>
      <c r="E898" s="2333" t="s">
        <v>3467</v>
      </c>
      <c r="F898" s="2333" t="s">
        <v>3468</v>
      </c>
      <c r="G898" s="2185" t="s">
        <v>3469</v>
      </c>
      <c r="H898" s="2333"/>
      <c r="I898" s="2334"/>
      <c r="J898" s="2185"/>
      <c r="K898" s="2336"/>
      <c r="L898" s="2335"/>
      <c r="M898" s="1951"/>
      <c r="N898" s="1962"/>
      <c r="O898" s="1961">
        <v>27108</v>
      </c>
      <c r="P898" s="1951">
        <v>28355</v>
      </c>
      <c r="Q898" s="1960">
        <v>29660</v>
      </c>
    </row>
    <row r="899" spans="1:17" ht="12.75" customHeight="1">
      <c r="A899" s="2332" t="s">
        <v>3477</v>
      </c>
      <c r="B899" s="2185" t="s">
        <v>3575</v>
      </c>
      <c r="C899" s="2296" t="s">
        <v>3453</v>
      </c>
      <c r="D899" s="2296"/>
      <c r="E899" s="2333" t="s">
        <v>3467</v>
      </c>
      <c r="F899" s="2333" t="s">
        <v>3468</v>
      </c>
      <c r="G899" s="2185" t="s">
        <v>3469</v>
      </c>
      <c r="H899" s="2333"/>
      <c r="I899" s="2334"/>
      <c r="J899" s="2185"/>
      <c r="K899" s="2336"/>
      <c r="L899" s="2335"/>
      <c r="M899" s="1951"/>
      <c r="N899" s="1962"/>
      <c r="O899" s="1961">
        <v>78767</v>
      </c>
      <c r="P899" s="1951">
        <v>82391</v>
      </c>
      <c r="Q899" s="1960">
        <v>86181</v>
      </c>
    </row>
    <row r="900" spans="1:17" ht="12.75" customHeight="1">
      <c r="A900" s="2332" t="s">
        <v>3543</v>
      </c>
      <c r="B900" s="2185" t="s">
        <v>3834</v>
      </c>
      <c r="C900" s="2296" t="s">
        <v>3497</v>
      </c>
      <c r="D900" s="2296"/>
      <c r="E900" s="2333" t="s">
        <v>3513</v>
      </c>
      <c r="F900" s="2333" t="s">
        <v>3514</v>
      </c>
      <c r="G900" s="2185" t="s">
        <v>3515</v>
      </c>
      <c r="H900" s="2333"/>
      <c r="I900" s="2334"/>
      <c r="J900" s="2185"/>
      <c r="K900" s="2336"/>
      <c r="L900" s="2335"/>
      <c r="M900" s="1951"/>
      <c r="N900" s="1962"/>
      <c r="O900" s="1961">
        <v>1323</v>
      </c>
      <c r="P900" s="1951">
        <v>1384</v>
      </c>
      <c r="Q900" s="1960">
        <v>1448</v>
      </c>
    </row>
    <row r="901" spans="1:17" ht="12.75" customHeight="1">
      <c r="A901" s="2332" t="s">
        <v>3459</v>
      </c>
      <c r="B901" s="2185" t="s">
        <v>3709</v>
      </c>
      <c r="C901" s="2296" t="s">
        <v>3453</v>
      </c>
      <c r="D901" s="2296"/>
      <c r="E901" s="2333" t="s">
        <v>3456</v>
      </c>
      <c r="F901" s="2333" t="s">
        <v>3457</v>
      </c>
      <c r="G901" s="2185" t="s">
        <v>3461</v>
      </c>
      <c r="H901" s="2333"/>
      <c r="I901" s="2334"/>
      <c r="J901" s="2185"/>
      <c r="K901" s="2336"/>
      <c r="L901" s="2335"/>
      <c r="M901" s="1951"/>
      <c r="N901" s="1962"/>
      <c r="O901" s="1961">
        <v>7088</v>
      </c>
      <c r="P901" s="1951">
        <v>7415</v>
      </c>
      <c r="Q901" s="1960">
        <v>7756</v>
      </c>
    </row>
    <row r="902" spans="1:17" ht="12.75" customHeight="1">
      <c r="A902" s="2332" t="s">
        <v>3473</v>
      </c>
      <c r="B902" s="2185" t="s">
        <v>3552</v>
      </c>
      <c r="C902" s="2296" t="s">
        <v>3453</v>
      </c>
      <c r="D902" s="2296"/>
      <c r="E902" s="2333" t="s">
        <v>3456</v>
      </c>
      <c r="F902" s="2333" t="s">
        <v>3457</v>
      </c>
      <c r="G902" s="2185" t="s">
        <v>3461</v>
      </c>
      <c r="H902" s="2333"/>
      <c r="I902" s="2334"/>
      <c r="J902" s="2185"/>
      <c r="K902" s="2336"/>
      <c r="L902" s="2335"/>
      <c r="M902" s="1951"/>
      <c r="N902" s="1962"/>
      <c r="O902" s="1961">
        <v>996351</v>
      </c>
      <c r="P902" s="1951">
        <v>1042184</v>
      </c>
      <c r="Q902" s="1960">
        <v>1090124</v>
      </c>
    </row>
    <row r="903" spans="1:17" ht="12.75" customHeight="1">
      <c r="A903" s="2332" t="s">
        <v>3454</v>
      </c>
      <c r="B903" s="2185" t="s">
        <v>3574</v>
      </c>
      <c r="C903" s="2296" t="s">
        <v>3453</v>
      </c>
      <c r="D903" s="2296"/>
      <c r="E903" s="2333" t="s">
        <v>3456</v>
      </c>
      <c r="F903" s="2333" t="s">
        <v>3457</v>
      </c>
      <c r="G903" s="2185" t="s">
        <v>3458</v>
      </c>
      <c r="H903" s="2333"/>
      <c r="I903" s="2334"/>
      <c r="J903" s="2185"/>
      <c r="K903" s="2336"/>
      <c r="L903" s="2335"/>
      <c r="M903" s="1951"/>
      <c r="N903" s="1962"/>
      <c r="O903" s="1961">
        <v>0</v>
      </c>
      <c r="P903" s="1951">
        <v>0</v>
      </c>
      <c r="Q903" s="1960">
        <v>0</v>
      </c>
    </row>
    <row r="904" spans="1:17" ht="12.75" customHeight="1">
      <c r="A904" s="2332" t="s">
        <v>3464</v>
      </c>
      <c r="B904" s="2185" t="s">
        <v>3522</v>
      </c>
      <c r="C904" s="2296" t="s">
        <v>3453</v>
      </c>
      <c r="D904" s="2296"/>
      <c r="E904" s="2333" t="s">
        <v>3456</v>
      </c>
      <c r="F904" s="2333" t="s">
        <v>3457</v>
      </c>
      <c r="G904" s="2185" t="s">
        <v>3481</v>
      </c>
      <c r="H904" s="2333"/>
      <c r="I904" s="2334"/>
      <c r="J904" s="2185"/>
      <c r="K904" s="2336"/>
      <c r="L904" s="2335"/>
      <c r="M904" s="1951"/>
      <c r="N904" s="1962"/>
      <c r="O904" s="1961">
        <v>301</v>
      </c>
      <c r="P904" s="1951">
        <v>315</v>
      </c>
      <c r="Q904" s="1960">
        <v>330</v>
      </c>
    </row>
    <row r="905" spans="1:17" ht="12.75" customHeight="1">
      <c r="A905" s="2332" t="s">
        <v>3510</v>
      </c>
      <c r="B905" s="2185" t="s">
        <v>3642</v>
      </c>
      <c r="C905" s="2296" t="s">
        <v>3453</v>
      </c>
      <c r="D905" s="2296"/>
      <c r="E905" s="2333" t="s">
        <v>3467</v>
      </c>
      <c r="F905" s="2333" t="s">
        <v>3468</v>
      </c>
      <c r="G905" s="2185" t="s">
        <v>3469</v>
      </c>
      <c r="H905" s="2333"/>
      <c r="I905" s="2334"/>
      <c r="J905" s="2185"/>
      <c r="K905" s="2336"/>
      <c r="L905" s="2335"/>
      <c r="M905" s="1951"/>
      <c r="N905" s="1962"/>
      <c r="O905" s="1961">
        <v>301938</v>
      </c>
      <c r="P905" s="1951">
        <v>315828</v>
      </c>
      <c r="Q905" s="1960">
        <v>330356</v>
      </c>
    </row>
    <row r="906" spans="1:17" ht="12.75" customHeight="1">
      <c r="A906" s="2332" t="s">
        <v>3490</v>
      </c>
      <c r="B906" s="2185" t="s">
        <v>3494</v>
      </c>
      <c r="C906" s="2296" t="s">
        <v>3453</v>
      </c>
      <c r="D906" s="2296"/>
      <c r="E906" s="2333" t="s">
        <v>3467</v>
      </c>
      <c r="F906" s="2333" t="s">
        <v>3468</v>
      </c>
      <c r="G906" s="2185" t="s">
        <v>2676</v>
      </c>
      <c r="H906" s="2333"/>
      <c r="I906" s="2334"/>
      <c r="J906" s="2185"/>
      <c r="K906" s="2336"/>
      <c r="L906" s="2335"/>
      <c r="M906" s="1951"/>
      <c r="N906" s="1962"/>
      <c r="O906" s="1961">
        <v>30000</v>
      </c>
      <c r="P906" s="1951">
        <v>31380</v>
      </c>
      <c r="Q906" s="1960">
        <v>32824</v>
      </c>
    </row>
    <row r="907" spans="1:17" ht="12.75" customHeight="1">
      <c r="A907" s="2332" t="s">
        <v>3531</v>
      </c>
      <c r="B907" s="2185" t="s">
        <v>3593</v>
      </c>
      <c r="C907" s="2296" t="s">
        <v>3453</v>
      </c>
      <c r="D907" s="2296"/>
      <c r="E907" s="2333" t="s">
        <v>3467</v>
      </c>
      <c r="F907" s="2333" t="s">
        <v>3468</v>
      </c>
      <c r="G907" s="2185" t="s">
        <v>3469</v>
      </c>
      <c r="H907" s="2333"/>
      <c r="I907" s="2334"/>
      <c r="J907" s="2185"/>
      <c r="K907" s="2336"/>
      <c r="L907" s="2335"/>
      <c r="M907" s="1951"/>
      <c r="N907" s="1962"/>
      <c r="O907" s="1961">
        <v>271391</v>
      </c>
      <c r="P907" s="1951">
        <v>242550</v>
      </c>
      <c r="Q907" s="1960">
        <v>255647</v>
      </c>
    </row>
    <row r="908" spans="1:17" ht="12.75" customHeight="1">
      <c r="A908" s="2332" t="s">
        <v>3464</v>
      </c>
      <c r="B908" s="2185" t="s">
        <v>3489</v>
      </c>
      <c r="C908" s="2296" t="s">
        <v>3453</v>
      </c>
      <c r="D908" s="2296"/>
      <c r="E908" s="2333" t="s">
        <v>3467</v>
      </c>
      <c r="F908" s="2333" t="s">
        <v>3468</v>
      </c>
      <c r="G908" s="2185" t="s">
        <v>2676</v>
      </c>
      <c r="H908" s="2333"/>
      <c r="I908" s="2334"/>
      <c r="J908" s="2185"/>
      <c r="K908" s="2336"/>
      <c r="L908" s="2335"/>
      <c r="M908" s="1951"/>
      <c r="N908" s="1962"/>
      <c r="O908" s="1961">
        <v>37926</v>
      </c>
      <c r="P908" s="1951">
        <v>39671</v>
      </c>
      <c r="Q908" s="1960">
        <v>41495</v>
      </c>
    </row>
    <row r="909" spans="1:17" ht="12.75" customHeight="1">
      <c r="A909" s="2332" t="s">
        <v>3536</v>
      </c>
      <c r="B909" s="2185" t="s">
        <v>3835</v>
      </c>
      <c r="C909" s="2296" t="s">
        <v>3472</v>
      </c>
      <c r="D909" s="2296"/>
      <c r="E909" s="2333" t="s">
        <v>3456</v>
      </c>
      <c r="F909" s="2333" t="s">
        <v>3457</v>
      </c>
      <c r="G909" s="2185" t="s">
        <v>3461</v>
      </c>
      <c r="H909" s="2333"/>
      <c r="I909" s="2334"/>
      <c r="J909" s="2185"/>
      <c r="K909" s="2336"/>
      <c r="L909" s="2335"/>
      <c r="M909" s="1951"/>
      <c r="N909" s="1962"/>
      <c r="O909" s="1961">
        <v>447</v>
      </c>
      <c r="P909" s="1951">
        <v>468</v>
      </c>
      <c r="Q909" s="1960">
        <v>490</v>
      </c>
    </row>
    <row r="910" spans="1:17" ht="12.75" customHeight="1">
      <c r="A910" s="2332" t="s">
        <v>3536</v>
      </c>
      <c r="B910" s="2185" t="s">
        <v>3537</v>
      </c>
      <c r="C910" s="2296" t="s">
        <v>3453</v>
      </c>
      <c r="D910" s="2296"/>
      <c r="E910" s="2333" t="s">
        <v>3467</v>
      </c>
      <c r="F910" s="2333" t="s">
        <v>3468</v>
      </c>
      <c r="G910" s="2185" t="s">
        <v>3469</v>
      </c>
      <c r="H910" s="2333"/>
      <c r="I910" s="2334"/>
      <c r="J910" s="2185"/>
      <c r="K910" s="2336"/>
      <c r="L910" s="2335"/>
      <c r="M910" s="1951"/>
      <c r="N910" s="1962"/>
      <c r="O910" s="1961">
        <v>719</v>
      </c>
      <c r="P910" s="1951">
        <v>753</v>
      </c>
      <c r="Q910" s="1960">
        <v>787</v>
      </c>
    </row>
    <row r="911" spans="1:17" ht="12.75" customHeight="1">
      <c r="A911" s="2332" t="s">
        <v>3531</v>
      </c>
      <c r="B911" s="2185" t="s">
        <v>3593</v>
      </c>
      <c r="C911" s="2296" t="s">
        <v>3453</v>
      </c>
      <c r="D911" s="2296"/>
      <c r="E911" s="2333" t="s">
        <v>3467</v>
      </c>
      <c r="F911" s="2333" t="s">
        <v>3468</v>
      </c>
      <c r="G911" s="2185" t="s">
        <v>2676</v>
      </c>
      <c r="H911" s="2333"/>
      <c r="I911" s="2334"/>
      <c r="J911" s="2185"/>
      <c r="K911" s="2336"/>
      <c r="L911" s="2335"/>
      <c r="M911" s="1951"/>
      <c r="N911" s="1962"/>
      <c r="O911" s="1961">
        <v>12869476</v>
      </c>
      <c r="P911" s="1951">
        <v>13424536</v>
      </c>
      <c r="Q911" s="1960">
        <v>13912136</v>
      </c>
    </row>
    <row r="912" spans="1:17" ht="12.75" customHeight="1">
      <c r="A912" s="2332" t="s">
        <v>3459</v>
      </c>
      <c r="B912" s="2185" t="s">
        <v>3616</v>
      </c>
      <c r="C912" s="2296" t="s">
        <v>3453</v>
      </c>
      <c r="D912" s="2296"/>
      <c r="E912" s="2333" t="s">
        <v>3456</v>
      </c>
      <c r="F912" s="2333" t="s">
        <v>3457</v>
      </c>
      <c r="G912" s="2185" t="s">
        <v>3461</v>
      </c>
      <c r="H912" s="2333"/>
      <c r="I912" s="2334"/>
      <c r="J912" s="2185"/>
      <c r="K912" s="2336"/>
      <c r="L912" s="2335"/>
      <c r="M912" s="1951"/>
      <c r="N912" s="1962"/>
      <c r="O912" s="1961">
        <v>439310</v>
      </c>
      <c r="P912" s="1951">
        <v>459519</v>
      </c>
      <c r="Q912" s="1960">
        <v>480657</v>
      </c>
    </row>
    <row r="913" spans="1:17" ht="12.75" customHeight="1">
      <c r="A913" s="2332" t="s">
        <v>3464</v>
      </c>
      <c r="B913" s="2185" t="s">
        <v>3605</v>
      </c>
      <c r="C913" s="2296" t="s">
        <v>3453</v>
      </c>
      <c r="D913" s="2296"/>
      <c r="E913" s="2333" t="s">
        <v>3467</v>
      </c>
      <c r="F913" s="2333" t="s">
        <v>3468</v>
      </c>
      <c r="G913" s="2185" t="s">
        <v>2676</v>
      </c>
      <c r="H913" s="2333"/>
      <c r="I913" s="2334"/>
      <c r="J913" s="2185"/>
      <c r="K913" s="2336"/>
      <c r="L913" s="2335"/>
      <c r="M913" s="1951"/>
      <c r="N913" s="1962"/>
      <c r="O913" s="1961">
        <v>800</v>
      </c>
      <c r="P913" s="1951">
        <v>837</v>
      </c>
      <c r="Q913" s="1960">
        <v>876</v>
      </c>
    </row>
    <row r="914" spans="1:17" ht="12.75" customHeight="1">
      <c r="A914" s="2332" t="s">
        <v>3538</v>
      </c>
      <c r="B914" s="2185" t="s">
        <v>3539</v>
      </c>
      <c r="C914" s="2296" t="s">
        <v>3453</v>
      </c>
      <c r="D914" s="2296"/>
      <c r="E914" s="2333" t="s">
        <v>3467</v>
      </c>
      <c r="F914" s="2333" t="s">
        <v>3468</v>
      </c>
      <c r="G914" s="2185" t="s">
        <v>3475</v>
      </c>
      <c r="H914" s="2333"/>
      <c r="I914" s="2334"/>
      <c r="J914" s="2185"/>
      <c r="K914" s="2336"/>
      <c r="L914" s="2335"/>
      <c r="M914" s="1951"/>
      <c r="N914" s="1962"/>
      <c r="O914" s="1961">
        <v>160591</v>
      </c>
      <c r="P914" s="1951">
        <v>167979</v>
      </c>
      <c r="Q914" s="1960">
        <v>175706</v>
      </c>
    </row>
    <row r="915" spans="1:17" ht="12.75" customHeight="1">
      <c r="A915" s="2332" t="s">
        <v>3454</v>
      </c>
      <c r="B915" s="2185" t="s">
        <v>3574</v>
      </c>
      <c r="C915" s="2296" t="s">
        <v>3453</v>
      </c>
      <c r="D915" s="2296"/>
      <c r="E915" s="2333" t="s">
        <v>3467</v>
      </c>
      <c r="F915" s="2333" t="s">
        <v>3468</v>
      </c>
      <c r="G915" s="2185" t="s">
        <v>3475</v>
      </c>
      <c r="H915" s="2333"/>
      <c r="I915" s="2334"/>
      <c r="J915" s="2185"/>
      <c r="K915" s="2336"/>
      <c r="L915" s="2335"/>
      <c r="M915" s="1951"/>
      <c r="N915" s="1962"/>
      <c r="O915" s="1961">
        <v>0</v>
      </c>
      <c r="P915" s="1951">
        <v>0</v>
      </c>
      <c r="Q915" s="1960">
        <v>0</v>
      </c>
    </row>
    <row r="916" spans="1:17" ht="12.75" customHeight="1">
      <c r="A916" s="2332" t="s">
        <v>3508</v>
      </c>
      <c r="B916" s="2185" t="s">
        <v>3681</v>
      </c>
      <c r="C916" s="2296" t="s">
        <v>3453</v>
      </c>
      <c r="D916" s="2296"/>
      <c r="E916" s="2333" t="s">
        <v>3525</v>
      </c>
      <c r="F916" s="2333" t="s">
        <v>3457</v>
      </c>
      <c r="G916" s="2185" t="s">
        <v>3526</v>
      </c>
      <c r="H916" s="2333"/>
      <c r="I916" s="2334"/>
      <c r="J916" s="2185"/>
      <c r="K916" s="2336"/>
      <c r="L916" s="2335"/>
      <c r="M916" s="1951"/>
      <c r="N916" s="1962"/>
      <c r="O916" s="1961">
        <v>348611</v>
      </c>
      <c r="P916" s="1951">
        <v>364648</v>
      </c>
      <c r="Q916" s="1960">
        <v>381421</v>
      </c>
    </row>
    <row r="917" spans="1:17" ht="12.75" customHeight="1">
      <c r="A917" s="2332" t="s">
        <v>3531</v>
      </c>
      <c r="B917" s="2185" t="s">
        <v>3532</v>
      </c>
      <c r="C917" s="2296" t="s">
        <v>3453</v>
      </c>
      <c r="D917" s="2296"/>
      <c r="E917" s="2333" t="s">
        <v>3513</v>
      </c>
      <c r="F917" s="2333" t="s">
        <v>3514</v>
      </c>
      <c r="G917" s="2185" t="s">
        <v>3515</v>
      </c>
      <c r="H917" s="2333"/>
      <c r="I917" s="2334"/>
      <c r="J917" s="2185"/>
      <c r="K917" s="2336"/>
      <c r="L917" s="2335"/>
      <c r="M917" s="1951"/>
      <c r="N917" s="1962"/>
      <c r="O917" s="1961">
        <v>0</v>
      </c>
      <c r="P917" s="1951">
        <v>0</v>
      </c>
      <c r="Q917" s="1960">
        <v>0</v>
      </c>
    </row>
    <row r="918" spans="1:17" ht="12.75" customHeight="1">
      <c r="A918" s="2332" t="s">
        <v>3454</v>
      </c>
      <c r="B918" s="2185" t="s">
        <v>3512</v>
      </c>
      <c r="C918" s="2296" t="s">
        <v>3453</v>
      </c>
      <c r="D918" s="2296"/>
      <c r="E918" s="2333" t="s">
        <v>3456</v>
      </c>
      <c r="F918" s="2333" t="s">
        <v>3457</v>
      </c>
      <c r="G918" s="2185" t="s">
        <v>3461</v>
      </c>
      <c r="H918" s="2333"/>
      <c r="I918" s="2334"/>
      <c r="J918" s="2185"/>
      <c r="K918" s="2336"/>
      <c r="L918" s="2335"/>
      <c r="M918" s="1951"/>
      <c r="N918" s="1962"/>
      <c r="O918" s="1961">
        <v>0</v>
      </c>
      <c r="P918" s="1951">
        <v>0</v>
      </c>
      <c r="Q918" s="1960">
        <v>0</v>
      </c>
    </row>
    <row r="919" spans="1:17" ht="12.75" customHeight="1">
      <c r="A919" s="2332" t="s">
        <v>3454</v>
      </c>
      <c r="B919" s="2185" t="s">
        <v>3545</v>
      </c>
      <c r="C919" s="2296" t="s">
        <v>3453</v>
      </c>
      <c r="D919" s="2296"/>
      <c r="E919" s="2333" t="s">
        <v>3467</v>
      </c>
      <c r="F919" s="2333" t="s">
        <v>3468</v>
      </c>
      <c r="G919" s="2185" t="s">
        <v>3469</v>
      </c>
      <c r="H919" s="2333"/>
      <c r="I919" s="2334"/>
      <c r="J919" s="2185"/>
      <c r="K919" s="2336"/>
      <c r="L919" s="2335"/>
      <c r="M919" s="1951"/>
      <c r="N919" s="1962"/>
      <c r="O919" s="1961">
        <v>0</v>
      </c>
      <c r="P919" s="1951">
        <v>0</v>
      </c>
      <c r="Q919" s="1960">
        <v>0</v>
      </c>
    </row>
    <row r="920" spans="1:17" ht="12.75" customHeight="1">
      <c r="A920" s="2332" t="s">
        <v>3576</v>
      </c>
      <c r="B920" s="2185" t="s">
        <v>3836</v>
      </c>
      <c r="C920" s="2296" t="s">
        <v>3453</v>
      </c>
      <c r="D920" s="2296"/>
      <c r="E920" s="2333" t="s">
        <v>3456</v>
      </c>
      <c r="F920" s="2333" t="s">
        <v>3457</v>
      </c>
      <c r="G920" s="2185" t="s">
        <v>3481</v>
      </c>
      <c r="H920" s="2333"/>
      <c r="I920" s="2334"/>
      <c r="J920" s="2185"/>
      <c r="K920" s="2336"/>
      <c r="L920" s="2335"/>
      <c r="M920" s="1951"/>
      <c r="N920" s="1962"/>
      <c r="O920" s="1961">
        <v>3000000</v>
      </c>
      <c r="P920" s="1951">
        <v>3138000</v>
      </c>
      <c r="Q920" s="1960">
        <v>3282348</v>
      </c>
    </row>
    <row r="921" spans="1:17" ht="12.75" customHeight="1">
      <c r="A921" s="2332" t="s">
        <v>3487</v>
      </c>
      <c r="B921" s="2185" t="s">
        <v>3488</v>
      </c>
      <c r="C921" s="2296" t="s">
        <v>3453</v>
      </c>
      <c r="D921" s="2296"/>
      <c r="E921" s="2333" t="s">
        <v>3467</v>
      </c>
      <c r="F921" s="2333" t="s">
        <v>3468</v>
      </c>
      <c r="G921" s="2185" t="s">
        <v>3469</v>
      </c>
      <c r="H921" s="2333"/>
      <c r="I921" s="2334"/>
      <c r="J921" s="2185"/>
      <c r="K921" s="2336"/>
      <c r="L921" s="2335"/>
      <c r="M921" s="1951"/>
      <c r="N921" s="1962"/>
      <c r="O921" s="1961">
        <v>51080</v>
      </c>
      <c r="P921" s="1951">
        <v>53430</v>
      </c>
      <c r="Q921" s="1960">
        <v>55888</v>
      </c>
    </row>
    <row r="922" spans="1:17" ht="12.75" customHeight="1">
      <c r="A922" s="2332" t="s">
        <v>3479</v>
      </c>
      <c r="B922" s="2185" t="s">
        <v>3516</v>
      </c>
      <c r="C922" s="2296" t="s">
        <v>3453</v>
      </c>
      <c r="D922" s="2296"/>
      <c r="E922" s="2333" t="s">
        <v>3456</v>
      </c>
      <c r="F922" s="2333" t="s">
        <v>3457</v>
      </c>
      <c r="G922" s="2185" t="s">
        <v>3461</v>
      </c>
      <c r="H922" s="2333"/>
      <c r="I922" s="2334"/>
      <c r="J922" s="2185"/>
      <c r="K922" s="2336"/>
      <c r="L922" s="2335"/>
      <c r="M922" s="1951"/>
      <c r="N922" s="1962"/>
      <c r="O922" s="1961">
        <v>38225</v>
      </c>
      <c r="P922" s="1951">
        <v>39984</v>
      </c>
      <c r="Q922" s="1960">
        <v>41823</v>
      </c>
    </row>
    <row r="923" spans="1:17" ht="12.75" customHeight="1">
      <c r="A923" s="2332" t="s">
        <v>3464</v>
      </c>
      <c r="B923" s="2185" t="s">
        <v>3665</v>
      </c>
      <c r="C923" s="2296" t="s">
        <v>3453</v>
      </c>
      <c r="D923" s="2296"/>
      <c r="E923" s="2333" t="s">
        <v>3456</v>
      </c>
      <c r="F923" s="2333" t="s">
        <v>3457</v>
      </c>
      <c r="G923" s="2185" t="s">
        <v>3458</v>
      </c>
      <c r="H923" s="2333"/>
      <c r="I923" s="2334"/>
      <c r="J923" s="2185"/>
      <c r="K923" s="2336"/>
      <c r="L923" s="2335"/>
      <c r="M923" s="1951"/>
      <c r="N923" s="1962"/>
      <c r="O923" s="1961">
        <v>60404</v>
      </c>
      <c r="P923" s="1951">
        <v>63183</v>
      </c>
      <c r="Q923" s="1960">
        <v>66089</v>
      </c>
    </row>
    <row r="924" spans="1:17" ht="12.75" customHeight="1">
      <c r="A924" s="2332" t="s">
        <v>3485</v>
      </c>
      <c r="B924" s="2185" t="s">
        <v>3837</v>
      </c>
      <c r="C924" s="2296" t="s">
        <v>3838</v>
      </c>
      <c r="D924" s="2296"/>
      <c r="E924" s="2333" t="s">
        <v>3467</v>
      </c>
      <c r="F924" s="2333" t="s">
        <v>3468</v>
      </c>
      <c r="G924" s="2185" t="s">
        <v>3469</v>
      </c>
      <c r="H924" s="2333"/>
      <c r="I924" s="2334"/>
      <c r="J924" s="2185"/>
      <c r="K924" s="2336"/>
      <c r="L924" s="2335"/>
      <c r="M924" s="1951"/>
      <c r="N924" s="1962"/>
      <c r="O924" s="1961">
        <v>93000</v>
      </c>
      <c r="P924" s="1951">
        <v>97278</v>
      </c>
      <c r="Q924" s="1960">
        <v>101753</v>
      </c>
    </row>
    <row r="925" spans="1:17" ht="12.75" customHeight="1">
      <c r="A925" s="2332" t="s">
        <v>3490</v>
      </c>
      <c r="B925" s="2185" t="s">
        <v>3586</v>
      </c>
      <c r="C925" s="2296" t="s">
        <v>3453</v>
      </c>
      <c r="D925" s="2296"/>
      <c r="E925" s="2333" t="s">
        <v>3456</v>
      </c>
      <c r="F925" s="2333" t="s">
        <v>3457</v>
      </c>
      <c r="G925" s="2185" t="s">
        <v>3461</v>
      </c>
      <c r="H925" s="2333"/>
      <c r="I925" s="2334"/>
      <c r="J925" s="2185"/>
      <c r="K925" s="2336"/>
      <c r="L925" s="2335"/>
      <c r="M925" s="1951"/>
      <c r="N925" s="1962"/>
      <c r="O925" s="1961">
        <v>53339</v>
      </c>
      <c r="P925" s="1951">
        <v>55793</v>
      </c>
      <c r="Q925" s="1960">
        <v>58360</v>
      </c>
    </row>
    <row r="926" spans="1:17" ht="12.75" customHeight="1">
      <c r="A926" s="2332" t="s">
        <v>3454</v>
      </c>
      <c r="B926" s="2185" t="s">
        <v>3545</v>
      </c>
      <c r="C926" s="2296" t="s">
        <v>3453</v>
      </c>
      <c r="D926" s="2296"/>
      <c r="E926" s="2333" t="s">
        <v>3467</v>
      </c>
      <c r="F926" s="2333" t="s">
        <v>3468</v>
      </c>
      <c r="G926" s="2185" t="s">
        <v>2676</v>
      </c>
      <c r="H926" s="2333"/>
      <c r="I926" s="2334"/>
      <c r="J926" s="2185"/>
      <c r="K926" s="2336"/>
      <c r="L926" s="2335"/>
      <c r="M926" s="1951"/>
      <c r="N926" s="1962"/>
      <c r="O926" s="1961">
        <v>0</v>
      </c>
      <c r="P926" s="1951">
        <v>0</v>
      </c>
      <c r="Q926" s="1960">
        <v>0</v>
      </c>
    </row>
    <row r="927" spans="1:17" ht="12.75" customHeight="1">
      <c r="A927" s="2332" t="s">
        <v>3523</v>
      </c>
      <c r="B927" s="2185" t="s">
        <v>3839</v>
      </c>
      <c r="C927" s="2296" t="s">
        <v>3463</v>
      </c>
      <c r="D927" s="2296"/>
      <c r="E927" s="2333" t="s">
        <v>3467</v>
      </c>
      <c r="F927" s="2333" t="s">
        <v>3468</v>
      </c>
      <c r="G927" s="2185" t="s">
        <v>3469</v>
      </c>
      <c r="H927" s="2333"/>
      <c r="I927" s="2334"/>
      <c r="J927" s="2185"/>
      <c r="K927" s="2336"/>
      <c r="L927" s="2335"/>
      <c r="M927" s="1951"/>
      <c r="N927" s="1962"/>
      <c r="O927" s="1961">
        <v>4800</v>
      </c>
      <c r="P927" s="1951">
        <v>5021</v>
      </c>
      <c r="Q927" s="1960">
        <v>5252</v>
      </c>
    </row>
    <row r="928" spans="1:17" ht="12.75" customHeight="1">
      <c r="A928" s="2332" t="s">
        <v>3464</v>
      </c>
      <c r="B928" s="2185" t="s">
        <v>3690</v>
      </c>
      <c r="C928" s="2296" t="s">
        <v>3453</v>
      </c>
      <c r="D928" s="2296"/>
      <c r="E928" s="2333" t="s">
        <v>3456</v>
      </c>
      <c r="F928" s="2333" t="s">
        <v>3457</v>
      </c>
      <c r="G928" s="2185" t="s">
        <v>3458</v>
      </c>
      <c r="H928" s="2333"/>
      <c r="I928" s="2334"/>
      <c r="J928" s="2185"/>
      <c r="K928" s="2336"/>
      <c r="L928" s="2335"/>
      <c r="M928" s="1951"/>
      <c r="N928" s="1962"/>
      <c r="O928" s="1961">
        <v>250</v>
      </c>
      <c r="P928" s="1951">
        <v>262</v>
      </c>
      <c r="Q928" s="1960">
        <v>274</v>
      </c>
    </row>
    <row r="929" spans="1:17" ht="12.75" customHeight="1">
      <c r="A929" s="2332" t="s">
        <v>3572</v>
      </c>
      <c r="B929" s="2185" t="s">
        <v>3688</v>
      </c>
      <c r="C929" s="2296" t="s">
        <v>3453</v>
      </c>
      <c r="D929" s="2296"/>
      <c r="E929" s="2333" t="s">
        <v>3467</v>
      </c>
      <c r="F929" s="2333" t="s">
        <v>3468</v>
      </c>
      <c r="G929" s="2185" t="s">
        <v>3469</v>
      </c>
      <c r="H929" s="2333"/>
      <c r="I929" s="2334"/>
      <c r="J929" s="2185"/>
      <c r="K929" s="2336"/>
      <c r="L929" s="2335"/>
      <c r="M929" s="1951"/>
      <c r="N929" s="1962"/>
      <c r="O929" s="1961">
        <v>30000</v>
      </c>
      <c r="P929" s="1951">
        <v>31380</v>
      </c>
      <c r="Q929" s="1960">
        <v>32824</v>
      </c>
    </row>
    <row r="930" spans="1:17" ht="12.75" customHeight="1">
      <c r="A930" s="2332" t="s">
        <v>3454</v>
      </c>
      <c r="B930" s="2185" t="s">
        <v>3545</v>
      </c>
      <c r="C930" s="2296" t="s">
        <v>3453</v>
      </c>
      <c r="D930" s="2296"/>
      <c r="E930" s="2333" t="s">
        <v>3456</v>
      </c>
      <c r="F930" s="2333" t="s">
        <v>3457</v>
      </c>
      <c r="G930" s="2185" t="s">
        <v>3461</v>
      </c>
      <c r="H930" s="2333"/>
      <c r="I930" s="2334"/>
      <c r="J930" s="2185"/>
      <c r="K930" s="2336"/>
      <c r="L930" s="2335"/>
      <c r="M930" s="1951"/>
      <c r="N930" s="1962"/>
      <c r="O930" s="1961">
        <v>0</v>
      </c>
      <c r="P930" s="1951">
        <v>0</v>
      </c>
      <c r="Q930" s="1960">
        <v>0</v>
      </c>
    </row>
    <row r="931" spans="1:17" ht="12.75" customHeight="1">
      <c r="A931" s="2332" t="s">
        <v>3483</v>
      </c>
      <c r="B931" s="2185" t="s">
        <v>3840</v>
      </c>
      <c r="C931" s="2296" t="s">
        <v>3453</v>
      </c>
      <c r="D931" s="2296"/>
      <c r="E931" s="2333" t="s">
        <v>3467</v>
      </c>
      <c r="F931" s="2333" t="s">
        <v>3468</v>
      </c>
      <c r="G931" s="2185" t="s">
        <v>3475</v>
      </c>
      <c r="H931" s="2333"/>
      <c r="I931" s="2334"/>
      <c r="J931" s="2185"/>
      <c r="K931" s="2336"/>
      <c r="L931" s="2335"/>
      <c r="M931" s="1951"/>
      <c r="N931" s="1962"/>
      <c r="O931" s="1961">
        <v>14080</v>
      </c>
      <c r="P931" s="1951">
        <v>14728</v>
      </c>
      <c r="Q931" s="1960">
        <v>15406</v>
      </c>
    </row>
    <row r="932" spans="1:17" ht="12.75" customHeight="1">
      <c r="A932" s="2332" t="s">
        <v>3533</v>
      </c>
      <c r="B932" s="2185" t="s">
        <v>3635</v>
      </c>
      <c r="C932" s="2296" t="s">
        <v>3453</v>
      </c>
      <c r="D932" s="2296"/>
      <c r="E932" s="2333" t="s">
        <v>3456</v>
      </c>
      <c r="F932" s="2333" t="s">
        <v>3457</v>
      </c>
      <c r="G932" s="2185" t="s">
        <v>3461</v>
      </c>
      <c r="H932" s="2333"/>
      <c r="I932" s="2334"/>
      <c r="J932" s="2185"/>
      <c r="K932" s="2336"/>
      <c r="L932" s="2335"/>
      <c r="M932" s="1951"/>
      <c r="N932" s="1962"/>
      <c r="O932" s="1961">
        <v>66440</v>
      </c>
      <c r="P932" s="1951">
        <v>69497</v>
      </c>
      <c r="Q932" s="1960">
        <v>72694</v>
      </c>
    </row>
    <row r="933" spans="1:17" ht="12.75" customHeight="1">
      <c r="A933" s="2332" t="s">
        <v>3533</v>
      </c>
      <c r="B933" s="2185" t="s">
        <v>3534</v>
      </c>
      <c r="C933" s="2296" t="s">
        <v>3453</v>
      </c>
      <c r="D933" s="2296"/>
      <c r="E933" s="2333" t="s">
        <v>3456</v>
      </c>
      <c r="F933" s="2333" t="s">
        <v>3457</v>
      </c>
      <c r="G933" s="2185" t="s">
        <v>3461</v>
      </c>
      <c r="H933" s="2333"/>
      <c r="I933" s="2334"/>
      <c r="J933" s="2185"/>
      <c r="K933" s="2336"/>
      <c r="L933" s="2335"/>
      <c r="M933" s="1951"/>
      <c r="N933" s="1962"/>
      <c r="O933" s="1961">
        <v>0</v>
      </c>
      <c r="P933" s="1951">
        <v>0</v>
      </c>
      <c r="Q933" s="1960">
        <v>1</v>
      </c>
    </row>
    <row r="934" spans="1:17" ht="12.75" customHeight="1">
      <c r="A934" s="2332" t="s">
        <v>3499</v>
      </c>
      <c r="B934" s="2185" t="s">
        <v>3589</v>
      </c>
      <c r="C934" s="2296" t="s">
        <v>3453</v>
      </c>
      <c r="D934" s="2296"/>
      <c r="E934" s="2333" t="s">
        <v>3456</v>
      </c>
      <c r="F934" s="2333" t="s">
        <v>3457</v>
      </c>
      <c r="G934" s="2185" t="s">
        <v>3458</v>
      </c>
      <c r="H934" s="2333"/>
      <c r="I934" s="2334"/>
      <c r="J934" s="2185"/>
      <c r="K934" s="2336"/>
      <c r="L934" s="2335"/>
      <c r="M934" s="1951"/>
      <c r="N934" s="1962"/>
      <c r="O934" s="1961">
        <v>83737</v>
      </c>
      <c r="P934" s="1951">
        <v>87589</v>
      </c>
      <c r="Q934" s="1960">
        <v>91618</v>
      </c>
    </row>
    <row r="935" spans="1:17" ht="12.75" customHeight="1">
      <c r="A935" s="2332" t="s">
        <v>3464</v>
      </c>
      <c r="B935" s="2185" t="s">
        <v>3690</v>
      </c>
      <c r="C935" s="2296" t="s">
        <v>3453</v>
      </c>
      <c r="D935" s="2296"/>
      <c r="E935" s="2333" t="s">
        <v>3513</v>
      </c>
      <c r="F935" s="2333" t="s">
        <v>3514</v>
      </c>
      <c r="G935" s="2185" t="s">
        <v>3515</v>
      </c>
      <c r="H935" s="2333"/>
      <c r="I935" s="2334"/>
      <c r="J935" s="2185"/>
      <c r="K935" s="2336"/>
      <c r="L935" s="2335"/>
      <c r="M935" s="1951"/>
      <c r="N935" s="1962"/>
      <c r="O935" s="1961">
        <v>32630</v>
      </c>
      <c r="P935" s="1951">
        <v>34131</v>
      </c>
      <c r="Q935" s="1960">
        <v>35701</v>
      </c>
    </row>
    <row r="936" spans="1:17" ht="12.75" customHeight="1">
      <c r="A936" s="2332" t="s">
        <v>3510</v>
      </c>
      <c r="B936" s="2185" t="s">
        <v>3841</v>
      </c>
      <c r="C936" s="2296" t="s">
        <v>3453</v>
      </c>
      <c r="D936" s="2296"/>
      <c r="E936" s="2333" t="s">
        <v>3467</v>
      </c>
      <c r="F936" s="2333" t="s">
        <v>3468</v>
      </c>
      <c r="G936" s="2185" t="s">
        <v>3469</v>
      </c>
      <c r="H936" s="2333"/>
      <c r="I936" s="2334"/>
      <c r="J936" s="2185"/>
      <c r="K936" s="2336"/>
      <c r="L936" s="2335"/>
      <c r="M936" s="1951"/>
      <c r="N936" s="1962"/>
      <c r="O936" s="1961">
        <v>5200000</v>
      </c>
      <c r="P936" s="1951">
        <v>5439200</v>
      </c>
      <c r="Q936" s="1960">
        <v>5689404</v>
      </c>
    </row>
    <row r="937" spans="1:17" ht="12.75" customHeight="1">
      <c r="A937" s="2332" t="s">
        <v>3470</v>
      </c>
      <c r="B937" s="2185" t="s">
        <v>3600</v>
      </c>
      <c r="C937" s="2296" t="s">
        <v>3453</v>
      </c>
      <c r="D937" s="2296"/>
      <c r="E937" s="2333" t="s">
        <v>3467</v>
      </c>
      <c r="F937" s="2333" t="s">
        <v>3468</v>
      </c>
      <c r="G937" s="2185" t="s">
        <v>3469</v>
      </c>
      <c r="H937" s="2333"/>
      <c r="I937" s="2334"/>
      <c r="J937" s="2185"/>
      <c r="K937" s="2336"/>
      <c r="L937" s="2335"/>
      <c r="M937" s="1951"/>
      <c r="N937" s="1962"/>
      <c r="O937" s="1961">
        <v>28798</v>
      </c>
      <c r="P937" s="1951">
        <v>30123</v>
      </c>
      <c r="Q937" s="1960">
        <v>31509</v>
      </c>
    </row>
    <row r="938" spans="1:17" ht="12.75" customHeight="1">
      <c r="A938" s="2332" t="s">
        <v>3499</v>
      </c>
      <c r="B938" s="2185" t="s">
        <v>3592</v>
      </c>
      <c r="C938" s="2296" t="s">
        <v>3453</v>
      </c>
      <c r="D938" s="2296"/>
      <c r="E938" s="2333" t="s">
        <v>3467</v>
      </c>
      <c r="F938" s="2333" t="s">
        <v>3468</v>
      </c>
      <c r="G938" s="2185" t="s">
        <v>3469</v>
      </c>
      <c r="H938" s="2333"/>
      <c r="I938" s="2334"/>
      <c r="J938" s="2185"/>
      <c r="K938" s="2336"/>
      <c r="L938" s="2335"/>
      <c r="M938" s="1951"/>
      <c r="N938" s="1962"/>
      <c r="O938" s="1961">
        <v>0</v>
      </c>
      <c r="P938" s="1951">
        <v>0</v>
      </c>
      <c r="Q938" s="1960">
        <v>0</v>
      </c>
    </row>
    <row r="939" spans="1:17" ht="12.75" customHeight="1">
      <c r="A939" s="2332" t="s">
        <v>3501</v>
      </c>
      <c r="B939" s="2185" t="s">
        <v>3553</v>
      </c>
      <c r="C939" s="2296" t="s">
        <v>3453</v>
      </c>
      <c r="D939" s="2296"/>
      <c r="E939" s="2333" t="s">
        <v>3456</v>
      </c>
      <c r="F939" s="2333" t="s">
        <v>3457</v>
      </c>
      <c r="G939" s="2185" t="s">
        <v>3461</v>
      </c>
      <c r="H939" s="2333"/>
      <c r="I939" s="2334"/>
      <c r="J939" s="2185"/>
      <c r="K939" s="2336"/>
      <c r="L939" s="2335"/>
      <c r="M939" s="1951"/>
      <c r="N939" s="1962"/>
      <c r="O939" s="1961">
        <v>2632</v>
      </c>
      <c r="P939" s="1951">
        <v>2754</v>
      </c>
      <c r="Q939" s="1960">
        <v>2880</v>
      </c>
    </row>
    <row r="940" spans="1:17" ht="12.75" customHeight="1">
      <c r="A940" s="2332" t="s">
        <v>3487</v>
      </c>
      <c r="B940" s="2185" t="s">
        <v>3647</v>
      </c>
      <c r="C940" s="2296" t="s">
        <v>3453</v>
      </c>
      <c r="D940" s="2296"/>
      <c r="E940" s="2333" t="s">
        <v>3467</v>
      </c>
      <c r="F940" s="2333" t="s">
        <v>3468</v>
      </c>
      <c r="G940" s="2185" t="s">
        <v>3475</v>
      </c>
      <c r="H940" s="2333"/>
      <c r="I940" s="2334"/>
      <c r="J940" s="2185"/>
      <c r="K940" s="2336"/>
      <c r="L940" s="2335"/>
      <c r="M940" s="1951"/>
      <c r="N940" s="1962"/>
      <c r="O940" s="1961">
        <v>250125</v>
      </c>
      <c r="P940" s="1951">
        <v>261631</v>
      </c>
      <c r="Q940" s="1960">
        <v>273666</v>
      </c>
    </row>
    <row r="941" spans="1:17" ht="12.75" customHeight="1">
      <c r="A941" s="2332" t="s">
        <v>3454</v>
      </c>
      <c r="B941" s="2185" t="s">
        <v>3662</v>
      </c>
      <c r="C941" s="2296" t="s">
        <v>3453</v>
      </c>
      <c r="D941" s="2296"/>
      <c r="E941" s="2333" t="s">
        <v>3456</v>
      </c>
      <c r="F941" s="2333" t="s">
        <v>3457</v>
      </c>
      <c r="G941" s="2185" t="s">
        <v>3458</v>
      </c>
      <c r="H941" s="2333"/>
      <c r="I941" s="2334"/>
      <c r="J941" s="2185"/>
      <c r="K941" s="2336"/>
      <c r="L941" s="2335"/>
      <c r="M941" s="1951"/>
      <c r="N941" s="1962"/>
      <c r="O941" s="1961">
        <v>0</v>
      </c>
      <c r="P941" s="1951">
        <v>0</v>
      </c>
      <c r="Q941" s="1960">
        <v>0</v>
      </c>
    </row>
    <row r="942" spans="1:17" ht="12.75" customHeight="1">
      <c r="A942" s="2332" t="s">
        <v>3464</v>
      </c>
      <c r="B942" s="2185" t="s">
        <v>3842</v>
      </c>
      <c r="C942" s="2296" t="s">
        <v>3453</v>
      </c>
      <c r="D942" s="2296"/>
      <c r="E942" s="2333" t="s">
        <v>3456</v>
      </c>
      <c r="F942" s="2333" t="s">
        <v>3457</v>
      </c>
      <c r="G942" s="2185" t="s">
        <v>3458</v>
      </c>
      <c r="H942" s="2333"/>
      <c r="I942" s="2334"/>
      <c r="J942" s="2185"/>
      <c r="K942" s="2336"/>
      <c r="L942" s="2335"/>
      <c r="M942" s="1951"/>
      <c r="N942" s="1962"/>
      <c r="O942" s="1961">
        <v>4954</v>
      </c>
      <c r="P942" s="1951">
        <v>5182</v>
      </c>
      <c r="Q942" s="1960">
        <v>5421</v>
      </c>
    </row>
    <row r="943" spans="1:17" ht="12.75" customHeight="1">
      <c r="A943" s="2332" t="s">
        <v>3565</v>
      </c>
      <c r="B943" s="2185" t="s">
        <v>3628</v>
      </c>
      <c r="C943" s="2296" t="s">
        <v>3453</v>
      </c>
      <c r="D943" s="2296"/>
      <c r="E943" s="2333" t="s">
        <v>3467</v>
      </c>
      <c r="F943" s="2333" t="s">
        <v>3468</v>
      </c>
      <c r="G943" s="2185" t="s">
        <v>3475</v>
      </c>
      <c r="H943" s="2333"/>
      <c r="I943" s="2334"/>
      <c r="J943" s="2185"/>
      <c r="K943" s="2336"/>
      <c r="L943" s="2335"/>
      <c r="M943" s="1951"/>
      <c r="N943" s="1962"/>
      <c r="O943" s="1961">
        <v>446666</v>
      </c>
      <c r="P943" s="1951">
        <v>467213</v>
      </c>
      <c r="Q943" s="1960">
        <v>488705</v>
      </c>
    </row>
    <row r="944" spans="1:17" ht="12.75" customHeight="1">
      <c r="A944" s="2332" t="s">
        <v>3541</v>
      </c>
      <c r="B944" s="2185" t="s">
        <v>3606</v>
      </c>
      <c r="C944" s="2296" t="s">
        <v>3453</v>
      </c>
      <c r="D944" s="2296"/>
      <c r="E944" s="2333" t="s">
        <v>3467</v>
      </c>
      <c r="F944" s="2333" t="s">
        <v>3468</v>
      </c>
      <c r="G944" s="2185" t="s">
        <v>3469</v>
      </c>
      <c r="H944" s="2333"/>
      <c r="I944" s="2334"/>
      <c r="J944" s="2185"/>
      <c r="K944" s="2336"/>
      <c r="L944" s="2335"/>
      <c r="M944" s="1951"/>
      <c r="N944" s="1962"/>
      <c r="O944" s="1961">
        <v>457406</v>
      </c>
      <c r="P944" s="1951">
        <v>478447</v>
      </c>
      <c r="Q944" s="1960">
        <v>500456</v>
      </c>
    </row>
    <row r="945" spans="1:17" ht="12.75" customHeight="1">
      <c r="A945" s="2332" t="s">
        <v>3499</v>
      </c>
      <c r="B945" s="2185" t="s">
        <v>3589</v>
      </c>
      <c r="C945" s="2296" t="s">
        <v>3453</v>
      </c>
      <c r="D945" s="2296"/>
      <c r="E945" s="2333" t="s">
        <v>3467</v>
      </c>
      <c r="F945" s="2333" t="s">
        <v>3468</v>
      </c>
      <c r="G945" s="2185" t="s">
        <v>3469</v>
      </c>
      <c r="H945" s="2333"/>
      <c r="I945" s="2334"/>
      <c r="J945" s="2185"/>
      <c r="K945" s="2336"/>
      <c r="L945" s="2335"/>
      <c r="M945" s="1951"/>
      <c r="N945" s="1962"/>
      <c r="O945" s="1961">
        <v>307477</v>
      </c>
      <c r="P945" s="1951">
        <v>321621</v>
      </c>
      <c r="Q945" s="1960">
        <v>336416</v>
      </c>
    </row>
    <row r="946" spans="1:17" ht="12.75" customHeight="1">
      <c r="A946" s="2332" t="s">
        <v>3464</v>
      </c>
      <c r="B946" s="2185" t="s">
        <v>3489</v>
      </c>
      <c r="C946" s="2296" t="s">
        <v>3453</v>
      </c>
      <c r="D946" s="2296"/>
      <c r="E946" s="2333" t="s">
        <v>3467</v>
      </c>
      <c r="F946" s="2333" t="s">
        <v>3468</v>
      </c>
      <c r="G946" s="2185" t="s">
        <v>3469</v>
      </c>
      <c r="H946" s="2333"/>
      <c r="I946" s="2334"/>
      <c r="J946" s="2185"/>
      <c r="K946" s="2336"/>
      <c r="L946" s="2335"/>
      <c r="M946" s="1951"/>
      <c r="N946" s="1962"/>
      <c r="O946" s="1961">
        <v>11667</v>
      </c>
      <c r="P946" s="1951">
        <v>12204</v>
      </c>
      <c r="Q946" s="1960">
        <v>12766</v>
      </c>
    </row>
    <row r="947" spans="1:17" ht="12.75" customHeight="1">
      <c r="A947" s="2332" t="s">
        <v>3454</v>
      </c>
      <c r="B947" s="2185" t="s">
        <v>3695</v>
      </c>
      <c r="C947" s="2296" t="s">
        <v>3453</v>
      </c>
      <c r="D947" s="2296"/>
      <c r="E947" s="2333" t="s">
        <v>3467</v>
      </c>
      <c r="F947" s="2333" t="s">
        <v>3468</v>
      </c>
      <c r="G947" s="2185" t="s">
        <v>3469</v>
      </c>
      <c r="H947" s="2333"/>
      <c r="I947" s="2334"/>
      <c r="J947" s="2185"/>
      <c r="K947" s="2336"/>
      <c r="L947" s="2335"/>
      <c r="M947" s="1951"/>
      <c r="N947" s="1962"/>
      <c r="O947" s="1961">
        <v>36663</v>
      </c>
      <c r="P947" s="1951">
        <v>38350</v>
      </c>
      <c r="Q947" s="1960">
        <v>40114</v>
      </c>
    </row>
    <row r="948" spans="1:17" ht="12.75" customHeight="1">
      <c r="A948" s="2332" t="s">
        <v>3499</v>
      </c>
      <c r="B948" s="2185" t="s">
        <v>3592</v>
      </c>
      <c r="C948" s="2296" t="s">
        <v>3453</v>
      </c>
      <c r="D948" s="2296"/>
      <c r="E948" s="2333" t="s">
        <v>3456</v>
      </c>
      <c r="F948" s="2333" t="s">
        <v>3457</v>
      </c>
      <c r="G948" s="2185" t="s">
        <v>3481</v>
      </c>
      <c r="H948" s="2333"/>
      <c r="I948" s="2334"/>
      <c r="J948" s="2185"/>
      <c r="K948" s="2336"/>
      <c r="L948" s="2335"/>
      <c r="M948" s="1951"/>
      <c r="N948" s="1962"/>
      <c r="O948" s="1961">
        <v>74647</v>
      </c>
      <c r="P948" s="1951">
        <v>78081</v>
      </c>
      <c r="Q948" s="1960">
        <v>81673</v>
      </c>
    </row>
    <row r="949" spans="1:17" ht="12.75" customHeight="1">
      <c r="A949" s="2332" t="s">
        <v>3459</v>
      </c>
      <c r="B949" s="2185" t="s">
        <v>3843</v>
      </c>
      <c r="C949" s="2296" t="s">
        <v>3463</v>
      </c>
      <c r="D949" s="2296"/>
      <c r="E949" s="2333" t="s">
        <v>3456</v>
      </c>
      <c r="F949" s="2333" t="s">
        <v>3457</v>
      </c>
      <c r="G949" s="2185" t="s">
        <v>3461</v>
      </c>
      <c r="H949" s="2333"/>
      <c r="I949" s="2334"/>
      <c r="J949" s="2185"/>
      <c r="K949" s="2336"/>
      <c r="L949" s="2335"/>
      <c r="M949" s="1951"/>
      <c r="N949" s="1962"/>
      <c r="O949" s="1961">
        <v>1111</v>
      </c>
      <c r="P949" s="1951">
        <v>1163</v>
      </c>
      <c r="Q949" s="1960">
        <v>1216</v>
      </c>
    </row>
    <row r="950" spans="1:17" ht="12.75" customHeight="1">
      <c r="A950" s="2332" t="s">
        <v>3454</v>
      </c>
      <c r="B950" s="2185" t="s">
        <v>3512</v>
      </c>
      <c r="C950" s="2296" t="s">
        <v>3453</v>
      </c>
      <c r="D950" s="2296"/>
      <c r="E950" s="2333" t="s">
        <v>3467</v>
      </c>
      <c r="F950" s="2333" t="s">
        <v>3468</v>
      </c>
      <c r="G950" s="2185" t="s">
        <v>3469</v>
      </c>
      <c r="H950" s="2333"/>
      <c r="I950" s="2334"/>
      <c r="J950" s="2185"/>
      <c r="K950" s="2336"/>
      <c r="L950" s="2335"/>
      <c r="M950" s="1951"/>
      <c r="N950" s="1962"/>
      <c r="O950" s="1961">
        <v>0</v>
      </c>
      <c r="P950" s="1951">
        <v>0</v>
      </c>
      <c r="Q950" s="1960">
        <v>0</v>
      </c>
    </row>
    <row r="951" spans="1:17" ht="12.75" customHeight="1">
      <c r="A951" s="2332" t="s">
        <v>3479</v>
      </c>
      <c r="B951" s="2185" t="s">
        <v>3844</v>
      </c>
      <c r="C951" s="2296" t="s">
        <v>3453</v>
      </c>
      <c r="D951" s="2296"/>
      <c r="E951" s="2333" t="s">
        <v>3467</v>
      </c>
      <c r="F951" s="2333" t="s">
        <v>3468</v>
      </c>
      <c r="G951" s="2185" t="s">
        <v>3469</v>
      </c>
      <c r="H951" s="2333"/>
      <c r="I951" s="2334"/>
      <c r="J951" s="2185"/>
      <c r="K951" s="2336"/>
      <c r="L951" s="2335"/>
      <c r="M951" s="1951"/>
      <c r="N951" s="1962"/>
      <c r="O951" s="1961">
        <v>8292</v>
      </c>
      <c r="P951" s="1951">
        <v>8674</v>
      </c>
      <c r="Q951" s="1960">
        <v>9073</v>
      </c>
    </row>
    <row r="952" spans="1:17" ht="12.75" customHeight="1">
      <c r="A952" s="2332" t="s">
        <v>3531</v>
      </c>
      <c r="B952" s="2185" t="s">
        <v>3532</v>
      </c>
      <c r="C952" s="2296" t="s">
        <v>3453</v>
      </c>
      <c r="D952" s="2296"/>
      <c r="E952" s="2333" t="s">
        <v>3467</v>
      </c>
      <c r="F952" s="2333" t="s">
        <v>3468</v>
      </c>
      <c r="G952" s="2185" t="s">
        <v>3469</v>
      </c>
      <c r="H952" s="2333"/>
      <c r="I952" s="2334"/>
      <c r="J952" s="2185"/>
      <c r="K952" s="2336"/>
      <c r="L952" s="2335"/>
      <c r="M952" s="1951"/>
      <c r="N952" s="1962"/>
      <c r="O952" s="1961">
        <v>0</v>
      </c>
      <c r="P952" s="1951">
        <v>0</v>
      </c>
      <c r="Q952" s="1960">
        <v>0</v>
      </c>
    </row>
    <row r="953" spans="1:17" ht="12.75" customHeight="1">
      <c r="A953" s="2332" t="s">
        <v>3576</v>
      </c>
      <c r="B953" s="2185" t="s">
        <v>3845</v>
      </c>
      <c r="C953" s="2296" t="s">
        <v>3453</v>
      </c>
      <c r="D953" s="2296"/>
      <c r="E953" s="2333" t="s">
        <v>3467</v>
      </c>
      <c r="F953" s="2333" t="s">
        <v>3468</v>
      </c>
      <c r="G953" s="2185" t="s">
        <v>3469</v>
      </c>
      <c r="H953" s="2333"/>
      <c r="I953" s="2334"/>
      <c r="J953" s="2185"/>
      <c r="K953" s="2336"/>
      <c r="L953" s="2335"/>
      <c r="M953" s="1951"/>
      <c r="N953" s="1962"/>
      <c r="O953" s="1961">
        <v>3971</v>
      </c>
      <c r="P953" s="1951">
        <v>4154</v>
      </c>
      <c r="Q953" s="1960">
        <v>4345</v>
      </c>
    </row>
    <row r="954" spans="1:17" ht="12.75" customHeight="1">
      <c r="A954" s="2332" t="s">
        <v>3510</v>
      </c>
      <c r="B954" s="2185" t="s">
        <v>3846</v>
      </c>
      <c r="C954" s="2296" t="s">
        <v>3463</v>
      </c>
      <c r="D954" s="2296"/>
      <c r="E954" s="2333" t="s">
        <v>3456</v>
      </c>
      <c r="F954" s="2333" t="s">
        <v>3457</v>
      </c>
      <c r="G954" s="2185" t="s">
        <v>3461</v>
      </c>
      <c r="H954" s="2333"/>
      <c r="I954" s="2334"/>
      <c r="J954" s="2185"/>
      <c r="K954" s="2336"/>
      <c r="L954" s="2335"/>
      <c r="M954" s="1951"/>
      <c r="N954" s="1962"/>
      <c r="O954" s="1961">
        <v>1000</v>
      </c>
      <c r="P954" s="1951">
        <v>1046</v>
      </c>
      <c r="Q954" s="1960">
        <v>1095</v>
      </c>
    </row>
    <row r="955" spans="1:17" ht="12.75" customHeight="1">
      <c r="A955" s="2332" t="s">
        <v>3543</v>
      </c>
      <c r="B955" s="2185" t="s">
        <v>3847</v>
      </c>
      <c r="C955" s="2296" t="s">
        <v>3453</v>
      </c>
      <c r="D955" s="2296"/>
      <c r="E955" s="2333" t="s">
        <v>3467</v>
      </c>
      <c r="F955" s="2333" t="s">
        <v>3468</v>
      </c>
      <c r="G955" s="2185" t="s">
        <v>3469</v>
      </c>
      <c r="H955" s="2333"/>
      <c r="I955" s="2334"/>
      <c r="J955" s="2185"/>
      <c r="K955" s="2336"/>
      <c r="L955" s="2335"/>
      <c r="M955" s="1951"/>
      <c r="N955" s="1962"/>
      <c r="O955" s="1961">
        <v>3726</v>
      </c>
      <c r="P955" s="1951">
        <v>3898</v>
      </c>
      <c r="Q955" s="1960">
        <v>4077</v>
      </c>
    </row>
    <row r="956" spans="1:17" ht="12.75" customHeight="1">
      <c r="A956" s="2332" t="s">
        <v>3464</v>
      </c>
      <c r="B956" s="2185" t="s">
        <v>3848</v>
      </c>
      <c r="C956" s="2296" t="s">
        <v>3453</v>
      </c>
      <c r="D956" s="2296"/>
      <c r="E956" s="2333" t="s">
        <v>3467</v>
      </c>
      <c r="F956" s="2333" t="s">
        <v>3468</v>
      </c>
      <c r="G956" s="2185" t="s">
        <v>3469</v>
      </c>
      <c r="H956" s="2333"/>
      <c r="I956" s="2334"/>
      <c r="J956" s="2185"/>
      <c r="K956" s="2336"/>
      <c r="L956" s="2335"/>
      <c r="M956" s="1951"/>
      <c r="N956" s="1962"/>
      <c r="O956" s="1961">
        <v>26470</v>
      </c>
      <c r="P956" s="1951">
        <v>26470</v>
      </c>
      <c r="Q956" s="1960">
        <v>27741</v>
      </c>
    </row>
    <row r="957" spans="1:17" ht="12.75" customHeight="1">
      <c r="A957" s="2332" t="s">
        <v>3531</v>
      </c>
      <c r="B957" s="2185" t="s">
        <v>3593</v>
      </c>
      <c r="C957" s="2296" t="s">
        <v>3453</v>
      </c>
      <c r="D957" s="2296"/>
      <c r="E957" s="2333" t="s">
        <v>3467</v>
      </c>
      <c r="F957" s="2333" t="s">
        <v>3468</v>
      </c>
      <c r="G957" s="2185" t="s">
        <v>3475</v>
      </c>
      <c r="H957" s="2333"/>
      <c r="I957" s="2334"/>
      <c r="J957" s="2185"/>
      <c r="K957" s="2336"/>
      <c r="L957" s="2335"/>
      <c r="M957" s="1951"/>
      <c r="N957" s="1962"/>
      <c r="O957" s="1961">
        <v>1444260</v>
      </c>
      <c r="P957" s="1951">
        <v>1522250</v>
      </c>
      <c r="Q957" s="1960">
        <v>1604452</v>
      </c>
    </row>
    <row r="958" spans="1:17" ht="12.75" customHeight="1">
      <c r="A958" s="2332" t="s">
        <v>3520</v>
      </c>
      <c r="B958" s="2185" t="s">
        <v>3668</v>
      </c>
      <c r="C958" s="2296" t="s">
        <v>3453</v>
      </c>
      <c r="D958" s="2296"/>
      <c r="E958" s="2333" t="s">
        <v>3456</v>
      </c>
      <c r="F958" s="2333" t="s">
        <v>3457</v>
      </c>
      <c r="G958" s="2185" t="s">
        <v>3481</v>
      </c>
      <c r="H958" s="2333"/>
      <c r="I958" s="2334"/>
      <c r="J958" s="2185"/>
      <c r="K958" s="2336"/>
      <c r="L958" s="2335"/>
      <c r="M958" s="1951"/>
      <c r="N958" s="1962"/>
      <c r="O958" s="1961">
        <v>56549</v>
      </c>
      <c r="P958" s="1951">
        <v>59151</v>
      </c>
      <c r="Q958" s="1960">
        <v>61872</v>
      </c>
    </row>
    <row r="959" spans="1:17" ht="12.75" customHeight="1">
      <c r="A959" s="2332" t="s">
        <v>3483</v>
      </c>
      <c r="B959" s="2185" t="s">
        <v>3676</v>
      </c>
      <c r="C959" s="2296" t="s">
        <v>3453</v>
      </c>
      <c r="D959" s="2296"/>
      <c r="E959" s="2333" t="s">
        <v>3525</v>
      </c>
      <c r="F959" s="2333" t="s">
        <v>3457</v>
      </c>
      <c r="G959" s="2185" t="s">
        <v>3526</v>
      </c>
      <c r="H959" s="2333"/>
      <c r="I959" s="2334"/>
      <c r="J959" s="2185"/>
      <c r="K959" s="2336"/>
      <c r="L959" s="2335"/>
      <c r="M959" s="1951"/>
      <c r="N959" s="1962"/>
      <c r="O959" s="1961">
        <v>33358</v>
      </c>
      <c r="P959" s="1951">
        <v>34893</v>
      </c>
      <c r="Q959" s="1960">
        <v>36498</v>
      </c>
    </row>
    <row r="960" spans="1:17" ht="12.75" customHeight="1">
      <c r="A960" s="2332" t="s">
        <v>3499</v>
      </c>
      <c r="B960" s="2185" t="s">
        <v>3849</v>
      </c>
      <c r="C960" s="2296" t="s">
        <v>3453</v>
      </c>
      <c r="D960" s="2296"/>
      <c r="E960" s="2333" t="s">
        <v>3467</v>
      </c>
      <c r="F960" s="2333" t="s">
        <v>3468</v>
      </c>
      <c r="G960" s="2185" t="s">
        <v>3475</v>
      </c>
      <c r="H960" s="2333"/>
      <c r="I960" s="2334"/>
      <c r="J960" s="2185"/>
      <c r="K960" s="2336"/>
      <c r="L960" s="2335"/>
      <c r="M960" s="1951"/>
      <c r="N960" s="1962"/>
      <c r="O960" s="1961">
        <v>2579</v>
      </c>
      <c r="P960" s="1951">
        <v>2698</v>
      </c>
      <c r="Q960" s="1960">
        <v>2822</v>
      </c>
    </row>
    <row r="961" spans="1:17" ht="12.75" customHeight="1">
      <c r="A961" s="2332" t="s">
        <v>3533</v>
      </c>
      <c r="B961" s="2185" t="s">
        <v>3534</v>
      </c>
      <c r="C961" s="2296" t="s">
        <v>3453</v>
      </c>
      <c r="D961" s="2296"/>
      <c r="E961" s="2333" t="s">
        <v>3456</v>
      </c>
      <c r="F961" s="2333" t="s">
        <v>3457</v>
      </c>
      <c r="G961" s="2185" t="s">
        <v>3461</v>
      </c>
      <c r="H961" s="2333"/>
      <c r="I961" s="2334"/>
      <c r="J961" s="2185"/>
      <c r="K961" s="2336"/>
      <c r="L961" s="2335"/>
      <c r="M961" s="1951"/>
      <c r="N961" s="1962"/>
      <c r="O961" s="1961">
        <v>2320</v>
      </c>
      <c r="P961" s="1951">
        <v>2427</v>
      </c>
      <c r="Q961" s="1960">
        <v>2539</v>
      </c>
    </row>
    <row r="962" spans="1:17" ht="12.75" customHeight="1">
      <c r="A962" s="2332" t="s">
        <v>3454</v>
      </c>
      <c r="B962" s="2185" t="s">
        <v>3545</v>
      </c>
      <c r="C962" s="2296" t="s">
        <v>3453</v>
      </c>
      <c r="D962" s="2296"/>
      <c r="E962" s="2333" t="s">
        <v>3456</v>
      </c>
      <c r="F962" s="2333" t="s">
        <v>3457</v>
      </c>
      <c r="G962" s="2185" t="s">
        <v>3461</v>
      </c>
      <c r="H962" s="2333"/>
      <c r="I962" s="2334"/>
      <c r="J962" s="2185"/>
      <c r="K962" s="2336"/>
      <c r="L962" s="2335"/>
      <c r="M962" s="1951"/>
      <c r="N962" s="1962"/>
      <c r="O962" s="1961">
        <v>0</v>
      </c>
      <c r="P962" s="1951">
        <v>0</v>
      </c>
      <c r="Q962" s="1960">
        <v>0</v>
      </c>
    </row>
    <row r="963" spans="1:17" ht="12.75" customHeight="1">
      <c r="A963" s="2332" t="s">
        <v>3520</v>
      </c>
      <c r="B963" s="2185" t="s">
        <v>3603</v>
      </c>
      <c r="C963" s="2296" t="s">
        <v>3453</v>
      </c>
      <c r="D963" s="2296"/>
      <c r="E963" s="2333" t="s">
        <v>3467</v>
      </c>
      <c r="F963" s="2333" t="s">
        <v>3468</v>
      </c>
      <c r="G963" s="2185" t="s">
        <v>2676</v>
      </c>
      <c r="H963" s="2333"/>
      <c r="I963" s="2334"/>
      <c r="J963" s="2185"/>
      <c r="K963" s="2336"/>
      <c r="L963" s="2335"/>
      <c r="M963" s="1951"/>
      <c r="N963" s="1962"/>
      <c r="O963" s="1961">
        <v>83113</v>
      </c>
      <c r="P963" s="1951">
        <v>86937</v>
      </c>
      <c r="Q963" s="1960">
        <v>90936</v>
      </c>
    </row>
    <row r="964" spans="1:17" ht="12.75" customHeight="1">
      <c r="A964" s="2332" t="s">
        <v>3543</v>
      </c>
      <c r="B964" s="2185" t="s">
        <v>3623</v>
      </c>
      <c r="C964" s="2296" t="s">
        <v>3453</v>
      </c>
      <c r="D964" s="2296"/>
      <c r="E964" s="2333" t="s">
        <v>3456</v>
      </c>
      <c r="F964" s="2333" t="s">
        <v>3457</v>
      </c>
      <c r="G964" s="2185" t="s">
        <v>3461</v>
      </c>
      <c r="H964" s="2333"/>
      <c r="I964" s="2334"/>
      <c r="J964" s="2185"/>
      <c r="K964" s="2336"/>
      <c r="L964" s="2335"/>
      <c r="M964" s="1951"/>
      <c r="N964" s="1962"/>
      <c r="O964" s="1961">
        <v>13750</v>
      </c>
      <c r="P964" s="1951">
        <v>14383</v>
      </c>
      <c r="Q964" s="1960">
        <v>15045</v>
      </c>
    </row>
    <row r="965" spans="1:17" ht="12.75" customHeight="1">
      <c r="A965" s="2332" t="s">
        <v>3454</v>
      </c>
      <c r="B965" s="2185" t="s">
        <v>3662</v>
      </c>
      <c r="C965" s="2296" t="s">
        <v>3453</v>
      </c>
      <c r="D965" s="2296"/>
      <c r="E965" s="2333" t="s">
        <v>3456</v>
      </c>
      <c r="F965" s="2333" t="s">
        <v>3457</v>
      </c>
      <c r="G965" s="2185" t="s">
        <v>3458</v>
      </c>
      <c r="H965" s="2333"/>
      <c r="I965" s="2334"/>
      <c r="J965" s="2185"/>
      <c r="K965" s="2336"/>
      <c r="L965" s="2335"/>
      <c r="M965" s="1951"/>
      <c r="N965" s="1962"/>
      <c r="O965" s="1961">
        <v>3669</v>
      </c>
      <c r="P965" s="1951">
        <v>3838</v>
      </c>
      <c r="Q965" s="1960">
        <v>4015</v>
      </c>
    </row>
    <row r="966" spans="1:17" ht="12.75" customHeight="1">
      <c r="A966" s="2332" t="s">
        <v>3536</v>
      </c>
      <c r="B966" s="2185" t="s">
        <v>3850</v>
      </c>
      <c r="C966" s="2296" t="s">
        <v>3453</v>
      </c>
      <c r="D966" s="2296"/>
      <c r="E966" s="2333" t="s">
        <v>3456</v>
      </c>
      <c r="F966" s="2333" t="s">
        <v>3457</v>
      </c>
      <c r="G966" s="2185" t="s">
        <v>3461</v>
      </c>
      <c r="H966" s="2333"/>
      <c r="I966" s="2334"/>
      <c r="J966" s="2185"/>
      <c r="K966" s="2336"/>
      <c r="L966" s="2335"/>
      <c r="M966" s="1951"/>
      <c r="N966" s="1962"/>
      <c r="O966" s="1961">
        <v>21571</v>
      </c>
      <c r="P966" s="1951">
        <v>21571</v>
      </c>
      <c r="Q966" s="1960">
        <v>22564</v>
      </c>
    </row>
    <row r="967" spans="1:17" ht="12.75" customHeight="1">
      <c r="A967" s="2332" t="s">
        <v>3520</v>
      </c>
      <c r="B967" s="2185" t="s">
        <v>3851</v>
      </c>
      <c r="C967" s="2296" t="s">
        <v>3453</v>
      </c>
      <c r="D967" s="2296"/>
      <c r="E967" s="2333" t="s">
        <v>3456</v>
      </c>
      <c r="F967" s="2333" t="s">
        <v>3457</v>
      </c>
      <c r="G967" s="2185" t="s">
        <v>3458</v>
      </c>
      <c r="H967" s="2333"/>
      <c r="I967" s="2334"/>
      <c r="J967" s="2185"/>
      <c r="K967" s="2336"/>
      <c r="L967" s="2335"/>
      <c r="M967" s="1951"/>
      <c r="N967" s="1962"/>
      <c r="O967" s="1961">
        <v>350000</v>
      </c>
      <c r="P967" s="1951">
        <v>366100</v>
      </c>
      <c r="Q967" s="1960">
        <v>382941</v>
      </c>
    </row>
    <row r="968" spans="1:17" ht="12.75" customHeight="1">
      <c r="A968" s="2332" t="s">
        <v>3454</v>
      </c>
      <c r="B968" s="2185" t="s">
        <v>3455</v>
      </c>
      <c r="C968" s="2296" t="s">
        <v>3453</v>
      </c>
      <c r="D968" s="2296"/>
      <c r="E968" s="2333" t="s">
        <v>3467</v>
      </c>
      <c r="F968" s="2333" t="s">
        <v>3468</v>
      </c>
      <c r="G968" s="2185" t="s">
        <v>3469</v>
      </c>
      <c r="H968" s="2333"/>
      <c r="I968" s="2334"/>
      <c r="J968" s="2185"/>
      <c r="K968" s="2336"/>
      <c r="L968" s="2335"/>
      <c r="M968" s="1951"/>
      <c r="N968" s="1962"/>
      <c r="O968" s="1961">
        <v>419914</v>
      </c>
      <c r="P968" s="1951">
        <v>439231</v>
      </c>
      <c r="Q968" s="1960">
        <v>459435</v>
      </c>
    </row>
    <row r="969" spans="1:17" ht="12.75" customHeight="1">
      <c r="A969" s="2332" t="s">
        <v>3510</v>
      </c>
      <c r="B969" s="2185" t="s">
        <v>3642</v>
      </c>
      <c r="C969" s="2296" t="s">
        <v>3453</v>
      </c>
      <c r="D969" s="2296"/>
      <c r="E969" s="2333"/>
      <c r="F969" s="2333"/>
      <c r="G969" s="2185"/>
      <c r="H969" s="2333"/>
      <c r="I969" s="2334"/>
      <c r="J969" s="2185"/>
      <c r="K969" s="2336"/>
      <c r="L969" s="2335"/>
      <c r="M969" s="1951"/>
      <c r="N969" s="1962"/>
      <c r="O969" s="1961">
        <v>157022</v>
      </c>
      <c r="P969" s="1951">
        <v>164246</v>
      </c>
      <c r="Q969" s="1960">
        <v>171801</v>
      </c>
    </row>
    <row r="970" spans="1:17" ht="12.75" customHeight="1">
      <c r="A970" s="2332" t="s">
        <v>3523</v>
      </c>
      <c r="B970" s="2185" t="s">
        <v>3626</v>
      </c>
      <c r="C970" s="2296" t="s">
        <v>3453</v>
      </c>
      <c r="D970" s="2296"/>
      <c r="E970" s="2333" t="s">
        <v>3456</v>
      </c>
      <c r="F970" s="2333" t="s">
        <v>3457</v>
      </c>
      <c r="G970" s="2185" t="s">
        <v>3461</v>
      </c>
      <c r="H970" s="2333"/>
      <c r="I970" s="2334"/>
      <c r="J970" s="2185"/>
      <c r="K970" s="2336"/>
      <c r="L970" s="2335"/>
      <c r="M970" s="1951"/>
      <c r="N970" s="1962"/>
      <c r="O970" s="1961">
        <v>3442194</v>
      </c>
      <c r="P970" s="1951">
        <v>3600535</v>
      </c>
      <c r="Q970" s="1960">
        <v>3766160</v>
      </c>
    </row>
    <row r="971" spans="1:17" ht="12.75" customHeight="1">
      <c r="A971" s="2332" t="s">
        <v>3470</v>
      </c>
      <c r="B971" s="2185" t="s">
        <v>3600</v>
      </c>
      <c r="C971" s="2296" t="s">
        <v>3453</v>
      </c>
      <c r="D971" s="2296"/>
      <c r="E971" s="2333" t="s">
        <v>3456</v>
      </c>
      <c r="F971" s="2333" t="s">
        <v>3457</v>
      </c>
      <c r="G971" s="2185" t="s">
        <v>3458</v>
      </c>
      <c r="H971" s="2333"/>
      <c r="I971" s="2334"/>
      <c r="J971" s="2185"/>
      <c r="K971" s="2336"/>
      <c r="L971" s="2335"/>
      <c r="M971" s="1951"/>
      <c r="N971" s="1962"/>
      <c r="O971" s="1961">
        <v>59169</v>
      </c>
      <c r="P971" s="1951">
        <v>61891</v>
      </c>
      <c r="Q971" s="1960">
        <v>64738</v>
      </c>
    </row>
    <row r="972" spans="1:17" ht="12.75" customHeight="1">
      <c r="A972" s="2332" t="s">
        <v>3499</v>
      </c>
      <c r="B972" s="2185" t="s">
        <v>3852</v>
      </c>
      <c r="C972" s="2296" t="s">
        <v>3497</v>
      </c>
      <c r="D972" s="2296"/>
      <c r="E972" s="2333" t="s">
        <v>3456</v>
      </c>
      <c r="F972" s="2333" t="s">
        <v>3457</v>
      </c>
      <c r="G972" s="2185" t="s">
        <v>3458</v>
      </c>
      <c r="H972" s="2333"/>
      <c r="I972" s="2334"/>
      <c r="J972" s="2185"/>
      <c r="K972" s="2336"/>
      <c r="L972" s="2335"/>
      <c r="M972" s="1951"/>
      <c r="N972" s="1962"/>
      <c r="O972" s="1961">
        <v>1000</v>
      </c>
      <c r="P972" s="1951">
        <v>1046</v>
      </c>
      <c r="Q972" s="1960">
        <v>1095</v>
      </c>
    </row>
    <row r="973" spans="1:17" ht="12.75" customHeight="1">
      <c r="A973" s="2332" t="s">
        <v>3464</v>
      </c>
      <c r="B973" s="2185" t="s">
        <v>3665</v>
      </c>
      <c r="C973" s="2296" t="s">
        <v>3453</v>
      </c>
      <c r="D973" s="2296"/>
      <c r="E973" s="2333" t="s">
        <v>3456</v>
      </c>
      <c r="F973" s="2333" t="s">
        <v>3457</v>
      </c>
      <c r="G973" s="2185" t="s">
        <v>3461</v>
      </c>
      <c r="H973" s="2333"/>
      <c r="I973" s="2334"/>
      <c r="J973" s="2185"/>
      <c r="K973" s="2336"/>
      <c r="L973" s="2335"/>
      <c r="M973" s="1951"/>
      <c r="N973" s="1962"/>
      <c r="O973" s="1961">
        <v>16240</v>
      </c>
      <c r="P973" s="1951">
        <v>16988</v>
      </c>
      <c r="Q973" s="1960">
        <v>17769</v>
      </c>
    </row>
    <row r="974" spans="1:17" ht="12.75" customHeight="1">
      <c r="A974" s="2332" t="s">
        <v>3572</v>
      </c>
      <c r="B974" s="2185" t="s">
        <v>3853</v>
      </c>
      <c r="C974" s="2296" t="s">
        <v>3453</v>
      </c>
      <c r="D974" s="2296"/>
      <c r="E974" s="2333" t="s">
        <v>3467</v>
      </c>
      <c r="F974" s="2333" t="s">
        <v>3468</v>
      </c>
      <c r="G974" s="2185" t="s">
        <v>2676</v>
      </c>
      <c r="H974" s="2333"/>
      <c r="I974" s="2334"/>
      <c r="J974" s="2185"/>
      <c r="K974" s="2336"/>
      <c r="L974" s="2335"/>
      <c r="M974" s="1951"/>
      <c r="N974" s="1962"/>
      <c r="O974" s="1961">
        <v>15549</v>
      </c>
      <c r="P974" s="1951">
        <v>16265</v>
      </c>
      <c r="Q974" s="1960">
        <v>17013</v>
      </c>
    </row>
    <row r="975" spans="1:17" ht="12.75" customHeight="1">
      <c r="A975" s="2332" t="s">
        <v>3459</v>
      </c>
      <c r="B975" s="2185" t="s">
        <v>3616</v>
      </c>
      <c r="C975" s="2296" t="s">
        <v>3453</v>
      </c>
      <c r="D975" s="2296"/>
      <c r="E975" s="2333" t="s">
        <v>3456</v>
      </c>
      <c r="F975" s="2333" t="s">
        <v>3457</v>
      </c>
      <c r="G975" s="2185" t="s">
        <v>3461</v>
      </c>
      <c r="H975" s="2333"/>
      <c r="I975" s="2334"/>
      <c r="J975" s="2185"/>
      <c r="K975" s="2336"/>
      <c r="L975" s="2335"/>
      <c r="M975" s="1951"/>
      <c r="N975" s="1962"/>
      <c r="O975" s="1961">
        <v>5271757</v>
      </c>
      <c r="P975" s="1951">
        <v>5514258</v>
      </c>
      <c r="Q975" s="1960">
        <v>5767914</v>
      </c>
    </row>
    <row r="976" spans="1:17" ht="12.75" customHeight="1">
      <c r="A976" s="2332" t="s">
        <v>3541</v>
      </c>
      <c r="B976" s="2185" t="s">
        <v>3854</v>
      </c>
      <c r="C976" s="2296" t="s">
        <v>3453</v>
      </c>
      <c r="D976" s="2296"/>
      <c r="E976" s="2333" t="s">
        <v>3456</v>
      </c>
      <c r="F976" s="2333" t="s">
        <v>3457</v>
      </c>
      <c r="G976" s="2185" t="s">
        <v>3461</v>
      </c>
      <c r="H976" s="2333"/>
      <c r="I976" s="2334"/>
      <c r="J976" s="2185"/>
      <c r="K976" s="2336"/>
      <c r="L976" s="2335"/>
      <c r="M976" s="1951"/>
      <c r="N976" s="1962"/>
      <c r="O976" s="1961">
        <v>13900</v>
      </c>
      <c r="P976" s="1951">
        <v>14540</v>
      </c>
      <c r="Q976" s="1960">
        <v>15209</v>
      </c>
    </row>
    <row r="977" spans="1:17" ht="12.75" customHeight="1">
      <c r="A977" s="2332" t="s">
        <v>3459</v>
      </c>
      <c r="B977" s="2185" t="s">
        <v>3669</v>
      </c>
      <c r="C977" s="2296" t="s">
        <v>3453</v>
      </c>
      <c r="D977" s="2296"/>
      <c r="E977" s="2333" t="s">
        <v>3467</v>
      </c>
      <c r="F977" s="2333" t="s">
        <v>3468</v>
      </c>
      <c r="G977" s="2185" t="s">
        <v>3469</v>
      </c>
      <c r="H977" s="2333"/>
      <c r="I977" s="2334"/>
      <c r="J977" s="2185"/>
      <c r="K977" s="2336"/>
      <c r="L977" s="2335"/>
      <c r="M977" s="1951"/>
      <c r="N977" s="1962"/>
      <c r="O977" s="1961">
        <v>189296</v>
      </c>
      <c r="P977" s="1951">
        <v>198004</v>
      </c>
      <c r="Q977" s="1960">
        <v>207112</v>
      </c>
    </row>
    <row r="978" spans="1:17" ht="12.75" customHeight="1">
      <c r="A978" s="2332" t="s">
        <v>3459</v>
      </c>
      <c r="B978" s="2185" t="s">
        <v>3680</v>
      </c>
      <c r="C978" s="2296" t="s">
        <v>3453</v>
      </c>
      <c r="D978" s="2296"/>
      <c r="E978" s="2333" t="s">
        <v>3456</v>
      </c>
      <c r="F978" s="2333" t="s">
        <v>3457</v>
      </c>
      <c r="G978" s="2185" t="s">
        <v>3461</v>
      </c>
      <c r="H978" s="2333"/>
      <c r="I978" s="2334"/>
      <c r="J978" s="2185"/>
      <c r="K978" s="2336"/>
      <c r="L978" s="2335"/>
      <c r="M978" s="1951"/>
      <c r="N978" s="1962"/>
      <c r="O978" s="1961">
        <v>100</v>
      </c>
      <c r="P978" s="1951">
        <v>105</v>
      </c>
      <c r="Q978" s="1960">
        <v>110</v>
      </c>
    </row>
    <row r="979" spans="1:17" ht="12.75" customHeight="1">
      <c r="A979" s="2332" t="s">
        <v>3531</v>
      </c>
      <c r="B979" s="2185" t="s">
        <v>3532</v>
      </c>
      <c r="C979" s="2296" t="s">
        <v>3453</v>
      </c>
      <c r="D979" s="2296"/>
      <c r="E979" s="2333" t="s">
        <v>3467</v>
      </c>
      <c r="F979" s="2333" t="s">
        <v>3468</v>
      </c>
      <c r="G979" s="2185" t="s">
        <v>3469</v>
      </c>
      <c r="H979" s="2333"/>
      <c r="I979" s="2334"/>
      <c r="J979" s="2185"/>
      <c r="K979" s="2336"/>
      <c r="L979" s="2335"/>
      <c r="M979" s="1951"/>
      <c r="N979" s="1962"/>
      <c r="O979" s="1961">
        <v>0</v>
      </c>
      <c r="P979" s="1951">
        <v>0</v>
      </c>
      <c r="Q979" s="1960">
        <v>0</v>
      </c>
    </row>
    <row r="980" spans="1:17" ht="12.75" customHeight="1">
      <c r="A980" s="2332" t="s">
        <v>3531</v>
      </c>
      <c r="B980" s="2185" t="s">
        <v>3593</v>
      </c>
      <c r="C980" s="2296" t="s">
        <v>3453</v>
      </c>
      <c r="D980" s="2296"/>
      <c r="E980" s="2333" t="s">
        <v>3456</v>
      </c>
      <c r="F980" s="2333" t="s">
        <v>3457</v>
      </c>
      <c r="G980" s="2185" t="s">
        <v>3458</v>
      </c>
      <c r="H980" s="2333"/>
      <c r="I980" s="2334"/>
      <c r="J980" s="2185"/>
      <c r="K980" s="2336"/>
      <c r="L980" s="2335"/>
      <c r="M980" s="1951"/>
      <c r="N980" s="1962"/>
      <c r="O980" s="1961">
        <v>19278</v>
      </c>
      <c r="P980" s="1951">
        <v>20319</v>
      </c>
      <c r="Q980" s="1960">
        <v>21416</v>
      </c>
    </row>
    <row r="981" spans="1:17" ht="12.75" customHeight="1">
      <c r="A981" s="2332" t="s">
        <v>3520</v>
      </c>
      <c r="B981" s="2185" t="s">
        <v>3780</v>
      </c>
      <c r="C981" s="2296" t="s">
        <v>3453</v>
      </c>
      <c r="D981" s="2296"/>
      <c r="E981" s="2333" t="s">
        <v>3467</v>
      </c>
      <c r="F981" s="2333" t="s">
        <v>3468</v>
      </c>
      <c r="G981" s="2185" t="s">
        <v>3469</v>
      </c>
      <c r="H981" s="2333"/>
      <c r="I981" s="2334"/>
      <c r="J981" s="2185"/>
      <c r="K981" s="2336"/>
      <c r="L981" s="2335"/>
      <c r="M981" s="1951"/>
      <c r="N981" s="1962"/>
      <c r="O981" s="1961">
        <v>187500</v>
      </c>
      <c r="P981" s="1951">
        <v>196125</v>
      </c>
      <c r="Q981" s="1960">
        <v>205147</v>
      </c>
    </row>
    <row r="982" spans="1:17" ht="12.75" customHeight="1">
      <c r="A982" s="2332" t="s">
        <v>3464</v>
      </c>
      <c r="B982" s="2185" t="s">
        <v>3605</v>
      </c>
      <c r="C982" s="2296" t="s">
        <v>3453</v>
      </c>
      <c r="D982" s="2296"/>
      <c r="E982" s="2333" t="s">
        <v>3467</v>
      </c>
      <c r="F982" s="2333" t="s">
        <v>3468</v>
      </c>
      <c r="G982" s="2185" t="s">
        <v>3469</v>
      </c>
      <c r="H982" s="2333"/>
      <c r="I982" s="2334"/>
      <c r="J982" s="2185"/>
      <c r="K982" s="2336"/>
      <c r="L982" s="2335"/>
      <c r="M982" s="1951"/>
      <c r="N982" s="1962"/>
      <c r="O982" s="1961">
        <v>4474</v>
      </c>
      <c r="P982" s="1951">
        <v>4680</v>
      </c>
      <c r="Q982" s="1960">
        <v>4896</v>
      </c>
    </row>
    <row r="983" spans="1:17" ht="12.75" customHeight="1">
      <c r="A983" s="2332" t="s">
        <v>3454</v>
      </c>
      <c r="B983" s="2185" t="s">
        <v>3545</v>
      </c>
      <c r="C983" s="2296" t="s">
        <v>3453</v>
      </c>
      <c r="D983" s="2296"/>
      <c r="E983" s="2333" t="s">
        <v>3456</v>
      </c>
      <c r="F983" s="2333" t="s">
        <v>3457</v>
      </c>
      <c r="G983" s="2185" t="s">
        <v>3458</v>
      </c>
      <c r="H983" s="2333"/>
      <c r="I983" s="2334"/>
      <c r="J983" s="2185"/>
      <c r="K983" s="2336"/>
      <c r="L983" s="2335"/>
      <c r="M983" s="1951"/>
      <c r="N983" s="1962"/>
      <c r="O983" s="1961">
        <v>0</v>
      </c>
      <c r="P983" s="1951">
        <v>0</v>
      </c>
      <c r="Q983" s="1960">
        <v>0</v>
      </c>
    </row>
    <row r="984" spans="1:17" ht="12.75" customHeight="1">
      <c r="A984" s="2332" t="s">
        <v>3531</v>
      </c>
      <c r="B984" s="2185" t="s">
        <v>3532</v>
      </c>
      <c r="C984" s="2296" t="s">
        <v>3453</v>
      </c>
      <c r="D984" s="2296"/>
      <c r="E984" s="2333" t="s">
        <v>3456</v>
      </c>
      <c r="F984" s="2333" t="s">
        <v>3457</v>
      </c>
      <c r="G984" s="2185" t="s">
        <v>3461</v>
      </c>
      <c r="H984" s="2333"/>
      <c r="I984" s="2334"/>
      <c r="J984" s="2185"/>
      <c r="K984" s="2336"/>
      <c r="L984" s="2335"/>
      <c r="M984" s="1951"/>
      <c r="N984" s="1962"/>
      <c r="O984" s="1961">
        <v>0</v>
      </c>
      <c r="P984" s="1951">
        <v>0</v>
      </c>
      <c r="Q984" s="1960">
        <v>0</v>
      </c>
    </row>
    <row r="985" spans="1:17" ht="12.75" customHeight="1">
      <c r="A985" s="2332" t="s">
        <v>3464</v>
      </c>
      <c r="B985" s="2185" t="s">
        <v>3482</v>
      </c>
      <c r="C985" s="2296" t="s">
        <v>3453</v>
      </c>
      <c r="D985" s="2296"/>
      <c r="E985" s="2333" t="s">
        <v>3456</v>
      </c>
      <c r="F985" s="2333" t="s">
        <v>3457</v>
      </c>
      <c r="G985" s="2185" t="s">
        <v>3461</v>
      </c>
      <c r="H985" s="2333"/>
      <c r="I985" s="2334"/>
      <c r="J985" s="2185"/>
      <c r="K985" s="2336"/>
      <c r="L985" s="2335"/>
      <c r="M985" s="1951"/>
      <c r="N985" s="1962"/>
      <c r="O985" s="1961">
        <v>5031</v>
      </c>
      <c r="P985" s="1951">
        <v>5263</v>
      </c>
      <c r="Q985" s="1960">
        <v>5505</v>
      </c>
    </row>
    <row r="986" spans="1:17" ht="12.75" customHeight="1">
      <c r="A986" s="2332" t="s">
        <v>3572</v>
      </c>
      <c r="B986" s="2185" t="s">
        <v>3573</v>
      </c>
      <c r="C986" s="2296" t="s">
        <v>3453</v>
      </c>
      <c r="D986" s="2296"/>
      <c r="E986" s="2333" t="s">
        <v>3456</v>
      </c>
      <c r="F986" s="2333" t="s">
        <v>3457</v>
      </c>
      <c r="G986" s="2185" t="s">
        <v>3461</v>
      </c>
      <c r="H986" s="2333"/>
      <c r="I986" s="2334"/>
      <c r="J986" s="2185"/>
      <c r="K986" s="2336"/>
      <c r="L986" s="2335"/>
      <c r="M986" s="1951"/>
      <c r="N986" s="1962"/>
      <c r="O986" s="1961">
        <v>1689882</v>
      </c>
      <c r="P986" s="1951">
        <v>1767617</v>
      </c>
      <c r="Q986" s="1960">
        <v>1848927</v>
      </c>
    </row>
    <row r="987" spans="1:17" ht="12.75" customHeight="1">
      <c r="A987" s="2332" t="s">
        <v>3464</v>
      </c>
      <c r="B987" s="2185" t="s">
        <v>3522</v>
      </c>
      <c r="C987" s="2296" t="s">
        <v>3453</v>
      </c>
      <c r="D987" s="2296"/>
      <c r="E987" s="2333" t="s">
        <v>3456</v>
      </c>
      <c r="F987" s="2333" t="s">
        <v>3457</v>
      </c>
      <c r="G987" s="2185" t="s">
        <v>3458</v>
      </c>
      <c r="H987" s="2333"/>
      <c r="I987" s="2334"/>
      <c r="J987" s="2185"/>
      <c r="K987" s="2336"/>
      <c r="L987" s="2335"/>
      <c r="M987" s="1951"/>
      <c r="N987" s="1962"/>
      <c r="O987" s="1961">
        <v>172636</v>
      </c>
      <c r="P987" s="1951">
        <v>180578</v>
      </c>
      <c r="Q987" s="1960">
        <v>188884</v>
      </c>
    </row>
    <row r="988" spans="1:17" ht="12.75" customHeight="1">
      <c r="A988" s="2332" t="s">
        <v>3538</v>
      </c>
      <c r="B988" s="2185" t="s">
        <v>3678</v>
      </c>
      <c r="C988" s="2296" t="s">
        <v>3453</v>
      </c>
      <c r="D988" s="2296"/>
      <c r="E988" s="2333" t="s">
        <v>3456</v>
      </c>
      <c r="F988" s="2333" t="s">
        <v>3457</v>
      </c>
      <c r="G988" s="2185" t="s">
        <v>3458</v>
      </c>
      <c r="H988" s="2333"/>
      <c r="I988" s="2334"/>
      <c r="J988" s="2185"/>
      <c r="K988" s="2336"/>
      <c r="L988" s="2335"/>
      <c r="M988" s="1951"/>
      <c r="N988" s="1962"/>
      <c r="O988" s="1961">
        <v>360</v>
      </c>
      <c r="P988" s="1951">
        <v>377</v>
      </c>
      <c r="Q988" s="1960">
        <v>394</v>
      </c>
    </row>
    <row r="989" spans="1:17" ht="12.75" customHeight="1">
      <c r="A989" s="2332" t="s">
        <v>3543</v>
      </c>
      <c r="B989" s="2185" t="s">
        <v>3855</v>
      </c>
      <c r="C989" s="2296" t="s">
        <v>3453</v>
      </c>
      <c r="D989" s="2296"/>
      <c r="E989" s="2333" t="s">
        <v>3467</v>
      </c>
      <c r="F989" s="2333" t="s">
        <v>3468</v>
      </c>
      <c r="G989" s="2185" t="s">
        <v>3469</v>
      </c>
      <c r="H989" s="2333"/>
      <c r="I989" s="2334"/>
      <c r="J989" s="2185"/>
      <c r="K989" s="2336"/>
      <c r="L989" s="2335"/>
      <c r="M989" s="1951"/>
      <c r="N989" s="1962"/>
      <c r="O989" s="1961">
        <v>5000</v>
      </c>
      <c r="P989" s="1951">
        <v>5230</v>
      </c>
      <c r="Q989" s="1960">
        <v>5471</v>
      </c>
    </row>
    <row r="990" spans="1:17" ht="12.75" customHeight="1">
      <c r="A990" s="2332" t="s">
        <v>3520</v>
      </c>
      <c r="B990" s="2185" t="s">
        <v>3593</v>
      </c>
      <c r="C990" s="2296" t="s">
        <v>3453</v>
      </c>
      <c r="D990" s="2296"/>
      <c r="E990" s="2333" t="s">
        <v>3456</v>
      </c>
      <c r="F990" s="2333" t="s">
        <v>3457</v>
      </c>
      <c r="G990" s="2185" t="s">
        <v>3526</v>
      </c>
      <c r="H990" s="2333"/>
      <c r="I990" s="2334"/>
      <c r="J990" s="2185"/>
      <c r="K990" s="2336"/>
      <c r="L990" s="2335"/>
      <c r="M990" s="1951"/>
      <c r="N990" s="1962"/>
      <c r="O990" s="1961">
        <v>57220</v>
      </c>
      <c r="P990" s="1951">
        <v>59853</v>
      </c>
      <c r="Q990" s="1960">
        <v>62606</v>
      </c>
    </row>
    <row r="991" spans="1:17" ht="12.75" customHeight="1">
      <c r="A991" s="2332" t="s">
        <v>3510</v>
      </c>
      <c r="B991" s="2185" t="s">
        <v>3511</v>
      </c>
      <c r="C991" s="2296" t="s">
        <v>3453</v>
      </c>
      <c r="D991" s="2296"/>
      <c r="E991" s="2333" t="s">
        <v>3456</v>
      </c>
      <c r="F991" s="2333" t="s">
        <v>3457</v>
      </c>
      <c r="G991" s="2185" t="s">
        <v>3461</v>
      </c>
      <c r="H991" s="2333"/>
      <c r="I991" s="2334"/>
      <c r="J991" s="2185"/>
      <c r="K991" s="2336"/>
      <c r="L991" s="2335"/>
      <c r="M991" s="1951"/>
      <c r="N991" s="1962"/>
      <c r="O991" s="1961">
        <v>80000</v>
      </c>
      <c r="P991" s="1951">
        <v>83680</v>
      </c>
      <c r="Q991" s="1960">
        <v>87530</v>
      </c>
    </row>
    <row r="992" spans="1:17" ht="12.75" customHeight="1">
      <c r="A992" s="2332" t="s">
        <v>3490</v>
      </c>
      <c r="B992" s="2185" t="s">
        <v>3494</v>
      </c>
      <c r="C992" s="2296" t="s">
        <v>3453</v>
      </c>
      <c r="D992" s="2296"/>
      <c r="E992" s="2333" t="s">
        <v>3467</v>
      </c>
      <c r="F992" s="2333" t="s">
        <v>3468</v>
      </c>
      <c r="G992" s="2185" t="s">
        <v>3475</v>
      </c>
      <c r="H992" s="2333"/>
      <c r="I992" s="2334"/>
      <c r="J992" s="2185"/>
      <c r="K992" s="2336"/>
      <c r="L992" s="2335"/>
      <c r="M992" s="1951"/>
      <c r="N992" s="1962"/>
      <c r="O992" s="1961">
        <v>712</v>
      </c>
      <c r="P992" s="1951">
        <v>745</v>
      </c>
      <c r="Q992" s="1960">
        <v>780</v>
      </c>
    </row>
    <row r="993" spans="1:17" ht="12.75" customHeight="1">
      <c r="A993" s="2332" t="s">
        <v>3464</v>
      </c>
      <c r="B993" s="2185" t="s">
        <v>3856</v>
      </c>
      <c r="C993" s="2296" t="s">
        <v>3463</v>
      </c>
      <c r="D993" s="2296"/>
      <c r="E993" s="2333" t="s">
        <v>3456</v>
      </c>
      <c r="F993" s="2333" t="s">
        <v>3457</v>
      </c>
      <c r="G993" s="2185" t="s">
        <v>3481</v>
      </c>
      <c r="H993" s="2333"/>
      <c r="I993" s="2334"/>
      <c r="J993" s="2185"/>
      <c r="K993" s="2336"/>
      <c r="L993" s="2335"/>
      <c r="M993" s="1951"/>
      <c r="N993" s="1962"/>
      <c r="O993" s="1961">
        <v>3500</v>
      </c>
      <c r="P993" s="1951">
        <v>3661</v>
      </c>
      <c r="Q993" s="1960">
        <v>3830</v>
      </c>
    </row>
    <row r="994" spans="1:17" ht="12.75" customHeight="1">
      <c r="A994" s="2332" t="s">
        <v>3576</v>
      </c>
      <c r="B994" s="2185" t="s">
        <v>3857</v>
      </c>
      <c r="C994" s="2296" t="s">
        <v>3453</v>
      </c>
      <c r="D994" s="2296"/>
      <c r="E994" s="2333" t="s">
        <v>3456</v>
      </c>
      <c r="F994" s="2333" t="s">
        <v>3457</v>
      </c>
      <c r="G994" s="2185" t="s">
        <v>3526</v>
      </c>
      <c r="H994" s="2333"/>
      <c r="I994" s="2334"/>
      <c r="J994" s="2185"/>
      <c r="K994" s="2336"/>
      <c r="L994" s="2335"/>
      <c r="M994" s="1951"/>
      <c r="N994" s="1962"/>
      <c r="O994" s="1961">
        <v>150000</v>
      </c>
      <c r="P994" s="1951">
        <v>156900</v>
      </c>
      <c r="Q994" s="1960">
        <v>164118</v>
      </c>
    </row>
    <row r="995" spans="1:17" ht="12.75" customHeight="1">
      <c r="A995" s="2332" t="s">
        <v>3454</v>
      </c>
      <c r="B995" s="2185" t="s">
        <v>3574</v>
      </c>
      <c r="C995" s="2296" t="s">
        <v>3453</v>
      </c>
      <c r="D995" s="2296"/>
      <c r="E995" s="2333" t="s">
        <v>3467</v>
      </c>
      <c r="F995" s="2333" t="s">
        <v>3468</v>
      </c>
      <c r="G995" s="2185" t="s">
        <v>3469</v>
      </c>
      <c r="H995" s="2333"/>
      <c r="I995" s="2334"/>
      <c r="J995" s="2185"/>
      <c r="K995" s="2336"/>
      <c r="L995" s="2335"/>
      <c r="M995" s="1951"/>
      <c r="N995" s="1962"/>
      <c r="O995" s="1961">
        <v>0</v>
      </c>
      <c r="P995" s="1951">
        <v>0</v>
      </c>
      <c r="Q995" s="1960">
        <v>0</v>
      </c>
    </row>
    <row r="996" spans="1:17" ht="12.75" customHeight="1">
      <c r="A996" s="2332" t="s">
        <v>3454</v>
      </c>
      <c r="B996" s="2185" t="s">
        <v>3662</v>
      </c>
      <c r="C996" s="2296" t="s">
        <v>3453</v>
      </c>
      <c r="D996" s="2296"/>
      <c r="E996" s="2333" t="s">
        <v>3456</v>
      </c>
      <c r="F996" s="2333" t="s">
        <v>3457</v>
      </c>
      <c r="G996" s="2185" t="s">
        <v>3461</v>
      </c>
      <c r="H996" s="2333"/>
      <c r="I996" s="2334"/>
      <c r="J996" s="2185"/>
      <c r="K996" s="2336"/>
      <c r="L996" s="2335"/>
      <c r="M996" s="1951"/>
      <c r="N996" s="1962"/>
      <c r="O996" s="1961">
        <v>19278</v>
      </c>
      <c r="P996" s="1951">
        <v>20165</v>
      </c>
      <c r="Q996" s="1960">
        <v>21093</v>
      </c>
    </row>
    <row r="997" spans="1:17" ht="12.75" customHeight="1">
      <c r="A997" s="2332" t="s">
        <v>3576</v>
      </c>
      <c r="B997" s="2185" t="s">
        <v>3596</v>
      </c>
      <c r="C997" s="2296" t="s">
        <v>3453</v>
      </c>
      <c r="D997" s="2296"/>
      <c r="E997" s="2333" t="s">
        <v>3456</v>
      </c>
      <c r="F997" s="2333" t="s">
        <v>3457</v>
      </c>
      <c r="G997" s="2185" t="s">
        <v>3461</v>
      </c>
      <c r="H997" s="2333"/>
      <c r="I997" s="2334"/>
      <c r="J997" s="2185"/>
      <c r="K997" s="2336"/>
      <c r="L997" s="2335"/>
      <c r="M997" s="1951"/>
      <c r="N997" s="1962"/>
      <c r="O997" s="1961">
        <v>197598</v>
      </c>
      <c r="P997" s="1951">
        <v>206688</v>
      </c>
      <c r="Q997" s="1960">
        <v>216196</v>
      </c>
    </row>
    <row r="998" spans="1:17" ht="12.75" customHeight="1">
      <c r="A998" s="2332" t="s">
        <v>3490</v>
      </c>
      <c r="B998" s="2185" t="s">
        <v>3493</v>
      </c>
      <c r="C998" s="2296" t="s">
        <v>3453</v>
      </c>
      <c r="D998" s="2296"/>
      <c r="E998" s="2333" t="s">
        <v>3456</v>
      </c>
      <c r="F998" s="2333" t="s">
        <v>3457</v>
      </c>
      <c r="G998" s="2185" t="s">
        <v>3481</v>
      </c>
      <c r="H998" s="2333"/>
      <c r="I998" s="2334"/>
      <c r="J998" s="2185"/>
      <c r="K998" s="2336"/>
      <c r="L998" s="2335"/>
      <c r="M998" s="1951"/>
      <c r="N998" s="1962"/>
      <c r="O998" s="1961">
        <v>241715</v>
      </c>
      <c r="P998" s="1951">
        <v>252834</v>
      </c>
      <c r="Q998" s="1960">
        <v>264465</v>
      </c>
    </row>
    <row r="999" spans="1:17" ht="12.75" customHeight="1">
      <c r="A999" s="2332" t="s">
        <v>3487</v>
      </c>
      <c r="B999" s="2185" t="s">
        <v>3488</v>
      </c>
      <c r="C999" s="2296" t="s">
        <v>3453</v>
      </c>
      <c r="D999" s="2296"/>
      <c r="E999" s="2333" t="s">
        <v>3467</v>
      </c>
      <c r="F999" s="2333" t="s">
        <v>3468</v>
      </c>
      <c r="G999" s="2185" t="s">
        <v>3475</v>
      </c>
      <c r="H999" s="2333"/>
      <c r="I999" s="2334"/>
      <c r="J999" s="2185"/>
      <c r="K999" s="2336"/>
      <c r="L999" s="2335"/>
      <c r="M999" s="1951"/>
      <c r="N999" s="1962"/>
      <c r="O999" s="1961">
        <v>40000</v>
      </c>
      <c r="P999" s="1951">
        <v>41840</v>
      </c>
      <c r="Q999" s="1960">
        <v>43765</v>
      </c>
    </row>
    <row r="1000" spans="1:17" ht="12.75" customHeight="1">
      <c r="A1000" s="2332" t="s">
        <v>3479</v>
      </c>
      <c r="B1000" s="2185" t="s">
        <v>3480</v>
      </c>
      <c r="C1000" s="2296" t="s">
        <v>3453</v>
      </c>
      <c r="D1000" s="2296"/>
      <c r="E1000" s="2333" t="s">
        <v>3467</v>
      </c>
      <c r="F1000" s="2333" t="s">
        <v>3468</v>
      </c>
      <c r="G1000" s="2185" t="s">
        <v>2676</v>
      </c>
      <c r="H1000" s="2333"/>
      <c r="I1000" s="2334"/>
      <c r="J1000" s="2185"/>
      <c r="K1000" s="2336"/>
      <c r="L1000" s="2335"/>
      <c r="M1000" s="1951"/>
      <c r="N1000" s="1962"/>
      <c r="O1000" s="1961">
        <v>106146</v>
      </c>
      <c r="P1000" s="1951">
        <v>111029</v>
      </c>
      <c r="Q1000" s="1960">
        <v>116137</v>
      </c>
    </row>
    <row r="1001" spans="1:17" ht="12.75" customHeight="1">
      <c r="A1001" s="2332" t="s">
        <v>3533</v>
      </c>
      <c r="B1001" s="2185" t="s">
        <v>3858</v>
      </c>
      <c r="C1001" s="2296" t="s">
        <v>3453</v>
      </c>
      <c r="D1001" s="2296"/>
      <c r="E1001" s="2333" t="s">
        <v>3467</v>
      </c>
      <c r="F1001" s="2333" t="s">
        <v>3468</v>
      </c>
      <c r="G1001" s="2185" t="s">
        <v>3469</v>
      </c>
      <c r="H1001" s="2333"/>
      <c r="I1001" s="2334"/>
      <c r="J1001" s="2185"/>
      <c r="K1001" s="2336"/>
      <c r="L1001" s="2335"/>
      <c r="M1001" s="1951"/>
      <c r="N1001" s="1962"/>
      <c r="O1001" s="1961">
        <v>1318</v>
      </c>
      <c r="P1001" s="1951">
        <v>1379</v>
      </c>
      <c r="Q1001" s="1960">
        <v>1443</v>
      </c>
    </row>
    <row r="1002" spans="1:17" ht="12.75" customHeight="1">
      <c r="A1002" s="2332" t="s">
        <v>3523</v>
      </c>
      <c r="B1002" s="2185" t="s">
        <v>3626</v>
      </c>
      <c r="C1002" s="2296" t="s">
        <v>3453</v>
      </c>
      <c r="D1002" s="2296"/>
      <c r="E1002" s="2333" t="s">
        <v>3456</v>
      </c>
      <c r="F1002" s="2333" t="s">
        <v>3457</v>
      </c>
      <c r="G1002" s="2185" t="s">
        <v>3481</v>
      </c>
      <c r="H1002" s="2333"/>
      <c r="I1002" s="2334"/>
      <c r="J1002" s="2185"/>
      <c r="K1002" s="2336"/>
      <c r="L1002" s="2335"/>
      <c r="M1002" s="1951"/>
      <c r="N1002" s="1962"/>
      <c r="O1002" s="1961">
        <v>2070490</v>
      </c>
      <c r="P1002" s="1951">
        <v>2165733</v>
      </c>
      <c r="Q1002" s="1960">
        <v>2265357</v>
      </c>
    </row>
    <row r="1003" spans="1:17" ht="12.75" customHeight="1">
      <c r="A1003" s="2332" t="s">
        <v>3483</v>
      </c>
      <c r="B1003" s="2185" t="s">
        <v>3676</v>
      </c>
      <c r="C1003" s="2296" t="s">
        <v>3453</v>
      </c>
      <c r="D1003" s="2296"/>
      <c r="E1003" s="2333" t="s">
        <v>3467</v>
      </c>
      <c r="F1003" s="2333" t="s">
        <v>3468</v>
      </c>
      <c r="G1003" s="2185" t="s">
        <v>3475</v>
      </c>
      <c r="H1003" s="2333"/>
      <c r="I1003" s="2334"/>
      <c r="J1003" s="2185"/>
      <c r="K1003" s="2336"/>
      <c r="L1003" s="2335"/>
      <c r="M1003" s="1951"/>
      <c r="N1003" s="1962"/>
      <c r="O1003" s="1961">
        <v>1276429</v>
      </c>
      <c r="P1003" s="1951">
        <v>1335145</v>
      </c>
      <c r="Q1003" s="1960">
        <v>1396562</v>
      </c>
    </row>
    <row r="1004" spans="1:17" ht="12.75" customHeight="1">
      <c r="A1004" s="2332" t="s">
        <v>3459</v>
      </c>
      <c r="B1004" s="2185" t="s">
        <v>3498</v>
      </c>
      <c r="C1004" s="2296" t="s">
        <v>3453</v>
      </c>
      <c r="D1004" s="2296"/>
      <c r="E1004" s="2333" t="s">
        <v>3456</v>
      </c>
      <c r="F1004" s="2333" t="s">
        <v>3457</v>
      </c>
      <c r="G1004" s="2185" t="s">
        <v>3481</v>
      </c>
      <c r="H1004" s="2333"/>
      <c r="I1004" s="2334"/>
      <c r="J1004" s="2185"/>
      <c r="K1004" s="2336"/>
      <c r="L1004" s="2335"/>
      <c r="M1004" s="1951"/>
      <c r="N1004" s="1962"/>
      <c r="O1004" s="1961">
        <v>143741</v>
      </c>
      <c r="P1004" s="1951">
        <v>150354</v>
      </c>
      <c r="Q1004" s="1960">
        <v>157270</v>
      </c>
    </row>
    <row r="1005" spans="1:17" ht="12.75" customHeight="1">
      <c r="A1005" s="2332" t="s">
        <v>3523</v>
      </c>
      <c r="B1005" s="2185" t="s">
        <v>3720</v>
      </c>
      <c r="C1005" s="2296" t="s">
        <v>3453</v>
      </c>
      <c r="D1005" s="2296"/>
      <c r="E1005" s="2333" t="s">
        <v>3456</v>
      </c>
      <c r="F1005" s="2333" t="s">
        <v>3457</v>
      </c>
      <c r="G1005" s="2185" t="s">
        <v>3458</v>
      </c>
      <c r="H1005" s="2333"/>
      <c r="I1005" s="2334"/>
      <c r="J1005" s="2185"/>
      <c r="K1005" s="2336"/>
      <c r="L1005" s="2335"/>
      <c r="M1005" s="1951"/>
      <c r="N1005" s="1962"/>
      <c r="O1005" s="1961">
        <v>23959</v>
      </c>
      <c r="P1005" s="1951">
        <v>25062</v>
      </c>
      <c r="Q1005" s="1960">
        <v>26214</v>
      </c>
    </row>
    <row r="1006" spans="1:17" ht="12.75" customHeight="1">
      <c r="A1006" s="2332" t="s">
        <v>3563</v>
      </c>
      <c r="B1006" s="2185" t="s">
        <v>3659</v>
      </c>
      <c r="C1006" s="2296" t="s">
        <v>3453</v>
      </c>
      <c r="D1006" s="2296"/>
      <c r="E1006" s="2333" t="s">
        <v>3456</v>
      </c>
      <c r="F1006" s="2333" t="s">
        <v>3457</v>
      </c>
      <c r="G1006" s="2185" t="s">
        <v>3461</v>
      </c>
      <c r="H1006" s="2333"/>
      <c r="I1006" s="2334"/>
      <c r="J1006" s="2185"/>
      <c r="K1006" s="2336"/>
      <c r="L1006" s="2335"/>
      <c r="M1006" s="1951"/>
      <c r="N1006" s="1962"/>
      <c r="O1006" s="1961">
        <v>8000</v>
      </c>
      <c r="P1006" s="1951">
        <v>8000</v>
      </c>
      <c r="Q1006" s="1960">
        <v>8000</v>
      </c>
    </row>
    <row r="1007" spans="1:17" ht="12.75" customHeight="1">
      <c r="A1007" s="2332" t="s">
        <v>3490</v>
      </c>
      <c r="B1007" s="2185" t="s">
        <v>3493</v>
      </c>
      <c r="C1007" s="2296" t="s">
        <v>3453</v>
      </c>
      <c r="D1007" s="2296"/>
      <c r="E1007" s="2333" t="s">
        <v>3467</v>
      </c>
      <c r="F1007" s="2333" t="s">
        <v>3468</v>
      </c>
      <c r="G1007" s="2185" t="s">
        <v>3469</v>
      </c>
      <c r="H1007" s="2333"/>
      <c r="I1007" s="2334"/>
      <c r="J1007" s="2185"/>
      <c r="K1007" s="2336"/>
      <c r="L1007" s="2335"/>
      <c r="M1007" s="1951"/>
      <c r="N1007" s="1962"/>
      <c r="O1007" s="1961">
        <v>0</v>
      </c>
      <c r="P1007" s="1951">
        <v>0</v>
      </c>
      <c r="Q1007" s="1960">
        <v>0</v>
      </c>
    </row>
    <row r="1008" spans="1:17" ht="12.75" customHeight="1">
      <c r="A1008" s="2332" t="s">
        <v>3479</v>
      </c>
      <c r="B1008" s="2185" t="s">
        <v>3550</v>
      </c>
      <c r="C1008" s="2296" t="s">
        <v>3453</v>
      </c>
      <c r="D1008" s="2296"/>
      <c r="E1008" s="2333" t="s">
        <v>3467</v>
      </c>
      <c r="F1008" s="2333" t="s">
        <v>3468</v>
      </c>
      <c r="G1008" s="2185" t="s">
        <v>2676</v>
      </c>
      <c r="H1008" s="2333"/>
      <c r="I1008" s="2334"/>
      <c r="J1008" s="2185"/>
      <c r="K1008" s="2336"/>
      <c r="L1008" s="2335"/>
      <c r="M1008" s="1951"/>
      <c r="N1008" s="1962"/>
      <c r="O1008" s="1961">
        <v>5361809</v>
      </c>
      <c r="P1008" s="1951">
        <v>5608453</v>
      </c>
      <c r="Q1008" s="1960">
        <v>5866442</v>
      </c>
    </row>
    <row r="1009" spans="1:17" ht="12.75" customHeight="1">
      <c r="A1009" s="2332" t="s">
        <v>3506</v>
      </c>
      <c r="B1009" s="2185" t="s">
        <v>3610</v>
      </c>
      <c r="C1009" s="2296" t="s">
        <v>3453</v>
      </c>
      <c r="D1009" s="2296"/>
      <c r="E1009" s="2333" t="s">
        <v>3467</v>
      </c>
      <c r="F1009" s="2333" t="s">
        <v>3468</v>
      </c>
      <c r="G1009" s="2185" t="s">
        <v>3469</v>
      </c>
      <c r="H1009" s="2333"/>
      <c r="I1009" s="2334"/>
      <c r="J1009" s="2185"/>
      <c r="K1009" s="2336"/>
      <c r="L1009" s="2335"/>
      <c r="M1009" s="1951"/>
      <c r="N1009" s="1962"/>
      <c r="O1009" s="1961">
        <v>2808300</v>
      </c>
      <c r="P1009" s="1951">
        <v>2937482</v>
      </c>
      <c r="Q1009" s="1960">
        <v>3072606</v>
      </c>
    </row>
    <row r="1010" spans="1:17" ht="12.75" customHeight="1">
      <c r="A1010" s="2332" t="s">
        <v>3464</v>
      </c>
      <c r="B1010" s="2185" t="s">
        <v>3859</v>
      </c>
      <c r="C1010" s="2296" t="s">
        <v>3463</v>
      </c>
      <c r="D1010" s="2296"/>
      <c r="E1010" s="2333" t="s">
        <v>3456</v>
      </c>
      <c r="F1010" s="2333" t="s">
        <v>3457</v>
      </c>
      <c r="G1010" s="2185" t="s">
        <v>3461</v>
      </c>
      <c r="H1010" s="2333"/>
      <c r="I1010" s="2334"/>
      <c r="J1010" s="2185"/>
      <c r="K1010" s="2336"/>
      <c r="L1010" s="2335"/>
      <c r="M1010" s="1951"/>
      <c r="N1010" s="1962"/>
      <c r="O1010" s="1961">
        <v>500</v>
      </c>
      <c r="P1010" s="1951">
        <v>523</v>
      </c>
      <c r="Q1010" s="1960">
        <v>548</v>
      </c>
    </row>
    <row r="1011" spans="1:17" ht="12.75" customHeight="1">
      <c r="A1011" s="2332" t="s">
        <v>3501</v>
      </c>
      <c r="B1011" s="2185" t="s">
        <v>3502</v>
      </c>
      <c r="C1011" s="2296" t="s">
        <v>3453</v>
      </c>
      <c r="D1011" s="2296"/>
      <c r="E1011" s="2333" t="s">
        <v>3467</v>
      </c>
      <c r="F1011" s="2333" t="s">
        <v>3468</v>
      </c>
      <c r="G1011" s="2185" t="s">
        <v>3469</v>
      </c>
      <c r="H1011" s="2333"/>
      <c r="I1011" s="2334"/>
      <c r="J1011" s="2185"/>
      <c r="K1011" s="2336"/>
      <c r="L1011" s="2335"/>
      <c r="M1011" s="1951"/>
      <c r="N1011" s="1962"/>
      <c r="O1011" s="1961">
        <v>104693</v>
      </c>
      <c r="P1011" s="1951">
        <v>109509</v>
      </c>
      <c r="Q1011" s="1960">
        <v>114547</v>
      </c>
    </row>
    <row r="1012" spans="1:17" ht="12.75" customHeight="1">
      <c r="A1012" s="2332" t="s">
        <v>3451</v>
      </c>
      <c r="B1012" s="2185" t="s">
        <v>3452</v>
      </c>
      <c r="C1012" s="2296" t="s">
        <v>3453</v>
      </c>
      <c r="D1012" s="2296"/>
      <c r="E1012" s="2333" t="s">
        <v>3456</v>
      </c>
      <c r="F1012" s="2333" t="s">
        <v>3457</v>
      </c>
      <c r="G1012" s="2185" t="s">
        <v>3461</v>
      </c>
      <c r="H1012" s="2333"/>
      <c r="I1012" s="2334"/>
      <c r="J1012" s="2185"/>
      <c r="K1012" s="2336"/>
      <c r="L1012" s="2335"/>
      <c r="M1012" s="1951"/>
      <c r="N1012" s="1962"/>
      <c r="O1012" s="1961">
        <v>16621</v>
      </c>
      <c r="P1012" s="1951">
        <v>17386</v>
      </c>
      <c r="Q1012" s="1960">
        <v>18186</v>
      </c>
    </row>
    <row r="1013" spans="1:17" ht="12.75" customHeight="1">
      <c r="A1013" s="2332" t="s">
        <v>3543</v>
      </c>
      <c r="B1013" s="2185" t="s">
        <v>3860</v>
      </c>
      <c r="C1013" s="2296" t="s">
        <v>3453</v>
      </c>
      <c r="D1013" s="2296"/>
      <c r="E1013" s="2333" t="s">
        <v>3456</v>
      </c>
      <c r="F1013" s="2333" t="s">
        <v>3457</v>
      </c>
      <c r="G1013" s="2185" t="s">
        <v>3461</v>
      </c>
      <c r="H1013" s="2333"/>
      <c r="I1013" s="2334"/>
      <c r="J1013" s="2185"/>
      <c r="K1013" s="2336"/>
      <c r="L1013" s="2335"/>
      <c r="M1013" s="1951"/>
      <c r="N1013" s="1962"/>
      <c r="O1013" s="1961">
        <v>2010</v>
      </c>
      <c r="P1013" s="1951">
        <v>2103</v>
      </c>
      <c r="Q1013" s="1960">
        <v>2200</v>
      </c>
    </row>
    <row r="1014" spans="1:17" ht="12.75" customHeight="1">
      <c r="A1014" s="2332" t="s">
        <v>3565</v>
      </c>
      <c r="B1014" s="2185" t="s">
        <v>3628</v>
      </c>
      <c r="C1014" s="2296" t="s">
        <v>3453</v>
      </c>
      <c r="D1014" s="2296"/>
      <c r="E1014" s="2333" t="s">
        <v>3456</v>
      </c>
      <c r="F1014" s="2333" t="s">
        <v>3457</v>
      </c>
      <c r="G1014" s="2185" t="s">
        <v>3461</v>
      </c>
      <c r="H1014" s="2333"/>
      <c r="I1014" s="2334"/>
      <c r="J1014" s="2185"/>
      <c r="K1014" s="2336"/>
      <c r="L1014" s="2335"/>
      <c r="M1014" s="1951"/>
      <c r="N1014" s="1962"/>
      <c r="O1014" s="1961">
        <v>171676</v>
      </c>
      <c r="P1014" s="1951">
        <v>179574</v>
      </c>
      <c r="Q1014" s="1960">
        <v>187834</v>
      </c>
    </row>
    <row r="1015" spans="1:17" ht="12.75" customHeight="1">
      <c r="A1015" s="2332" t="s">
        <v>3454</v>
      </c>
      <c r="B1015" s="2185" t="s">
        <v>3574</v>
      </c>
      <c r="C1015" s="2296" t="s">
        <v>3453</v>
      </c>
      <c r="D1015" s="2296"/>
      <c r="E1015" s="2333" t="s">
        <v>3467</v>
      </c>
      <c r="F1015" s="2333" t="s">
        <v>3468</v>
      </c>
      <c r="G1015" s="2185" t="s">
        <v>3475</v>
      </c>
      <c r="H1015" s="2333"/>
      <c r="I1015" s="2334"/>
      <c r="J1015" s="2185"/>
      <c r="K1015" s="2336"/>
      <c r="L1015" s="2335"/>
      <c r="M1015" s="1951"/>
      <c r="N1015" s="1962"/>
      <c r="O1015" s="1961">
        <v>0</v>
      </c>
      <c r="P1015" s="1951">
        <v>0</v>
      </c>
      <c r="Q1015" s="1960">
        <v>0</v>
      </c>
    </row>
    <row r="1016" spans="1:17" ht="12.75" customHeight="1">
      <c r="A1016" s="2332" t="s">
        <v>3508</v>
      </c>
      <c r="B1016" s="2185" t="s">
        <v>3861</v>
      </c>
      <c r="C1016" s="2296" t="s">
        <v>3453</v>
      </c>
      <c r="D1016" s="2296"/>
      <c r="E1016" s="2333" t="s">
        <v>3525</v>
      </c>
      <c r="F1016" s="2333" t="s">
        <v>3457</v>
      </c>
      <c r="G1016" s="2185" t="s">
        <v>3526</v>
      </c>
      <c r="H1016" s="2333"/>
      <c r="I1016" s="2334"/>
      <c r="J1016" s="2185"/>
      <c r="K1016" s="2336"/>
      <c r="L1016" s="2335"/>
      <c r="M1016" s="1951"/>
      <c r="N1016" s="1962"/>
      <c r="O1016" s="1961">
        <v>56021</v>
      </c>
      <c r="P1016" s="1951">
        <v>58598</v>
      </c>
      <c r="Q1016" s="1960">
        <v>61294</v>
      </c>
    </row>
    <row r="1017" spans="1:17" ht="12.75" customHeight="1">
      <c r="A1017" s="2332" t="s">
        <v>3541</v>
      </c>
      <c r="B1017" s="2185" t="s">
        <v>3606</v>
      </c>
      <c r="C1017" s="2296" t="s">
        <v>3453</v>
      </c>
      <c r="D1017" s="2296"/>
      <c r="E1017" s="2333" t="s">
        <v>3467</v>
      </c>
      <c r="F1017" s="2333" t="s">
        <v>3468</v>
      </c>
      <c r="G1017" s="2185" t="s">
        <v>3475</v>
      </c>
      <c r="H1017" s="2333"/>
      <c r="I1017" s="2334"/>
      <c r="J1017" s="2185"/>
      <c r="K1017" s="2336"/>
      <c r="L1017" s="2335"/>
      <c r="M1017" s="1951"/>
      <c r="N1017" s="1962"/>
      <c r="O1017" s="1961">
        <v>9557</v>
      </c>
      <c r="P1017" s="1951">
        <v>9997</v>
      </c>
      <c r="Q1017" s="1960">
        <v>10457</v>
      </c>
    </row>
    <row r="1018" spans="1:17" ht="12.75" customHeight="1">
      <c r="A1018" s="2332" t="s">
        <v>3454</v>
      </c>
      <c r="B1018" s="2185" t="s">
        <v>3574</v>
      </c>
      <c r="C1018" s="2296" t="s">
        <v>3453</v>
      </c>
      <c r="D1018" s="2296"/>
      <c r="E1018" s="2333" t="s">
        <v>3467</v>
      </c>
      <c r="F1018" s="2333" t="s">
        <v>3468</v>
      </c>
      <c r="G1018" s="2185" t="s">
        <v>3469</v>
      </c>
      <c r="H1018" s="2333"/>
      <c r="I1018" s="2334"/>
      <c r="J1018" s="2185"/>
      <c r="K1018" s="2336"/>
      <c r="L1018" s="2335"/>
      <c r="M1018" s="1951"/>
      <c r="N1018" s="1962"/>
      <c r="O1018" s="1961">
        <v>0</v>
      </c>
      <c r="P1018" s="1951">
        <v>0</v>
      </c>
      <c r="Q1018" s="1960">
        <v>0</v>
      </c>
    </row>
    <row r="1019" spans="1:17" ht="12.75" customHeight="1">
      <c r="A1019" s="2332" t="s">
        <v>3470</v>
      </c>
      <c r="B1019" s="2185" t="s">
        <v>3554</v>
      </c>
      <c r="C1019" s="2296" t="s">
        <v>3453</v>
      </c>
      <c r="D1019" s="2296"/>
      <c r="E1019" s="2333" t="s">
        <v>3467</v>
      </c>
      <c r="F1019" s="2333" t="s">
        <v>3468</v>
      </c>
      <c r="G1019" s="2185" t="s">
        <v>3469</v>
      </c>
      <c r="H1019" s="2333"/>
      <c r="I1019" s="2334"/>
      <c r="J1019" s="2185"/>
      <c r="K1019" s="2336"/>
      <c r="L1019" s="2335"/>
      <c r="M1019" s="1951"/>
      <c r="N1019" s="1962"/>
      <c r="O1019" s="1961">
        <v>15291</v>
      </c>
      <c r="P1019" s="1951">
        <v>15995</v>
      </c>
      <c r="Q1019" s="1960">
        <v>16731</v>
      </c>
    </row>
    <row r="1020" spans="1:17" ht="12.75" customHeight="1">
      <c r="A1020" s="2332" t="s">
        <v>3479</v>
      </c>
      <c r="B1020" s="2185" t="s">
        <v>3716</v>
      </c>
      <c r="C1020" s="2296" t="s">
        <v>3453</v>
      </c>
      <c r="D1020" s="2296"/>
      <c r="E1020" s="2333" t="s">
        <v>3467</v>
      </c>
      <c r="F1020" s="2333" t="s">
        <v>3468</v>
      </c>
      <c r="G1020" s="2185" t="s">
        <v>3469</v>
      </c>
      <c r="H1020" s="2333"/>
      <c r="I1020" s="2334"/>
      <c r="J1020" s="2185"/>
      <c r="K1020" s="2336"/>
      <c r="L1020" s="2335"/>
      <c r="M1020" s="1951"/>
      <c r="N1020" s="1962"/>
      <c r="O1020" s="1961">
        <v>427</v>
      </c>
      <c r="P1020" s="1951">
        <v>447</v>
      </c>
      <c r="Q1020" s="1960">
        <v>468</v>
      </c>
    </row>
    <row r="1021" spans="1:17" ht="12.75" customHeight="1">
      <c r="A1021" s="2332" t="s">
        <v>3487</v>
      </c>
      <c r="B1021" s="2185" t="s">
        <v>3862</v>
      </c>
      <c r="C1021" s="2296" t="s">
        <v>3582</v>
      </c>
      <c r="D1021" s="2296"/>
      <c r="E1021" s="2333" t="s">
        <v>3456</v>
      </c>
      <c r="F1021" s="2333" t="s">
        <v>3457</v>
      </c>
      <c r="G1021" s="2185" t="s">
        <v>3461</v>
      </c>
      <c r="H1021" s="2333"/>
      <c r="I1021" s="2334"/>
      <c r="J1021" s="2185"/>
      <c r="K1021" s="2336"/>
      <c r="L1021" s="2335"/>
      <c r="M1021" s="1951"/>
      <c r="N1021" s="1962"/>
      <c r="O1021" s="1961">
        <v>16000</v>
      </c>
      <c r="P1021" s="1951">
        <v>16736</v>
      </c>
      <c r="Q1021" s="1960">
        <v>17506</v>
      </c>
    </row>
    <row r="1022" spans="1:17" ht="12.75" customHeight="1">
      <c r="A1022" s="2332" t="s">
        <v>3473</v>
      </c>
      <c r="B1022" s="2185" t="s">
        <v>3552</v>
      </c>
      <c r="C1022" s="2296" t="s">
        <v>3453</v>
      </c>
      <c r="D1022" s="2296"/>
      <c r="E1022" s="2333" t="s">
        <v>3456</v>
      </c>
      <c r="F1022" s="2333" t="s">
        <v>3457</v>
      </c>
      <c r="G1022" s="2185" t="s">
        <v>3461</v>
      </c>
      <c r="H1022" s="2333"/>
      <c r="I1022" s="2334"/>
      <c r="J1022" s="2185"/>
      <c r="K1022" s="2336"/>
      <c r="L1022" s="2335"/>
      <c r="M1022" s="1951"/>
      <c r="N1022" s="1962"/>
      <c r="O1022" s="1961">
        <v>103897</v>
      </c>
      <c r="P1022" s="1951">
        <v>108677</v>
      </c>
      <c r="Q1022" s="1960">
        <v>113676</v>
      </c>
    </row>
    <row r="1023" spans="1:17" ht="12.75" customHeight="1">
      <c r="A1023" s="2332" t="s">
        <v>3531</v>
      </c>
      <c r="B1023" s="2185" t="s">
        <v>3532</v>
      </c>
      <c r="C1023" s="2296" t="s">
        <v>3453</v>
      </c>
      <c r="D1023" s="2296"/>
      <c r="E1023" s="2333" t="s">
        <v>3456</v>
      </c>
      <c r="F1023" s="2333" t="s">
        <v>3457</v>
      </c>
      <c r="G1023" s="2185" t="s">
        <v>3461</v>
      </c>
      <c r="H1023" s="2333"/>
      <c r="I1023" s="2334"/>
      <c r="J1023" s="2185"/>
      <c r="K1023" s="2336"/>
      <c r="L1023" s="2335"/>
      <c r="M1023" s="1951"/>
      <c r="N1023" s="1962"/>
      <c r="O1023" s="1961">
        <v>0</v>
      </c>
      <c r="P1023" s="1951">
        <v>0</v>
      </c>
      <c r="Q1023" s="1960">
        <v>0</v>
      </c>
    </row>
    <row r="1024" spans="1:17" ht="12.75" customHeight="1">
      <c r="A1024" s="2332" t="s">
        <v>3490</v>
      </c>
      <c r="B1024" s="2185" t="s">
        <v>3863</v>
      </c>
      <c r="C1024" s="2296" t="s">
        <v>3615</v>
      </c>
      <c r="D1024" s="2296"/>
      <c r="E1024" s="2333" t="s">
        <v>3467</v>
      </c>
      <c r="F1024" s="2333" t="s">
        <v>3468</v>
      </c>
      <c r="G1024" s="2185" t="s">
        <v>3469</v>
      </c>
      <c r="H1024" s="2333"/>
      <c r="I1024" s="2334"/>
      <c r="J1024" s="2185"/>
      <c r="K1024" s="2336"/>
      <c r="L1024" s="2335"/>
      <c r="M1024" s="1951"/>
      <c r="N1024" s="1962"/>
      <c r="O1024" s="1961">
        <v>0</v>
      </c>
      <c r="P1024" s="1951">
        <v>0</v>
      </c>
      <c r="Q1024" s="1960">
        <v>1</v>
      </c>
    </row>
    <row r="1025" spans="1:17" ht="12.75" customHeight="1">
      <c r="A1025" s="2332" t="s">
        <v>3479</v>
      </c>
      <c r="B1025" s="2185" t="s">
        <v>3864</v>
      </c>
      <c r="C1025" s="2296" t="s">
        <v>3453</v>
      </c>
      <c r="D1025" s="2296"/>
      <c r="E1025" s="2333" t="s">
        <v>3456</v>
      </c>
      <c r="F1025" s="2333" t="s">
        <v>3457</v>
      </c>
      <c r="G1025" s="2185" t="s">
        <v>3461</v>
      </c>
      <c r="H1025" s="2333"/>
      <c r="I1025" s="2334"/>
      <c r="J1025" s="2185"/>
      <c r="K1025" s="2336"/>
      <c r="L1025" s="2335"/>
      <c r="M1025" s="1951"/>
      <c r="N1025" s="1962"/>
      <c r="O1025" s="1961">
        <v>884</v>
      </c>
      <c r="P1025" s="1951">
        <v>925</v>
      </c>
      <c r="Q1025" s="1960">
        <v>968</v>
      </c>
    </row>
    <row r="1026" spans="1:17" ht="12.75" customHeight="1">
      <c r="A1026" s="2332" t="s">
        <v>3520</v>
      </c>
      <c r="B1026" s="2185" t="s">
        <v>3668</v>
      </c>
      <c r="C1026" s="2296" t="s">
        <v>3453</v>
      </c>
      <c r="D1026" s="2296"/>
      <c r="E1026" s="2333" t="s">
        <v>3467</v>
      </c>
      <c r="F1026" s="2333" t="s">
        <v>3468</v>
      </c>
      <c r="G1026" s="2185" t="s">
        <v>3469</v>
      </c>
      <c r="H1026" s="2333"/>
      <c r="I1026" s="2334"/>
      <c r="J1026" s="2185"/>
      <c r="K1026" s="2336"/>
      <c r="L1026" s="2335"/>
      <c r="M1026" s="1951"/>
      <c r="N1026" s="1962"/>
      <c r="O1026" s="1961">
        <v>3124</v>
      </c>
      <c r="P1026" s="1951">
        <v>3268</v>
      </c>
      <c r="Q1026" s="1960">
        <v>3418</v>
      </c>
    </row>
    <row r="1027" spans="1:17" ht="12.75" customHeight="1">
      <c r="A1027" s="2332" t="s">
        <v>3479</v>
      </c>
      <c r="B1027" s="2185" t="s">
        <v>3716</v>
      </c>
      <c r="C1027" s="2296" t="s">
        <v>3453</v>
      </c>
      <c r="D1027" s="2296"/>
      <c r="E1027" s="2333" t="s">
        <v>3456</v>
      </c>
      <c r="F1027" s="2333" t="s">
        <v>3457</v>
      </c>
      <c r="G1027" s="2185" t="s">
        <v>3481</v>
      </c>
      <c r="H1027" s="2333"/>
      <c r="I1027" s="2334"/>
      <c r="J1027" s="2185"/>
      <c r="K1027" s="2336"/>
      <c r="L1027" s="2335"/>
      <c r="M1027" s="1951"/>
      <c r="N1027" s="1962"/>
      <c r="O1027" s="1961">
        <v>1863</v>
      </c>
      <c r="P1027" s="1951">
        <v>1949</v>
      </c>
      <c r="Q1027" s="1960">
        <v>2039</v>
      </c>
    </row>
    <row r="1028" spans="1:17" ht="12.75" customHeight="1">
      <c r="A1028" s="2332" t="s">
        <v>3523</v>
      </c>
      <c r="B1028" s="2185" t="s">
        <v>3626</v>
      </c>
      <c r="C1028" s="2296" t="s">
        <v>3453</v>
      </c>
      <c r="D1028" s="2296"/>
      <c r="E1028" s="2333" t="s">
        <v>3467</v>
      </c>
      <c r="F1028" s="2333" t="s">
        <v>3468</v>
      </c>
      <c r="G1028" s="2185" t="s">
        <v>3469</v>
      </c>
      <c r="H1028" s="2333"/>
      <c r="I1028" s="2334"/>
      <c r="J1028" s="2185"/>
      <c r="K1028" s="2336"/>
      <c r="L1028" s="2335"/>
      <c r="M1028" s="1951"/>
      <c r="N1028" s="1962"/>
      <c r="O1028" s="1961">
        <v>5989</v>
      </c>
      <c r="P1028" s="1951">
        <v>6265</v>
      </c>
      <c r="Q1028" s="1960">
        <v>6553</v>
      </c>
    </row>
    <row r="1029" spans="1:17" ht="12.75" customHeight="1">
      <c r="A1029" s="2332" t="s">
        <v>3499</v>
      </c>
      <c r="B1029" s="2185" t="s">
        <v>3500</v>
      </c>
      <c r="C1029" s="2296" t="s">
        <v>3453</v>
      </c>
      <c r="D1029" s="2296"/>
      <c r="E1029" s="2333" t="s">
        <v>3467</v>
      </c>
      <c r="F1029" s="2333" t="s">
        <v>3468</v>
      </c>
      <c r="G1029" s="2185" t="s">
        <v>3475</v>
      </c>
      <c r="H1029" s="2333"/>
      <c r="I1029" s="2334"/>
      <c r="J1029" s="2185"/>
      <c r="K1029" s="2336"/>
      <c r="L1029" s="2335"/>
      <c r="M1029" s="1951"/>
      <c r="N1029" s="1962"/>
      <c r="O1029" s="1961">
        <v>8896</v>
      </c>
      <c r="P1029" s="1951">
        <v>9306</v>
      </c>
      <c r="Q1029" s="1960">
        <v>9734</v>
      </c>
    </row>
    <row r="1030" spans="1:17" ht="12.75" customHeight="1">
      <c r="A1030" s="2332" t="s">
        <v>3520</v>
      </c>
      <c r="B1030" s="2185" t="s">
        <v>3603</v>
      </c>
      <c r="C1030" s="2296" t="s">
        <v>3453</v>
      </c>
      <c r="D1030" s="2296"/>
      <c r="E1030" s="2333" t="s">
        <v>3467</v>
      </c>
      <c r="F1030" s="2333" t="s">
        <v>3468</v>
      </c>
      <c r="G1030" s="2185" t="s">
        <v>3469</v>
      </c>
      <c r="H1030" s="2333"/>
      <c r="I1030" s="2334"/>
      <c r="J1030" s="2185"/>
      <c r="K1030" s="2336"/>
      <c r="L1030" s="2335"/>
      <c r="M1030" s="1951"/>
      <c r="N1030" s="1962"/>
      <c r="O1030" s="1961">
        <v>0</v>
      </c>
      <c r="P1030" s="1951">
        <v>0</v>
      </c>
      <c r="Q1030" s="1960">
        <v>1</v>
      </c>
    </row>
    <row r="1031" spans="1:17" ht="12.75" customHeight="1">
      <c r="A1031" s="2332" t="s">
        <v>3490</v>
      </c>
      <c r="B1031" s="2185" t="s">
        <v>3494</v>
      </c>
      <c r="C1031" s="2296" t="s">
        <v>3453</v>
      </c>
      <c r="D1031" s="2296"/>
      <c r="E1031" s="2333" t="s">
        <v>3456</v>
      </c>
      <c r="F1031" s="2333" t="s">
        <v>3457</v>
      </c>
      <c r="G1031" s="2185" t="s">
        <v>3458</v>
      </c>
      <c r="H1031" s="2333"/>
      <c r="I1031" s="2334"/>
      <c r="J1031" s="2185"/>
      <c r="K1031" s="2336"/>
      <c r="L1031" s="2335"/>
      <c r="M1031" s="1951"/>
      <c r="N1031" s="1962"/>
      <c r="O1031" s="1961">
        <v>3833</v>
      </c>
      <c r="P1031" s="1951">
        <v>4010</v>
      </c>
      <c r="Q1031" s="1960">
        <v>4194</v>
      </c>
    </row>
    <row r="1032" spans="1:17" ht="12.75" customHeight="1">
      <c r="A1032" s="2332" t="s">
        <v>3506</v>
      </c>
      <c r="B1032" s="2185" t="s">
        <v>3507</v>
      </c>
      <c r="C1032" s="2296" t="s">
        <v>3453</v>
      </c>
      <c r="D1032" s="2296"/>
      <c r="E1032" s="2333" t="s">
        <v>3467</v>
      </c>
      <c r="F1032" s="2333" t="s">
        <v>3468</v>
      </c>
      <c r="G1032" s="2185" t="s">
        <v>3469</v>
      </c>
      <c r="H1032" s="2333"/>
      <c r="I1032" s="2334"/>
      <c r="J1032" s="2185"/>
      <c r="K1032" s="2336"/>
      <c r="L1032" s="2335"/>
      <c r="M1032" s="1951"/>
      <c r="N1032" s="1962"/>
      <c r="O1032" s="1961">
        <v>206330</v>
      </c>
      <c r="P1032" s="1951">
        <v>215822</v>
      </c>
      <c r="Q1032" s="1960">
        <v>225749</v>
      </c>
    </row>
    <row r="1033" spans="1:17" ht="12.75" customHeight="1">
      <c r="A1033" s="2332" t="s">
        <v>3451</v>
      </c>
      <c r="B1033" s="2185" t="s">
        <v>3452</v>
      </c>
      <c r="C1033" s="2296" t="s">
        <v>3453</v>
      </c>
      <c r="D1033" s="2296"/>
      <c r="E1033" s="2333" t="s">
        <v>3456</v>
      </c>
      <c r="F1033" s="2333" t="s">
        <v>3457</v>
      </c>
      <c r="G1033" s="2185" t="s">
        <v>3458</v>
      </c>
      <c r="H1033" s="2333"/>
      <c r="I1033" s="2334"/>
      <c r="J1033" s="2185"/>
      <c r="K1033" s="2336"/>
      <c r="L1033" s="2335"/>
      <c r="M1033" s="1951"/>
      <c r="N1033" s="1962"/>
      <c r="O1033" s="1961">
        <v>8006</v>
      </c>
      <c r="P1033" s="1951">
        <v>8375</v>
      </c>
      <c r="Q1033" s="1960">
        <v>8760</v>
      </c>
    </row>
    <row r="1034" spans="1:17" ht="12.75" customHeight="1">
      <c r="A1034" s="2332" t="s">
        <v>3576</v>
      </c>
      <c r="B1034" s="2185" t="s">
        <v>3577</v>
      </c>
      <c r="C1034" s="2296" t="s">
        <v>3453</v>
      </c>
      <c r="D1034" s="2296"/>
      <c r="E1034" s="2333" t="s">
        <v>3467</v>
      </c>
      <c r="F1034" s="2333" t="s">
        <v>3468</v>
      </c>
      <c r="G1034" s="2185" t="s">
        <v>3475</v>
      </c>
      <c r="H1034" s="2333"/>
      <c r="I1034" s="2334"/>
      <c r="J1034" s="2185"/>
      <c r="K1034" s="2336"/>
      <c r="L1034" s="2335"/>
      <c r="M1034" s="1951"/>
      <c r="N1034" s="1962"/>
      <c r="O1034" s="1961">
        <v>37240</v>
      </c>
      <c r="P1034" s="1951">
        <v>34493</v>
      </c>
      <c r="Q1034" s="1960">
        <v>31552</v>
      </c>
    </row>
    <row r="1035" spans="1:17" ht="12.75" customHeight="1">
      <c r="A1035" s="2332" t="s">
        <v>3543</v>
      </c>
      <c r="B1035" s="2185" t="s">
        <v>3865</v>
      </c>
      <c r="C1035" s="2296" t="s">
        <v>3453</v>
      </c>
      <c r="D1035" s="2296"/>
      <c r="E1035" s="2333" t="s">
        <v>3467</v>
      </c>
      <c r="F1035" s="2333" t="s">
        <v>3468</v>
      </c>
      <c r="G1035" s="2185" t="s">
        <v>3475</v>
      </c>
      <c r="H1035" s="2333"/>
      <c r="I1035" s="2334"/>
      <c r="J1035" s="2185"/>
      <c r="K1035" s="2336"/>
      <c r="L1035" s="2335"/>
      <c r="M1035" s="1951"/>
      <c r="N1035" s="1962"/>
      <c r="O1035" s="1961">
        <v>2500</v>
      </c>
      <c r="P1035" s="1951">
        <v>2615</v>
      </c>
      <c r="Q1035" s="1960">
        <v>2736</v>
      </c>
    </row>
    <row r="1036" spans="1:17" ht="12.75" customHeight="1">
      <c r="A1036" s="2332" t="s">
        <v>3543</v>
      </c>
      <c r="B1036" s="2185" t="s">
        <v>3866</v>
      </c>
      <c r="C1036" s="2296" t="s">
        <v>3463</v>
      </c>
      <c r="D1036" s="2296"/>
      <c r="E1036" s="2333" t="s">
        <v>3456</v>
      </c>
      <c r="F1036" s="2333" t="s">
        <v>3457</v>
      </c>
      <c r="G1036" s="2185" t="s">
        <v>3461</v>
      </c>
      <c r="H1036" s="2333"/>
      <c r="I1036" s="2334"/>
      <c r="J1036" s="2185"/>
      <c r="K1036" s="2336"/>
      <c r="L1036" s="2335"/>
      <c r="M1036" s="1951"/>
      <c r="N1036" s="1962"/>
      <c r="O1036" s="1961">
        <v>1473</v>
      </c>
      <c r="P1036" s="1951">
        <v>1541</v>
      </c>
      <c r="Q1036" s="1960">
        <v>1612</v>
      </c>
    </row>
    <row r="1037" spans="1:17" ht="12.75" customHeight="1">
      <c r="A1037" s="2332" t="s">
        <v>3459</v>
      </c>
      <c r="B1037" s="2185" t="s">
        <v>3867</v>
      </c>
      <c r="C1037" s="2296" t="s">
        <v>3453</v>
      </c>
      <c r="D1037" s="2296"/>
      <c r="E1037" s="2333" t="s">
        <v>3456</v>
      </c>
      <c r="F1037" s="2333" t="s">
        <v>3457</v>
      </c>
      <c r="G1037" s="2185" t="s">
        <v>3461</v>
      </c>
      <c r="H1037" s="2333"/>
      <c r="I1037" s="2334"/>
      <c r="J1037" s="2185"/>
      <c r="K1037" s="2336"/>
      <c r="L1037" s="2335"/>
      <c r="M1037" s="1951"/>
      <c r="N1037" s="1962"/>
      <c r="O1037" s="1961">
        <v>3500</v>
      </c>
      <c r="P1037" s="1951">
        <v>3661</v>
      </c>
      <c r="Q1037" s="1960">
        <v>3830</v>
      </c>
    </row>
    <row r="1038" spans="1:17" ht="12.75" customHeight="1">
      <c r="A1038" s="2332" t="s">
        <v>3538</v>
      </c>
      <c r="B1038" s="2185" t="s">
        <v>3539</v>
      </c>
      <c r="C1038" s="2296" t="s">
        <v>3453</v>
      </c>
      <c r="D1038" s="2296"/>
      <c r="E1038" s="2333" t="s">
        <v>3456</v>
      </c>
      <c r="F1038" s="2333" t="s">
        <v>3457</v>
      </c>
      <c r="G1038" s="2185" t="s">
        <v>3481</v>
      </c>
      <c r="H1038" s="2333"/>
      <c r="I1038" s="2334"/>
      <c r="J1038" s="2185"/>
      <c r="K1038" s="2336"/>
      <c r="L1038" s="2335"/>
      <c r="M1038" s="1951"/>
      <c r="N1038" s="1962"/>
      <c r="O1038" s="1961">
        <v>262074</v>
      </c>
      <c r="P1038" s="1951">
        <v>274130</v>
      </c>
      <c r="Q1038" s="1960">
        <v>286740</v>
      </c>
    </row>
    <row r="1039" spans="1:17" ht="12.75" customHeight="1">
      <c r="A1039" s="2332" t="s">
        <v>3454</v>
      </c>
      <c r="B1039" s="2185" t="s">
        <v>3512</v>
      </c>
      <c r="C1039" s="2296" t="s">
        <v>3453</v>
      </c>
      <c r="D1039" s="2296"/>
      <c r="E1039" s="2333" t="s">
        <v>3456</v>
      </c>
      <c r="F1039" s="2333" t="s">
        <v>3457</v>
      </c>
      <c r="G1039" s="2185" t="s">
        <v>3481</v>
      </c>
      <c r="H1039" s="2333"/>
      <c r="I1039" s="2334"/>
      <c r="J1039" s="2185"/>
      <c r="K1039" s="2336"/>
      <c r="L1039" s="2335"/>
      <c r="M1039" s="1951"/>
      <c r="N1039" s="1962"/>
      <c r="O1039" s="1961">
        <v>0</v>
      </c>
      <c r="P1039" s="1951">
        <v>0</v>
      </c>
      <c r="Q1039" s="1960">
        <v>0</v>
      </c>
    </row>
    <row r="1040" spans="1:17" ht="12.75" customHeight="1">
      <c r="A1040" s="2332" t="s">
        <v>3485</v>
      </c>
      <c r="B1040" s="2185" t="s">
        <v>3505</v>
      </c>
      <c r="C1040" s="2296" t="s">
        <v>3453</v>
      </c>
      <c r="D1040" s="2296"/>
      <c r="E1040" s="2333" t="s">
        <v>3456</v>
      </c>
      <c r="F1040" s="2333" t="s">
        <v>3457</v>
      </c>
      <c r="G1040" s="2185" t="s">
        <v>3461</v>
      </c>
      <c r="H1040" s="2333"/>
      <c r="I1040" s="2334"/>
      <c r="J1040" s="2185"/>
      <c r="K1040" s="2336"/>
      <c r="L1040" s="2335"/>
      <c r="M1040" s="1951"/>
      <c r="N1040" s="1962"/>
      <c r="O1040" s="1961">
        <v>15000</v>
      </c>
      <c r="P1040" s="1951">
        <v>15690</v>
      </c>
      <c r="Q1040" s="1960">
        <v>16412</v>
      </c>
    </row>
    <row r="1041" spans="1:17" ht="12.75" customHeight="1">
      <c r="A1041" s="2332" t="s">
        <v>3520</v>
      </c>
      <c r="B1041" s="2185" t="s">
        <v>3593</v>
      </c>
      <c r="C1041" s="2296" t="s">
        <v>3453</v>
      </c>
      <c r="D1041" s="2296"/>
      <c r="E1041" s="2333" t="s">
        <v>3456</v>
      </c>
      <c r="F1041" s="2333" t="s">
        <v>3457</v>
      </c>
      <c r="G1041" s="2185" t="s">
        <v>3461</v>
      </c>
      <c r="H1041" s="2333"/>
      <c r="I1041" s="2334"/>
      <c r="J1041" s="2185"/>
      <c r="K1041" s="2336"/>
      <c r="L1041" s="2335"/>
      <c r="M1041" s="1951"/>
      <c r="N1041" s="1962"/>
      <c r="O1041" s="1961">
        <v>719</v>
      </c>
      <c r="P1041" s="1951">
        <v>753</v>
      </c>
      <c r="Q1041" s="1960">
        <v>787</v>
      </c>
    </row>
    <row r="1042" spans="1:17" ht="12.75" customHeight="1">
      <c r="A1042" s="2332" t="s">
        <v>3543</v>
      </c>
      <c r="B1042" s="2185" t="s">
        <v>3623</v>
      </c>
      <c r="C1042" s="2296" t="s">
        <v>3453</v>
      </c>
      <c r="D1042" s="2296"/>
      <c r="E1042" s="2333" t="s">
        <v>3467</v>
      </c>
      <c r="F1042" s="2333" t="s">
        <v>3468</v>
      </c>
      <c r="G1042" s="2185" t="s">
        <v>3475</v>
      </c>
      <c r="H1042" s="2333"/>
      <c r="I1042" s="2334"/>
      <c r="J1042" s="2185"/>
      <c r="K1042" s="2336"/>
      <c r="L1042" s="2335"/>
      <c r="M1042" s="1951"/>
      <c r="N1042" s="1962"/>
      <c r="O1042" s="1961">
        <v>69339</v>
      </c>
      <c r="P1042" s="1951">
        <v>72529</v>
      </c>
      <c r="Q1042" s="1960">
        <v>75865</v>
      </c>
    </row>
    <row r="1043" spans="1:17" ht="12.75" customHeight="1">
      <c r="A1043" s="2332" t="s">
        <v>3536</v>
      </c>
      <c r="B1043" s="2185" t="s">
        <v>3537</v>
      </c>
      <c r="C1043" s="2296" t="s">
        <v>3453</v>
      </c>
      <c r="D1043" s="2296"/>
      <c r="E1043" s="2333" t="s">
        <v>3467</v>
      </c>
      <c r="F1043" s="2333" t="s">
        <v>3468</v>
      </c>
      <c r="G1043" s="2185" t="s">
        <v>3469</v>
      </c>
      <c r="H1043" s="2333"/>
      <c r="I1043" s="2334"/>
      <c r="J1043" s="2185"/>
      <c r="K1043" s="2336"/>
      <c r="L1043" s="2335"/>
      <c r="M1043" s="1951"/>
      <c r="N1043" s="1962"/>
      <c r="O1043" s="1961">
        <v>0</v>
      </c>
      <c r="P1043" s="1951">
        <v>0</v>
      </c>
      <c r="Q1043" s="1960">
        <v>0</v>
      </c>
    </row>
    <row r="1044" spans="1:17" ht="12.75" customHeight="1">
      <c r="A1044" s="2332" t="s">
        <v>3464</v>
      </c>
      <c r="B1044" s="2185" t="s">
        <v>3868</v>
      </c>
      <c r="C1044" s="2296" t="s">
        <v>3472</v>
      </c>
      <c r="D1044" s="2296"/>
      <c r="E1044" s="2333" t="s">
        <v>3467</v>
      </c>
      <c r="F1044" s="2333" t="s">
        <v>3468</v>
      </c>
      <c r="G1044" s="2185" t="s">
        <v>3469</v>
      </c>
      <c r="H1044" s="2333"/>
      <c r="I1044" s="2334"/>
      <c r="J1044" s="2185"/>
      <c r="K1044" s="2336"/>
      <c r="L1044" s="2335"/>
      <c r="M1044" s="1951"/>
      <c r="N1044" s="1962"/>
      <c r="O1044" s="1961">
        <v>44543</v>
      </c>
      <c r="P1044" s="1951">
        <v>46592</v>
      </c>
      <c r="Q1044" s="1960">
        <v>48736</v>
      </c>
    </row>
    <row r="1045" spans="1:17" ht="12.75" customHeight="1">
      <c r="A1045" s="2332" t="s">
        <v>3531</v>
      </c>
      <c r="B1045" s="2185" t="s">
        <v>3532</v>
      </c>
      <c r="C1045" s="2296" t="s">
        <v>3453</v>
      </c>
      <c r="D1045" s="2296"/>
      <c r="E1045" s="2333" t="s">
        <v>3467</v>
      </c>
      <c r="F1045" s="2333" t="s">
        <v>3468</v>
      </c>
      <c r="G1045" s="2185" t="s">
        <v>3475</v>
      </c>
      <c r="H1045" s="2333"/>
      <c r="I1045" s="2334"/>
      <c r="J1045" s="2185"/>
      <c r="K1045" s="2336"/>
      <c r="L1045" s="2335"/>
      <c r="M1045" s="1951"/>
      <c r="N1045" s="1962"/>
      <c r="O1045" s="1961">
        <v>0</v>
      </c>
      <c r="P1045" s="1951">
        <v>0</v>
      </c>
      <c r="Q1045" s="1960">
        <v>0</v>
      </c>
    </row>
    <row r="1046" spans="1:17" ht="12.75" customHeight="1">
      <c r="A1046" s="2332" t="s">
        <v>3490</v>
      </c>
      <c r="B1046" s="2185" t="s">
        <v>3494</v>
      </c>
      <c r="C1046" s="2296" t="s">
        <v>3453</v>
      </c>
      <c r="D1046" s="2296"/>
      <c r="E1046" s="2333" t="s">
        <v>3456</v>
      </c>
      <c r="F1046" s="2333" t="s">
        <v>3457</v>
      </c>
      <c r="G1046" s="2185" t="s">
        <v>3461</v>
      </c>
      <c r="H1046" s="2333"/>
      <c r="I1046" s="2334"/>
      <c r="J1046" s="2185"/>
      <c r="K1046" s="2336"/>
      <c r="L1046" s="2335"/>
      <c r="M1046" s="1951"/>
      <c r="N1046" s="1962"/>
      <c r="O1046" s="1961">
        <v>61163</v>
      </c>
      <c r="P1046" s="1951">
        <v>63977</v>
      </c>
      <c r="Q1046" s="1960">
        <v>66920</v>
      </c>
    </row>
    <row r="1047" spans="1:17" ht="12.75" customHeight="1">
      <c r="A1047" s="2332" t="s">
        <v>3464</v>
      </c>
      <c r="B1047" s="2185" t="s">
        <v>3869</v>
      </c>
      <c r="C1047" s="2296" t="s">
        <v>3497</v>
      </c>
      <c r="D1047" s="2296"/>
      <c r="E1047" s="2333" t="s">
        <v>3467</v>
      </c>
      <c r="F1047" s="2333" t="s">
        <v>3468</v>
      </c>
      <c r="G1047" s="2185" t="s">
        <v>3469</v>
      </c>
      <c r="H1047" s="2333"/>
      <c r="I1047" s="2334"/>
      <c r="J1047" s="2185"/>
      <c r="K1047" s="2336"/>
      <c r="L1047" s="2335"/>
      <c r="M1047" s="1951"/>
      <c r="N1047" s="1962"/>
      <c r="O1047" s="1961">
        <v>5750</v>
      </c>
      <c r="P1047" s="1951">
        <v>6015</v>
      </c>
      <c r="Q1047" s="1960">
        <v>6292</v>
      </c>
    </row>
    <row r="1048" spans="1:17" ht="12.75" customHeight="1">
      <c r="A1048" s="2332" t="s">
        <v>3464</v>
      </c>
      <c r="B1048" s="2185" t="s">
        <v>3556</v>
      </c>
      <c r="C1048" s="2296" t="s">
        <v>3453</v>
      </c>
      <c r="D1048" s="2296"/>
      <c r="E1048" s="2333" t="s">
        <v>3456</v>
      </c>
      <c r="F1048" s="2333" t="s">
        <v>3457</v>
      </c>
      <c r="G1048" s="2185" t="s">
        <v>3458</v>
      </c>
      <c r="H1048" s="2333"/>
      <c r="I1048" s="2334"/>
      <c r="J1048" s="2185"/>
      <c r="K1048" s="2336"/>
      <c r="L1048" s="2335"/>
      <c r="M1048" s="1951"/>
      <c r="N1048" s="1962"/>
      <c r="O1048" s="1961">
        <v>209438</v>
      </c>
      <c r="P1048" s="1951">
        <v>219073</v>
      </c>
      <c r="Q1048" s="1960">
        <v>229150</v>
      </c>
    </row>
    <row r="1049" spans="1:17" ht="12.75" customHeight="1">
      <c r="A1049" s="2332" t="s">
        <v>3479</v>
      </c>
      <c r="B1049" s="2185" t="s">
        <v>3716</v>
      </c>
      <c r="C1049" s="2296" t="s">
        <v>3453</v>
      </c>
      <c r="D1049" s="2296"/>
      <c r="E1049" s="2333" t="s">
        <v>3456</v>
      </c>
      <c r="F1049" s="2333" t="s">
        <v>3457</v>
      </c>
      <c r="G1049" s="2185" t="s">
        <v>3481</v>
      </c>
      <c r="H1049" s="2333"/>
      <c r="I1049" s="2334"/>
      <c r="J1049" s="2185"/>
      <c r="K1049" s="2336"/>
      <c r="L1049" s="2335"/>
      <c r="M1049" s="1951"/>
      <c r="N1049" s="1962"/>
      <c r="O1049" s="1961">
        <v>0</v>
      </c>
      <c r="P1049" s="1951">
        <v>0</v>
      </c>
      <c r="Q1049" s="1960">
        <v>0</v>
      </c>
    </row>
    <row r="1050" spans="1:17" ht="12.75" customHeight="1">
      <c r="A1050" s="2332" t="s">
        <v>3454</v>
      </c>
      <c r="B1050" s="2185" t="s">
        <v>3545</v>
      </c>
      <c r="C1050" s="2296" t="s">
        <v>3453</v>
      </c>
      <c r="D1050" s="2296"/>
      <c r="E1050" s="2333" t="s">
        <v>3456</v>
      </c>
      <c r="F1050" s="2333" t="s">
        <v>3457</v>
      </c>
      <c r="G1050" s="2185" t="s">
        <v>3458</v>
      </c>
      <c r="H1050" s="2333"/>
      <c r="I1050" s="2334"/>
      <c r="J1050" s="2185"/>
      <c r="K1050" s="2336"/>
      <c r="L1050" s="2335"/>
      <c r="M1050" s="1951"/>
      <c r="N1050" s="1962"/>
      <c r="O1050" s="1961">
        <v>0</v>
      </c>
      <c r="P1050" s="1951">
        <v>0</v>
      </c>
      <c r="Q1050" s="1960">
        <v>0</v>
      </c>
    </row>
    <row r="1051" spans="1:17" ht="12.75" customHeight="1">
      <c r="A1051" s="2332" t="s">
        <v>3454</v>
      </c>
      <c r="B1051" s="2185" t="s">
        <v>3574</v>
      </c>
      <c r="C1051" s="2296" t="s">
        <v>3453</v>
      </c>
      <c r="D1051" s="2296"/>
      <c r="E1051" s="2333" t="s">
        <v>3467</v>
      </c>
      <c r="F1051" s="2333" t="s">
        <v>3468</v>
      </c>
      <c r="G1051" s="2185" t="s">
        <v>3469</v>
      </c>
      <c r="H1051" s="2333"/>
      <c r="I1051" s="2334"/>
      <c r="J1051" s="2185"/>
      <c r="K1051" s="2336"/>
      <c r="L1051" s="2335"/>
      <c r="M1051" s="1951"/>
      <c r="N1051" s="1962"/>
      <c r="O1051" s="1961">
        <v>0</v>
      </c>
      <c r="P1051" s="1951">
        <v>0</v>
      </c>
      <c r="Q1051" s="1960">
        <v>0</v>
      </c>
    </row>
    <row r="1052" spans="1:17" ht="12.75" customHeight="1">
      <c r="A1052" s="2332" t="s">
        <v>3459</v>
      </c>
      <c r="B1052" s="2185" t="s">
        <v>3612</v>
      </c>
      <c r="C1052" s="2296" t="s">
        <v>3453</v>
      </c>
      <c r="D1052" s="2296"/>
      <c r="E1052" s="2333" t="s">
        <v>3525</v>
      </c>
      <c r="F1052" s="2333" t="s">
        <v>3457</v>
      </c>
      <c r="G1052" s="2185" t="s">
        <v>3526</v>
      </c>
      <c r="H1052" s="2333"/>
      <c r="I1052" s="2334"/>
      <c r="J1052" s="2185"/>
      <c r="K1052" s="2336"/>
      <c r="L1052" s="2335"/>
      <c r="M1052" s="1951"/>
      <c r="N1052" s="1962"/>
      <c r="O1052" s="1961">
        <v>0</v>
      </c>
      <c r="P1052" s="1951">
        <v>0</v>
      </c>
      <c r="Q1052" s="1960">
        <v>0</v>
      </c>
    </row>
    <row r="1053" spans="1:17" ht="12.75" customHeight="1">
      <c r="A1053" s="2332" t="s">
        <v>3459</v>
      </c>
      <c r="B1053" s="2185" t="s">
        <v>3680</v>
      </c>
      <c r="C1053" s="2296" t="s">
        <v>3453</v>
      </c>
      <c r="D1053" s="2296"/>
      <c r="E1053" s="2333" t="s">
        <v>3467</v>
      </c>
      <c r="F1053" s="2333" t="s">
        <v>3468</v>
      </c>
      <c r="G1053" s="2185" t="s">
        <v>3469</v>
      </c>
      <c r="H1053" s="2333"/>
      <c r="I1053" s="2334"/>
      <c r="J1053" s="2185"/>
      <c r="K1053" s="2336"/>
      <c r="L1053" s="2335"/>
      <c r="M1053" s="1951"/>
      <c r="N1053" s="1962"/>
      <c r="O1053" s="1961">
        <v>0</v>
      </c>
      <c r="P1053" s="1951">
        <v>0</v>
      </c>
      <c r="Q1053" s="1960">
        <v>0</v>
      </c>
    </row>
    <row r="1054" spans="1:17" ht="12.75" customHeight="1">
      <c r="A1054" s="2332" t="s">
        <v>3501</v>
      </c>
      <c r="B1054" s="2185" t="s">
        <v>3502</v>
      </c>
      <c r="C1054" s="2296" t="s">
        <v>3453</v>
      </c>
      <c r="D1054" s="2296"/>
      <c r="E1054" s="2333" t="s">
        <v>3456</v>
      </c>
      <c r="F1054" s="2333" t="s">
        <v>3457</v>
      </c>
      <c r="G1054" s="2185" t="s">
        <v>3458</v>
      </c>
      <c r="H1054" s="2333"/>
      <c r="I1054" s="2334"/>
      <c r="J1054" s="2185"/>
      <c r="K1054" s="2336"/>
      <c r="L1054" s="2335"/>
      <c r="M1054" s="1951"/>
      <c r="N1054" s="1962"/>
      <c r="O1054" s="1961">
        <v>6733209</v>
      </c>
      <c r="P1054" s="1951">
        <v>7042937</v>
      </c>
      <c r="Q1054" s="1960">
        <v>7366912</v>
      </c>
    </row>
    <row r="1055" spans="1:17" ht="12.75" customHeight="1">
      <c r="A1055" s="2332" t="s">
        <v>3454</v>
      </c>
      <c r="B1055" s="2185" t="s">
        <v>3662</v>
      </c>
      <c r="C1055" s="2296" t="s">
        <v>3453</v>
      </c>
      <c r="D1055" s="2296"/>
      <c r="E1055" s="2333" t="s">
        <v>3456</v>
      </c>
      <c r="F1055" s="2333" t="s">
        <v>3457</v>
      </c>
      <c r="G1055" s="2185" t="s">
        <v>3461</v>
      </c>
      <c r="H1055" s="2333"/>
      <c r="I1055" s="2334"/>
      <c r="J1055" s="2185"/>
      <c r="K1055" s="2336"/>
      <c r="L1055" s="2335"/>
      <c r="M1055" s="1951"/>
      <c r="N1055" s="1962"/>
      <c r="O1055" s="1961">
        <v>0</v>
      </c>
      <c r="P1055" s="1951">
        <v>0</v>
      </c>
      <c r="Q1055" s="1960">
        <v>0</v>
      </c>
    </row>
    <row r="1056" spans="1:17" ht="12.75" customHeight="1">
      <c r="A1056" s="2332" t="s">
        <v>3508</v>
      </c>
      <c r="B1056" s="2185" t="s">
        <v>3681</v>
      </c>
      <c r="C1056" s="2296" t="s">
        <v>3453</v>
      </c>
      <c r="D1056" s="2296"/>
      <c r="E1056" s="2333" t="s">
        <v>3456</v>
      </c>
      <c r="F1056" s="2333" t="s">
        <v>3457</v>
      </c>
      <c r="G1056" s="2185" t="s">
        <v>3458</v>
      </c>
      <c r="H1056" s="2333"/>
      <c r="I1056" s="2334"/>
      <c r="J1056" s="2185"/>
      <c r="K1056" s="2336"/>
      <c r="L1056" s="2335"/>
      <c r="M1056" s="1951"/>
      <c r="N1056" s="1962"/>
      <c r="O1056" s="1961">
        <v>78692</v>
      </c>
      <c r="P1056" s="1951">
        <v>82312</v>
      </c>
      <c r="Q1056" s="1960">
        <v>86099</v>
      </c>
    </row>
    <row r="1057" spans="1:17" ht="12.75" customHeight="1">
      <c r="A1057" s="2332" t="s">
        <v>3487</v>
      </c>
      <c r="B1057" s="2185" t="s">
        <v>3488</v>
      </c>
      <c r="C1057" s="2296" t="s">
        <v>3453</v>
      </c>
      <c r="D1057" s="2296"/>
      <c r="E1057" s="2333" t="s">
        <v>3467</v>
      </c>
      <c r="F1057" s="2333" t="s">
        <v>3468</v>
      </c>
      <c r="G1057" s="2185" t="s">
        <v>3469</v>
      </c>
      <c r="H1057" s="2333"/>
      <c r="I1057" s="2334"/>
      <c r="J1057" s="2185"/>
      <c r="K1057" s="2336"/>
      <c r="L1057" s="2335"/>
      <c r="M1057" s="1951"/>
      <c r="N1057" s="1962"/>
      <c r="O1057" s="1961">
        <v>61124</v>
      </c>
      <c r="P1057" s="1951">
        <v>63936</v>
      </c>
      <c r="Q1057" s="1960">
        <v>66877</v>
      </c>
    </row>
    <row r="1058" spans="1:17" ht="12.75" customHeight="1">
      <c r="A1058" s="2332" t="s">
        <v>3558</v>
      </c>
      <c r="B1058" s="2185" t="s">
        <v>3696</v>
      </c>
      <c r="C1058" s="2296" t="s">
        <v>3453</v>
      </c>
      <c r="D1058" s="2296"/>
      <c r="E1058" s="2333" t="s">
        <v>3456</v>
      </c>
      <c r="F1058" s="2333" t="s">
        <v>3457</v>
      </c>
      <c r="G1058" s="2185" t="s">
        <v>3461</v>
      </c>
      <c r="H1058" s="2333"/>
      <c r="I1058" s="2334"/>
      <c r="J1058" s="2185"/>
      <c r="K1058" s="2336"/>
      <c r="L1058" s="2335"/>
      <c r="M1058" s="1951"/>
      <c r="N1058" s="1962"/>
      <c r="O1058" s="1961">
        <v>42050</v>
      </c>
      <c r="P1058" s="1951">
        <v>43985</v>
      </c>
      <c r="Q1058" s="1960">
        <v>46008</v>
      </c>
    </row>
    <row r="1059" spans="1:17" ht="12.75" customHeight="1">
      <c r="A1059" s="2332" t="s">
        <v>3572</v>
      </c>
      <c r="B1059" s="2185" t="s">
        <v>3688</v>
      </c>
      <c r="C1059" s="2296" t="s">
        <v>3453</v>
      </c>
      <c r="D1059" s="2296"/>
      <c r="E1059" s="2333" t="s">
        <v>3513</v>
      </c>
      <c r="F1059" s="2333" t="s">
        <v>3514</v>
      </c>
      <c r="G1059" s="2185" t="s">
        <v>3515</v>
      </c>
      <c r="H1059" s="2333"/>
      <c r="I1059" s="2334"/>
      <c r="J1059" s="2185"/>
      <c r="K1059" s="2336"/>
      <c r="L1059" s="2335"/>
      <c r="M1059" s="1951"/>
      <c r="N1059" s="1962"/>
      <c r="O1059" s="1961">
        <v>0</v>
      </c>
      <c r="P1059" s="1951">
        <v>0</v>
      </c>
      <c r="Q1059" s="1960">
        <v>0</v>
      </c>
    </row>
    <row r="1060" spans="1:17" ht="12.75" customHeight="1">
      <c r="A1060" s="2332" t="s">
        <v>3533</v>
      </c>
      <c r="B1060" s="2185" t="s">
        <v>3870</v>
      </c>
      <c r="C1060" s="2296" t="s">
        <v>3453</v>
      </c>
      <c r="D1060" s="2296"/>
      <c r="E1060" s="2333" t="s">
        <v>3467</v>
      </c>
      <c r="F1060" s="2333" t="s">
        <v>3468</v>
      </c>
      <c r="G1060" s="2185" t="s">
        <v>2676</v>
      </c>
      <c r="H1060" s="2333"/>
      <c r="I1060" s="2334"/>
      <c r="J1060" s="2185"/>
      <c r="K1060" s="2336"/>
      <c r="L1060" s="2335"/>
      <c r="M1060" s="1951"/>
      <c r="N1060" s="1962"/>
      <c r="O1060" s="1961">
        <v>8854731</v>
      </c>
      <c r="P1060" s="1951">
        <v>7854731</v>
      </c>
      <c r="Q1060" s="1960">
        <v>8216049</v>
      </c>
    </row>
    <row r="1061" spans="1:17" ht="12.75" customHeight="1">
      <c r="A1061" s="2332" t="s">
        <v>3501</v>
      </c>
      <c r="B1061" s="2185" t="s">
        <v>3502</v>
      </c>
      <c r="C1061" s="2296" t="s">
        <v>3453</v>
      </c>
      <c r="D1061" s="2296"/>
      <c r="E1061" s="2333" t="s">
        <v>3467</v>
      </c>
      <c r="F1061" s="2333" t="s">
        <v>3468</v>
      </c>
      <c r="G1061" s="2185" t="s">
        <v>3475</v>
      </c>
      <c r="H1061" s="2333"/>
      <c r="I1061" s="2334"/>
      <c r="J1061" s="2185"/>
      <c r="K1061" s="2336"/>
      <c r="L1061" s="2335"/>
      <c r="M1061" s="1951"/>
      <c r="N1061" s="1962"/>
      <c r="O1061" s="1961">
        <v>17029</v>
      </c>
      <c r="P1061" s="1951">
        <v>17813</v>
      </c>
      <c r="Q1061" s="1960">
        <v>18632</v>
      </c>
    </row>
    <row r="1062" spans="1:17" ht="12.75" customHeight="1">
      <c r="A1062" s="2332" t="s">
        <v>3454</v>
      </c>
      <c r="B1062" s="2185" t="s">
        <v>3695</v>
      </c>
      <c r="C1062" s="2296" t="s">
        <v>3453</v>
      </c>
      <c r="D1062" s="2296"/>
      <c r="E1062" s="2333" t="s">
        <v>3456</v>
      </c>
      <c r="F1062" s="2333" t="s">
        <v>3457</v>
      </c>
      <c r="G1062" s="2185" t="s">
        <v>3461</v>
      </c>
      <c r="H1062" s="2333"/>
      <c r="I1062" s="2334"/>
      <c r="J1062" s="2185"/>
      <c r="K1062" s="2336"/>
      <c r="L1062" s="2335"/>
      <c r="M1062" s="1951"/>
      <c r="N1062" s="1962"/>
      <c r="O1062" s="1961">
        <v>266829</v>
      </c>
      <c r="P1062" s="1951">
        <v>279104</v>
      </c>
      <c r="Q1062" s="1960">
        <v>291942</v>
      </c>
    </row>
    <row r="1063" spans="1:17" ht="12.75" customHeight="1">
      <c r="A1063" s="2332" t="s">
        <v>3454</v>
      </c>
      <c r="B1063" s="2185" t="s">
        <v>3545</v>
      </c>
      <c r="C1063" s="2296" t="s">
        <v>3453</v>
      </c>
      <c r="D1063" s="2296"/>
      <c r="E1063" s="2333" t="s">
        <v>3456</v>
      </c>
      <c r="F1063" s="2333" t="s">
        <v>3457</v>
      </c>
      <c r="G1063" s="2185" t="s">
        <v>3481</v>
      </c>
      <c r="H1063" s="2333"/>
      <c r="I1063" s="2334"/>
      <c r="J1063" s="2185"/>
      <c r="K1063" s="2336"/>
      <c r="L1063" s="2335"/>
      <c r="M1063" s="1951"/>
      <c r="N1063" s="1962"/>
      <c r="O1063" s="1961">
        <v>0</v>
      </c>
      <c r="P1063" s="1951">
        <v>0</v>
      </c>
      <c r="Q1063" s="1960">
        <v>0</v>
      </c>
    </row>
    <row r="1064" spans="1:17" ht="12.75" customHeight="1">
      <c r="A1064" s="2332" t="s">
        <v>3477</v>
      </c>
      <c r="B1064" s="2185" t="s">
        <v>3478</v>
      </c>
      <c r="C1064" s="2296" t="s">
        <v>3453</v>
      </c>
      <c r="D1064" s="2296"/>
      <c r="E1064" s="2333" t="s">
        <v>3467</v>
      </c>
      <c r="F1064" s="2333" t="s">
        <v>3468</v>
      </c>
      <c r="G1064" s="2185" t="s">
        <v>2676</v>
      </c>
      <c r="H1064" s="2333"/>
      <c r="I1064" s="2334"/>
      <c r="J1064" s="2185"/>
      <c r="K1064" s="2336"/>
      <c r="L1064" s="2335"/>
      <c r="M1064" s="1951"/>
      <c r="N1064" s="1962"/>
      <c r="O1064" s="1961">
        <v>0</v>
      </c>
      <c r="P1064" s="1951">
        <v>0</v>
      </c>
      <c r="Q1064" s="1960">
        <v>0</v>
      </c>
    </row>
    <row r="1065" spans="1:17" ht="12.75" customHeight="1">
      <c r="A1065" s="2332" t="s">
        <v>3454</v>
      </c>
      <c r="B1065" s="2185" t="s">
        <v>3871</v>
      </c>
      <c r="C1065" s="2296" t="s">
        <v>3872</v>
      </c>
      <c r="D1065" s="2296"/>
      <c r="E1065" s="2333" t="s">
        <v>3467</v>
      </c>
      <c r="F1065" s="2333" t="s">
        <v>3468</v>
      </c>
      <c r="G1065" s="2185" t="s">
        <v>3475</v>
      </c>
      <c r="H1065" s="2333"/>
      <c r="I1065" s="2334"/>
      <c r="J1065" s="2185"/>
      <c r="K1065" s="2336"/>
      <c r="L1065" s="2335"/>
      <c r="M1065" s="1951"/>
      <c r="N1065" s="1962"/>
      <c r="O1065" s="1961">
        <v>9791106</v>
      </c>
      <c r="P1065" s="1951">
        <v>10241497</v>
      </c>
      <c r="Q1065" s="1960">
        <v>10712606</v>
      </c>
    </row>
    <row r="1066" spans="1:17" ht="12.75" customHeight="1">
      <c r="A1066" s="2332" t="s">
        <v>3483</v>
      </c>
      <c r="B1066" s="2185" t="s">
        <v>3484</v>
      </c>
      <c r="C1066" s="2296" t="s">
        <v>3453</v>
      </c>
      <c r="D1066" s="2296"/>
      <c r="E1066" s="2333" t="s">
        <v>3456</v>
      </c>
      <c r="F1066" s="2333" t="s">
        <v>3457</v>
      </c>
      <c r="G1066" s="2185" t="s">
        <v>3461</v>
      </c>
      <c r="H1066" s="2333"/>
      <c r="I1066" s="2334"/>
      <c r="J1066" s="2185"/>
      <c r="K1066" s="2336"/>
      <c r="L1066" s="2335"/>
      <c r="M1066" s="1951"/>
      <c r="N1066" s="1962"/>
      <c r="O1066" s="1961">
        <v>662584</v>
      </c>
      <c r="P1066" s="1951">
        <v>693063</v>
      </c>
      <c r="Q1066" s="1960">
        <v>724944</v>
      </c>
    </row>
    <row r="1067" spans="1:17" ht="12.75" customHeight="1">
      <c r="A1067" s="2332" t="s">
        <v>3541</v>
      </c>
      <c r="B1067" s="2185" t="s">
        <v>3542</v>
      </c>
      <c r="C1067" s="2296" t="s">
        <v>3453</v>
      </c>
      <c r="D1067" s="2296"/>
      <c r="E1067" s="2333" t="s">
        <v>3456</v>
      </c>
      <c r="F1067" s="2333" t="s">
        <v>3457</v>
      </c>
      <c r="G1067" s="2185" t="s">
        <v>3461</v>
      </c>
      <c r="H1067" s="2333"/>
      <c r="I1067" s="2334"/>
      <c r="J1067" s="2185"/>
      <c r="K1067" s="2336"/>
      <c r="L1067" s="2335"/>
      <c r="M1067" s="1951"/>
      <c r="N1067" s="1962"/>
      <c r="O1067" s="1961">
        <v>0</v>
      </c>
      <c r="P1067" s="1951">
        <v>0</v>
      </c>
      <c r="Q1067" s="1960">
        <v>0</v>
      </c>
    </row>
    <row r="1068" spans="1:17" ht="12.75" customHeight="1">
      <c r="A1068" s="2332" t="s">
        <v>3464</v>
      </c>
      <c r="B1068" s="2185" t="s">
        <v>3665</v>
      </c>
      <c r="C1068" s="2296" t="s">
        <v>3453</v>
      </c>
      <c r="D1068" s="2296"/>
      <c r="E1068" s="2333" t="s">
        <v>3467</v>
      </c>
      <c r="F1068" s="2333" t="s">
        <v>3468</v>
      </c>
      <c r="G1068" s="2185" t="s">
        <v>3475</v>
      </c>
      <c r="H1068" s="2333"/>
      <c r="I1068" s="2334"/>
      <c r="J1068" s="2185"/>
      <c r="K1068" s="2336"/>
      <c r="L1068" s="2335"/>
      <c r="M1068" s="1951"/>
      <c r="N1068" s="1962"/>
      <c r="O1068" s="1961">
        <v>102000</v>
      </c>
      <c r="P1068" s="1951">
        <v>106692</v>
      </c>
      <c r="Q1068" s="1960">
        <v>111600</v>
      </c>
    </row>
    <row r="1069" spans="1:17" ht="12.75" customHeight="1">
      <c r="A1069" s="2332" t="s">
        <v>3470</v>
      </c>
      <c r="B1069" s="2185" t="s">
        <v>3554</v>
      </c>
      <c r="C1069" s="2296" t="s">
        <v>3453</v>
      </c>
      <c r="D1069" s="2296"/>
      <c r="E1069" s="2333" t="s">
        <v>3525</v>
      </c>
      <c r="F1069" s="2333" t="s">
        <v>3457</v>
      </c>
      <c r="G1069" s="2185" t="s">
        <v>3526</v>
      </c>
      <c r="H1069" s="2333"/>
      <c r="I1069" s="2334"/>
      <c r="J1069" s="2185"/>
      <c r="K1069" s="2336"/>
      <c r="L1069" s="2335"/>
      <c r="M1069" s="1951"/>
      <c r="N1069" s="1962"/>
      <c r="O1069" s="1961">
        <v>4148567</v>
      </c>
      <c r="P1069" s="1951">
        <v>4339402</v>
      </c>
      <c r="Q1069" s="1960">
        <v>4539014</v>
      </c>
    </row>
    <row r="1070" spans="1:17" ht="12.75" customHeight="1">
      <c r="A1070" s="2332" t="s">
        <v>3506</v>
      </c>
      <c r="B1070" s="2185" t="s">
        <v>3873</v>
      </c>
      <c r="C1070" s="2296" t="s">
        <v>3453</v>
      </c>
      <c r="D1070" s="2296"/>
      <c r="E1070" s="2333" t="s">
        <v>3456</v>
      </c>
      <c r="F1070" s="2333" t="s">
        <v>3457</v>
      </c>
      <c r="G1070" s="2185" t="s">
        <v>3461</v>
      </c>
      <c r="H1070" s="2333"/>
      <c r="I1070" s="2334"/>
      <c r="J1070" s="2185"/>
      <c r="K1070" s="2336"/>
      <c r="L1070" s="2335"/>
      <c r="M1070" s="1951"/>
      <c r="N1070" s="1962"/>
      <c r="O1070" s="1961">
        <v>0</v>
      </c>
      <c r="P1070" s="1951">
        <v>0</v>
      </c>
      <c r="Q1070" s="1960">
        <v>0</v>
      </c>
    </row>
    <row r="1071" spans="1:17" ht="12.75" customHeight="1">
      <c r="A1071" s="2332" t="s">
        <v>3477</v>
      </c>
      <c r="B1071" s="2185" t="s">
        <v>3478</v>
      </c>
      <c r="C1071" s="2296" t="s">
        <v>3453</v>
      </c>
      <c r="D1071" s="2296"/>
      <c r="E1071" s="2333" t="s">
        <v>3467</v>
      </c>
      <c r="F1071" s="2333" t="s">
        <v>3468</v>
      </c>
      <c r="G1071" s="2185" t="s">
        <v>3469</v>
      </c>
      <c r="H1071" s="2333"/>
      <c r="I1071" s="2334"/>
      <c r="J1071" s="2185"/>
      <c r="K1071" s="2336"/>
      <c r="L1071" s="2335"/>
      <c r="M1071" s="1951"/>
      <c r="N1071" s="1962"/>
      <c r="O1071" s="1961">
        <v>9611</v>
      </c>
      <c r="P1071" s="1951">
        <v>10054</v>
      </c>
      <c r="Q1071" s="1960">
        <v>10516</v>
      </c>
    </row>
    <row r="1072" spans="1:17" ht="12.75" customHeight="1">
      <c r="A1072" s="2332" t="s">
        <v>3464</v>
      </c>
      <c r="B1072" s="2185" t="s">
        <v>3665</v>
      </c>
      <c r="C1072" s="2296" t="s">
        <v>3453</v>
      </c>
      <c r="D1072" s="2296"/>
      <c r="E1072" s="2333" t="s">
        <v>3456</v>
      </c>
      <c r="F1072" s="2333" t="s">
        <v>3457</v>
      </c>
      <c r="G1072" s="2185" t="s">
        <v>3461</v>
      </c>
      <c r="H1072" s="2333"/>
      <c r="I1072" s="2334"/>
      <c r="J1072" s="2185"/>
      <c r="K1072" s="2336"/>
      <c r="L1072" s="2335"/>
      <c r="M1072" s="1951"/>
      <c r="N1072" s="1962"/>
      <c r="O1072" s="1961">
        <v>14468</v>
      </c>
      <c r="P1072" s="1951">
        <v>15134</v>
      </c>
      <c r="Q1072" s="1960">
        <v>15830</v>
      </c>
    </row>
    <row r="1073" spans="1:17" ht="12.75" customHeight="1">
      <c r="A1073" s="2332" t="s">
        <v>3533</v>
      </c>
      <c r="B1073" s="2185" t="s">
        <v>3534</v>
      </c>
      <c r="C1073" s="2296" t="s">
        <v>3453</v>
      </c>
      <c r="D1073" s="2296"/>
      <c r="E1073" s="2333" t="s">
        <v>3467</v>
      </c>
      <c r="F1073" s="2333" t="s">
        <v>3468</v>
      </c>
      <c r="G1073" s="2185" t="s">
        <v>3469</v>
      </c>
      <c r="H1073" s="2333"/>
      <c r="I1073" s="2334"/>
      <c r="J1073" s="2185"/>
      <c r="K1073" s="2336"/>
      <c r="L1073" s="2335"/>
      <c r="M1073" s="1951"/>
      <c r="N1073" s="1962"/>
      <c r="O1073" s="1961">
        <v>27792</v>
      </c>
      <c r="P1073" s="1951">
        <v>29071</v>
      </c>
      <c r="Q1073" s="1960">
        <v>30408</v>
      </c>
    </row>
    <row r="1074" spans="1:17" ht="12.75" customHeight="1">
      <c r="A1074" s="2332" t="s">
        <v>3464</v>
      </c>
      <c r="B1074" s="2185" t="s">
        <v>3556</v>
      </c>
      <c r="C1074" s="2296" t="s">
        <v>3453</v>
      </c>
      <c r="D1074" s="2296"/>
      <c r="E1074" s="2333" t="s">
        <v>3467</v>
      </c>
      <c r="F1074" s="2333" t="s">
        <v>3468</v>
      </c>
      <c r="G1074" s="2185" t="s">
        <v>3469</v>
      </c>
      <c r="H1074" s="2333"/>
      <c r="I1074" s="2334"/>
      <c r="J1074" s="2185"/>
      <c r="K1074" s="2336"/>
      <c r="L1074" s="2335"/>
      <c r="M1074" s="1951"/>
      <c r="N1074" s="1962"/>
      <c r="O1074" s="1961">
        <v>2546223</v>
      </c>
      <c r="P1074" s="1951">
        <v>2663350</v>
      </c>
      <c r="Q1074" s="1960">
        <v>2785864</v>
      </c>
    </row>
    <row r="1075" spans="1:17" ht="12.75" customHeight="1">
      <c r="A1075" s="2332" t="s">
        <v>3459</v>
      </c>
      <c r="B1075" s="2185" t="s">
        <v>3612</v>
      </c>
      <c r="C1075" s="2296" t="s">
        <v>3453</v>
      </c>
      <c r="D1075" s="2296"/>
      <c r="E1075" s="2333" t="s">
        <v>3467</v>
      </c>
      <c r="F1075" s="2333" t="s">
        <v>3468</v>
      </c>
      <c r="G1075" s="2185" t="s">
        <v>3469</v>
      </c>
      <c r="H1075" s="2333"/>
      <c r="I1075" s="2334"/>
      <c r="J1075" s="2185"/>
      <c r="K1075" s="2336"/>
      <c r="L1075" s="2335"/>
      <c r="M1075" s="1951"/>
      <c r="N1075" s="1962"/>
      <c r="O1075" s="1961">
        <v>0</v>
      </c>
      <c r="P1075" s="1951">
        <v>0</v>
      </c>
      <c r="Q1075" s="1960">
        <v>0</v>
      </c>
    </row>
    <row r="1076" spans="1:17" ht="12.75" customHeight="1">
      <c r="A1076" s="2332" t="s">
        <v>3464</v>
      </c>
      <c r="B1076" s="2185" t="s">
        <v>3665</v>
      </c>
      <c r="C1076" s="2296" t="s">
        <v>3453</v>
      </c>
      <c r="D1076" s="2296"/>
      <c r="E1076" s="2333" t="s">
        <v>3467</v>
      </c>
      <c r="F1076" s="2333" t="s">
        <v>3468</v>
      </c>
      <c r="G1076" s="2185" t="s">
        <v>3469</v>
      </c>
      <c r="H1076" s="2333"/>
      <c r="I1076" s="2334"/>
      <c r="J1076" s="2185"/>
      <c r="K1076" s="2336"/>
      <c r="L1076" s="2335"/>
      <c r="M1076" s="1951"/>
      <c r="N1076" s="1962"/>
      <c r="O1076" s="1961">
        <v>2663814</v>
      </c>
      <c r="P1076" s="1951">
        <v>2656516</v>
      </c>
      <c r="Q1076" s="1960">
        <v>2656516</v>
      </c>
    </row>
    <row r="1077" spans="1:17" ht="12.75" customHeight="1">
      <c r="A1077" s="2332" t="s">
        <v>3558</v>
      </c>
      <c r="B1077" s="2185" t="s">
        <v>3696</v>
      </c>
      <c r="C1077" s="2296" t="s">
        <v>3453</v>
      </c>
      <c r="D1077" s="2296"/>
      <c r="E1077" s="2333" t="s">
        <v>3456</v>
      </c>
      <c r="F1077" s="2333" t="s">
        <v>3457</v>
      </c>
      <c r="G1077" s="2185" t="s">
        <v>3481</v>
      </c>
      <c r="H1077" s="2333"/>
      <c r="I1077" s="2334"/>
      <c r="J1077" s="2185"/>
      <c r="K1077" s="2336"/>
      <c r="L1077" s="2335"/>
      <c r="M1077" s="1951"/>
      <c r="N1077" s="1962"/>
      <c r="O1077" s="1961">
        <v>674450</v>
      </c>
      <c r="P1077" s="1951">
        <v>705475</v>
      </c>
      <c r="Q1077" s="1960">
        <v>737927</v>
      </c>
    </row>
    <row r="1078" spans="1:17" ht="12.75" customHeight="1">
      <c r="A1078" s="2332" t="s">
        <v>3506</v>
      </c>
      <c r="B1078" s="2185" t="s">
        <v>3698</v>
      </c>
      <c r="C1078" s="2296" t="s">
        <v>3453</v>
      </c>
      <c r="D1078" s="2296"/>
      <c r="E1078" s="2333" t="s">
        <v>3456</v>
      </c>
      <c r="F1078" s="2333" t="s">
        <v>3457</v>
      </c>
      <c r="G1078" s="2185" t="s">
        <v>3458</v>
      </c>
      <c r="H1078" s="2333"/>
      <c r="I1078" s="2334"/>
      <c r="J1078" s="2185"/>
      <c r="K1078" s="2336"/>
      <c r="L1078" s="2335"/>
      <c r="M1078" s="1951"/>
      <c r="N1078" s="1962"/>
      <c r="O1078" s="1961">
        <v>190000</v>
      </c>
      <c r="P1078" s="1951">
        <v>198740</v>
      </c>
      <c r="Q1078" s="1960">
        <v>207883</v>
      </c>
    </row>
    <row r="1079" spans="1:17" ht="12.75" customHeight="1">
      <c r="A1079" s="2332" t="s">
        <v>3490</v>
      </c>
      <c r="B1079" s="2185" t="s">
        <v>3493</v>
      </c>
      <c r="C1079" s="2296" t="s">
        <v>3453</v>
      </c>
      <c r="D1079" s="2296"/>
      <c r="E1079" s="2333" t="s">
        <v>3456</v>
      </c>
      <c r="F1079" s="2333" t="s">
        <v>3457</v>
      </c>
      <c r="G1079" s="2185" t="s">
        <v>3458</v>
      </c>
      <c r="H1079" s="2333"/>
      <c r="I1079" s="2334"/>
      <c r="J1079" s="2185"/>
      <c r="K1079" s="2336"/>
      <c r="L1079" s="2335"/>
      <c r="M1079" s="1951"/>
      <c r="N1079" s="1962"/>
      <c r="O1079" s="1961">
        <v>3200</v>
      </c>
      <c r="P1079" s="1951">
        <v>3348</v>
      </c>
      <c r="Q1079" s="1960">
        <v>3502</v>
      </c>
    </row>
    <row r="1080" spans="1:17" ht="12.75" customHeight="1">
      <c r="A1080" s="2332" t="s">
        <v>3506</v>
      </c>
      <c r="B1080" s="2185" t="s">
        <v>3610</v>
      </c>
      <c r="C1080" s="2296" t="s">
        <v>3453</v>
      </c>
      <c r="D1080" s="2296"/>
      <c r="E1080" s="2333" t="s">
        <v>3467</v>
      </c>
      <c r="F1080" s="2333" t="s">
        <v>3468</v>
      </c>
      <c r="G1080" s="2185" t="s">
        <v>3475</v>
      </c>
      <c r="H1080" s="2333"/>
      <c r="I1080" s="2334"/>
      <c r="J1080" s="2185"/>
      <c r="K1080" s="2336"/>
      <c r="L1080" s="2335"/>
      <c r="M1080" s="1951"/>
      <c r="N1080" s="1962"/>
      <c r="O1080" s="1961">
        <v>61445</v>
      </c>
      <c r="P1080" s="1951">
        <v>64272</v>
      </c>
      <c r="Q1080" s="1960">
        <v>67228</v>
      </c>
    </row>
    <row r="1081" spans="1:17" ht="12.75" customHeight="1">
      <c r="A1081" s="2332" t="s">
        <v>3459</v>
      </c>
      <c r="B1081" s="2185" t="s">
        <v>3874</v>
      </c>
      <c r="C1081" s="2296" t="s">
        <v>3453</v>
      </c>
      <c r="D1081" s="2296"/>
      <c r="E1081" s="2333" t="s">
        <v>3456</v>
      </c>
      <c r="F1081" s="2333" t="s">
        <v>3457</v>
      </c>
      <c r="G1081" s="2185" t="s">
        <v>3461</v>
      </c>
      <c r="H1081" s="2333"/>
      <c r="I1081" s="2334"/>
      <c r="J1081" s="2185"/>
      <c r="K1081" s="2336"/>
      <c r="L1081" s="2335"/>
      <c r="M1081" s="1951"/>
      <c r="N1081" s="1962"/>
      <c r="O1081" s="1961">
        <v>0</v>
      </c>
      <c r="P1081" s="1951">
        <v>0</v>
      </c>
      <c r="Q1081" s="1960">
        <v>0</v>
      </c>
    </row>
    <row r="1082" spans="1:17" ht="12.75" customHeight="1">
      <c r="A1082" s="2332" t="s">
        <v>3584</v>
      </c>
      <c r="B1082" s="2185" t="s">
        <v>3608</v>
      </c>
      <c r="C1082" s="2296" t="s">
        <v>3453</v>
      </c>
      <c r="D1082" s="2296"/>
      <c r="E1082" s="2333" t="s">
        <v>3467</v>
      </c>
      <c r="F1082" s="2333" t="s">
        <v>3468</v>
      </c>
      <c r="G1082" s="2185" t="s">
        <v>3469</v>
      </c>
      <c r="H1082" s="2333"/>
      <c r="I1082" s="2334"/>
      <c r="J1082" s="2185"/>
      <c r="K1082" s="2336"/>
      <c r="L1082" s="2335"/>
      <c r="M1082" s="1951"/>
      <c r="N1082" s="1962"/>
      <c r="O1082" s="1961">
        <v>698000</v>
      </c>
      <c r="P1082" s="1951">
        <v>730108</v>
      </c>
      <c r="Q1082" s="1960">
        <v>763693</v>
      </c>
    </row>
    <row r="1083" spans="1:17" ht="12.75" customHeight="1">
      <c r="A1083" s="2332" t="s">
        <v>3558</v>
      </c>
      <c r="B1083" s="2185" t="s">
        <v>3559</v>
      </c>
      <c r="C1083" s="2296" t="s">
        <v>3453</v>
      </c>
      <c r="D1083" s="2296"/>
      <c r="E1083" s="2333" t="s">
        <v>3456</v>
      </c>
      <c r="F1083" s="2333" t="s">
        <v>3457</v>
      </c>
      <c r="G1083" s="2185" t="s">
        <v>3461</v>
      </c>
      <c r="H1083" s="2333"/>
      <c r="I1083" s="2334"/>
      <c r="J1083" s="2185"/>
      <c r="K1083" s="2336"/>
      <c r="L1083" s="2335"/>
      <c r="M1083" s="1951"/>
      <c r="N1083" s="1962"/>
      <c r="O1083" s="1961">
        <v>281569</v>
      </c>
      <c r="P1083" s="1951">
        <v>294522</v>
      </c>
      <c r="Q1083" s="1960">
        <v>308070</v>
      </c>
    </row>
    <row r="1084" spans="1:17" ht="12.75" customHeight="1">
      <c r="A1084" s="2332" t="s">
        <v>3459</v>
      </c>
      <c r="B1084" s="2185" t="s">
        <v>3875</v>
      </c>
      <c r="C1084" s="2296" t="s">
        <v>3453</v>
      </c>
      <c r="D1084" s="2296"/>
      <c r="E1084" s="2333" t="s">
        <v>3467</v>
      </c>
      <c r="F1084" s="2333" t="s">
        <v>3468</v>
      </c>
      <c r="G1084" s="2185" t="s">
        <v>3469</v>
      </c>
      <c r="H1084" s="2333"/>
      <c r="I1084" s="2334"/>
      <c r="J1084" s="2185"/>
      <c r="K1084" s="2336"/>
      <c r="L1084" s="2335"/>
      <c r="M1084" s="1951"/>
      <c r="N1084" s="1962"/>
      <c r="O1084" s="1961">
        <v>7732</v>
      </c>
      <c r="P1084" s="1951">
        <v>8088</v>
      </c>
      <c r="Q1084" s="1960">
        <v>8460</v>
      </c>
    </row>
    <row r="1085" spans="1:17" ht="12.75" customHeight="1">
      <c r="A1085" s="2332" t="s">
        <v>3459</v>
      </c>
      <c r="B1085" s="2185" t="s">
        <v>3612</v>
      </c>
      <c r="C1085" s="2296" t="s">
        <v>3453</v>
      </c>
      <c r="D1085" s="2296"/>
      <c r="E1085" s="2333" t="s">
        <v>3467</v>
      </c>
      <c r="F1085" s="2333" t="s">
        <v>3468</v>
      </c>
      <c r="G1085" s="2185" t="s">
        <v>3475</v>
      </c>
      <c r="H1085" s="2333"/>
      <c r="I1085" s="2334"/>
      <c r="J1085" s="2185"/>
      <c r="K1085" s="2336"/>
      <c r="L1085" s="2335"/>
      <c r="M1085" s="1951"/>
      <c r="N1085" s="1962"/>
      <c r="O1085" s="1961">
        <v>0</v>
      </c>
      <c r="P1085" s="1951">
        <v>0</v>
      </c>
      <c r="Q1085" s="1960">
        <v>0</v>
      </c>
    </row>
    <row r="1086" spans="1:17" ht="12.75" customHeight="1">
      <c r="A1086" s="2332" t="s">
        <v>3485</v>
      </c>
      <c r="B1086" s="2185" t="s">
        <v>3639</v>
      </c>
      <c r="C1086" s="2296" t="s">
        <v>3453</v>
      </c>
      <c r="D1086" s="2296"/>
      <c r="E1086" s="2333" t="s">
        <v>3467</v>
      </c>
      <c r="F1086" s="2333" t="s">
        <v>3468</v>
      </c>
      <c r="G1086" s="2185" t="s">
        <v>3469</v>
      </c>
      <c r="H1086" s="2333"/>
      <c r="I1086" s="2334"/>
      <c r="J1086" s="2185"/>
      <c r="K1086" s="2336"/>
      <c r="L1086" s="2335"/>
      <c r="M1086" s="1951"/>
      <c r="N1086" s="1962"/>
      <c r="O1086" s="1961">
        <v>132721</v>
      </c>
      <c r="P1086" s="1951">
        <v>138827</v>
      </c>
      <c r="Q1086" s="1960">
        <v>145213</v>
      </c>
    </row>
    <row r="1087" spans="1:17" ht="12.75" customHeight="1">
      <c r="A1087" s="2332" t="s">
        <v>3531</v>
      </c>
      <c r="B1087" s="2185" t="s">
        <v>3532</v>
      </c>
      <c r="C1087" s="2296" t="s">
        <v>3453</v>
      </c>
      <c r="D1087" s="2296"/>
      <c r="E1087" s="2333" t="s">
        <v>3456</v>
      </c>
      <c r="F1087" s="2333" t="s">
        <v>3457</v>
      </c>
      <c r="G1087" s="2185" t="s">
        <v>3461</v>
      </c>
      <c r="H1087" s="2333"/>
      <c r="I1087" s="2334"/>
      <c r="J1087" s="2185"/>
      <c r="K1087" s="2336"/>
      <c r="L1087" s="2335"/>
      <c r="M1087" s="1951"/>
      <c r="N1087" s="1962"/>
      <c r="O1087" s="1961">
        <v>0</v>
      </c>
      <c r="P1087" s="1951">
        <v>0</v>
      </c>
      <c r="Q1087" s="1960">
        <v>0</v>
      </c>
    </row>
    <row r="1088" spans="1:17" ht="12.75" customHeight="1">
      <c r="A1088" s="2332" t="s">
        <v>3473</v>
      </c>
      <c r="B1088" s="2185" t="s">
        <v>3552</v>
      </c>
      <c r="C1088" s="2296" t="s">
        <v>3453</v>
      </c>
      <c r="D1088" s="2296"/>
      <c r="E1088" s="2333" t="s">
        <v>3467</v>
      </c>
      <c r="F1088" s="2333" t="s">
        <v>3468</v>
      </c>
      <c r="G1088" s="2185" t="s">
        <v>3469</v>
      </c>
      <c r="H1088" s="2333"/>
      <c r="I1088" s="2334"/>
      <c r="J1088" s="2185"/>
      <c r="K1088" s="2336"/>
      <c r="L1088" s="2335"/>
      <c r="M1088" s="1951"/>
      <c r="N1088" s="1962"/>
      <c r="O1088" s="1961">
        <v>0</v>
      </c>
      <c r="P1088" s="1951">
        <v>0</v>
      </c>
      <c r="Q1088" s="1960">
        <v>0</v>
      </c>
    </row>
    <row r="1089" spans="1:17" ht="12.75" customHeight="1">
      <c r="A1089" s="2332" t="s">
        <v>3483</v>
      </c>
      <c r="B1089" s="2185" t="s">
        <v>3876</v>
      </c>
      <c r="C1089" s="2296" t="s">
        <v>3453</v>
      </c>
      <c r="D1089" s="2296"/>
      <c r="E1089" s="2333" t="s">
        <v>3467</v>
      </c>
      <c r="F1089" s="2333" t="s">
        <v>3468</v>
      </c>
      <c r="G1089" s="2185" t="s">
        <v>3475</v>
      </c>
      <c r="H1089" s="2333"/>
      <c r="I1089" s="2334"/>
      <c r="J1089" s="2185"/>
      <c r="K1089" s="2336"/>
      <c r="L1089" s="2335"/>
      <c r="M1089" s="1951"/>
      <c r="N1089" s="1962"/>
      <c r="O1089" s="1961">
        <v>5117</v>
      </c>
      <c r="P1089" s="1951">
        <v>5352</v>
      </c>
      <c r="Q1089" s="1960">
        <v>5599</v>
      </c>
    </row>
    <row r="1090" spans="1:17" ht="12.75" customHeight="1">
      <c r="A1090" s="2332" t="s">
        <v>3531</v>
      </c>
      <c r="B1090" s="2185" t="s">
        <v>3877</v>
      </c>
      <c r="C1090" s="2296" t="s">
        <v>3789</v>
      </c>
      <c r="D1090" s="2296"/>
      <c r="E1090" s="2333" t="s">
        <v>3456</v>
      </c>
      <c r="F1090" s="2333" t="s">
        <v>3457</v>
      </c>
      <c r="G1090" s="2185" t="s">
        <v>3461</v>
      </c>
      <c r="H1090" s="2333"/>
      <c r="I1090" s="2334"/>
      <c r="J1090" s="2185"/>
      <c r="K1090" s="2336"/>
      <c r="L1090" s="2335"/>
      <c r="M1090" s="1951"/>
      <c r="N1090" s="1962"/>
      <c r="O1090" s="1961">
        <v>250000</v>
      </c>
      <c r="P1090" s="1951">
        <v>261500</v>
      </c>
      <c r="Q1090" s="1960">
        <v>273529</v>
      </c>
    </row>
    <row r="1091" spans="1:17" ht="12.75" customHeight="1">
      <c r="A1091" s="2332" t="s">
        <v>3454</v>
      </c>
      <c r="B1091" s="2185" t="s">
        <v>3545</v>
      </c>
      <c r="C1091" s="2296" t="s">
        <v>3453</v>
      </c>
      <c r="D1091" s="2296"/>
      <c r="E1091" s="2333" t="s">
        <v>3456</v>
      </c>
      <c r="F1091" s="2333" t="s">
        <v>3457</v>
      </c>
      <c r="G1091" s="2185" t="s">
        <v>3461</v>
      </c>
      <c r="H1091" s="2333"/>
      <c r="I1091" s="2334"/>
      <c r="J1091" s="2185"/>
      <c r="K1091" s="2336"/>
      <c r="L1091" s="2335"/>
      <c r="M1091" s="1951"/>
      <c r="N1091" s="1962"/>
      <c r="O1091" s="1961">
        <v>0</v>
      </c>
      <c r="P1091" s="1951">
        <v>0</v>
      </c>
      <c r="Q1091" s="1960">
        <v>0</v>
      </c>
    </row>
    <row r="1092" spans="1:17" ht="12.75" customHeight="1">
      <c r="A1092" s="2332" t="s">
        <v>3508</v>
      </c>
      <c r="B1092" s="2185" t="s">
        <v>3555</v>
      </c>
      <c r="C1092" s="2296" t="s">
        <v>3453</v>
      </c>
      <c r="D1092" s="2296"/>
      <c r="E1092" s="2333" t="s">
        <v>3467</v>
      </c>
      <c r="F1092" s="2333" t="s">
        <v>3468</v>
      </c>
      <c r="G1092" s="2185" t="s">
        <v>3469</v>
      </c>
      <c r="H1092" s="2333"/>
      <c r="I1092" s="2334"/>
      <c r="J1092" s="2185"/>
      <c r="K1092" s="2336"/>
      <c r="L1092" s="2335"/>
      <c r="M1092" s="1951"/>
      <c r="N1092" s="1962"/>
      <c r="O1092" s="1961">
        <v>2000</v>
      </c>
      <c r="P1092" s="1951">
        <v>2000</v>
      </c>
      <c r="Q1092" s="1960">
        <v>2000</v>
      </c>
    </row>
    <row r="1093" spans="1:17" ht="12.75" customHeight="1">
      <c r="A1093" s="2332" t="s">
        <v>3459</v>
      </c>
      <c r="B1093" s="2185" t="s">
        <v>3616</v>
      </c>
      <c r="C1093" s="2296" t="s">
        <v>3453</v>
      </c>
      <c r="D1093" s="2296"/>
      <c r="E1093" s="2333" t="s">
        <v>3456</v>
      </c>
      <c r="F1093" s="2333" t="s">
        <v>3457</v>
      </c>
      <c r="G1093" s="2185" t="s">
        <v>3458</v>
      </c>
      <c r="H1093" s="2333"/>
      <c r="I1093" s="2334"/>
      <c r="J1093" s="2185"/>
      <c r="K1093" s="2336"/>
      <c r="L1093" s="2335"/>
      <c r="M1093" s="1951"/>
      <c r="N1093" s="1962"/>
      <c r="O1093" s="1961">
        <v>131406</v>
      </c>
      <c r="P1093" s="1951">
        <v>137451</v>
      </c>
      <c r="Q1093" s="1960">
        <v>143774</v>
      </c>
    </row>
    <row r="1094" spans="1:17" ht="12.75" customHeight="1">
      <c r="A1094" s="2332" t="s">
        <v>3483</v>
      </c>
      <c r="B1094" s="2185" t="s">
        <v>3878</v>
      </c>
      <c r="C1094" s="2296" t="s">
        <v>3879</v>
      </c>
      <c r="D1094" s="2296"/>
      <c r="E1094" s="2333" t="s">
        <v>3456</v>
      </c>
      <c r="F1094" s="2333" t="s">
        <v>3457</v>
      </c>
      <c r="G1094" s="2185" t="s">
        <v>3458</v>
      </c>
      <c r="H1094" s="2333"/>
      <c r="I1094" s="2334"/>
      <c r="J1094" s="2185"/>
      <c r="K1094" s="2336"/>
      <c r="L1094" s="2335"/>
      <c r="M1094" s="1951"/>
      <c r="N1094" s="1962"/>
      <c r="O1094" s="1961">
        <v>14470</v>
      </c>
      <c r="P1094" s="1951">
        <v>15136</v>
      </c>
      <c r="Q1094" s="1960">
        <v>15832</v>
      </c>
    </row>
    <row r="1095" spans="1:17" ht="12.75" customHeight="1">
      <c r="A1095" s="2332" t="s">
        <v>3479</v>
      </c>
      <c r="B1095" s="2185" t="s">
        <v>3664</v>
      </c>
      <c r="C1095" s="2296" t="s">
        <v>3453</v>
      </c>
      <c r="D1095" s="2296"/>
      <c r="E1095" s="2333" t="s">
        <v>3456</v>
      </c>
      <c r="F1095" s="2333" t="s">
        <v>3457</v>
      </c>
      <c r="G1095" s="2185" t="s">
        <v>3481</v>
      </c>
      <c r="H1095" s="2333"/>
      <c r="I1095" s="2334"/>
      <c r="J1095" s="2185"/>
      <c r="K1095" s="2336"/>
      <c r="L1095" s="2335"/>
      <c r="M1095" s="1951"/>
      <c r="N1095" s="1962"/>
      <c r="O1095" s="1961">
        <v>20000</v>
      </c>
      <c r="P1095" s="1951">
        <v>20920</v>
      </c>
      <c r="Q1095" s="1960">
        <v>21883</v>
      </c>
    </row>
    <row r="1096" spans="1:17" ht="12.75" customHeight="1">
      <c r="A1096" s="2332" t="s">
        <v>3490</v>
      </c>
      <c r="B1096" s="2185" t="s">
        <v>3494</v>
      </c>
      <c r="C1096" s="2296" t="s">
        <v>3453</v>
      </c>
      <c r="D1096" s="2296"/>
      <c r="E1096" s="2333"/>
      <c r="F1096" s="2333"/>
      <c r="G1096" s="2185"/>
      <c r="H1096" s="2333"/>
      <c r="I1096" s="2334"/>
      <c r="J1096" s="2185"/>
      <c r="K1096" s="2336"/>
      <c r="L1096" s="2335"/>
      <c r="M1096" s="1951"/>
      <c r="N1096" s="1962"/>
      <c r="O1096" s="1961">
        <v>577508</v>
      </c>
      <c r="P1096" s="1951">
        <v>604074</v>
      </c>
      <c r="Q1096" s="1960">
        <v>631861</v>
      </c>
    </row>
    <row r="1097" spans="1:17" ht="12.75" customHeight="1">
      <c r="A1097" s="2332" t="s">
        <v>3459</v>
      </c>
      <c r="B1097" s="2185" t="s">
        <v>3742</v>
      </c>
      <c r="C1097" s="2296" t="s">
        <v>3453</v>
      </c>
      <c r="D1097" s="2296"/>
      <c r="E1097" s="2333" t="s">
        <v>3467</v>
      </c>
      <c r="F1097" s="2333" t="s">
        <v>3468</v>
      </c>
      <c r="G1097" s="2185" t="s">
        <v>3469</v>
      </c>
      <c r="H1097" s="2333"/>
      <c r="I1097" s="2334"/>
      <c r="J1097" s="2185"/>
      <c r="K1097" s="2336"/>
      <c r="L1097" s="2335"/>
      <c r="M1097" s="1951"/>
      <c r="N1097" s="1962"/>
      <c r="O1097" s="1961">
        <v>2000</v>
      </c>
      <c r="P1097" s="1951">
        <v>2000</v>
      </c>
      <c r="Q1097" s="1960">
        <v>2000</v>
      </c>
    </row>
    <row r="1098" spans="1:17" ht="12.75" customHeight="1">
      <c r="A1098" s="2332" t="s">
        <v>3464</v>
      </c>
      <c r="B1098" s="2185" t="s">
        <v>3690</v>
      </c>
      <c r="C1098" s="2296" t="s">
        <v>3453</v>
      </c>
      <c r="D1098" s="2296"/>
      <c r="E1098" s="2333" t="s">
        <v>3456</v>
      </c>
      <c r="F1098" s="2333" t="s">
        <v>3457</v>
      </c>
      <c r="G1098" s="2185" t="s">
        <v>3461</v>
      </c>
      <c r="H1098" s="2333"/>
      <c r="I1098" s="2334"/>
      <c r="J1098" s="2185"/>
      <c r="K1098" s="2336"/>
      <c r="L1098" s="2335"/>
      <c r="M1098" s="1951"/>
      <c r="N1098" s="1962"/>
      <c r="O1098" s="1961">
        <v>1500</v>
      </c>
      <c r="P1098" s="1951">
        <v>1569</v>
      </c>
      <c r="Q1098" s="1960">
        <v>1642</v>
      </c>
    </row>
    <row r="1099" spans="1:17" ht="12.75" customHeight="1">
      <c r="A1099" s="2332" t="s">
        <v>3490</v>
      </c>
      <c r="B1099" s="2185" t="s">
        <v>3493</v>
      </c>
      <c r="C1099" s="2296" t="s">
        <v>3453</v>
      </c>
      <c r="D1099" s="2296"/>
      <c r="E1099" s="2333" t="s">
        <v>3456</v>
      </c>
      <c r="F1099" s="2333" t="s">
        <v>3457</v>
      </c>
      <c r="G1099" s="2185" t="s">
        <v>3461</v>
      </c>
      <c r="H1099" s="2333"/>
      <c r="I1099" s="2334"/>
      <c r="J1099" s="2185"/>
      <c r="K1099" s="2336"/>
      <c r="L1099" s="2335"/>
      <c r="M1099" s="1951"/>
      <c r="N1099" s="1962"/>
      <c r="O1099" s="1961">
        <v>2803850</v>
      </c>
      <c r="P1099" s="1951">
        <v>2932828</v>
      </c>
      <c r="Q1099" s="1960">
        <v>3067738</v>
      </c>
    </row>
    <row r="1100" spans="1:17" ht="12.75" customHeight="1">
      <c r="A1100" s="2332" t="s">
        <v>3454</v>
      </c>
      <c r="B1100" s="2185" t="s">
        <v>3695</v>
      </c>
      <c r="C1100" s="2296" t="s">
        <v>3453</v>
      </c>
      <c r="D1100" s="2296"/>
      <c r="E1100" s="2333" t="s">
        <v>3467</v>
      </c>
      <c r="F1100" s="2333" t="s">
        <v>3468</v>
      </c>
      <c r="G1100" s="2185" t="s">
        <v>3469</v>
      </c>
      <c r="H1100" s="2333"/>
      <c r="I1100" s="2334"/>
      <c r="J1100" s="2185"/>
      <c r="K1100" s="2336"/>
      <c r="L1100" s="2335"/>
      <c r="M1100" s="1951"/>
      <c r="N1100" s="1962"/>
      <c r="O1100" s="1961">
        <v>170598</v>
      </c>
      <c r="P1100" s="1951">
        <v>178446</v>
      </c>
      <c r="Q1100" s="1960">
        <v>186655</v>
      </c>
    </row>
    <row r="1101" spans="1:17" ht="12.75" customHeight="1">
      <c r="A1101" s="2332" t="s">
        <v>3523</v>
      </c>
      <c r="B1101" s="2185" t="s">
        <v>3880</v>
      </c>
      <c r="C1101" s="2296" t="s">
        <v>3453</v>
      </c>
      <c r="D1101" s="2296"/>
      <c r="E1101" s="2333" t="s">
        <v>3467</v>
      </c>
      <c r="F1101" s="2333" t="s">
        <v>3468</v>
      </c>
      <c r="G1101" s="2185" t="s">
        <v>3469</v>
      </c>
      <c r="H1101" s="2333"/>
      <c r="I1101" s="2334"/>
      <c r="J1101" s="2185"/>
      <c r="K1101" s="2336"/>
      <c r="L1101" s="2335"/>
      <c r="M1101" s="1951"/>
      <c r="N1101" s="1962"/>
      <c r="O1101" s="1961">
        <v>8000000</v>
      </c>
      <c r="P1101" s="1951">
        <v>8368000</v>
      </c>
      <c r="Q1101" s="1960">
        <v>8752928</v>
      </c>
    </row>
    <row r="1102" spans="1:17" ht="12.75" customHeight="1">
      <c r="A1102" s="2332" t="s">
        <v>3454</v>
      </c>
      <c r="B1102" s="2185" t="s">
        <v>3545</v>
      </c>
      <c r="C1102" s="2296" t="s">
        <v>3453</v>
      </c>
      <c r="D1102" s="2296"/>
      <c r="E1102" s="2333" t="s">
        <v>3467</v>
      </c>
      <c r="F1102" s="2333" t="s">
        <v>3468</v>
      </c>
      <c r="G1102" s="2185" t="s">
        <v>3469</v>
      </c>
      <c r="H1102" s="2333"/>
      <c r="I1102" s="2334"/>
      <c r="J1102" s="2185"/>
      <c r="K1102" s="2336"/>
      <c r="L1102" s="2335"/>
      <c r="M1102" s="1951"/>
      <c r="N1102" s="1962"/>
      <c r="O1102" s="1961">
        <v>0</v>
      </c>
      <c r="P1102" s="1951">
        <v>0</v>
      </c>
      <c r="Q1102" s="1960">
        <v>0</v>
      </c>
    </row>
    <row r="1103" spans="1:17" ht="12.75" customHeight="1">
      <c r="A1103" s="2332" t="s">
        <v>3464</v>
      </c>
      <c r="B1103" s="2185" t="s">
        <v>3556</v>
      </c>
      <c r="C1103" s="2296" t="s">
        <v>3453</v>
      </c>
      <c r="D1103" s="2296"/>
      <c r="E1103" s="2333" t="s">
        <v>3467</v>
      </c>
      <c r="F1103" s="2333" t="s">
        <v>3468</v>
      </c>
      <c r="G1103" s="2185" t="s">
        <v>3469</v>
      </c>
      <c r="H1103" s="2333"/>
      <c r="I1103" s="2334"/>
      <c r="J1103" s="2185"/>
      <c r="K1103" s="2336"/>
      <c r="L1103" s="2335"/>
      <c r="M1103" s="1951"/>
      <c r="N1103" s="1962"/>
      <c r="O1103" s="1961">
        <v>408257</v>
      </c>
      <c r="P1103" s="1951">
        <v>427037</v>
      </c>
      <c r="Q1103" s="1960">
        <v>446681</v>
      </c>
    </row>
    <row r="1104" spans="1:17" ht="12.75" customHeight="1">
      <c r="A1104" s="2332" t="s">
        <v>3520</v>
      </c>
      <c r="B1104" s="2185" t="s">
        <v>3593</v>
      </c>
      <c r="C1104" s="2296" t="s">
        <v>3453</v>
      </c>
      <c r="D1104" s="2296"/>
      <c r="E1104" s="2333" t="s">
        <v>3456</v>
      </c>
      <c r="F1104" s="2333" t="s">
        <v>3457</v>
      </c>
      <c r="G1104" s="2185" t="s">
        <v>3461</v>
      </c>
      <c r="H1104" s="2333"/>
      <c r="I1104" s="2334"/>
      <c r="J1104" s="2185"/>
      <c r="K1104" s="2336"/>
      <c r="L1104" s="2335"/>
      <c r="M1104" s="1951"/>
      <c r="N1104" s="1962"/>
      <c r="O1104" s="1961">
        <v>11468</v>
      </c>
      <c r="P1104" s="1951">
        <v>11996</v>
      </c>
      <c r="Q1104" s="1960">
        <v>12548</v>
      </c>
    </row>
    <row r="1105" spans="1:17" ht="12.75" customHeight="1">
      <c r="A1105" s="2332" t="s">
        <v>3543</v>
      </c>
      <c r="B1105" s="2185" t="s">
        <v>3881</v>
      </c>
      <c r="C1105" s="2296" t="s">
        <v>3453</v>
      </c>
      <c r="D1105" s="2296"/>
      <c r="E1105" s="2333" t="s">
        <v>3456</v>
      </c>
      <c r="F1105" s="2333" t="s">
        <v>3457</v>
      </c>
      <c r="G1105" s="2185" t="s">
        <v>3458</v>
      </c>
      <c r="H1105" s="2333"/>
      <c r="I1105" s="2334"/>
      <c r="J1105" s="2185"/>
      <c r="K1105" s="2336"/>
      <c r="L1105" s="2335"/>
      <c r="M1105" s="1951"/>
      <c r="N1105" s="1962"/>
      <c r="O1105" s="1961">
        <v>20000</v>
      </c>
      <c r="P1105" s="1951">
        <v>20920</v>
      </c>
      <c r="Q1105" s="1960">
        <v>21883</v>
      </c>
    </row>
    <row r="1106" spans="1:17" ht="12.75" customHeight="1">
      <c r="A1106" s="2332" t="s">
        <v>3459</v>
      </c>
      <c r="B1106" s="2185" t="s">
        <v>3882</v>
      </c>
      <c r="C1106" s="2296" t="s">
        <v>3453</v>
      </c>
      <c r="D1106" s="2296"/>
      <c r="E1106" s="2333" t="s">
        <v>3456</v>
      </c>
      <c r="F1106" s="2333" t="s">
        <v>3457</v>
      </c>
      <c r="G1106" s="2185" t="s">
        <v>3461</v>
      </c>
      <c r="H1106" s="2333"/>
      <c r="I1106" s="2334"/>
      <c r="J1106" s="2185"/>
      <c r="K1106" s="2336"/>
      <c r="L1106" s="2335"/>
      <c r="M1106" s="1951"/>
      <c r="N1106" s="1962"/>
      <c r="O1106" s="1961">
        <v>148717</v>
      </c>
      <c r="P1106" s="1951">
        <v>155558</v>
      </c>
      <c r="Q1106" s="1960">
        <v>162714</v>
      </c>
    </row>
    <row r="1107" spans="1:17" ht="12.75" customHeight="1">
      <c r="A1107" s="2332" t="s">
        <v>3506</v>
      </c>
      <c r="B1107" s="2185" t="s">
        <v>3507</v>
      </c>
      <c r="C1107" s="2296" t="s">
        <v>3453</v>
      </c>
      <c r="D1107" s="2296"/>
      <c r="E1107" s="2333" t="s">
        <v>3467</v>
      </c>
      <c r="F1107" s="2333" t="s">
        <v>3468</v>
      </c>
      <c r="G1107" s="2185" t="s">
        <v>3469</v>
      </c>
      <c r="H1107" s="2333"/>
      <c r="I1107" s="2334"/>
      <c r="J1107" s="2185"/>
      <c r="K1107" s="2336"/>
      <c r="L1107" s="2335"/>
      <c r="M1107" s="1951"/>
      <c r="N1107" s="1962"/>
      <c r="O1107" s="1961">
        <v>25000</v>
      </c>
      <c r="P1107" s="1951">
        <v>26150</v>
      </c>
      <c r="Q1107" s="1960">
        <v>27353</v>
      </c>
    </row>
    <row r="1108" spans="1:17" ht="12.75" customHeight="1">
      <c r="A1108" s="2332" t="s">
        <v>3490</v>
      </c>
      <c r="B1108" s="2185" t="s">
        <v>3586</v>
      </c>
      <c r="C1108" s="2296" t="s">
        <v>3453</v>
      </c>
      <c r="D1108" s="2296"/>
      <c r="E1108" s="2333" t="s">
        <v>3467</v>
      </c>
      <c r="F1108" s="2333" t="s">
        <v>3468</v>
      </c>
      <c r="G1108" s="2185" t="s">
        <v>3469</v>
      </c>
      <c r="H1108" s="2333"/>
      <c r="I1108" s="2334"/>
      <c r="J1108" s="2185"/>
      <c r="K1108" s="2336"/>
      <c r="L1108" s="2335"/>
      <c r="M1108" s="1951"/>
      <c r="N1108" s="1962"/>
      <c r="O1108" s="1961">
        <v>62506</v>
      </c>
      <c r="P1108" s="1951">
        <v>65382</v>
      </c>
      <c r="Q1108" s="1960">
        <v>68389</v>
      </c>
    </row>
    <row r="1109" spans="1:17" ht="12.75" customHeight="1">
      <c r="A1109" s="2332" t="s">
        <v>3459</v>
      </c>
      <c r="B1109" s="2185" t="s">
        <v>3680</v>
      </c>
      <c r="C1109" s="2296" t="s">
        <v>3453</v>
      </c>
      <c r="D1109" s="2296"/>
      <c r="E1109" s="2333" t="s">
        <v>3525</v>
      </c>
      <c r="F1109" s="2333" t="s">
        <v>3457</v>
      </c>
      <c r="G1109" s="2185" t="s">
        <v>3526</v>
      </c>
      <c r="H1109" s="2333"/>
      <c r="I1109" s="2334"/>
      <c r="J1109" s="2185"/>
      <c r="K1109" s="2336"/>
      <c r="L1109" s="2335"/>
      <c r="M1109" s="1951"/>
      <c r="N1109" s="1962"/>
      <c r="O1109" s="1961">
        <v>86365</v>
      </c>
      <c r="P1109" s="1951">
        <v>90337</v>
      </c>
      <c r="Q1109" s="1960">
        <v>94493</v>
      </c>
    </row>
    <row r="1110" spans="1:17" ht="12.75" customHeight="1">
      <c r="A1110" s="2332" t="s">
        <v>3490</v>
      </c>
      <c r="B1110" s="2185" t="s">
        <v>3493</v>
      </c>
      <c r="C1110" s="2296" t="s">
        <v>3453</v>
      </c>
      <c r="D1110" s="2296"/>
      <c r="E1110" s="2333" t="s">
        <v>3467</v>
      </c>
      <c r="F1110" s="2333" t="s">
        <v>3468</v>
      </c>
      <c r="G1110" s="2185" t="s">
        <v>3475</v>
      </c>
      <c r="H1110" s="2333"/>
      <c r="I1110" s="2334"/>
      <c r="J1110" s="2185"/>
      <c r="K1110" s="2336"/>
      <c r="L1110" s="2335"/>
      <c r="M1110" s="1951"/>
      <c r="N1110" s="1962"/>
      <c r="O1110" s="1961">
        <v>737</v>
      </c>
      <c r="P1110" s="1951">
        <v>771</v>
      </c>
      <c r="Q1110" s="1960">
        <v>807</v>
      </c>
    </row>
    <row r="1111" spans="1:17" ht="12.75" customHeight="1">
      <c r="A1111" s="2332" t="s">
        <v>3563</v>
      </c>
      <c r="B1111" s="2185" t="s">
        <v>3564</v>
      </c>
      <c r="C1111" s="2296" t="s">
        <v>3453</v>
      </c>
      <c r="D1111" s="2296"/>
      <c r="E1111" s="2333" t="s">
        <v>3467</v>
      </c>
      <c r="F1111" s="2333" t="s">
        <v>3468</v>
      </c>
      <c r="G1111" s="2185" t="s">
        <v>3469</v>
      </c>
      <c r="H1111" s="2333"/>
      <c r="I1111" s="2334"/>
      <c r="J1111" s="2185"/>
      <c r="K1111" s="2336"/>
      <c r="L1111" s="2335"/>
      <c r="M1111" s="1951"/>
      <c r="N1111" s="1962"/>
      <c r="O1111" s="1961">
        <v>240</v>
      </c>
      <c r="P1111" s="1951">
        <v>252</v>
      </c>
      <c r="Q1111" s="1960">
        <v>263</v>
      </c>
    </row>
    <row r="1112" spans="1:17" ht="12.75" customHeight="1">
      <c r="A1112" s="2332" t="s">
        <v>3464</v>
      </c>
      <c r="B1112" s="2185" t="s">
        <v>3476</v>
      </c>
      <c r="C1112" s="2296" t="s">
        <v>3453</v>
      </c>
      <c r="D1112" s="2296"/>
      <c r="E1112" s="2333" t="s">
        <v>3467</v>
      </c>
      <c r="F1112" s="2333" t="s">
        <v>3468</v>
      </c>
      <c r="G1112" s="2185" t="s">
        <v>3469</v>
      </c>
      <c r="H1112" s="2333"/>
      <c r="I1112" s="2334"/>
      <c r="J1112" s="2185"/>
      <c r="K1112" s="2336"/>
      <c r="L1112" s="2335"/>
      <c r="M1112" s="1951"/>
      <c r="N1112" s="1962"/>
      <c r="O1112" s="1961">
        <v>48623</v>
      </c>
      <c r="P1112" s="1951">
        <v>50860</v>
      </c>
      <c r="Q1112" s="1960">
        <v>53200</v>
      </c>
    </row>
    <row r="1113" spans="1:17" ht="12.75" customHeight="1">
      <c r="A1113" s="2332" t="s">
        <v>3506</v>
      </c>
      <c r="B1113" s="2185" t="s">
        <v>3610</v>
      </c>
      <c r="C1113" s="2296" t="s">
        <v>3453</v>
      </c>
      <c r="D1113" s="2296"/>
      <c r="E1113" s="2333" t="s">
        <v>3467</v>
      </c>
      <c r="F1113" s="2333" t="s">
        <v>3468</v>
      </c>
      <c r="G1113" s="2185" t="s">
        <v>2676</v>
      </c>
      <c r="H1113" s="2333"/>
      <c r="I1113" s="2334"/>
      <c r="J1113" s="2185"/>
      <c r="K1113" s="2336"/>
      <c r="L1113" s="2335"/>
      <c r="M1113" s="1951"/>
      <c r="N1113" s="1962"/>
      <c r="O1113" s="1961">
        <v>70580</v>
      </c>
      <c r="P1113" s="1951">
        <v>73827</v>
      </c>
      <c r="Q1113" s="1960">
        <v>77223</v>
      </c>
    </row>
    <row r="1114" spans="1:17" ht="12.75" customHeight="1">
      <c r="A1114" s="2332" t="s">
        <v>3584</v>
      </c>
      <c r="B1114" s="2185" t="s">
        <v>3585</v>
      </c>
      <c r="C1114" s="2296" t="s">
        <v>3453</v>
      </c>
      <c r="D1114" s="2296"/>
      <c r="E1114" s="2333" t="s">
        <v>3467</v>
      </c>
      <c r="F1114" s="2333" t="s">
        <v>3468</v>
      </c>
      <c r="G1114" s="2185" t="s">
        <v>3469</v>
      </c>
      <c r="H1114" s="2333"/>
      <c r="I1114" s="2334"/>
      <c r="J1114" s="2185"/>
      <c r="K1114" s="2336"/>
      <c r="L1114" s="2335"/>
      <c r="M1114" s="1951"/>
      <c r="N1114" s="1962"/>
      <c r="O1114" s="1961">
        <v>11667</v>
      </c>
      <c r="P1114" s="1951">
        <v>12204</v>
      </c>
      <c r="Q1114" s="1960">
        <v>12766</v>
      </c>
    </row>
    <row r="1115" spans="1:17" ht="12.75" customHeight="1">
      <c r="A1115" s="2332" t="s">
        <v>3485</v>
      </c>
      <c r="B1115" s="2185" t="s">
        <v>3486</v>
      </c>
      <c r="C1115" s="2296" t="s">
        <v>3453</v>
      </c>
      <c r="D1115" s="2296"/>
      <c r="E1115" s="2333" t="s">
        <v>3456</v>
      </c>
      <c r="F1115" s="2333" t="s">
        <v>3457</v>
      </c>
      <c r="G1115" s="2185" t="s">
        <v>3461</v>
      </c>
      <c r="H1115" s="2333"/>
      <c r="I1115" s="2334"/>
      <c r="J1115" s="2185"/>
      <c r="K1115" s="2336"/>
      <c r="L1115" s="2335"/>
      <c r="M1115" s="1951"/>
      <c r="N1115" s="1962"/>
      <c r="O1115" s="1961">
        <v>462511</v>
      </c>
      <c r="P1115" s="1951">
        <v>483787</v>
      </c>
      <c r="Q1115" s="1960">
        <v>506041</v>
      </c>
    </row>
    <row r="1116" spans="1:17" ht="12.75" customHeight="1">
      <c r="A1116" s="2332" t="s">
        <v>3510</v>
      </c>
      <c r="B1116" s="2185" t="s">
        <v>3642</v>
      </c>
      <c r="C1116" s="2296" t="s">
        <v>3453</v>
      </c>
      <c r="D1116" s="2296"/>
      <c r="E1116" s="2333" t="s">
        <v>3467</v>
      </c>
      <c r="F1116" s="2333" t="s">
        <v>3468</v>
      </c>
      <c r="G1116" s="2185" t="s">
        <v>2676</v>
      </c>
      <c r="H1116" s="2333"/>
      <c r="I1116" s="2334"/>
      <c r="J1116" s="2185"/>
      <c r="K1116" s="2336"/>
      <c r="L1116" s="2335"/>
      <c r="M1116" s="1951"/>
      <c r="N1116" s="1962"/>
      <c r="O1116" s="1961">
        <v>2036</v>
      </c>
      <c r="P1116" s="1951">
        <v>2130</v>
      </c>
      <c r="Q1116" s="1960">
        <v>2228</v>
      </c>
    </row>
    <row r="1117" spans="1:17" ht="12.75" customHeight="1">
      <c r="A1117" s="2332" t="s">
        <v>3499</v>
      </c>
      <c r="B1117" s="2185" t="s">
        <v>3883</v>
      </c>
      <c r="C1117" s="2296" t="s">
        <v>3453</v>
      </c>
      <c r="D1117" s="2296"/>
      <c r="E1117" s="2333" t="s">
        <v>3467</v>
      </c>
      <c r="F1117" s="2333" t="s">
        <v>3468</v>
      </c>
      <c r="G1117" s="2185" t="s">
        <v>3469</v>
      </c>
      <c r="H1117" s="2333"/>
      <c r="I1117" s="2334"/>
      <c r="J1117" s="2185"/>
      <c r="K1117" s="2336"/>
      <c r="L1117" s="2335"/>
      <c r="M1117" s="1951"/>
      <c r="N1117" s="1962"/>
      <c r="O1117" s="1961">
        <v>8541</v>
      </c>
      <c r="P1117" s="1951">
        <v>8934</v>
      </c>
      <c r="Q1117" s="1960">
        <v>9345</v>
      </c>
    </row>
    <row r="1118" spans="1:17" ht="12.75" customHeight="1">
      <c r="A1118" s="2332" t="s">
        <v>3510</v>
      </c>
      <c r="B1118" s="2185" t="s">
        <v>3511</v>
      </c>
      <c r="C1118" s="2296" t="s">
        <v>3453</v>
      </c>
      <c r="D1118" s="2296"/>
      <c r="E1118" s="2333" t="s">
        <v>3456</v>
      </c>
      <c r="F1118" s="2333" t="s">
        <v>3457</v>
      </c>
      <c r="G1118" s="2185" t="s">
        <v>3461</v>
      </c>
      <c r="H1118" s="2333"/>
      <c r="I1118" s="2334"/>
      <c r="J1118" s="2185"/>
      <c r="K1118" s="2336"/>
      <c r="L1118" s="2335"/>
      <c r="M1118" s="1951"/>
      <c r="N1118" s="1962"/>
      <c r="O1118" s="1961">
        <v>18662</v>
      </c>
      <c r="P1118" s="1951">
        <v>19521</v>
      </c>
      <c r="Q1118" s="1960">
        <v>20419</v>
      </c>
    </row>
    <row r="1119" spans="1:17" ht="12.75" customHeight="1">
      <c r="A1119" s="2332" t="s">
        <v>3464</v>
      </c>
      <c r="B1119" s="2185" t="s">
        <v>3605</v>
      </c>
      <c r="C1119" s="2296" t="s">
        <v>3453</v>
      </c>
      <c r="D1119" s="2296"/>
      <c r="E1119" s="2333" t="s">
        <v>3456</v>
      </c>
      <c r="F1119" s="2333" t="s">
        <v>3457</v>
      </c>
      <c r="G1119" s="2185" t="s">
        <v>3461</v>
      </c>
      <c r="H1119" s="2333"/>
      <c r="I1119" s="2334"/>
      <c r="J1119" s="2185"/>
      <c r="K1119" s="2336"/>
      <c r="L1119" s="2335"/>
      <c r="M1119" s="1951"/>
      <c r="N1119" s="1962"/>
      <c r="O1119" s="1961">
        <v>197166</v>
      </c>
      <c r="P1119" s="1951">
        <v>206236</v>
      </c>
      <c r="Q1119" s="1960">
        <v>215723</v>
      </c>
    </row>
    <row r="1120" spans="1:17" ht="12.75" customHeight="1">
      <c r="A1120" s="2332" t="s">
        <v>3479</v>
      </c>
      <c r="B1120" s="2185" t="s">
        <v>3620</v>
      </c>
      <c r="C1120" s="2296" t="s">
        <v>3453</v>
      </c>
      <c r="D1120" s="2296"/>
      <c r="E1120" s="2333" t="s">
        <v>3467</v>
      </c>
      <c r="F1120" s="2333" t="s">
        <v>3468</v>
      </c>
      <c r="G1120" s="2185" t="s">
        <v>3475</v>
      </c>
      <c r="H1120" s="2333"/>
      <c r="I1120" s="2334"/>
      <c r="J1120" s="2185"/>
      <c r="K1120" s="2336"/>
      <c r="L1120" s="2335"/>
      <c r="M1120" s="1951"/>
      <c r="N1120" s="1962"/>
      <c r="O1120" s="1961">
        <v>0</v>
      </c>
      <c r="P1120" s="1951">
        <v>0</v>
      </c>
      <c r="Q1120" s="1960">
        <v>0</v>
      </c>
    </row>
    <row r="1121" spans="1:17" ht="12.75" customHeight="1">
      <c r="A1121" s="2332" t="s">
        <v>3531</v>
      </c>
      <c r="B1121" s="2185" t="s">
        <v>3532</v>
      </c>
      <c r="C1121" s="2296" t="s">
        <v>3453</v>
      </c>
      <c r="D1121" s="2296"/>
      <c r="E1121" s="2333" t="s">
        <v>3456</v>
      </c>
      <c r="F1121" s="2333" t="s">
        <v>3457</v>
      </c>
      <c r="G1121" s="2185" t="s">
        <v>3461</v>
      </c>
      <c r="H1121" s="2333"/>
      <c r="I1121" s="2334"/>
      <c r="J1121" s="2185"/>
      <c r="K1121" s="2336"/>
      <c r="L1121" s="2335"/>
      <c r="M1121" s="1951"/>
      <c r="N1121" s="1962"/>
      <c r="O1121" s="1961">
        <v>0</v>
      </c>
      <c r="P1121" s="1951">
        <v>0</v>
      </c>
      <c r="Q1121" s="1960">
        <v>0</v>
      </c>
    </row>
    <row r="1122" spans="1:17" ht="12.75" customHeight="1">
      <c r="A1122" s="2332" t="s">
        <v>3490</v>
      </c>
      <c r="B1122" s="2185" t="s">
        <v>3493</v>
      </c>
      <c r="C1122" s="2296" t="s">
        <v>3453</v>
      </c>
      <c r="D1122" s="2296"/>
      <c r="E1122" s="2333" t="s">
        <v>3467</v>
      </c>
      <c r="F1122" s="2333" t="s">
        <v>3468</v>
      </c>
      <c r="G1122" s="2185" t="s">
        <v>3469</v>
      </c>
      <c r="H1122" s="2333"/>
      <c r="I1122" s="2334"/>
      <c r="J1122" s="2185"/>
      <c r="K1122" s="2336"/>
      <c r="L1122" s="2335"/>
      <c r="M1122" s="1951"/>
      <c r="N1122" s="1962"/>
      <c r="O1122" s="1961">
        <v>7786</v>
      </c>
      <c r="P1122" s="1951">
        <v>8145</v>
      </c>
      <c r="Q1122" s="1960">
        <v>8519</v>
      </c>
    </row>
    <row r="1123" spans="1:17" ht="12.75" customHeight="1">
      <c r="A1123" s="2332" t="s">
        <v>3531</v>
      </c>
      <c r="B1123" s="2185" t="s">
        <v>3884</v>
      </c>
      <c r="C1123" s="2296" t="s">
        <v>3453</v>
      </c>
      <c r="D1123" s="2296"/>
      <c r="E1123" s="2333" t="s">
        <v>3456</v>
      </c>
      <c r="F1123" s="2333" t="s">
        <v>3457</v>
      </c>
      <c r="G1123" s="2185" t="s">
        <v>3458</v>
      </c>
      <c r="H1123" s="2333"/>
      <c r="I1123" s="2334"/>
      <c r="J1123" s="2185"/>
      <c r="K1123" s="2336"/>
      <c r="L1123" s="2335"/>
      <c r="M1123" s="1951"/>
      <c r="N1123" s="1962"/>
      <c r="O1123" s="1961">
        <v>250000</v>
      </c>
      <c r="P1123" s="1951">
        <v>261500</v>
      </c>
      <c r="Q1123" s="1960">
        <v>273529</v>
      </c>
    </row>
    <row r="1124" spans="1:17" ht="12.75" customHeight="1">
      <c r="A1124" s="2332" t="s">
        <v>3536</v>
      </c>
      <c r="B1124" s="2185" t="s">
        <v>3548</v>
      </c>
      <c r="C1124" s="2296" t="s">
        <v>3453</v>
      </c>
      <c r="D1124" s="2296"/>
      <c r="E1124" s="2333" t="s">
        <v>3456</v>
      </c>
      <c r="F1124" s="2333" t="s">
        <v>3457</v>
      </c>
      <c r="G1124" s="2185" t="s">
        <v>3458</v>
      </c>
      <c r="H1124" s="2333"/>
      <c r="I1124" s="2334"/>
      <c r="J1124" s="2185"/>
      <c r="K1124" s="2336"/>
      <c r="L1124" s="2335"/>
      <c r="M1124" s="1951"/>
      <c r="N1124" s="1962"/>
      <c r="O1124" s="1961">
        <v>25704</v>
      </c>
      <c r="P1124" s="1951">
        <v>26887</v>
      </c>
      <c r="Q1124" s="1960">
        <v>28124</v>
      </c>
    </row>
    <row r="1125" spans="1:17" ht="12.75" customHeight="1">
      <c r="A1125" s="2332" t="s">
        <v>3543</v>
      </c>
      <c r="B1125" s="2185" t="s">
        <v>3885</v>
      </c>
      <c r="C1125" s="2296" t="s">
        <v>3497</v>
      </c>
      <c r="D1125" s="2296"/>
      <c r="E1125" s="2333" t="s">
        <v>3467</v>
      </c>
      <c r="F1125" s="2333" t="s">
        <v>3468</v>
      </c>
      <c r="G1125" s="2185" t="s">
        <v>2676</v>
      </c>
      <c r="H1125" s="2333"/>
      <c r="I1125" s="2334"/>
      <c r="J1125" s="2185"/>
      <c r="K1125" s="2336"/>
      <c r="L1125" s="2335"/>
      <c r="M1125" s="1951"/>
      <c r="N1125" s="1962"/>
      <c r="O1125" s="1961">
        <v>815</v>
      </c>
      <c r="P1125" s="1951">
        <v>853</v>
      </c>
      <c r="Q1125" s="1960">
        <v>892</v>
      </c>
    </row>
    <row r="1126" spans="1:17" ht="12.75" customHeight="1">
      <c r="A1126" s="2332" t="s">
        <v>3572</v>
      </c>
      <c r="B1126" s="2185" t="s">
        <v>3688</v>
      </c>
      <c r="C1126" s="2296" t="s">
        <v>3453</v>
      </c>
      <c r="D1126" s="2296"/>
      <c r="E1126" s="2333"/>
      <c r="F1126" s="2333"/>
      <c r="G1126" s="2185"/>
      <c r="H1126" s="2333"/>
      <c r="I1126" s="2334"/>
      <c r="J1126" s="2185"/>
      <c r="K1126" s="2336"/>
      <c r="L1126" s="2335"/>
      <c r="M1126" s="1951"/>
      <c r="N1126" s="1962"/>
      <c r="O1126" s="1961">
        <v>5427</v>
      </c>
      <c r="P1126" s="1951">
        <v>5677</v>
      </c>
      <c r="Q1126" s="1960">
        <v>5938</v>
      </c>
    </row>
    <row r="1127" spans="1:17" ht="12.75" customHeight="1">
      <c r="A1127" s="2332" t="s">
        <v>3490</v>
      </c>
      <c r="B1127" s="2185" t="s">
        <v>3886</v>
      </c>
      <c r="C1127" s="2296" t="s">
        <v>3453</v>
      </c>
      <c r="D1127" s="2296"/>
      <c r="E1127" s="2333" t="s">
        <v>3456</v>
      </c>
      <c r="F1127" s="2333" t="s">
        <v>3457</v>
      </c>
      <c r="G1127" s="2185" t="s">
        <v>3461</v>
      </c>
      <c r="H1127" s="2333"/>
      <c r="I1127" s="2334"/>
      <c r="J1127" s="2185"/>
      <c r="K1127" s="2336"/>
      <c r="L1127" s="2335"/>
      <c r="M1127" s="1951"/>
      <c r="N1127" s="1962"/>
      <c r="O1127" s="1961">
        <v>0</v>
      </c>
      <c r="P1127" s="1951">
        <v>0</v>
      </c>
      <c r="Q1127" s="1960">
        <v>0</v>
      </c>
    </row>
    <row r="1128" spans="1:17" ht="12.75" customHeight="1">
      <c r="A1128" s="2332" t="s">
        <v>3454</v>
      </c>
      <c r="B1128" s="2185" t="s">
        <v>3545</v>
      </c>
      <c r="C1128" s="2296" t="s">
        <v>3453</v>
      </c>
      <c r="D1128" s="2296"/>
      <c r="E1128" s="2333" t="s">
        <v>3456</v>
      </c>
      <c r="F1128" s="2333" t="s">
        <v>3457</v>
      </c>
      <c r="G1128" s="2185" t="s">
        <v>3461</v>
      </c>
      <c r="H1128" s="2333"/>
      <c r="I1128" s="2334"/>
      <c r="J1128" s="2185"/>
      <c r="K1128" s="2336"/>
      <c r="L1128" s="2335"/>
      <c r="M1128" s="1951"/>
      <c r="N1128" s="1962"/>
      <c r="O1128" s="1961">
        <v>0</v>
      </c>
      <c r="P1128" s="1951">
        <v>0</v>
      </c>
      <c r="Q1128" s="1960">
        <v>0</v>
      </c>
    </row>
    <row r="1129" spans="1:17" ht="12.75" customHeight="1">
      <c r="A1129" s="2332" t="s">
        <v>3487</v>
      </c>
      <c r="B1129" s="2185" t="s">
        <v>3887</v>
      </c>
      <c r="C1129" s="2296" t="s">
        <v>3518</v>
      </c>
      <c r="D1129" s="2296"/>
      <c r="E1129" s="2333" t="s">
        <v>3456</v>
      </c>
      <c r="F1129" s="2333" t="s">
        <v>3457</v>
      </c>
      <c r="G1129" s="2185" t="s">
        <v>3461</v>
      </c>
      <c r="H1129" s="2333"/>
      <c r="I1129" s="2334"/>
      <c r="J1129" s="2185"/>
      <c r="K1129" s="2336"/>
      <c r="L1129" s="2335"/>
      <c r="M1129" s="1951"/>
      <c r="N1129" s="1962"/>
      <c r="O1129" s="1961">
        <v>1341146</v>
      </c>
      <c r="P1129" s="1951">
        <v>1402839</v>
      </c>
      <c r="Q1129" s="1960">
        <v>1467370</v>
      </c>
    </row>
    <row r="1130" spans="1:17" ht="12.75" customHeight="1">
      <c r="A1130" s="2332" t="s">
        <v>3464</v>
      </c>
      <c r="B1130" s="2185" t="s">
        <v>3665</v>
      </c>
      <c r="C1130" s="2296" t="s">
        <v>3453</v>
      </c>
      <c r="D1130" s="2296"/>
      <c r="E1130" s="2333" t="s">
        <v>3467</v>
      </c>
      <c r="F1130" s="2333" t="s">
        <v>3468</v>
      </c>
      <c r="G1130" s="2185" t="s">
        <v>2676</v>
      </c>
      <c r="H1130" s="2333"/>
      <c r="I1130" s="2334"/>
      <c r="J1130" s="2185"/>
      <c r="K1130" s="2336"/>
      <c r="L1130" s="2335"/>
      <c r="M1130" s="1951"/>
      <c r="N1130" s="1962"/>
      <c r="O1130" s="1961">
        <v>12020</v>
      </c>
      <c r="P1130" s="1951">
        <v>12573</v>
      </c>
      <c r="Q1130" s="1960">
        <v>13152</v>
      </c>
    </row>
    <row r="1131" spans="1:17" ht="12.75" customHeight="1">
      <c r="A1131" s="2332" t="s">
        <v>3464</v>
      </c>
      <c r="B1131" s="2185" t="s">
        <v>3476</v>
      </c>
      <c r="C1131" s="2296" t="s">
        <v>3453</v>
      </c>
      <c r="D1131" s="2296"/>
      <c r="E1131" s="2333" t="s">
        <v>3456</v>
      </c>
      <c r="F1131" s="2333" t="s">
        <v>3457</v>
      </c>
      <c r="G1131" s="2185" t="s">
        <v>3461</v>
      </c>
      <c r="H1131" s="2333"/>
      <c r="I1131" s="2334"/>
      <c r="J1131" s="2185"/>
      <c r="K1131" s="2336"/>
      <c r="L1131" s="2335"/>
      <c r="M1131" s="1951"/>
      <c r="N1131" s="1962"/>
      <c r="O1131" s="1961">
        <v>251412</v>
      </c>
      <c r="P1131" s="1951">
        <v>262977</v>
      </c>
      <c r="Q1131" s="1960">
        <v>275074</v>
      </c>
    </row>
    <row r="1132" spans="1:17" ht="12.75" customHeight="1">
      <c r="A1132" s="2332" t="s">
        <v>3454</v>
      </c>
      <c r="B1132" s="2185" t="s">
        <v>3545</v>
      </c>
      <c r="C1132" s="2296" t="s">
        <v>3453</v>
      </c>
      <c r="D1132" s="2296"/>
      <c r="E1132" s="2333" t="s">
        <v>3456</v>
      </c>
      <c r="F1132" s="2333" t="s">
        <v>3457</v>
      </c>
      <c r="G1132" s="2185" t="s">
        <v>3458</v>
      </c>
      <c r="H1132" s="2333"/>
      <c r="I1132" s="2334"/>
      <c r="J1132" s="2185"/>
      <c r="K1132" s="2336"/>
      <c r="L1132" s="2335"/>
      <c r="M1132" s="1951"/>
      <c r="N1132" s="1962"/>
      <c r="O1132" s="1961">
        <v>0</v>
      </c>
      <c r="P1132" s="1951">
        <v>0</v>
      </c>
      <c r="Q1132" s="1960">
        <v>0</v>
      </c>
    </row>
    <row r="1133" spans="1:17" ht="12.75" customHeight="1">
      <c r="A1133" s="2332" t="s">
        <v>3533</v>
      </c>
      <c r="B1133" s="2185" t="s">
        <v>3635</v>
      </c>
      <c r="C1133" s="2296" t="s">
        <v>3453</v>
      </c>
      <c r="D1133" s="2296"/>
      <c r="E1133" s="2333" t="s">
        <v>3456</v>
      </c>
      <c r="F1133" s="2333" t="s">
        <v>3457</v>
      </c>
      <c r="G1133" s="2185" t="s">
        <v>3461</v>
      </c>
      <c r="H1133" s="2333"/>
      <c r="I1133" s="2334"/>
      <c r="J1133" s="2185"/>
      <c r="K1133" s="2336"/>
      <c r="L1133" s="2335"/>
      <c r="M1133" s="1951"/>
      <c r="N1133" s="1962"/>
      <c r="O1133" s="1961">
        <v>156479</v>
      </c>
      <c r="P1133" s="1951">
        <v>163678</v>
      </c>
      <c r="Q1133" s="1960">
        <v>171207</v>
      </c>
    </row>
    <row r="1134" spans="1:17" ht="12.75" customHeight="1">
      <c r="A1134" s="2332" t="s">
        <v>3531</v>
      </c>
      <c r="B1134" s="2185" t="s">
        <v>3593</v>
      </c>
      <c r="C1134" s="2296" t="s">
        <v>3453</v>
      </c>
      <c r="D1134" s="2296"/>
      <c r="E1134" s="2333" t="s">
        <v>3456</v>
      </c>
      <c r="F1134" s="2333" t="s">
        <v>3457</v>
      </c>
      <c r="G1134" s="2185" t="s">
        <v>3461</v>
      </c>
      <c r="H1134" s="2333"/>
      <c r="I1134" s="2334"/>
      <c r="J1134" s="2185"/>
      <c r="K1134" s="2336"/>
      <c r="L1134" s="2335"/>
      <c r="M1134" s="1951"/>
      <c r="N1134" s="1962"/>
      <c r="O1134" s="1961">
        <v>841135</v>
      </c>
      <c r="P1134" s="1951">
        <v>886556</v>
      </c>
      <c r="Q1134" s="1960">
        <v>934430</v>
      </c>
    </row>
    <row r="1135" spans="1:17" ht="12.75" customHeight="1">
      <c r="A1135" s="2332" t="s">
        <v>3459</v>
      </c>
      <c r="B1135" s="2185" t="s">
        <v>3888</v>
      </c>
      <c r="C1135" s="2296" t="s">
        <v>3453</v>
      </c>
      <c r="D1135" s="2296"/>
      <c r="E1135" s="2333" t="s">
        <v>3456</v>
      </c>
      <c r="F1135" s="2333" t="s">
        <v>3457</v>
      </c>
      <c r="G1135" s="2185" t="s">
        <v>3458</v>
      </c>
      <c r="H1135" s="2333"/>
      <c r="I1135" s="2334"/>
      <c r="J1135" s="2185"/>
      <c r="K1135" s="2336"/>
      <c r="L1135" s="2335"/>
      <c r="M1135" s="1951"/>
      <c r="N1135" s="1962"/>
      <c r="O1135" s="1961">
        <v>0</v>
      </c>
      <c r="P1135" s="1951">
        <v>0</v>
      </c>
      <c r="Q1135" s="1960">
        <v>0</v>
      </c>
    </row>
    <row r="1136" spans="1:17" ht="12.75" customHeight="1">
      <c r="A1136" s="2332" t="s">
        <v>3520</v>
      </c>
      <c r="B1136" s="2185" t="s">
        <v>3593</v>
      </c>
      <c r="C1136" s="2296" t="s">
        <v>3453</v>
      </c>
      <c r="D1136" s="2296"/>
      <c r="E1136" s="2333" t="s">
        <v>3456</v>
      </c>
      <c r="F1136" s="2333" t="s">
        <v>3457</v>
      </c>
      <c r="G1136" s="2185" t="s">
        <v>3481</v>
      </c>
      <c r="H1136" s="2333"/>
      <c r="I1136" s="2334"/>
      <c r="J1136" s="2185"/>
      <c r="K1136" s="2336"/>
      <c r="L1136" s="2335"/>
      <c r="M1136" s="1951"/>
      <c r="N1136" s="1962"/>
      <c r="O1136" s="1961">
        <v>541249</v>
      </c>
      <c r="P1136" s="1951">
        <v>566147</v>
      </c>
      <c r="Q1136" s="1960">
        <v>592190</v>
      </c>
    </row>
    <row r="1137" spans="1:17" ht="12.75" customHeight="1">
      <c r="A1137" s="2332" t="s">
        <v>3464</v>
      </c>
      <c r="B1137" s="2185" t="s">
        <v>3889</v>
      </c>
      <c r="C1137" s="2296" t="s">
        <v>3453</v>
      </c>
      <c r="D1137" s="2296"/>
      <c r="E1137" s="2333" t="s">
        <v>3456</v>
      </c>
      <c r="F1137" s="2333" t="s">
        <v>3457</v>
      </c>
      <c r="G1137" s="2185" t="s">
        <v>3461</v>
      </c>
      <c r="H1137" s="2333"/>
      <c r="I1137" s="2334"/>
      <c r="J1137" s="2185"/>
      <c r="K1137" s="2336"/>
      <c r="L1137" s="2335"/>
      <c r="M1137" s="1951"/>
      <c r="N1137" s="1962"/>
      <c r="O1137" s="1961">
        <v>10854</v>
      </c>
      <c r="P1137" s="1951">
        <v>11354</v>
      </c>
      <c r="Q1137" s="1960">
        <v>11876</v>
      </c>
    </row>
    <row r="1138" spans="1:17" ht="12.75" customHeight="1">
      <c r="A1138" s="2332" t="s">
        <v>3485</v>
      </c>
      <c r="B1138" s="2185" t="s">
        <v>3890</v>
      </c>
      <c r="C1138" s="2296" t="s">
        <v>3497</v>
      </c>
      <c r="D1138" s="2296"/>
      <c r="E1138" s="2333" t="s">
        <v>3467</v>
      </c>
      <c r="F1138" s="2333" t="s">
        <v>3468</v>
      </c>
      <c r="G1138" s="2185" t="s">
        <v>3469</v>
      </c>
      <c r="H1138" s="2333"/>
      <c r="I1138" s="2334"/>
      <c r="J1138" s="2185"/>
      <c r="K1138" s="2336"/>
      <c r="L1138" s="2335"/>
      <c r="M1138" s="1951"/>
      <c r="N1138" s="1962"/>
      <c r="O1138" s="1961">
        <v>270</v>
      </c>
      <c r="P1138" s="1951">
        <v>283</v>
      </c>
      <c r="Q1138" s="1960">
        <v>296</v>
      </c>
    </row>
    <row r="1139" spans="1:17" ht="12.75" customHeight="1">
      <c r="A1139" s="2332" t="s">
        <v>3454</v>
      </c>
      <c r="B1139" s="2185" t="s">
        <v>3528</v>
      </c>
      <c r="C1139" s="2296" t="s">
        <v>3453</v>
      </c>
      <c r="D1139" s="2296"/>
      <c r="E1139" s="2333" t="s">
        <v>3467</v>
      </c>
      <c r="F1139" s="2333" t="s">
        <v>3468</v>
      </c>
      <c r="G1139" s="2185" t="s">
        <v>3475</v>
      </c>
      <c r="H1139" s="2333"/>
      <c r="I1139" s="2334"/>
      <c r="J1139" s="2185"/>
      <c r="K1139" s="2336"/>
      <c r="L1139" s="2335"/>
      <c r="M1139" s="1951"/>
      <c r="N1139" s="1962"/>
      <c r="O1139" s="1961">
        <v>0</v>
      </c>
      <c r="P1139" s="1951">
        <v>0</v>
      </c>
      <c r="Q1139" s="1960">
        <v>1</v>
      </c>
    </row>
    <row r="1140" spans="1:17" ht="12.75" customHeight="1">
      <c r="A1140" s="2332" t="s">
        <v>3576</v>
      </c>
      <c r="B1140" s="2185" t="s">
        <v>3596</v>
      </c>
      <c r="C1140" s="2296" t="s">
        <v>3453</v>
      </c>
      <c r="D1140" s="2296"/>
      <c r="E1140" s="2333" t="s">
        <v>3467</v>
      </c>
      <c r="F1140" s="2333" t="s">
        <v>3468</v>
      </c>
      <c r="G1140" s="2185" t="s">
        <v>3475</v>
      </c>
      <c r="H1140" s="2333"/>
      <c r="I1140" s="2334"/>
      <c r="J1140" s="2185"/>
      <c r="K1140" s="2336"/>
      <c r="L1140" s="2335"/>
      <c r="M1140" s="1951"/>
      <c r="N1140" s="1962"/>
      <c r="O1140" s="1961">
        <v>635238</v>
      </c>
      <c r="P1140" s="1951">
        <v>664459</v>
      </c>
      <c r="Q1140" s="1960">
        <v>695025</v>
      </c>
    </row>
    <row r="1141" spans="1:17" ht="12.75" customHeight="1">
      <c r="A1141" s="2332" t="s">
        <v>3459</v>
      </c>
      <c r="B1141" s="2185" t="s">
        <v>3460</v>
      </c>
      <c r="C1141" s="2296" t="s">
        <v>3453</v>
      </c>
      <c r="D1141" s="2296"/>
      <c r="E1141" s="2333" t="s">
        <v>3467</v>
      </c>
      <c r="F1141" s="2333" t="s">
        <v>3468</v>
      </c>
      <c r="G1141" s="2185" t="s">
        <v>3475</v>
      </c>
      <c r="H1141" s="2333"/>
      <c r="I1141" s="2334"/>
      <c r="J1141" s="2185"/>
      <c r="K1141" s="2336"/>
      <c r="L1141" s="2335"/>
      <c r="M1141" s="1951"/>
      <c r="N1141" s="1962"/>
      <c r="O1141" s="1961">
        <v>41780</v>
      </c>
      <c r="P1141" s="1951">
        <v>43702</v>
      </c>
      <c r="Q1141" s="1960">
        <v>45713</v>
      </c>
    </row>
    <row r="1142" spans="1:17" ht="12.75" customHeight="1">
      <c r="A1142" s="2332" t="s">
        <v>3531</v>
      </c>
      <c r="B1142" s="2185" t="s">
        <v>3532</v>
      </c>
      <c r="C1142" s="2296" t="s">
        <v>3453</v>
      </c>
      <c r="D1142" s="2296"/>
      <c r="E1142" s="2333" t="s">
        <v>3467</v>
      </c>
      <c r="F1142" s="2333" t="s">
        <v>3468</v>
      </c>
      <c r="G1142" s="2185" t="s">
        <v>3469</v>
      </c>
      <c r="H1142" s="2333"/>
      <c r="I1142" s="2334"/>
      <c r="J1142" s="2185"/>
      <c r="K1142" s="2336"/>
      <c r="L1142" s="2335"/>
      <c r="M1142" s="1951"/>
      <c r="N1142" s="1962"/>
      <c r="O1142" s="1961">
        <v>0</v>
      </c>
      <c r="P1142" s="1951">
        <v>0</v>
      </c>
      <c r="Q1142" s="1960">
        <v>0</v>
      </c>
    </row>
    <row r="1143" spans="1:17" ht="12.75" customHeight="1">
      <c r="A1143" s="2332" t="s">
        <v>3531</v>
      </c>
      <c r="B1143" s="2185" t="s">
        <v>3532</v>
      </c>
      <c r="C1143" s="2296" t="s">
        <v>3453</v>
      </c>
      <c r="D1143" s="2296"/>
      <c r="E1143" s="2333" t="s">
        <v>3456</v>
      </c>
      <c r="F1143" s="2333" t="s">
        <v>3457</v>
      </c>
      <c r="G1143" s="2185" t="s">
        <v>3461</v>
      </c>
      <c r="H1143" s="2333"/>
      <c r="I1143" s="2334"/>
      <c r="J1143" s="2185"/>
      <c r="K1143" s="2336"/>
      <c r="L1143" s="2335"/>
      <c r="M1143" s="1951"/>
      <c r="N1143" s="1962"/>
      <c r="O1143" s="1961">
        <v>0</v>
      </c>
      <c r="P1143" s="1951">
        <v>0</v>
      </c>
      <c r="Q1143" s="1960">
        <v>0</v>
      </c>
    </row>
    <row r="1144" spans="1:17" ht="12.75" customHeight="1">
      <c r="A1144" s="2332" t="s">
        <v>3531</v>
      </c>
      <c r="B1144" s="2185" t="s">
        <v>3532</v>
      </c>
      <c r="C1144" s="2296" t="s">
        <v>3453</v>
      </c>
      <c r="D1144" s="2296"/>
      <c r="E1144" s="2333" t="s">
        <v>3467</v>
      </c>
      <c r="F1144" s="2333" t="s">
        <v>3468</v>
      </c>
      <c r="G1144" s="2185" t="s">
        <v>3469</v>
      </c>
      <c r="H1144" s="2333"/>
      <c r="I1144" s="2334"/>
      <c r="J1144" s="2185"/>
      <c r="K1144" s="2336"/>
      <c r="L1144" s="2335"/>
      <c r="M1144" s="1951"/>
      <c r="N1144" s="1962"/>
      <c r="O1144" s="1961">
        <v>0</v>
      </c>
      <c r="P1144" s="1951">
        <v>0</v>
      </c>
      <c r="Q1144" s="1960">
        <v>0</v>
      </c>
    </row>
    <row r="1145" spans="1:17" ht="12.75" customHeight="1">
      <c r="A1145" s="2332" t="s">
        <v>3565</v>
      </c>
      <c r="B1145" s="2185" t="s">
        <v>3628</v>
      </c>
      <c r="C1145" s="2296" t="s">
        <v>3453</v>
      </c>
      <c r="D1145" s="2296"/>
      <c r="E1145" s="2333" t="s">
        <v>3456</v>
      </c>
      <c r="F1145" s="2333" t="s">
        <v>3457</v>
      </c>
      <c r="G1145" s="2185" t="s">
        <v>3461</v>
      </c>
      <c r="H1145" s="2333"/>
      <c r="I1145" s="2334"/>
      <c r="J1145" s="2185"/>
      <c r="K1145" s="2336"/>
      <c r="L1145" s="2335"/>
      <c r="M1145" s="1951"/>
      <c r="N1145" s="1962"/>
      <c r="O1145" s="1961">
        <v>909778</v>
      </c>
      <c r="P1145" s="1951">
        <v>951628</v>
      </c>
      <c r="Q1145" s="1960">
        <v>995403</v>
      </c>
    </row>
    <row r="1146" spans="1:17" ht="12.75" customHeight="1">
      <c r="A1146" s="2332" t="s">
        <v>3483</v>
      </c>
      <c r="B1146" s="2185" t="s">
        <v>3484</v>
      </c>
      <c r="C1146" s="2296" t="s">
        <v>3453</v>
      </c>
      <c r="D1146" s="2296"/>
      <c r="E1146" s="2333" t="s">
        <v>3456</v>
      </c>
      <c r="F1146" s="2333" t="s">
        <v>3457</v>
      </c>
      <c r="G1146" s="2185" t="s">
        <v>3461</v>
      </c>
      <c r="H1146" s="2333"/>
      <c r="I1146" s="2334"/>
      <c r="J1146" s="2185"/>
      <c r="K1146" s="2336"/>
      <c r="L1146" s="2335"/>
      <c r="M1146" s="1951"/>
      <c r="N1146" s="1962"/>
      <c r="O1146" s="1961">
        <v>1557</v>
      </c>
      <c r="P1146" s="1951">
        <v>1629</v>
      </c>
      <c r="Q1146" s="1960">
        <v>1704</v>
      </c>
    </row>
    <row r="1147" spans="1:17" ht="12.75" customHeight="1">
      <c r="A1147" s="2332" t="s">
        <v>3464</v>
      </c>
      <c r="B1147" s="2185" t="s">
        <v>3690</v>
      </c>
      <c r="C1147" s="2296" t="s">
        <v>3453</v>
      </c>
      <c r="D1147" s="2296"/>
      <c r="E1147" s="2333" t="s">
        <v>3467</v>
      </c>
      <c r="F1147" s="2333" t="s">
        <v>3468</v>
      </c>
      <c r="G1147" s="2185" t="s">
        <v>3475</v>
      </c>
      <c r="H1147" s="2333"/>
      <c r="I1147" s="2334"/>
      <c r="J1147" s="2185"/>
      <c r="K1147" s="2336"/>
      <c r="L1147" s="2335"/>
      <c r="M1147" s="1951"/>
      <c r="N1147" s="1962"/>
      <c r="O1147" s="1961">
        <v>1000</v>
      </c>
      <c r="P1147" s="1951">
        <v>1000</v>
      </c>
      <c r="Q1147" s="1960">
        <v>1000</v>
      </c>
    </row>
    <row r="1148" spans="1:17" ht="12.75" customHeight="1">
      <c r="A1148" s="2332" t="s">
        <v>3459</v>
      </c>
      <c r="B1148" s="2185" t="s">
        <v>3645</v>
      </c>
      <c r="C1148" s="2296" t="s">
        <v>3453</v>
      </c>
      <c r="D1148" s="2296"/>
      <c r="E1148" s="2333" t="s">
        <v>3467</v>
      </c>
      <c r="F1148" s="2333" t="s">
        <v>3468</v>
      </c>
      <c r="G1148" s="2185" t="s">
        <v>2676</v>
      </c>
      <c r="H1148" s="2333"/>
      <c r="I1148" s="2334"/>
      <c r="J1148" s="2185"/>
      <c r="K1148" s="2336"/>
      <c r="L1148" s="2335"/>
      <c r="M1148" s="1951"/>
      <c r="N1148" s="1962"/>
      <c r="O1148" s="1961">
        <v>5017</v>
      </c>
      <c r="P1148" s="1951">
        <v>5248</v>
      </c>
      <c r="Q1148" s="1960">
        <v>5490</v>
      </c>
    </row>
    <row r="1149" spans="1:17" ht="12.75" customHeight="1">
      <c r="A1149" s="2332" t="s">
        <v>3451</v>
      </c>
      <c r="B1149" s="2185" t="s">
        <v>3891</v>
      </c>
      <c r="C1149" s="2296" t="s">
        <v>3497</v>
      </c>
      <c r="D1149" s="2296"/>
      <c r="E1149" s="2333" t="s">
        <v>3467</v>
      </c>
      <c r="F1149" s="2333" t="s">
        <v>3468</v>
      </c>
      <c r="G1149" s="2185" t="s">
        <v>3469</v>
      </c>
      <c r="H1149" s="2333"/>
      <c r="I1149" s="2334"/>
      <c r="J1149" s="2185"/>
      <c r="K1149" s="2336"/>
      <c r="L1149" s="2335"/>
      <c r="M1149" s="1951"/>
      <c r="N1149" s="1962"/>
      <c r="O1149" s="1961">
        <v>400</v>
      </c>
      <c r="P1149" s="1951">
        <v>419</v>
      </c>
      <c r="Q1149" s="1960">
        <v>438</v>
      </c>
    </row>
    <row r="1150" spans="1:17" ht="12.75" customHeight="1">
      <c r="A1150" s="2332" t="s">
        <v>3464</v>
      </c>
      <c r="B1150" s="2185" t="s">
        <v>3892</v>
      </c>
      <c r="C1150" s="2296" t="s">
        <v>3453</v>
      </c>
      <c r="D1150" s="2296"/>
      <c r="E1150" s="2333" t="s">
        <v>3513</v>
      </c>
      <c r="F1150" s="2333" t="s">
        <v>3514</v>
      </c>
      <c r="G1150" s="2185" t="s">
        <v>3515</v>
      </c>
      <c r="H1150" s="2333"/>
      <c r="I1150" s="2334"/>
      <c r="J1150" s="2185"/>
      <c r="K1150" s="2336"/>
      <c r="L1150" s="2335"/>
      <c r="M1150" s="1951"/>
      <c r="N1150" s="1962"/>
      <c r="O1150" s="1961">
        <v>14666</v>
      </c>
      <c r="P1150" s="1951">
        <v>15341</v>
      </c>
      <c r="Q1150" s="1960">
        <v>16047</v>
      </c>
    </row>
    <row r="1151" spans="1:17" ht="12.75" customHeight="1">
      <c r="A1151" s="2332" t="s">
        <v>3565</v>
      </c>
      <c r="B1151" s="2185" t="s">
        <v>3628</v>
      </c>
      <c r="C1151" s="2296" t="s">
        <v>3453</v>
      </c>
      <c r="D1151" s="2296"/>
      <c r="E1151" s="2333" t="s">
        <v>3467</v>
      </c>
      <c r="F1151" s="2333" t="s">
        <v>3468</v>
      </c>
      <c r="G1151" s="2185" t="s">
        <v>3475</v>
      </c>
      <c r="H1151" s="2333"/>
      <c r="I1151" s="2334"/>
      <c r="J1151" s="2185"/>
      <c r="K1151" s="2336"/>
      <c r="L1151" s="2335"/>
      <c r="M1151" s="1951"/>
      <c r="N1151" s="1962"/>
      <c r="O1151" s="1961">
        <v>37217</v>
      </c>
      <c r="P1151" s="1951">
        <v>38929</v>
      </c>
      <c r="Q1151" s="1960">
        <v>40720</v>
      </c>
    </row>
    <row r="1152" spans="1:17" ht="12.75" customHeight="1">
      <c r="A1152" s="2332" t="s">
        <v>3501</v>
      </c>
      <c r="B1152" s="2185" t="s">
        <v>3553</v>
      </c>
      <c r="C1152" s="2296" t="s">
        <v>3453</v>
      </c>
      <c r="D1152" s="2296"/>
      <c r="E1152" s="2333" t="s">
        <v>3456</v>
      </c>
      <c r="F1152" s="2333" t="s">
        <v>3457</v>
      </c>
      <c r="G1152" s="2185" t="s">
        <v>3461</v>
      </c>
      <c r="H1152" s="2333"/>
      <c r="I1152" s="2334"/>
      <c r="J1152" s="2185"/>
      <c r="K1152" s="2336"/>
      <c r="L1152" s="2335"/>
      <c r="M1152" s="1951"/>
      <c r="N1152" s="1962"/>
      <c r="O1152" s="1961">
        <v>3598</v>
      </c>
      <c r="P1152" s="1951">
        <v>3764</v>
      </c>
      <c r="Q1152" s="1960">
        <v>3937</v>
      </c>
    </row>
    <row r="1153" spans="1:17" ht="12.75" customHeight="1">
      <c r="A1153" s="2332" t="s">
        <v>3464</v>
      </c>
      <c r="B1153" s="2185" t="s">
        <v>3630</v>
      </c>
      <c r="C1153" s="2296" t="s">
        <v>3453</v>
      </c>
      <c r="D1153" s="2296"/>
      <c r="E1153" s="2333" t="s">
        <v>3456</v>
      </c>
      <c r="F1153" s="2333" t="s">
        <v>3457</v>
      </c>
      <c r="G1153" s="2185" t="s">
        <v>3461</v>
      </c>
      <c r="H1153" s="2333"/>
      <c r="I1153" s="2334"/>
      <c r="J1153" s="2185"/>
      <c r="K1153" s="2336"/>
      <c r="L1153" s="2335"/>
      <c r="M1153" s="1951"/>
      <c r="N1153" s="1962"/>
      <c r="O1153" s="1961">
        <v>90711</v>
      </c>
      <c r="P1153" s="1951">
        <v>94884</v>
      </c>
      <c r="Q1153" s="1960">
        <v>99249</v>
      </c>
    </row>
    <row r="1154" spans="1:17" ht="12.75" customHeight="1">
      <c r="A1154" s="2332" t="s">
        <v>3479</v>
      </c>
      <c r="B1154" s="2185" t="s">
        <v>3716</v>
      </c>
      <c r="C1154" s="2296" t="s">
        <v>3453</v>
      </c>
      <c r="D1154" s="2296"/>
      <c r="E1154" s="2333" t="s">
        <v>3467</v>
      </c>
      <c r="F1154" s="2333" t="s">
        <v>3468</v>
      </c>
      <c r="G1154" s="2185" t="s">
        <v>3469</v>
      </c>
      <c r="H1154" s="2333"/>
      <c r="I1154" s="2334"/>
      <c r="J1154" s="2185"/>
      <c r="K1154" s="2336"/>
      <c r="L1154" s="2335"/>
      <c r="M1154" s="1951"/>
      <c r="N1154" s="1962"/>
      <c r="O1154" s="1961">
        <v>813</v>
      </c>
      <c r="P1154" s="1951">
        <v>851</v>
      </c>
      <c r="Q1154" s="1960">
        <v>890</v>
      </c>
    </row>
    <row r="1155" spans="1:17" ht="12.75" customHeight="1">
      <c r="A1155" s="2332" t="s">
        <v>3565</v>
      </c>
      <c r="B1155" s="2185" t="s">
        <v>3628</v>
      </c>
      <c r="C1155" s="2296" t="s">
        <v>3453</v>
      </c>
      <c r="D1155" s="2296"/>
      <c r="E1155" s="2333" t="s">
        <v>3456</v>
      </c>
      <c r="F1155" s="2333" t="s">
        <v>3457</v>
      </c>
      <c r="G1155" s="2185" t="s">
        <v>3458</v>
      </c>
      <c r="H1155" s="2333"/>
      <c r="I1155" s="2334"/>
      <c r="J1155" s="2185"/>
      <c r="K1155" s="2336"/>
      <c r="L1155" s="2335"/>
      <c r="M1155" s="1951"/>
      <c r="N1155" s="1962"/>
      <c r="O1155" s="1961">
        <v>22936</v>
      </c>
      <c r="P1155" s="1951">
        <v>23992</v>
      </c>
      <c r="Q1155" s="1960">
        <v>25095</v>
      </c>
    </row>
    <row r="1156" spans="1:17" ht="12.75" customHeight="1">
      <c r="A1156" s="2332" t="s">
        <v>3490</v>
      </c>
      <c r="B1156" s="2185" t="s">
        <v>3493</v>
      </c>
      <c r="C1156" s="2296" t="s">
        <v>3453</v>
      </c>
      <c r="D1156" s="2296"/>
      <c r="E1156" s="2333" t="s">
        <v>3467</v>
      </c>
      <c r="F1156" s="2333" t="s">
        <v>3468</v>
      </c>
      <c r="G1156" s="2185" t="s">
        <v>2676</v>
      </c>
      <c r="H1156" s="2333"/>
      <c r="I1156" s="2334"/>
      <c r="J1156" s="2185"/>
      <c r="K1156" s="2336"/>
      <c r="L1156" s="2335"/>
      <c r="M1156" s="1951"/>
      <c r="N1156" s="1962"/>
      <c r="O1156" s="1961">
        <v>3522286</v>
      </c>
      <c r="P1156" s="1951">
        <v>3684312</v>
      </c>
      <c r="Q1156" s="1960">
        <v>3853790</v>
      </c>
    </row>
    <row r="1157" spans="1:17" ht="12.75" customHeight="1">
      <c r="A1157" s="2332" t="s">
        <v>3520</v>
      </c>
      <c r="B1157" s="2185" t="s">
        <v>3593</v>
      </c>
      <c r="C1157" s="2296" t="s">
        <v>3453</v>
      </c>
      <c r="D1157" s="2296"/>
      <c r="E1157" s="2333"/>
      <c r="F1157" s="2333"/>
      <c r="G1157" s="2185"/>
      <c r="H1157" s="2333"/>
      <c r="I1157" s="2334"/>
      <c r="J1157" s="2185"/>
      <c r="K1157" s="2336"/>
      <c r="L1157" s="2335"/>
      <c r="M1157" s="1951"/>
      <c r="N1157" s="1962"/>
      <c r="O1157" s="1961">
        <v>2728972</v>
      </c>
      <c r="P1157" s="1951">
        <v>2854505</v>
      </c>
      <c r="Q1157" s="1960">
        <v>2985813</v>
      </c>
    </row>
    <row r="1158" spans="1:17" ht="12.75" customHeight="1">
      <c r="A1158" s="2332" t="s">
        <v>3464</v>
      </c>
      <c r="B1158" s="2185" t="s">
        <v>3893</v>
      </c>
      <c r="C1158" s="2296" t="s">
        <v>3463</v>
      </c>
      <c r="D1158" s="2296"/>
      <c r="E1158" s="2333"/>
      <c r="F1158" s="2333"/>
      <c r="G1158" s="2185"/>
      <c r="H1158" s="2333"/>
      <c r="I1158" s="2334"/>
      <c r="J1158" s="2185"/>
      <c r="K1158" s="2336"/>
      <c r="L1158" s="2335"/>
      <c r="M1158" s="1951"/>
      <c r="N1158" s="1962"/>
      <c r="O1158" s="1961">
        <v>8549</v>
      </c>
      <c r="P1158" s="1951">
        <v>8943</v>
      </c>
      <c r="Q1158" s="1960">
        <v>9354</v>
      </c>
    </row>
    <row r="1159" spans="1:17" ht="12.75" customHeight="1">
      <c r="A1159" s="2332" t="s">
        <v>3499</v>
      </c>
      <c r="B1159" s="2185" t="s">
        <v>3894</v>
      </c>
      <c r="C1159" s="2296" t="s">
        <v>3463</v>
      </c>
      <c r="D1159" s="2296"/>
      <c r="E1159" s="2333" t="s">
        <v>3456</v>
      </c>
      <c r="F1159" s="2333" t="s">
        <v>3457</v>
      </c>
      <c r="G1159" s="2185" t="s">
        <v>3458</v>
      </c>
      <c r="H1159" s="2333"/>
      <c r="I1159" s="2334"/>
      <c r="J1159" s="2185"/>
      <c r="K1159" s="2336"/>
      <c r="L1159" s="2335"/>
      <c r="M1159" s="1951"/>
      <c r="N1159" s="1962"/>
      <c r="O1159" s="1961">
        <v>1427</v>
      </c>
      <c r="P1159" s="1951">
        <v>1493</v>
      </c>
      <c r="Q1159" s="1960">
        <v>1562</v>
      </c>
    </row>
    <row r="1160" spans="1:17" ht="12.75" customHeight="1">
      <c r="A1160" s="2332" t="s">
        <v>3464</v>
      </c>
      <c r="B1160" s="2185" t="s">
        <v>3489</v>
      </c>
      <c r="C1160" s="2296" t="s">
        <v>3453</v>
      </c>
      <c r="D1160" s="2296"/>
      <c r="E1160" s="2333"/>
      <c r="F1160" s="2333"/>
      <c r="G1160" s="2185"/>
      <c r="H1160" s="2333"/>
      <c r="I1160" s="2334"/>
      <c r="J1160" s="2185"/>
      <c r="K1160" s="2336"/>
      <c r="L1160" s="2335"/>
      <c r="M1160" s="1951"/>
      <c r="N1160" s="1962"/>
      <c r="O1160" s="1961">
        <v>119462</v>
      </c>
      <c r="P1160" s="1951">
        <v>124958</v>
      </c>
      <c r="Q1160" s="1960">
        <v>130706</v>
      </c>
    </row>
    <row r="1161" spans="1:17" ht="12.75" customHeight="1">
      <c r="A1161" s="2332" t="s">
        <v>3543</v>
      </c>
      <c r="B1161" s="2185" t="s">
        <v>3658</v>
      </c>
      <c r="C1161" s="2296" t="s">
        <v>3453</v>
      </c>
      <c r="D1161" s="2296"/>
      <c r="E1161" s="2333" t="s">
        <v>3456</v>
      </c>
      <c r="F1161" s="2333" t="s">
        <v>3457</v>
      </c>
      <c r="G1161" s="2185" t="s">
        <v>3461</v>
      </c>
      <c r="H1161" s="2333"/>
      <c r="I1161" s="2334"/>
      <c r="J1161" s="2185"/>
      <c r="K1161" s="2336"/>
      <c r="L1161" s="2335"/>
      <c r="M1161" s="1951"/>
      <c r="N1161" s="1962"/>
      <c r="O1161" s="1961">
        <v>593916</v>
      </c>
      <c r="P1161" s="1951">
        <v>621237</v>
      </c>
      <c r="Q1161" s="1960">
        <v>649813</v>
      </c>
    </row>
    <row r="1162" spans="1:17" ht="12.75" customHeight="1">
      <c r="A1162" s="2332" t="s">
        <v>3490</v>
      </c>
      <c r="B1162" s="2185" t="s">
        <v>3493</v>
      </c>
      <c r="C1162" s="2296" t="s">
        <v>3453</v>
      </c>
      <c r="D1162" s="2296"/>
      <c r="E1162" s="2333" t="s">
        <v>3456</v>
      </c>
      <c r="F1162" s="2333" t="s">
        <v>3457</v>
      </c>
      <c r="G1162" s="2185" t="s">
        <v>3458</v>
      </c>
      <c r="H1162" s="2333"/>
      <c r="I1162" s="2334"/>
      <c r="J1162" s="2185"/>
      <c r="K1162" s="2336"/>
      <c r="L1162" s="2335"/>
      <c r="M1162" s="1951"/>
      <c r="N1162" s="1962"/>
      <c r="O1162" s="1961">
        <v>1026073</v>
      </c>
      <c r="P1162" s="1951">
        <v>1073273</v>
      </c>
      <c r="Q1162" s="1960">
        <v>1122643</v>
      </c>
    </row>
    <row r="1163" spans="1:17" ht="12.75" customHeight="1">
      <c r="A1163" s="2332" t="s">
        <v>3483</v>
      </c>
      <c r="B1163" s="2185" t="s">
        <v>3583</v>
      </c>
      <c r="C1163" s="2296" t="s">
        <v>3453</v>
      </c>
      <c r="D1163" s="2296"/>
      <c r="E1163" s="2333" t="s">
        <v>3467</v>
      </c>
      <c r="F1163" s="2333" t="s">
        <v>3468</v>
      </c>
      <c r="G1163" s="2185" t="s">
        <v>3469</v>
      </c>
      <c r="H1163" s="2333"/>
      <c r="I1163" s="2334"/>
      <c r="J1163" s="2185"/>
      <c r="K1163" s="2336"/>
      <c r="L1163" s="2335"/>
      <c r="M1163" s="1951"/>
      <c r="N1163" s="1962"/>
      <c r="O1163" s="1961">
        <v>1000</v>
      </c>
      <c r="P1163" s="1951">
        <v>1046</v>
      </c>
      <c r="Q1163" s="1960">
        <v>1095</v>
      </c>
    </row>
    <row r="1164" spans="1:17" ht="12.75" customHeight="1">
      <c r="A1164" s="2332" t="s">
        <v>3454</v>
      </c>
      <c r="B1164" s="2185" t="s">
        <v>3695</v>
      </c>
      <c r="C1164" s="2296" t="s">
        <v>3453</v>
      </c>
      <c r="D1164" s="2296"/>
      <c r="E1164" s="2333" t="s">
        <v>3467</v>
      </c>
      <c r="F1164" s="2333" t="s">
        <v>3468</v>
      </c>
      <c r="G1164" s="2185" t="s">
        <v>3469</v>
      </c>
      <c r="H1164" s="2333"/>
      <c r="I1164" s="2334"/>
      <c r="J1164" s="2185"/>
      <c r="K1164" s="2336"/>
      <c r="L1164" s="2335"/>
      <c r="M1164" s="1951"/>
      <c r="N1164" s="1962"/>
      <c r="O1164" s="1961">
        <v>33958</v>
      </c>
      <c r="P1164" s="1951">
        <v>35521</v>
      </c>
      <c r="Q1164" s="1960">
        <v>37154</v>
      </c>
    </row>
    <row r="1165" spans="1:17" ht="12.75" customHeight="1">
      <c r="A1165" s="2332" t="s">
        <v>3543</v>
      </c>
      <c r="B1165" s="2185" t="s">
        <v>3683</v>
      </c>
      <c r="C1165" s="2296" t="s">
        <v>3453</v>
      </c>
      <c r="D1165" s="2296"/>
      <c r="E1165" s="2333" t="s">
        <v>3456</v>
      </c>
      <c r="F1165" s="2333" t="s">
        <v>3457</v>
      </c>
      <c r="G1165" s="2185" t="s">
        <v>3461</v>
      </c>
      <c r="H1165" s="2333"/>
      <c r="I1165" s="2334"/>
      <c r="J1165" s="2185"/>
      <c r="K1165" s="2336"/>
      <c r="L1165" s="2335"/>
      <c r="M1165" s="1951"/>
      <c r="N1165" s="1962"/>
      <c r="O1165" s="1961">
        <v>0</v>
      </c>
      <c r="P1165" s="1951">
        <v>0</v>
      </c>
      <c r="Q1165" s="1960">
        <v>0</v>
      </c>
    </row>
    <row r="1166" spans="1:17" ht="12.75" customHeight="1">
      <c r="A1166" s="2332" t="s">
        <v>3563</v>
      </c>
      <c r="B1166" s="2185" t="s">
        <v>3564</v>
      </c>
      <c r="C1166" s="2296" t="s">
        <v>3453</v>
      </c>
      <c r="D1166" s="2296"/>
      <c r="E1166" s="2333" t="s">
        <v>3456</v>
      </c>
      <c r="F1166" s="2333" t="s">
        <v>3457</v>
      </c>
      <c r="G1166" s="2185" t="s">
        <v>3461</v>
      </c>
      <c r="H1166" s="2333"/>
      <c r="I1166" s="2334"/>
      <c r="J1166" s="2185"/>
      <c r="K1166" s="2336"/>
      <c r="L1166" s="2335"/>
      <c r="M1166" s="1951"/>
      <c r="N1166" s="1962"/>
      <c r="O1166" s="1961">
        <v>298579</v>
      </c>
      <c r="P1166" s="1951">
        <v>312314</v>
      </c>
      <c r="Q1166" s="1960">
        <v>326681</v>
      </c>
    </row>
    <row r="1167" spans="1:17" ht="12.75" customHeight="1">
      <c r="A1167" s="2332" t="s">
        <v>3538</v>
      </c>
      <c r="B1167" s="2185" t="s">
        <v>3678</v>
      </c>
      <c r="C1167" s="2296" t="s">
        <v>3453</v>
      </c>
      <c r="D1167" s="2296"/>
      <c r="E1167" s="2333" t="s">
        <v>3456</v>
      </c>
      <c r="F1167" s="2333" t="s">
        <v>3457</v>
      </c>
      <c r="G1167" s="2185" t="s">
        <v>3481</v>
      </c>
      <c r="H1167" s="2333"/>
      <c r="I1167" s="2334"/>
      <c r="J1167" s="2185"/>
      <c r="K1167" s="2336"/>
      <c r="L1167" s="2335"/>
      <c r="M1167" s="1951"/>
      <c r="N1167" s="1962"/>
      <c r="O1167" s="1961">
        <v>59154</v>
      </c>
      <c r="P1167" s="1951">
        <v>61876</v>
      </c>
      <c r="Q1167" s="1960">
        <v>64722</v>
      </c>
    </row>
    <row r="1168" spans="1:17" ht="12.75" customHeight="1">
      <c r="A1168" s="2332" t="s">
        <v>3533</v>
      </c>
      <c r="B1168" s="2185" t="s">
        <v>3635</v>
      </c>
      <c r="C1168" s="2296" t="s">
        <v>3453</v>
      </c>
      <c r="D1168" s="2296"/>
      <c r="E1168" s="2333" t="s">
        <v>3456</v>
      </c>
      <c r="F1168" s="2333" t="s">
        <v>3457</v>
      </c>
      <c r="G1168" s="2185" t="s">
        <v>3458</v>
      </c>
      <c r="H1168" s="2333"/>
      <c r="I1168" s="2334"/>
      <c r="J1168" s="2185"/>
      <c r="K1168" s="2336"/>
      <c r="L1168" s="2335"/>
      <c r="M1168" s="1951"/>
      <c r="N1168" s="1962"/>
      <c r="O1168" s="1961">
        <v>71304</v>
      </c>
      <c r="P1168" s="1951">
        <v>74584</v>
      </c>
      <c r="Q1168" s="1960">
        <v>78015</v>
      </c>
    </row>
    <row r="1169" spans="1:17" ht="12.75" customHeight="1">
      <c r="A1169" s="2332" t="s">
        <v>3459</v>
      </c>
      <c r="B1169" s="2185" t="s">
        <v>3619</v>
      </c>
      <c r="C1169" s="2296" t="s">
        <v>3453</v>
      </c>
      <c r="D1169" s="2296"/>
      <c r="E1169" s="2333" t="s">
        <v>3456</v>
      </c>
      <c r="F1169" s="2333" t="s">
        <v>3457</v>
      </c>
      <c r="G1169" s="2185" t="s">
        <v>3461</v>
      </c>
      <c r="H1169" s="2333"/>
      <c r="I1169" s="2334"/>
      <c r="J1169" s="2185"/>
      <c r="K1169" s="2336"/>
      <c r="L1169" s="2335"/>
      <c r="M1169" s="1951"/>
      <c r="N1169" s="1962"/>
      <c r="O1169" s="1961">
        <v>0</v>
      </c>
      <c r="P1169" s="1951">
        <v>0</v>
      </c>
      <c r="Q1169" s="1960">
        <v>0</v>
      </c>
    </row>
    <row r="1170" spans="1:17" ht="12.75" customHeight="1">
      <c r="A1170" s="2332" t="s">
        <v>3490</v>
      </c>
      <c r="B1170" s="2185" t="s">
        <v>3493</v>
      </c>
      <c r="C1170" s="2296" t="s">
        <v>3453</v>
      </c>
      <c r="D1170" s="2296"/>
      <c r="E1170" s="2333" t="s">
        <v>3467</v>
      </c>
      <c r="F1170" s="2333" t="s">
        <v>3468</v>
      </c>
      <c r="G1170" s="2185" t="s">
        <v>3475</v>
      </c>
      <c r="H1170" s="2333"/>
      <c r="I1170" s="2334"/>
      <c r="J1170" s="2185"/>
      <c r="K1170" s="2336"/>
      <c r="L1170" s="2335"/>
      <c r="M1170" s="1951"/>
      <c r="N1170" s="1962"/>
      <c r="O1170" s="1961">
        <v>288444</v>
      </c>
      <c r="P1170" s="1951">
        <v>301713</v>
      </c>
      <c r="Q1170" s="1960">
        <v>315592</v>
      </c>
    </row>
    <row r="1171" spans="1:17" ht="12.75" customHeight="1">
      <c r="A1171" s="2332" t="s">
        <v>3470</v>
      </c>
      <c r="B1171" s="2185" t="s">
        <v>3895</v>
      </c>
      <c r="C1171" s="2296" t="s">
        <v>3497</v>
      </c>
      <c r="D1171" s="2296"/>
      <c r="E1171" s="2333" t="s">
        <v>3456</v>
      </c>
      <c r="F1171" s="2333" t="s">
        <v>3457</v>
      </c>
      <c r="G1171" s="2185" t="s">
        <v>3461</v>
      </c>
      <c r="H1171" s="2333"/>
      <c r="I1171" s="2334"/>
      <c r="J1171" s="2185"/>
      <c r="K1171" s="2336"/>
      <c r="L1171" s="2335"/>
      <c r="M1171" s="1951"/>
      <c r="N1171" s="1962"/>
      <c r="O1171" s="1961">
        <v>1455</v>
      </c>
      <c r="P1171" s="1951">
        <v>1522</v>
      </c>
      <c r="Q1171" s="1960">
        <v>1592</v>
      </c>
    </row>
    <row r="1172" spans="1:17" ht="12.75" customHeight="1">
      <c r="A1172" s="2332" t="s">
        <v>3470</v>
      </c>
      <c r="B1172" s="2185" t="s">
        <v>3554</v>
      </c>
      <c r="C1172" s="2296" t="s">
        <v>3453</v>
      </c>
      <c r="D1172" s="2296"/>
      <c r="E1172" s="2333" t="s">
        <v>3467</v>
      </c>
      <c r="F1172" s="2333" t="s">
        <v>3468</v>
      </c>
      <c r="G1172" s="2185" t="s">
        <v>3469</v>
      </c>
      <c r="H1172" s="2333"/>
      <c r="I1172" s="2334"/>
      <c r="J1172" s="2185"/>
      <c r="K1172" s="2336"/>
      <c r="L1172" s="2335"/>
      <c r="M1172" s="1951"/>
      <c r="N1172" s="1962"/>
      <c r="O1172" s="1961">
        <v>310107</v>
      </c>
      <c r="P1172" s="1951">
        <v>324372</v>
      </c>
      <c r="Q1172" s="1960">
        <v>339294</v>
      </c>
    </row>
    <row r="1173" spans="1:17" ht="12.75" customHeight="1">
      <c r="A1173" s="2332" t="s">
        <v>3459</v>
      </c>
      <c r="B1173" s="2185" t="s">
        <v>3460</v>
      </c>
      <c r="C1173" s="2296" t="s">
        <v>3453</v>
      </c>
      <c r="D1173" s="2296"/>
      <c r="E1173" s="2333" t="s">
        <v>3467</v>
      </c>
      <c r="F1173" s="2333" t="s">
        <v>3468</v>
      </c>
      <c r="G1173" s="2185" t="s">
        <v>3469</v>
      </c>
      <c r="H1173" s="2333"/>
      <c r="I1173" s="2334"/>
      <c r="J1173" s="2185"/>
      <c r="K1173" s="2336"/>
      <c r="L1173" s="2335"/>
      <c r="M1173" s="1951"/>
      <c r="N1173" s="1962"/>
      <c r="O1173" s="1961">
        <v>1826724</v>
      </c>
      <c r="P1173" s="1951">
        <v>1910753</v>
      </c>
      <c r="Q1173" s="1960">
        <v>1998648</v>
      </c>
    </row>
    <row r="1174" spans="1:17" ht="12.75" customHeight="1">
      <c r="A1174" s="2332" t="s">
        <v>3541</v>
      </c>
      <c r="B1174" s="2185" t="s">
        <v>3542</v>
      </c>
      <c r="C1174" s="2296" t="s">
        <v>3453</v>
      </c>
      <c r="D1174" s="2296"/>
      <c r="E1174" s="2333" t="s">
        <v>3456</v>
      </c>
      <c r="F1174" s="2333" t="s">
        <v>3457</v>
      </c>
      <c r="G1174" s="2185" t="s">
        <v>3461</v>
      </c>
      <c r="H1174" s="2333"/>
      <c r="I1174" s="2334"/>
      <c r="J1174" s="2185"/>
      <c r="K1174" s="2336"/>
      <c r="L1174" s="2335"/>
      <c r="M1174" s="1951"/>
      <c r="N1174" s="1962"/>
      <c r="O1174" s="1961">
        <v>56223</v>
      </c>
      <c r="P1174" s="1951">
        <v>58810</v>
      </c>
      <c r="Q1174" s="1960">
        <v>61515</v>
      </c>
    </row>
    <row r="1175" spans="1:17" ht="12.75" customHeight="1">
      <c r="A1175" s="2332" t="s">
        <v>3483</v>
      </c>
      <c r="B1175" s="2185" t="s">
        <v>3484</v>
      </c>
      <c r="C1175" s="2296" t="s">
        <v>3453</v>
      </c>
      <c r="D1175" s="2296"/>
      <c r="E1175" s="2333" t="s">
        <v>3467</v>
      </c>
      <c r="F1175" s="2333" t="s">
        <v>3468</v>
      </c>
      <c r="G1175" s="2185" t="s">
        <v>3475</v>
      </c>
      <c r="H1175" s="2333"/>
      <c r="I1175" s="2334"/>
      <c r="J1175" s="2185"/>
      <c r="K1175" s="2336"/>
      <c r="L1175" s="2335"/>
      <c r="M1175" s="1951"/>
      <c r="N1175" s="1962"/>
      <c r="O1175" s="1961">
        <v>118654</v>
      </c>
      <c r="P1175" s="1951">
        <v>124113</v>
      </c>
      <c r="Q1175" s="1960">
        <v>129822</v>
      </c>
    </row>
    <row r="1176" spans="1:17" ht="12.75" customHeight="1">
      <c r="A1176" s="2332" t="s">
        <v>3459</v>
      </c>
      <c r="B1176" s="2185" t="s">
        <v>3669</v>
      </c>
      <c r="C1176" s="2296" t="s">
        <v>3453</v>
      </c>
      <c r="D1176" s="2296"/>
      <c r="E1176" s="2333" t="s">
        <v>3456</v>
      </c>
      <c r="F1176" s="2333" t="s">
        <v>3457</v>
      </c>
      <c r="G1176" s="2185" t="s">
        <v>3461</v>
      </c>
      <c r="H1176" s="2333"/>
      <c r="I1176" s="2334"/>
      <c r="J1176" s="2185"/>
      <c r="K1176" s="2336"/>
      <c r="L1176" s="2335"/>
      <c r="M1176" s="1951"/>
      <c r="N1176" s="1962"/>
      <c r="O1176" s="1961">
        <v>499462</v>
      </c>
      <c r="P1176" s="1951">
        <v>522438</v>
      </c>
      <c r="Q1176" s="1960">
        <v>546470</v>
      </c>
    </row>
    <row r="1177" spans="1:17" ht="12.75" customHeight="1">
      <c r="A1177" s="2332" t="s">
        <v>3541</v>
      </c>
      <c r="B1177" s="2185" t="s">
        <v>3542</v>
      </c>
      <c r="C1177" s="2296" t="s">
        <v>3453</v>
      </c>
      <c r="D1177" s="2296"/>
      <c r="E1177" s="2333" t="s">
        <v>3467</v>
      </c>
      <c r="F1177" s="2333" t="s">
        <v>3468</v>
      </c>
      <c r="G1177" s="2185" t="s">
        <v>3469</v>
      </c>
      <c r="H1177" s="2333"/>
      <c r="I1177" s="2334"/>
      <c r="J1177" s="2185"/>
      <c r="K1177" s="2336"/>
      <c r="L1177" s="2335"/>
      <c r="M1177" s="1951"/>
      <c r="N1177" s="1962"/>
      <c r="O1177" s="1961">
        <v>97535</v>
      </c>
      <c r="P1177" s="1951">
        <v>102022</v>
      </c>
      <c r="Q1177" s="1960">
        <v>106715</v>
      </c>
    </row>
    <row r="1178" spans="1:17" ht="12.75" customHeight="1">
      <c r="A1178" s="2332" t="s">
        <v>3541</v>
      </c>
      <c r="B1178" s="2185" t="s">
        <v>3606</v>
      </c>
      <c r="C1178" s="2296" t="s">
        <v>3453</v>
      </c>
      <c r="D1178" s="2296"/>
      <c r="E1178" s="2333" t="s">
        <v>3467</v>
      </c>
      <c r="F1178" s="2333" t="s">
        <v>3468</v>
      </c>
      <c r="G1178" s="2185" t="s">
        <v>3469</v>
      </c>
      <c r="H1178" s="2333"/>
      <c r="I1178" s="2334"/>
      <c r="J1178" s="2185"/>
      <c r="K1178" s="2336"/>
      <c r="L1178" s="2335"/>
      <c r="M1178" s="1951"/>
      <c r="N1178" s="1962"/>
      <c r="O1178" s="1961">
        <v>599</v>
      </c>
      <c r="P1178" s="1951">
        <v>627</v>
      </c>
      <c r="Q1178" s="1960">
        <v>656</v>
      </c>
    </row>
    <row r="1179" spans="1:17" ht="12.75" customHeight="1">
      <c r="A1179" s="2332" t="s">
        <v>3454</v>
      </c>
      <c r="B1179" s="2185" t="s">
        <v>3545</v>
      </c>
      <c r="C1179" s="2296" t="s">
        <v>3453</v>
      </c>
      <c r="D1179" s="2296"/>
      <c r="E1179" s="2333" t="s">
        <v>3456</v>
      </c>
      <c r="F1179" s="2333" t="s">
        <v>3457</v>
      </c>
      <c r="G1179" s="2185" t="s">
        <v>3458</v>
      </c>
      <c r="H1179" s="2333"/>
      <c r="I1179" s="2334"/>
      <c r="J1179" s="2185"/>
      <c r="K1179" s="2336"/>
      <c r="L1179" s="2335"/>
      <c r="M1179" s="1951"/>
      <c r="N1179" s="1962"/>
      <c r="O1179" s="1961">
        <v>0</v>
      </c>
      <c r="P1179" s="1951">
        <v>0</v>
      </c>
      <c r="Q1179" s="1960">
        <v>0</v>
      </c>
    </row>
    <row r="1180" spans="1:17" ht="12.75" customHeight="1">
      <c r="A1180" s="2332" t="s">
        <v>3454</v>
      </c>
      <c r="B1180" s="2185" t="s">
        <v>3574</v>
      </c>
      <c r="C1180" s="2296" t="s">
        <v>3453</v>
      </c>
      <c r="D1180" s="2296"/>
      <c r="E1180" s="2333" t="s">
        <v>3456</v>
      </c>
      <c r="F1180" s="2333" t="s">
        <v>3457</v>
      </c>
      <c r="G1180" s="2185" t="s">
        <v>3481</v>
      </c>
      <c r="H1180" s="2333"/>
      <c r="I1180" s="2334"/>
      <c r="J1180" s="2185"/>
      <c r="K1180" s="2336"/>
      <c r="L1180" s="2335"/>
      <c r="M1180" s="1951"/>
      <c r="N1180" s="1962"/>
      <c r="O1180" s="1961">
        <v>0</v>
      </c>
      <c r="P1180" s="1951">
        <v>0</v>
      </c>
      <c r="Q1180" s="1960">
        <v>0</v>
      </c>
    </row>
    <row r="1181" spans="1:17" ht="12.75" customHeight="1">
      <c r="A1181" s="2332" t="s">
        <v>3508</v>
      </c>
      <c r="B1181" s="2185" t="s">
        <v>3896</v>
      </c>
      <c r="C1181" s="2296" t="s">
        <v>3453</v>
      </c>
      <c r="D1181" s="2296"/>
      <c r="E1181" s="2333" t="s">
        <v>3467</v>
      </c>
      <c r="F1181" s="2333" t="s">
        <v>3468</v>
      </c>
      <c r="G1181" s="2185" t="s">
        <v>3469</v>
      </c>
      <c r="H1181" s="2333"/>
      <c r="I1181" s="2334"/>
      <c r="J1181" s="2185"/>
      <c r="K1181" s="2336"/>
      <c r="L1181" s="2335"/>
      <c r="M1181" s="1951"/>
      <c r="N1181" s="1962"/>
      <c r="O1181" s="1961">
        <v>15000</v>
      </c>
      <c r="P1181" s="1951">
        <v>15690</v>
      </c>
      <c r="Q1181" s="1960">
        <v>16412</v>
      </c>
    </row>
    <row r="1182" spans="1:17" ht="12.75" customHeight="1">
      <c r="A1182" s="2332" t="s">
        <v>3563</v>
      </c>
      <c r="B1182" s="2185" t="s">
        <v>3659</v>
      </c>
      <c r="C1182" s="2296" t="s">
        <v>3453</v>
      </c>
      <c r="D1182" s="2296"/>
      <c r="E1182" s="2333" t="s">
        <v>3456</v>
      </c>
      <c r="F1182" s="2333" t="s">
        <v>3457</v>
      </c>
      <c r="G1182" s="2185" t="s">
        <v>3461</v>
      </c>
      <c r="H1182" s="2333"/>
      <c r="I1182" s="2334"/>
      <c r="J1182" s="2185"/>
      <c r="K1182" s="2336"/>
      <c r="L1182" s="2335"/>
      <c r="M1182" s="1951"/>
      <c r="N1182" s="1962"/>
      <c r="O1182" s="1961">
        <v>19278</v>
      </c>
      <c r="P1182" s="1951">
        <v>20165</v>
      </c>
      <c r="Q1182" s="1960">
        <v>21093</v>
      </c>
    </row>
    <row r="1183" spans="1:17" ht="12.75" customHeight="1">
      <c r="A1183" s="2332" t="s">
        <v>3483</v>
      </c>
      <c r="B1183" s="2185" t="s">
        <v>3676</v>
      </c>
      <c r="C1183" s="2296" t="s">
        <v>3453</v>
      </c>
      <c r="D1183" s="2296"/>
      <c r="E1183" s="2333" t="s">
        <v>3467</v>
      </c>
      <c r="F1183" s="2333" t="s">
        <v>3468</v>
      </c>
      <c r="G1183" s="2185" t="s">
        <v>3469</v>
      </c>
      <c r="H1183" s="2333"/>
      <c r="I1183" s="2334"/>
      <c r="J1183" s="2185"/>
      <c r="K1183" s="2336"/>
      <c r="L1183" s="2335"/>
      <c r="M1183" s="1951"/>
      <c r="N1183" s="1962"/>
      <c r="O1183" s="1961">
        <v>56601</v>
      </c>
      <c r="P1183" s="1951">
        <v>59205</v>
      </c>
      <c r="Q1183" s="1960">
        <v>61929</v>
      </c>
    </row>
    <row r="1184" spans="1:17" ht="12.75" customHeight="1">
      <c r="A1184" s="2332" t="s">
        <v>3584</v>
      </c>
      <c r="B1184" s="2185" t="s">
        <v>3585</v>
      </c>
      <c r="C1184" s="2296" t="s">
        <v>3453</v>
      </c>
      <c r="D1184" s="2296"/>
      <c r="E1184" s="2333" t="s">
        <v>3456</v>
      </c>
      <c r="F1184" s="2333" t="s">
        <v>3457</v>
      </c>
      <c r="G1184" s="2185" t="s">
        <v>3461</v>
      </c>
      <c r="H1184" s="2333"/>
      <c r="I1184" s="2334"/>
      <c r="J1184" s="2185"/>
      <c r="K1184" s="2336"/>
      <c r="L1184" s="2335"/>
      <c r="M1184" s="1951"/>
      <c r="N1184" s="1962"/>
      <c r="O1184" s="1961">
        <v>2693284</v>
      </c>
      <c r="P1184" s="1951">
        <v>2817176</v>
      </c>
      <c r="Q1184" s="1960">
        <v>2946766</v>
      </c>
    </row>
    <row r="1185" spans="1:17" ht="12.75" customHeight="1">
      <c r="A1185" s="2332" t="s">
        <v>3563</v>
      </c>
      <c r="B1185" s="2185" t="s">
        <v>3564</v>
      </c>
      <c r="C1185" s="2296" t="s">
        <v>3453</v>
      </c>
      <c r="D1185" s="2296"/>
      <c r="E1185" s="2333" t="s">
        <v>3467</v>
      </c>
      <c r="F1185" s="2333" t="s">
        <v>3468</v>
      </c>
      <c r="G1185" s="2185" t="s">
        <v>3469</v>
      </c>
      <c r="H1185" s="2333"/>
      <c r="I1185" s="2334"/>
      <c r="J1185" s="2185"/>
      <c r="K1185" s="2336"/>
      <c r="L1185" s="2335"/>
      <c r="M1185" s="1951"/>
      <c r="N1185" s="1962"/>
      <c r="O1185" s="1961">
        <v>225667</v>
      </c>
      <c r="P1185" s="1951">
        <v>236048</v>
      </c>
      <c r="Q1185" s="1960">
        <v>246906</v>
      </c>
    </row>
    <row r="1186" spans="1:17" ht="12.75" customHeight="1">
      <c r="A1186" s="2332" t="s">
        <v>3565</v>
      </c>
      <c r="B1186" s="2185" t="s">
        <v>3897</v>
      </c>
      <c r="C1186" s="2296" t="s">
        <v>3497</v>
      </c>
      <c r="D1186" s="2296"/>
      <c r="E1186" s="2333" t="s">
        <v>3467</v>
      </c>
      <c r="F1186" s="2333" t="s">
        <v>3468</v>
      </c>
      <c r="G1186" s="2185" t="s">
        <v>3469</v>
      </c>
      <c r="H1186" s="2333"/>
      <c r="I1186" s="2334"/>
      <c r="J1186" s="2185"/>
      <c r="K1186" s="2336"/>
      <c r="L1186" s="2335"/>
      <c r="M1186" s="1951"/>
      <c r="N1186" s="1962"/>
      <c r="O1186" s="1961">
        <v>400</v>
      </c>
      <c r="P1186" s="1951">
        <v>419</v>
      </c>
      <c r="Q1186" s="1960">
        <v>438</v>
      </c>
    </row>
    <row r="1187" spans="1:17" ht="12.75" customHeight="1">
      <c r="A1187" s="2332" t="s">
        <v>3565</v>
      </c>
      <c r="B1187" s="2185" t="s">
        <v>3628</v>
      </c>
      <c r="C1187" s="2296" t="s">
        <v>3453</v>
      </c>
      <c r="D1187" s="2296"/>
      <c r="E1187" s="2333" t="s">
        <v>3467</v>
      </c>
      <c r="F1187" s="2333" t="s">
        <v>3468</v>
      </c>
      <c r="G1187" s="2185" t="s">
        <v>3469</v>
      </c>
      <c r="H1187" s="2333"/>
      <c r="I1187" s="2334"/>
      <c r="J1187" s="2185"/>
      <c r="K1187" s="2336"/>
      <c r="L1187" s="2335"/>
      <c r="M1187" s="1951"/>
      <c r="N1187" s="1962"/>
      <c r="O1187" s="1961">
        <v>192657</v>
      </c>
      <c r="P1187" s="1951">
        <v>201520</v>
      </c>
      <c r="Q1187" s="1960">
        <v>210790</v>
      </c>
    </row>
    <row r="1188" spans="1:17" ht="12.75" customHeight="1">
      <c r="A1188" s="2332" t="s">
        <v>3584</v>
      </c>
      <c r="B1188" s="2185" t="s">
        <v>3608</v>
      </c>
      <c r="C1188" s="2296" t="s">
        <v>3453</v>
      </c>
      <c r="D1188" s="2296"/>
      <c r="E1188" s="2333" t="s">
        <v>3456</v>
      </c>
      <c r="F1188" s="2333" t="s">
        <v>3457</v>
      </c>
      <c r="G1188" s="2185" t="s">
        <v>3461</v>
      </c>
      <c r="H1188" s="2333"/>
      <c r="I1188" s="2334"/>
      <c r="J1188" s="2185"/>
      <c r="K1188" s="2336"/>
      <c r="L1188" s="2335"/>
      <c r="M1188" s="1951"/>
      <c r="N1188" s="1962"/>
      <c r="O1188" s="1961">
        <v>749</v>
      </c>
      <c r="P1188" s="1951">
        <v>784</v>
      </c>
      <c r="Q1188" s="1960">
        <v>820</v>
      </c>
    </row>
    <row r="1189" spans="1:17" ht="12.75" customHeight="1">
      <c r="A1189" s="2332" t="s">
        <v>3510</v>
      </c>
      <c r="B1189" s="2185" t="s">
        <v>3898</v>
      </c>
      <c r="C1189" s="2296" t="s">
        <v>3497</v>
      </c>
      <c r="D1189" s="2296"/>
      <c r="E1189" s="2333" t="s">
        <v>3456</v>
      </c>
      <c r="F1189" s="2333" t="s">
        <v>3457</v>
      </c>
      <c r="G1189" s="2185" t="s">
        <v>3458</v>
      </c>
      <c r="H1189" s="2333"/>
      <c r="I1189" s="2334"/>
      <c r="J1189" s="2185"/>
      <c r="K1189" s="2336"/>
      <c r="L1189" s="2335"/>
      <c r="M1189" s="1951"/>
      <c r="N1189" s="1962"/>
      <c r="O1189" s="1961">
        <v>1004</v>
      </c>
      <c r="P1189" s="1951">
        <v>1051</v>
      </c>
      <c r="Q1189" s="1960">
        <v>1099</v>
      </c>
    </row>
    <row r="1190" spans="1:17" ht="12.75" customHeight="1">
      <c r="A1190" s="2332" t="s">
        <v>3490</v>
      </c>
      <c r="B1190" s="2185" t="s">
        <v>3607</v>
      </c>
      <c r="C1190" s="2296" t="s">
        <v>3453</v>
      </c>
      <c r="D1190" s="2296"/>
      <c r="E1190" s="2333" t="s">
        <v>3467</v>
      </c>
      <c r="F1190" s="2333" t="s">
        <v>3468</v>
      </c>
      <c r="G1190" s="2185" t="s">
        <v>3469</v>
      </c>
      <c r="H1190" s="2333"/>
      <c r="I1190" s="2334"/>
      <c r="J1190" s="2185"/>
      <c r="K1190" s="2336"/>
      <c r="L1190" s="2335"/>
      <c r="M1190" s="1951"/>
      <c r="N1190" s="1962"/>
      <c r="O1190" s="1961">
        <v>543</v>
      </c>
      <c r="P1190" s="1951">
        <v>568</v>
      </c>
      <c r="Q1190" s="1960">
        <v>595</v>
      </c>
    </row>
    <row r="1191" spans="1:17" ht="12.75" customHeight="1">
      <c r="A1191" s="2332" t="s">
        <v>3508</v>
      </c>
      <c r="B1191" s="2185" t="s">
        <v>3899</v>
      </c>
      <c r="C1191" s="2296" t="s">
        <v>3900</v>
      </c>
      <c r="D1191" s="2296"/>
      <c r="E1191" s="2333" t="s">
        <v>3467</v>
      </c>
      <c r="F1191" s="2333" t="s">
        <v>3468</v>
      </c>
      <c r="G1191" s="2185" t="s">
        <v>3469</v>
      </c>
      <c r="H1191" s="2333"/>
      <c r="I1191" s="2334"/>
      <c r="J1191" s="2185"/>
      <c r="K1191" s="2336"/>
      <c r="L1191" s="2335"/>
      <c r="M1191" s="1951"/>
      <c r="N1191" s="1962"/>
      <c r="O1191" s="1961">
        <v>13000</v>
      </c>
      <c r="P1191" s="1951">
        <v>13598</v>
      </c>
      <c r="Q1191" s="1960">
        <v>14224</v>
      </c>
    </row>
    <row r="1192" spans="1:17" ht="12.75" customHeight="1">
      <c r="A1192" s="2332" t="s">
        <v>3454</v>
      </c>
      <c r="B1192" s="2185" t="s">
        <v>3545</v>
      </c>
      <c r="C1192" s="2296" t="s">
        <v>3453</v>
      </c>
      <c r="D1192" s="2296"/>
      <c r="E1192" s="2333" t="s">
        <v>3467</v>
      </c>
      <c r="F1192" s="2333" t="s">
        <v>3468</v>
      </c>
      <c r="G1192" s="2185" t="s">
        <v>3469</v>
      </c>
      <c r="H1192" s="2333"/>
      <c r="I1192" s="2334"/>
      <c r="J1192" s="2185"/>
      <c r="K1192" s="2336"/>
      <c r="L1192" s="2335"/>
      <c r="M1192" s="1951"/>
      <c r="N1192" s="1962"/>
      <c r="O1192" s="1961">
        <v>0</v>
      </c>
      <c r="P1192" s="1951">
        <v>0</v>
      </c>
      <c r="Q1192" s="1960">
        <v>0</v>
      </c>
    </row>
    <row r="1193" spans="1:17" ht="12.75" customHeight="1">
      <c r="A1193" s="2332" t="s">
        <v>3531</v>
      </c>
      <c r="B1193" s="2185" t="s">
        <v>3532</v>
      </c>
      <c r="C1193" s="2296" t="s">
        <v>3453</v>
      </c>
      <c r="D1193" s="2296"/>
      <c r="E1193" s="2333" t="s">
        <v>3467</v>
      </c>
      <c r="F1193" s="2333" t="s">
        <v>3468</v>
      </c>
      <c r="G1193" s="2185" t="s">
        <v>3469</v>
      </c>
      <c r="H1193" s="2333"/>
      <c r="I1193" s="2334"/>
      <c r="J1193" s="2185"/>
      <c r="K1193" s="2336"/>
      <c r="L1193" s="2335"/>
      <c r="M1193" s="1951"/>
      <c r="N1193" s="1962"/>
      <c r="O1193" s="1961">
        <v>0</v>
      </c>
      <c r="P1193" s="1951">
        <v>0</v>
      </c>
      <c r="Q1193" s="1960">
        <v>0</v>
      </c>
    </row>
    <row r="1194" spans="1:17" ht="12.75" customHeight="1">
      <c r="A1194" s="2332" t="s">
        <v>3533</v>
      </c>
      <c r="B1194" s="2185" t="s">
        <v>3901</v>
      </c>
      <c r="C1194" s="2296" t="s">
        <v>3453</v>
      </c>
      <c r="D1194" s="2296"/>
      <c r="E1194" s="2333" t="s">
        <v>3456</v>
      </c>
      <c r="F1194" s="2333" t="s">
        <v>3457</v>
      </c>
      <c r="G1194" s="2185" t="s">
        <v>3461</v>
      </c>
      <c r="H1194" s="2333"/>
      <c r="I1194" s="2334"/>
      <c r="J1194" s="2185"/>
      <c r="K1194" s="2336"/>
      <c r="L1194" s="2335"/>
      <c r="M1194" s="1951"/>
      <c r="N1194" s="1962"/>
      <c r="O1194" s="1961">
        <v>19673</v>
      </c>
      <c r="P1194" s="1951">
        <v>20578</v>
      </c>
      <c r="Q1194" s="1960">
        <v>21525</v>
      </c>
    </row>
    <row r="1195" spans="1:17" ht="12.75" customHeight="1">
      <c r="A1195" s="2332" t="s">
        <v>3563</v>
      </c>
      <c r="B1195" s="2185" t="s">
        <v>3564</v>
      </c>
      <c r="C1195" s="2296" t="s">
        <v>3453</v>
      </c>
      <c r="D1195" s="2296"/>
      <c r="E1195" s="2333" t="s">
        <v>3467</v>
      </c>
      <c r="F1195" s="2333" t="s">
        <v>3468</v>
      </c>
      <c r="G1195" s="2185" t="s">
        <v>3469</v>
      </c>
      <c r="H1195" s="2333"/>
      <c r="I1195" s="2334"/>
      <c r="J1195" s="2185"/>
      <c r="K1195" s="2336"/>
      <c r="L1195" s="2335"/>
      <c r="M1195" s="1951"/>
      <c r="N1195" s="1962"/>
      <c r="O1195" s="1961">
        <v>1253712</v>
      </c>
      <c r="P1195" s="1951">
        <v>1311383</v>
      </c>
      <c r="Q1195" s="1960">
        <v>1371707</v>
      </c>
    </row>
    <row r="1196" spans="1:17" ht="12.75" customHeight="1">
      <c r="A1196" s="2332" t="s">
        <v>3531</v>
      </c>
      <c r="B1196" s="2185" t="s">
        <v>3532</v>
      </c>
      <c r="C1196" s="2296" t="s">
        <v>3453</v>
      </c>
      <c r="D1196" s="2296"/>
      <c r="E1196" s="2333" t="s">
        <v>3456</v>
      </c>
      <c r="F1196" s="2333" t="s">
        <v>3457</v>
      </c>
      <c r="G1196" s="2185" t="s">
        <v>3458</v>
      </c>
      <c r="H1196" s="2333"/>
      <c r="I1196" s="2334"/>
      <c r="J1196" s="2185"/>
      <c r="K1196" s="2336"/>
      <c r="L1196" s="2335"/>
      <c r="M1196" s="1951"/>
      <c r="N1196" s="1962"/>
      <c r="O1196" s="1961">
        <v>0</v>
      </c>
      <c r="P1196" s="1951">
        <v>0</v>
      </c>
      <c r="Q1196" s="1960">
        <v>0</v>
      </c>
    </row>
    <row r="1197" spans="1:17" ht="12.75" customHeight="1">
      <c r="A1197" s="2332" t="s">
        <v>3572</v>
      </c>
      <c r="B1197" s="2185" t="s">
        <v>3688</v>
      </c>
      <c r="C1197" s="2296" t="s">
        <v>3453</v>
      </c>
      <c r="D1197" s="2296"/>
      <c r="E1197" s="2333" t="s">
        <v>3467</v>
      </c>
      <c r="F1197" s="2333" t="s">
        <v>3468</v>
      </c>
      <c r="G1197" s="2185" t="s">
        <v>3475</v>
      </c>
      <c r="H1197" s="2333"/>
      <c r="I1197" s="2334"/>
      <c r="J1197" s="2185"/>
      <c r="K1197" s="2336"/>
      <c r="L1197" s="2335"/>
      <c r="M1197" s="1951"/>
      <c r="N1197" s="1962"/>
      <c r="O1197" s="1961">
        <v>168</v>
      </c>
      <c r="P1197" s="1951">
        <v>176</v>
      </c>
      <c r="Q1197" s="1960">
        <v>184</v>
      </c>
    </row>
    <row r="1198" spans="1:17" ht="12.75" customHeight="1">
      <c r="A1198" s="2332" t="s">
        <v>3558</v>
      </c>
      <c r="B1198" s="2185" t="s">
        <v>3902</v>
      </c>
      <c r="C1198" s="2296" t="s">
        <v>3497</v>
      </c>
      <c r="D1198" s="2296"/>
      <c r="E1198" s="2333"/>
      <c r="F1198" s="2333"/>
      <c r="G1198" s="2185"/>
      <c r="H1198" s="2333"/>
      <c r="I1198" s="2334"/>
      <c r="J1198" s="2185"/>
      <c r="K1198" s="2336"/>
      <c r="L1198" s="2335"/>
      <c r="M1198" s="1951"/>
      <c r="N1198" s="1962"/>
      <c r="O1198" s="1961">
        <v>2000</v>
      </c>
      <c r="P1198" s="1951">
        <v>2092</v>
      </c>
      <c r="Q1198" s="1960">
        <v>2189</v>
      </c>
    </row>
    <row r="1199" spans="1:17" ht="12.75" customHeight="1">
      <c r="A1199" s="2332" t="s">
        <v>3459</v>
      </c>
      <c r="B1199" s="2185" t="s">
        <v>3616</v>
      </c>
      <c r="C1199" s="2296" t="s">
        <v>3453</v>
      </c>
      <c r="D1199" s="2296"/>
      <c r="E1199" s="2333" t="s">
        <v>3467</v>
      </c>
      <c r="F1199" s="2333" t="s">
        <v>3468</v>
      </c>
      <c r="G1199" s="2185" t="s">
        <v>3475</v>
      </c>
      <c r="H1199" s="2333"/>
      <c r="I1199" s="2334"/>
      <c r="J1199" s="2185"/>
      <c r="K1199" s="2336"/>
      <c r="L1199" s="2335"/>
      <c r="M1199" s="1951"/>
      <c r="N1199" s="1962"/>
      <c r="O1199" s="1961">
        <v>66139</v>
      </c>
      <c r="P1199" s="1951">
        <v>69182</v>
      </c>
      <c r="Q1199" s="1960">
        <v>72364</v>
      </c>
    </row>
    <row r="1200" spans="1:17" ht="12.75" customHeight="1">
      <c r="A1200" s="2332" t="s">
        <v>3477</v>
      </c>
      <c r="B1200" s="2185" t="s">
        <v>3478</v>
      </c>
      <c r="C1200" s="2296" t="s">
        <v>3453</v>
      </c>
      <c r="D1200" s="2296"/>
      <c r="E1200" s="2333" t="s">
        <v>3456</v>
      </c>
      <c r="F1200" s="2333" t="s">
        <v>3457</v>
      </c>
      <c r="G1200" s="2185" t="s">
        <v>3458</v>
      </c>
      <c r="H1200" s="2333"/>
      <c r="I1200" s="2334"/>
      <c r="J1200" s="2185"/>
      <c r="K1200" s="2336"/>
      <c r="L1200" s="2335"/>
      <c r="M1200" s="1951"/>
      <c r="N1200" s="1962"/>
      <c r="O1200" s="1961">
        <v>0</v>
      </c>
      <c r="P1200" s="1951">
        <v>0</v>
      </c>
      <c r="Q1200" s="1960">
        <v>0</v>
      </c>
    </row>
    <row r="1201" spans="1:17" ht="12.75" customHeight="1">
      <c r="A1201" s="2332" t="s">
        <v>3520</v>
      </c>
      <c r="B1201" s="2185" t="s">
        <v>3603</v>
      </c>
      <c r="C1201" s="2296" t="s">
        <v>3453</v>
      </c>
      <c r="D1201" s="2296"/>
      <c r="E1201" s="2333" t="s">
        <v>3456</v>
      </c>
      <c r="F1201" s="2333" t="s">
        <v>3457</v>
      </c>
      <c r="G1201" s="2185" t="s">
        <v>3461</v>
      </c>
      <c r="H1201" s="2333"/>
      <c r="I1201" s="2334"/>
      <c r="J1201" s="2185"/>
      <c r="K1201" s="2336"/>
      <c r="L1201" s="2335"/>
      <c r="M1201" s="1951"/>
      <c r="N1201" s="1962"/>
      <c r="O1201" s="1961">
        <v>28343</v>
      </c>
      <c r="P1201" s="1951">
        <v>29647</v>
      </c>
      <c r="Q1201" s="1960">
        <v>31011</v>
      </c>
    </row>
    <row r="1202" spans="1:17" ht="12.75" customHeight="1">
      <c r="A1202" s="2332" t="s">
        <v>3531</v>
      </c>
      <c r="B1202" s="2185" t="s">
        <v>3532</v>
      </c>
      <c r="C1202" s="2296" t="s">
        <v>3453</v>
      </c>
      <c r="D1202" s="2296"/>
      <c r="E1202" s="2333" t="s">
        <v>3525</v>
      </c>
      <c r="F1202" s="2333" t="s">
        <v>3457</v>
      </c>
      <c r="G1202" s="2185" t="s">
        <v>3526</v>
      </c>
      <c r="H1202" s="2333"/>
      <c r="I1202" s="2334"/>
      <c r="J1202" s="2185"/>
      <c r="K1202" s="2336"/>
      <c r="L1202" s="2335"/>
      <c r="M1202" s="1951"/>
      <c r="N1202" s="1962"/>
      <c r="O1202" s="1961">
        <v>0</v>
      </c>
      <c r="P1202" s="1951">
        <v>0</v>
      </c>
      <c r="Q1202" s="1960">
        <v>0</v>
      </c>
    </row>
    <row r="1203" spans="1:17" ht="12.75" customHeight="1">
      <c r="A1203" s="2332" t="s">
        <v>3565</v>
      </c>
      <c r="B1203" s="2185" t="s">
        <v>3566</v>
      </c>
      <c r="C1203" s="2296" t="s">
        <v>3453</v>
      </c>
      <c r="D1203" s="2296"/>
      <c r="E1203" s="2333" t="s">
        <v>3467</v>
      </c>
      <c r="F1203" s="2333" t="s">
        <v>3468</v>
      </c>
      <c r="G1203" s="2185" t="s">
        <v>3469</v>
      </c>
      <c r="H1203" s="2333"/>
      <c r="I1203" s="2334"/>
      <c r="J1203" s="2185"/>
      <c r="K1203" s="2336"/>
      <c r="L1203" s="2335"/>
      <c r="M1203" s="1951"/>
      <c r="N1203" s="1962"/>
      <c r="O1203" s="1961">
        <v>42141</v>
      </c>
      <c r="P1203" s="1951">
        <v>44080</v>
      </c>
      <c r="Q1203" s="1960">
        <v>46108</v>
      </c>
    </row>
    <row r="1204" spans="1:17" ht="12.75" customHeight="1">
      <c r="A1204" s="2332" t="s">
        <v>3479</v>
      </c>
      <c r="B1204" s="2185" t="s">
        <v>3716</v>
      </c>
      <c r="C1204" s="2296" t="s">
        <v>3453</v>
      </c>
      <c r="D1204" s="2296"/>
      <c r="E1204" s="2333" t="s">
        <v>3467</v>
      </c>
      <c r="F1204" s="2333" t="s">
        <v>3468</v>
      </c>
      <c r="G1204" s="2185" t="s">
        <v>2676</v>
      </c>
      <c r="H1204" s="2333"/>
      <c r="I1204" s="2334"/>
      <c r="J1204" s="2185"/>
      <c r="K1204" s="2336"/>
      <c r="L1204" s="2335"/>
      <c r="M1204" s="1951"/>
      <c r="N1204" s="1962"/>
      <c r="O1204" s="1961">
        <v>1183</v>
      </c>
      <c r="P1204" s="1951">
        <v>1238</v>
      </c>
      <c r="Q1204" s="1960">
        <v>1295</v>
      </c>
    </row>
    <row r="1205" spans="1:17" ht="12.75" customHeight="1">
      <c r="A1205" s="2332" t="s">
        <v>3464</v>
      </c>
      <c r="B1205" s="2185" t="s">
        <v>3482</v>
      </c>
      <c r="C1205" s="2296" t="s">
        <v>3453</v>
      </c>
      <c r="D1205" s="2296"/>
      <c r="E1205" s="2333" t="s">
        <v>3456</v>
      </c>
      <c r="F1205" s="2333" t="s">
        <v>3457</v>
      </c>
      <c r="G1205" s="2185" t="s">
        <v>3461</v>
      </c>
      <c r="H1205" s="2333"/>
      <c r="I1205" s="2334"/>
      <c r="J1205" s="2185"/>
      <c r="K1205" s="2336"/>
      <c r="L1205" s="2335"/>
      <c r="M1205" s="1951"/>
      <c r="N1205" s="1962"/>
      <c r="O1205" s="1961">
        <v>817687</v>
      </c>
      <c r="P1205" s="1951">
        <v>855301</v>
      </c>
      <c r="Q1205" s="1960">
        <v>894645</v>
      </c>
    </row>
    <row r="1206" spans="1:17" ht="12.75" customHeight="1">
      <c r="A1206" s="2332" t="s">
        <v>3499</v>
      </c>
      <c r="B1206" s="2185" t="s">
        <v>3589</v>
      </c>
      <c r="C1206" s="2296" t="s">
        <v>3453</v>
      </c>
      <c r="D1206" s="2296"/>
      <c r="E1206" s="2333" t="s">
        <v>3456</v>
      </c>
      <c r="F1206" s="2333" t="s">
        <v>3457</v>
      </c>
      <c r="G1206" s="2185" t="s">
        <v>3458</v>
      </c>
      <c r="H1206" s="2333"/>
      <c r="I1206" s="2334"/>
      <c r="J1206" s="2185"/>
      <c r="K1206" s="2336"/>
      <c r="L1206" s="2335"/>
      <c r="M1206" s="1951"/>
      <c r="N1206" s="1962"/>
      <c r="O1206" s="1961">
        <v>6599031</v>
      </c>
      <c r="P1206" s="1951">
        <v>6902587</v>
      </c>
      <c r="Q1206" s="1960">
        <v>7220106</v>
      </c>
    </row>
    <row r="1207" spans="1:17" ht="12.75" customHeight="1">
      <c r="A1207" s="2332" t="s">
        <v>3506</v>
      </c>
      <c r="B1207" s="2185" t="s">
        <v>3698</v>
      </c>
      <c r="C1207" s="2296" t="s">
        <v>3453</v>
      </c>
      <c r="D1207" s="2296"/>
      <c r="E1207" s="2333" t="s">
        <v>3467</v>
      </c>
      <c r="F1207" s="2333" t="s">
        <v>3468</v>
      </c>
      <c r="G1207" s="2185" t="s">
        <v>3469</v>
      </c>
      <c r="H1207" s="2333"/>
      <c r="I1207" s="2334"/>
      <c r="J1207" s="2185"/>
      <c r="K1207" s="2336"/>
      <c r="L1207" s="2335"/>
      <c r="M1207" s="1951"/>
      <c r="N1207" s="1962"/>
      <c r="O1207" s="1961">
        <v>45000</v>
      </c>
      <c r="P1207" s="1951">
        <v>47070</v>
      </c>
      <c r="Q1207" s="1960">
        <v>49236</v>
      </c>
    </row>
    <row r="1208" spans="1:17" ht="12.75" customHeight="1">
      <c r="A1208" s="2332" t="s">
        <v>3464</v>
      </c>
      <c r="B1208" s="2185" t="s">
        <v>3482</v>
      </c>
      <c r="C1208" s="2296" t="s">
        <v>3453</v>
      </c>
      <c r="D1208" s="2296"/>
      <c r="E1208" s="2333" t="s">
        <v>3456</v>
      </c>
      <c r="F1208" s="2333" t="s">
        <v>3457</v>
      </c>
      <c r="G1208" s="2185" t="s">
        <v>3481</v>
      </c>
      <c r="H1208" s="2333"/>
      <c r="I1208" s="2334"/>
      <c r="J1208" s="2185"/>
      <c r="K1208" s="2336"/>
      <c r="L1208" s="2335"/>
      <c r="M1208" s="1951"/>
      <c r="N1208" s="1962"/>
      <c r="O1208" s="1961">
        <v>30945</v>
      </c>
      <c r="P1208" s="1951">
        <v>32369</v>
      </c>
      <c r="Q1208" s="1960">
        <v>33858</v>
      </c>
    </row>
    <row r="1209" spans="1:17" ht="12.75" customHeight="1">
      <c r="A1209" s="2332" t="s">
        <v>3584</v>
      </c>
      <c r="B1209" s="2185" t="s">
        <v>3608</v>
      </c>
      <c r="C1209" s="2296" t="s">
        <v>3453</v>
      </c>
      <c r="D1209" s="2296"/>
      <c r="E1209" s="2333" t="s">
        <v>3456</v>
      </c>
      <c r="F1209" s="2333" t="s">
        <v>3457</v>
      </c>
      <c r="G1209" s="2185" t="s">
        <v>3481</v>
      </c>
      <c r="H1209" s="2333"/>
      <c r="I1209" s="2334"/>
      <c r="J1209" s="2185"/>
      <c r="K1209" s="2336"/>
      <c r="L1209" s="2335"/>
      <c r="M1209" s="1951"/>
      <c r="N1209" s="1962"/>
      <c r="O1209" s="1961">
        <v>0</v>
      </c>
      <c r="P1209" s="1951">
        <v>0</v>
      </c>
      <c r="Q1209" s="1960">
        <v>1</v>
      </c>
    </row>
    <row r="1210" spans="1:17" ht="12.75" customHeight="1">
      <c r="A1210" s="2332" t="s">
        <v>3483</v>
      </c>
      <c r="B1210" s="2185" t="s">
        <v>3903</v>
      </c>
      <c r="C1210" s="2296" t="s">
        <v>3497</v>
      </c>
      <c r="D1210" s="2296"/>
      <c r="E1210" s="2333" t="s">
        <v>3467</v>
      </c>
      <c r="F1210" s="2333" t="s">
        <v>3468</v>
      </c>
      <c r="G1210" s="2185" t="s">
        <v>3469</v>
      </c>
      <c r="H1210" s="2333"/>
      <c r="I1210" s="2334"/>
      <c r="J1210" s="2185"/>
      <c r="K1210" s="2336"/>
      <c r="L1210" s="2335"/>
      <c r="M1210" s="1951"/>
      <c r="N1210" s="1962"/>
      <c r="O1210" s="1961">
        <v>3000</v>
      </c>
      <c r="P1210" s="1951">
        <v>3138</v>
      </c>
      <c r="Q1210" s="1960">
        <v>3283</v>
      </c>
    </row>
    <row r="1211" spans="1:17" ht="12.75" customHeight="1">
      <c r="A1211" s="2332" t="s">
        <v>3531</v>
      </c>
      <c r="B1211" s="2185" t="s">
        <v>3532</v>
      </c>
      <c r="C1211" s="2296" t="s">
        <v>3453</v>
      </c>
      <c r="D1211" s="2296"/>
      <c r="E1211" s="2333" t="s">
        <v>3456</v>
      </c>
      <c r="F1211" s="2333" t="s">
        <v>3457</v>
      </c>
      <c r="G1211" s="2185" t="s">
        <v>3461</v>
      </c>
      <c r="H1211" s="2333"/>
      <c r="I1211" s="2334"/>
      <c r="J1211" s="2185"/>
      <c r="K1211" s="2336"/>
      <c r="L1211" s="2335"/>
      <c r="M1211" s="1951"/>
      <c r="N1211" s="1962"/>
      <c r="O1211" s="1961">
        <v>0</v>
      </c>
      <c r="P1211" s="1951">
        <v>0</v>
      </c>
      <c r="Q1211" s="1960">
        <v>0</v>
      </c>
    </row>
    <row r="1212" spans="1:17" ht="12.75" customHeight="1">
      <c r="A1212" s="2332" t="s">
        <v>3541</v>
      </c>
      <c r="B1212" s="2185" t="s">
        <v>3542</v>
      </c>
      <c r="C1212" s="2296" t="s">
        <v>3453</v>
      </c>
      <c r="D1212" s="2296"/>
      <c r="E1212" s="2333" t="s">
        <v>3467</v>
      </c>
      <c r="F1212" s="2333" t="s">
        <v>3468</v>
      </c>
      <c r="G1212" s="2185" t="s">
        <v>3469</v>
      </c>
      <c r="H1212" s="2333"/>
      <c r="I1212" s="2334"/>
      <c r="J1212" s="2185"/>
      <c r="K1212" s="2336"/>
      <c r="L1212" s="2335"/>
      <c r="M1212" s="1951"/>
      <c r="N1212" s="1962"/>
      <c r="O1212" s="1961">
        <v>2563</v>
      </c>
      <c r="P1212" s="1951">
        <v>2681</v>
      </c>
      <c r="Q1212" s="1960">
        <v>2805</v>
      </c>
    </row>
    <row r="1213" spans="1:17" ht="12.75" customHeight="1">
      <c r="A1213" s="2332" t="s">
        <v>3464</v>
      </c>
      <c r="B1213" s="2185" t="s">
        <v>3556</v>
      </c>
      <c r="C1213" s="2296" t="s">
        <v>3453</v>
      </c>
      <c r="D1213" s="2296"/>
      <c r="E1213" s="2333" t="s">
        <v>3467</v>
      </c>
      <c r="F1213" s="2333" t="s">
        <v>3468</v>
      </c>
      <c r="G1213" s="2185" t="s">
        <v>3469</v>
      </c>
      <c r="H1213" s="2333"/>
      <c r="I1213" s="2334"/>
      <c r="J1213" s="2185"/>
      <c r="K1213" s="2336"/>
      <c r="L1213" s="2335"/>
      <c r="M1213" s="1951"/>
      <c r="N1213" s="1962"/>
      <c r="O1213" s="1961">
        <v>180207</v>
      </c>
      <c r="P1213" s="1951">
        <v>188497</v>
      </c>
      <c r="Q1213" s="1960">
        <v>197168</v>
      </c>
    </row>
    <row r="1214" spans="1:17" ht="12.75" customHeight="1">
      <c r="A1214" s="2332" t="s">
        <v>3464</v>
      </c>
      <c r="B1214" s="2185" t="s">
        <v>3632</v>
      </c>
      <c r="C1214" s="2296" t="s">
        <v>3453</v>
      </c>
      <c r="D1214" s="2296"/>
      <c r="E1214" s="2333" t="s">
        <v>3525</v>
      </c>
      <c r="F1214" s="2333" t="s">
        <v>3457</v>
      </c>
      <c r="G1214" s="2185" t="s">
        <v>3526</v>
      </c>
      <c r="H1214" s="2333"/>
      <c r="I1214" s="2334"/>
      <c r="J1214" s="2185"/>
      <c r="K1214" s="2336"/>
      <c r="L1214" s="2335"/>
      <c r="M1214" s="1951"/>
      <c r="N1214" s="1962"/>
      <c r="O1214" s="1961">
        <v>41123</v>
      </c>
      <c r="P1214" s="1951">
        <v>43015</v>
      </c>
      <c r="Q1214" s="1960">
        <v>44994</v>
      </c>
    </row>
    <row r="1215" spans="1:17" ht="12.75" customHeight="1">
      <c r="A1215" s="2332" t="s">
        <v>3576</v>
      </c>
      <c r="B1215" s="2185" t="s">
        <v>3596</v>
      </c>
      <c r="C1215" s="2296" t="s">
        <v>3453</v>
      </c>
      <c r="D1215" s="2296"/>
      <c r="E1215" s="2333" t="s">
        <v>3467</v>
      </c>
      <c r="F1215" s="2333" t="s">
        <v>3468</v>
      </c>
      <c r="G1215" s="2185" t="s">
        <v>3469</v>
      </c>
      <c r="H1215" s="2333"/>
      <c r="I1215" s="2334"/>
      <c r="J1215" s="2185"/>
      <c r="K1215" s="2336"/>
      <c r="L1215" s="2335"/>
      <c r="M1215" s="1951"/>
      <c r="N1215" s="1962"/>
      <c r="O1215" s="1961">
        <v>230261</v>
      </c>
      <c r="P1215" s="1951">
        <v>240854</v>
      </c>
      <c r="Q1215" s="1960">
        <v>251933</v>
      </c>
    </row>
    <row r="1216" spans="1:17" ht="12.75" customHeight="1">
      <c r="A1216" s="2332" t="s">
        <v>3454</v>
      </c>
      <c r="B1216" s="2185" t="s">
        <v>3545</v>
      </c>
      <c r="C1216" s="2296" t="s">
        <v>3453</v>
      </c>
      <c r="D1216" s="2296"/>
      <c r="E1216" s="2333" t="s">
        <v>3456</v>
      </c>
      <c r="F1216" s="2333" t="s">
        <v>3457</v>
      </c>
      <c r="G1216" s="2185" t="s">
        <v>3458</v>
      </c>
      <c r="H1216" s="2333"/>
      <c r="I1216" s="2334"/>
      <c r="J1216" s="2185"/>
      <c r="K1216" s="2336"/>
      <c r="L1216" s="2335"/>
      <c r="M1216" s="1951"/>
      <c r="N1216" s="1962"/>
      <c r="O1216" s="1961">
        <v>0</v>
      </c>
      <c r="P1216" s="1951">
        <v>0</v>
      </c>
      <c r="Q1216" s="1960">
        <v>0</v>
      </c>
    </row>
    <row r="1217" spans="1:17" ht="12.75" customHeight="1">
      <c r="A1217" s="2332" t="s">
        <v>3459</v>
      </c>
      <c r="B1217" s="2185" t="s">
        <v>3904</v>
      </c>
      <c r="C1217" s="2296" t="s">
        <v>3453</v>
      </c>
      <c r="D1217" s="2296"/>
      <c r="E1217" s="2333" t="s">
        <v>3456</v>
      </c>
      <c r="F1217" s="2333" t="s">
        <v>3457</v>
      </c>
      <c r="G1217" s="2185" t="s">
        <v>3461</v>
      </c>
      <c r="H1217" s="2333"/>
      <c r="I1217" s="2334"/>
      <c r="J1217" s="2185"/>
      <c r="K1217" s="2336"/>
      <c r="L1217" s="2335"/>
      <c r="M1217" s="1951"/>
      <c r="N1217" s="1962"/>
      <c r="O1217" s="1961">
        <v>75988</v>
      </c>
      <c r="P1217" s="1951">
        <v>79484</v>
      </c>
      <c r="Q1217" s="1960">
        <v>83140</v>
      </c>
    </row>
    <row r="1218" spans="1:17" ht="12.75" customHeight="1">
      <c r="A1218" s="2332" t="s">
        <v>3572</v>
      </c>
      <c r="B1218" s="2185" t="s">
        <v>3688</v>
      </c>
      <c r="C1218" s="2296" t="s">
        <v>3453</v>
      </c>
      <c r="D1218" s="2296"/>
      <c r="E1218" s="2333" t="s">
        <v>3467</v>
      </c>
      <c r="F1218" s="2333" t="s">
        <v>3468</v>
      </c>
      <c r="G1218" s="2185" t="s">
        <v>3475</v>
      </c>
      <c r="H1218" s="2333"/>
      <c r="I1218" s="2334"/>
      <c r="J1218" s="2185"/>
      <c r="K1218" s="2336"/>
      <c r="L1218" s="2335"/>
      <c r="M1218" s="1951"/>
      <c r="N1218" s="1962"/>
      <c r="O1218" s="1961">
        <v>60092</v>
      </c>
      <c r="P1218" s="1951">
        <v>62856</v>
      </c>
      <c r="Q1218" s="1960">
        <v>65748</v>
      </c>
    </row>
    <row r="1219" spans="1:17" ht="12.75" customHeight="1">
      <c r="A1219" s="2332" t="s">
        <v>3536</v>
      </c>
      <c r="B1219" s="2185" t="s">
        <v>3537</v>
      </c>
      <c r="C1219" s="2296" t="s">
        <v>3453</v>
      </c>
      <c r="D1219" s="2296"/>
      <c r="E1219" s="2333" t="s">
        <v>3467</v>
      </c>
      <c r="F1219" s="2333" t="s">
        <v>3468</v>
      </c>
      <c r="G1219" s="2185" t="s">
        <v>3475</v>
      </c>
      <c r="H1219" s="2333"/>
      <c r="I1219" s="2334"/>
      <c r="J1219" s="2185"/>
      <c r="K1219" s="2336"/>
      <c r="L1219" s="2335"/>
      <c r="M1219" s="1951"/>
      <c r="N1219" s="1962"/>
      <c r="O1219" s="1961">
        <v>31063</v>
      </c>
      <c r="P1219" s="1951">
        <v>32492</v>
      </c>
      <c r="Q1219" s="1960">
        <v>33987</v>
      </c>
    </row>
    <row r="1220" spans="1:17" ht="12.75" customHeight="1">
      <c r="A1220" s="2332" t="s">
        <v>3531</v>
      </c>
      <c r="B1220" s="2185" t="s">
        <v>3532</v>
      </c>
      <c r="C1220" s="2296" t="s">
        <v>3453</v>
      </c>
      <c r="D1220" s="2296"/>
      <c r="E1220" s="2333" t="s">
        <v>3467</v>
      </c>
      <c r="F1220" s="2333" t="s">
        <v>3468</v>
      </c>
      <c r="G1220" s="2185" t="s">
        <v>3475</v>
      </c>
      <c r="H1220" s="2333"/>
      <c r="I1220" s="2334"/>
      <c r="J1220" s="2185"/>
      <c r="K1220" s="2336"/>
      <c r="L1220" s="2335"/>
      <c r="M1220" s="1951"/>
      <c r="N1220" s="1962"/>
      <c r="O1220" s="1961">
        <v>0</v>
      </c>
      <c r="P1220" s="1951">
        <v>0</v>
      </c>
      <c r="Q1220" s="1960">
        <v>0</v>
      </c>
    </row>
    <row r="1221" spans="1:17" ht="12.75" customHeight="1">
      <c r="A1221" s="2332" t="s">
        <v>3531</v>
      </c>
      <c r="B1221" s="2185" t="s">
        <v>3532</v>
      </c>
      <c r="C1221" s="2296" t="s">
        <v>3453</v>
      </c>
      <c r="D1221" s="2296"/>
      <c r="E1221" s="2333" t="s">
        <v>3467</v>
      </c>
      <c r="F1221" s="2333" t="s">
        <v>3468</v>
      </c>
      <c r="G1221" s="2185" t="s">
        <v>3469</v>
      </c>
      <c r="H1221" s="2333"/>
      <c r="I1221" s="2334"/>
      <c r="J1221" s="2185"/>
      <c r="K1221" s="2336"/>
      <c r="L1221" s="2335"/>
      <c r="M1221" s="1951"/>
      <c r="N1221" s="1962"/>
      <c r="O1221" s="1961">
        <v>0</v>
      </c>
      <c r="P1221" s="1951">
        <v>0</v>
      </c>
      <c r="Q1221" s="1960">
        <v>0</v>
      </c>
    </row>
    <row r="1222" spans="1:17" ht="12.75" customHeight="1">
      <c r="A1222" s="2332" t="s">
        <v>3464</v>
      </c>
      <c r="B1222" s="2185" t="s">
        <v>3690</v>
      </c>
      <c r="C1222" s="2296" t="s">
        <v>3453</v>
      </c>
      <c r="D1222" s="2296"/>
      <c r="E1222" s="2333" t="s">
        <v>3467</v>
      </c>
      <c r="F1222" s="2333" t="s">
        <v>3468</v>
      </c>
      <c r="G1222" s="2185" t="s">
        <v>3469</v>
      </c>
      <c r="H1222" s="2333"/>
      <c r="I1222" s="2334"/>
      <c r="J1222" s="2185"/>
      <c r="K1222" s="2336"/>
      <c r="L1222" s="2335"/>
      <c r="M1222" s="1951"/>
      <c r="N1222" s="1962"/>
      <c r="O1222" s="1961">
        <v>32130</v>
      </c>
      <c r="P1222" s="1951">
        <v>33608</v>
      </c>
      <c r="Q1222" s="1960">
        <v>35154</v>
      </c>
    </row>
    <row r="1223" spans="1:17" ht="12.75" customHeight="1">
      <c r="A1223" s="2332" t="s">
        <v>3538</v>
      </c>
      <c r="B1223" s="2185" t="s">
        <v>3678</v>
      </c>
      <c r="C1223" s="2296" t="s">
        <v>3453</v>
      </c>
      <c r="D1223" s="2296"/>
      <c r="E1223" s="2333" t="s">
        <v>3467</v>
      </c>
      <c r="F1223" s="2333" t="s">
        <v>3468</v>
      </c>
      <c r="G1223" s="2185" t="s">
        <v>3469</v>
      </c>
      <c r="H1223" s="2333"/>
      <c r="I1223" s="2334"/>
      <c r="J1223" s="2185"/>
      <c r="K1223" s="2336"/>
      <c r="L1223" s="2335"/>
      <c r="M1223" s="1951"/>
      <c r="N1223" s="1962"/>
      <c r="O1223" s="1961">
        <v>4331</v>
      </c>
      <c r="P1223" s="1951">
        <v>4531</v>
      </c>
      <c r="Q1223" s="1960">
        <v>4739</v>
      </c>
    </row>
    <row r="1224" spans="1:17" ht="12.75" customHeight="1">
      <c r="A1224" s="2332" t="s">
        <v>3459</v>
      </c>
      <c r="B1224" s="2185" t="s">
        <v>3680</v>
      </c>
      <c r="C1224" s="2296" t="s">
        <v>3453</v>
      </c>
      <c r="D1224" s="2296"/>
      <c r="E1224" s="2333" t="s">
        <v>3456</v>
      </c>
      <c r="F1224" s="2333" t="s">
        <v>3457</v>
      </c>
      <c r="G1224" s="2185" t="s">
        <v>3481</v>
      </c>
      <c r="H1224" s="2333"/>
      <c r="I1224" s="2334"/>
      <c r="J1224" s="2185"/>
      <c r="K1224" s="2336"/>
      <c r="L1224" s="2335"/>
      <c r="M1224" s="1951"/>
      <c r="N1224" s="1962"/>
      <c r="O1224" s="1961">
        <v>1400000</v>
      </c>
      <c r="P1224" s="1951">
        <v>1464400</v>
      </c>
      <c r="Q1224" s="1960">
        <v>1531763</v>
      </c>
    </row>
    <row r="1225" spans="1:17" ht="12.75" customHeight="1">
      <c r="A1225" s="2332" t="s">
        <v>3479</v>
      </c>
      <c r="B1225" s="2185" t="s">
        <v>3749</v>
      </c>
      <c r="C1225" s="2296" t="s">
        <v>3453</v>
      </c>
      <c r="D1225" s="2296"/>
      <c r="E1225" s="2333" t="s">
        <v>3467</v>
      </c>
      <c r="F1225" s="2333" t="s">
        <v>3468</v>
      </c>
      <c r="G1225" s="2185" t="s">
        <v>3469</v>
      </c>
      <c r="H1225" s="2333"/>
      <c r="I1225" s="2334"/>
      <c r="J1225" s="2185"/>
      <c r="K1225" s="2336"/>
      <c r="L1225" s="2335"/>
      <c r="M1225" s="1951"/>
      <c r="N1225" s="1962"/>
      <c r="O1225" s="1961">
        <v>0</v>
      </c>
      <c r="P1225" s="1951">
        <v>0</v>
      </c>
      <c r="Q1225" s="1960">
        <v>0</v>
      </c>
    </row>
    <row r="1226" spans="1:17" ht="12.75" customHeight="1">
      <c r="A1226" s="2332" t="s">
        <v>3520</v>
      </c>
      <c r="B1226" s="2185" t="s">
        <v>3593</v>
      </c>
      <c r="C1226" s="2296" t="s">
        <v>3453</v>
      </c>
      <c r="D1226" s="2296"/>
      <c r="E1226" s="2333" t="s">
        <v>3467</v>
      </c>
      <c r="F1226" s="2333" t="s">
        <v>3468</v>
      </c>
      <c r="G1226" s="2185" t="s">
        <v>2676</v>
      </c>
      <c r="H1226" s="2333"/>
      <c r="I1226" s="2334"/>
      <c r="J1226" s="2185"/>
      <c r="K1226" s="2336"/>
      <c r="L1226" s="2335"/>
      <c r="M1226" s="1951"/>
      <c r="N1226" s="1962"/>
      <c r="O1226" s="1961">
        <v>11667</v>
      </c>
      <c r="P1226" s="1951">
        <v>12204</v>
      </c>
      <c r="Q1226" s="1960">
        <v>12766</v>
      </c>
    </row>
    <row r="1227" spans="1:17" ht="12.75" customHeight="1">
      <c r="A1227" s="2332" t="s">
        <v>3572</v>
      </c>
      <c r="B1227" s="2185" t="s">
        <v>3573</v>
      </c>
      <c r="C1227" s="2296" t="s">
        <v>3453</v>
      </c>
      <c r="D1227" s="2296"/>
      <c r="E1227" s="2333" t="s">
        <v>3467</v>
      </c>
      <c r="F1227" s="2333" t="s">
        <v>3468</v>
      </c>
      <c r="G1227" s="2185" t="s">
        <v>2676</v>
      </c>
      <c r="H1227" s="2333"/>
      <c r="I1227" s="2334"/>
      <c r="J1227" s="2185"/>
      <c r="K1227" s="2336"/>
      <c r="L1227" s="2335"/>
      <c r="M1227" s="1951"/>
      <c r="N1227" s="1962"/>
      <c r="O1227" s="1961">
        <v>588118</v>
      </c>
      <c r="P1227" s="1951">
        <v>615172</v>
      </c>
      <c r="Q1227" s="1960">
        <v>643470</v>
      </c>
    </row>
    <row r="1228" spans="1:17" ht="12.75" customHeight="1">
      <c r="A1228" s="2332" t="s">
        <v>3485</v>
      </c>
      <c r="B1228" s="2185" t="s">
        <v>3486</v>
      </c>
      <c r="C1228" s="2296" t="s">
        <v>3453</v>
      </c>
      <c r="D1228" s="2296"/>
      <c r="E1228" s="2333" t="s">
        <v>3456</v>
      </c>
      <c r="F1228" s="2333" t="s">
        <v>3457</v>
      </c>
      <c r="G1228" s="2185" t="s">
        <v>3458</v>
      </c>
      <c r="H1228" s="2333"/>
      <c r="I1228" s="2334"/>
      <c r="J1228" s="2185"/>
      <c r="K1228" s="2336"/>
      <c r="L1228" s="2335"/>
      <c r="M1228" s="1951"/>
      <c r="N1228" s="1962"/>
      <c r="O1228" s="1961">
        <v>2501359</v>
      </c>
      <c r="P1228" s="1951">
        <v>2616422</v>
      </c>
      <c r="Q1228" s="1960">
        <v>2736777</v>
      </c>
    </row>
    <row r="1229" spans="1:17" ht="12.75" customHeight="1">
      <c r="A1229" s="2332" t="s">
        <v>3464</v>
      </c>
      <c r="B1229" s="2185" t="s">
        <v>3905</v>
      </c>
      <c r="C1229" s="2296" t="s">
        <v>3453</v>
      </c>
      <c r="D1229" s="2296"/>
      <c r="E1229" s="2333" t="s">
        <v>3456</v>
      </c>
      <c r="F1229" s="2333" t="s">
        <v>3457</v>
      </c>
      <c r="G1229" s="2185" t="s">
        <v>3461</v>
      </c>
      <c r="H1229" s="2333"/>
      <c r="I1229" s="2334"/>
      <c r="J1229" s="2185"/>
      <c r="K1229" s="2336"/>
      <c r="L1229" s="2335"/>
      <c r="M1229" s="1951"/>
      <c r="N1229" s="1962"/>
      <c r="O1229" s="1961">
        <v>6183</v>
      </c>
      <c r="P1229" s="1951">
        <v>6468</v>
      </c>
      <c r="Q1229" s="1960">
        <v>6765</v>
      </c>
    </row>
    <row r="1230" spans="1:17" ht="12.75" customHeight="1">
      <c r="A1230" s="2332" t="s">
        <v>3459</v>
      </c>
      <c r="B1230" s="2185" t="s">
        <v>3906</v>
      </c>
      <c r="C1230" s="2296" t="s">
        <v>3463</v>
      </c>
      <c r="D1230" s="2296"/>
      <c r="E1230" s="2333" t="s">
        <v>3467</v>
      </c>
      <c r="F1230" s="2333" t="s">
        <v>3468</v>
      </c>
      <c r="G1230" s="2185" t="s">
        <v>3469</v>
      </c>
      <c r="H1230" s="2333"/>
      <c r="I1230" s="2334"/>
      <c r="J1230" s="2185"/>
      <c r="K1230" s="2336"/>
      <c r="L1230" s="2335"/>
      <c r="M1230" s="1951"/>
      <c r="N1230" s="1962"/>
      <c r="O1230" s="1961">
        <v>1910</v>
      </c>
      <c r="P1230" s="1951">
        <v>1998</v>
      </c>
      <c r="Q1230" s="1960">
        <v>2090</v>
      </c>
    </row>
    <row r="1231" spans="1:17" ht="12.75" customHeight="1">
      <c r="A1231" s="2332" t="s">
        <v>3459</v>
      </c>
      <c r="B1231" s="2185" t="s">
        <v>3669</v>
      </c>
      <c r="C1231" s="2296" t="s">
        <v>3453</v>
      </c>
      <c r="D1231" s="2296"/>
      <c r="E1231" s="2333" t="s">
        <v>3525</v>
      </c>
      <c r="F1231" s="2333" t="s">
        <v>3457</v>
      </c>
      <c r="G1231" s="2185" t="s">
        <v>3526</v>
      </c>
      <c r="H1231" s="2333"/>
      <c r="I1231" s="2334"/>
      <c r="J1231" s="2185"/>
      <c r="K1231" s="2336"/>
      <c r="L1231" s="2335"/>
      <c r="M1231" s="1951"/>
      <c r="N1231" s="1962"/>
      <c r="O1231" s="1961">
        <v>168309</v>
      </c>
      <c r="P1231" s="1951">
        <v>176052</v>
      </c>
      <c r="Q1231" s="1960">
        <v>184150</v>
      </c>
    </row>
    <row r="1232" spans="1:17" ht="12.75" customHeight="1">
      <c r="A1232" s="2332" t="s">
        <v>3454</v>
      </c>
      <c r="B1232" s="2185" t="s">
        <v>3545</v>
      </c>
      <c r="C1232" s="2296" t="s">
        <v>3453</v>
      </c>
      <c r="D1232" s="2296"/>
      <c r="E1232" s="2333" t="s">
        <v>3467</v>
      </c>
      <c r="F1232" s="2333" t="s">
        <v>3468</v>
      </c>
      <c r="G1232" s="2185" t="s">
        <v>2676</v>
      </c>
      <c r="H1232" s="2333"/>
      <c r="I1232" s="2334"/>
      <c r="J1232" s="2185"/>
      <c r="K1232" s="2336"/>
      <c r="L1232" s="2335"/>
      <c r="M1232" s="1951"/>
      <c r="N1232" s="1962"/>
      <c r="O1232" s="1961">
        <v>0</v>
      </c>
      <c r="P1232" s="1951">
        <v>0</v>
      </c>
      <c r="Q1232" s="1960">
        <v>0</v>
      </c>
    </row>
    <row r="1233" spans="1:17" ht="12.75" customHeight="1">
      <c r="A1233" s="2332" t="s">
        <v>3533</v>
      </c>
      <c r="B1233" s="2185" t="s">
        <v>3635</v>
      </c>
      <c r="C1233" s="2296" t="s">
        <v>3453</v>
      </c>
      <c r="D1233" s="2296"/>
      <c r="E1233" s="2333" t="s">
        <v>3456</v>
      </c>
      <c r="F1233" s="2333" t="s">
        <v>3457</v>
      </c>
      <c r="G1233" s="2185" t="s">
        <v>3481</v>
      </c>
      <c r="H1233" s="2333"/>
      <c r="I1233" s="2334"/>
      <c r="J1233" s="2185"/>
      <c r="K1233" s="2336"/>
      <c r="L1233" s="2335"/>
      <c r="M1233" s="1951"/>
      <c r="N1233" s="1962"/>
      <c r="O1233" s="1961">
        <v>46468</v>
      </c>
      <c r="P1233" s="1951">
        <v>48606</v>
      </c>
      <c r="Q1233" s="1960">
        <v>50842</v>
      </c>
    </row>
    <row r="1234" spans="1:17" ht="12.75" customHeight="1">
      <c r="A1234" s="2332" t="s">
        <v>3451</v>
      </c>
      <c r="B1234" s="2185" t="s">
        <v>3671</v>
      </c>
      <c r="C1234" s="2296" t="s">
        <v>3453</v>
      </c>
      <c r="D1234" s="2296"/>
      <c r="E1234" s="2333" t="s">
        <v>3513</v>
      </c>
      <c r="F1234" s="2333" t="s">
        <v>3514</v>
      </c>
      <c r="G1234" s="2185" t="s">
        <v>3515</v>
      </c>
      <c r="H1234" s="2333"/>
      <c r="I1234" s="2334"/>
      <c r="J1234" s="2185"/>
      <c r="K1234" s="2336"/>
      <c r="L1234" s="2335"/>
      <c r="M1234" s="1951"/>
      <c r="N1234" s="1962"/>
      <c r="O1234" s="1961">
        <v>2000</v>
      </c>
      <c r="P1234" s="1951">
        <v>2000</v>
      </c>
      <c r="Q1234" s="1960">
        <v>2000</v>
      </c>
    </row>
    <row r="1235" spans="1:17" ht="12.75" customHeight="1">
      <c r="A1235" s="2332" t="s">
        <v>3520</v>
      </c>
      <c r="B1235" s="2185" t="s">
        <v>3907</v>
      </c>
      <c r="C1235" s="2296" t="s">
        <v>3453</v>
      </c>
      <c r="D1235" s="2296"/>
      <c r="E1235" s="2333" t="s">
        <v>3456</v>
      </c>
      <c r="F1235" s="2333" t="s">
        <v>3457</v>
      </c>
      <c r="G1235" s="2185" t="s">
        <v>3461</v>
      </c>
      <c r="H1235" s="2333"/>
      <c r="I1235" s="2334"/>
      <c r="J1235" s="2185"/>
      <c r="K1235" s="2336"/>
      <c r="L1235" s="2335"/>
      <c r="M1235" s="1951"/>
      <c r="N1235" s="1962"/>
      <c r="O1235" s="1961">
        <v>56496</v>
      </c>
      <c r="P1235" s="1951">
        <v>59095</v>
      </c>
      <c r="Q1235" s="1960">
        <v>61814</v>
      </c>
    </row>
    <row r="1236" spans="1:17" ht="12.75" customHeight="1">
      <c r="A1236" s="2332" t="s">
        <v>3523</v>
      </c>
      <c r="B1236" s="2185" t="s">
        <v>3626</v>
      </c>
      <c r="C1236" s="2296" t="s">
        <v>3453</v>
      </c>
      <c r="D1236" s="2296"/>
      <c r="E1236" s="2333" t="s">
        <v>3467</v>
      </c>
      <c r="F1236" s="2333" t="s">
        <v>3468</v>
      </c>
      <c r="G1236" s="2185" t="s">
        <v>2676</v>
      </c>
      <c r="H1236" s="2333"/>
      <c r="I1236" s="2334"/>
      <c r="J1236" s="2185"/>
      <c r="K1236" s="2336"/>
      <c r="L1236" s="2335"/>
      <c r="M1236" s="1951"/>
      <c r="N1236" s="1962"/>
      <c r="O1236" s="1961">
        <v>849349</v>
      </c>
      <c r="P1236" s="1951">
        <v>888420</v>
      </c>
      <c r="Q1236" s="1960">
        <v>929287</v>
      </c>
    </row>
    <row r="1237" spans="1:17" ht="12.75" customHeight="1">
      <c r="A1237" s="2332" t="s">
        <v>3584</v>
      </c>
      <c r="B1237" s="2185" t="s">
        <v>3585</v>
      </c>
      <c r="C1237" s="2296" t="s">
        <v>3453</v>
      </c>
      <c r="D1237" s="2296"/>
      <c r="E1237" s="2333" t="s">
        <v>3467</v>
      </c>
      <c r="F1237" s="2333" t="s">
        <v>3468</v>
      </c>
      <c r="G1237" s="2185" t="s">
        <v>3475</v>
      </c>
      <c r="H1237" s="2333"/>
      <c r="I1237" s="2334"/>
      <c r="J1237" s="2185"/>
      <c r="K1237" s="2336"/>
      <c r="L1237" s="2335"/>
      <c r="M1237" s="1951"/>
      <c r="N1237" s="1962"/>
      <c r="O1237" s="1961">
        <v>36137</v>
      </c>
      <c r="P1237" s="1951">
        <v>37800</v>
      </c>
      <c r="Q1237" s="1960">
        <v>39539</v>
      </c>
    </row>
    <row r="1238" spans="1:17" ht="12.75" customHeight="1">
      <c r="A1238" s="2332" t="s">
        <v>3541</v>
      </c>
      <c r="B1238" s="2185" t="s">
        <v>3908</v>
      </c>
      <c r="C1238" s="2296" t="s">
        <v>3453</v>
      </c>
      <c r="D1238" s="2296"/>
      <c r="E1238" s="2333"/>
      <c r="F1238" s="2333"/>
      <c r="G1238" s="2185"/>
      <c r="H1238" s="2333"/>
      <c r="I1238" s="2334"/>
      <c r="J1238" s="2185"/>
      <c r="K1238" s="2336"/>
      <c r="L1238" s="2335"/>
      <c r="M1238" s="1951"/>
      <c r="N1238" s="1962"/>
      <c r="O1238" s="1961">
        <v>8330</v>
      </c>
      <c r="P1238" s="1951">
        <v>8330</v>
      </c>
      <c r="Q1238" s="1960">
        <v>8714</v>
      </c>
    </row>
    <row r="1239" spans="1:17" ht="12.75" customHeight="1">
      <c r="A1239" s="2332" t="s">
        <v>3490</v>
      </c>
      <c r="B1239" s="2185" t="s">
        <v>3494</v>
      </c>
      <c r="C1239" s="2296" t="s">
        <v>3453</v>
      </c>
      <c r="D1239" s="2296"/>
      <c r="E1239" s="2333" t="s">
        <v>3467</v>
      </c>
      <c r="F1239" s="2333" t="s">
        <v>3468</v>
      </c>
      <c r="G1239" s="2185" t="s">
        <v>3475</v>
      </c>
      <c r="H1239" s="2333"/>
      <c r="I1239" s="2334"/>
      <c r="J1239" s="2185"/>
      <c r="K1239" s="2336"/>
      <c r="L1239" s="2335"/>
      <c r="M1239" s="1951"/>
      <c r="N1239" s="1962"/>
      <c r="O1239" s="1961">
        <v>2444</v>
      </c>
      <c r="P1239" s="1951">
        <v>2557</v>
      </c>
      <c r="Q1239" s="1960">
        <v>2675</v>
      </c>
    </row>
    <row r="1240" spans="1:17" ht="12.75" customHeight="1">
      <c r="A1240" s="2332" t="s">
        <v>3531</v>
      </c>
      <c r="B1240" s="2185" t="s">
        <v>3532</v>
      </c>
      <c r="C1240" s="2296" t="s">
        <v>3453</v>
      </c>
      <c r="D1240" s="2296"/>
      <c r="E1240" s="2333" t="s">
        <v>3456</v>
      </c>
      <c r="F1240" s="2333" t="s">
        <v>3457</v>
      </c>
      <c r="G1240" s="2185" t="s">
        <v>3461</v>
      </c>
      <c r="H1240" s="2333"/>
      <c r="I1240" s="2334"/>
      <c r="J1240" s="2185"/>
      <c r="K1240" s="2336"/>
      <c r="L1240" s="2335"/>
      <c r="M1240" s="1951"/>
      <c r="N1240" s="1962"/>
      <c r="O1240" s="1961">
        <v>0</v>
      </c>
      <c r="P1240" s="1951">
        <v>0</v>
      </c>
      <c r="Q1240" s="1960">
        <v>0</v>
      </c>
    </row>
    <row r="1241" spans="1:17" ht="12.75" customHeight="1">
      <c r="A1241" s="2332" t="s">
        <v>3483</v>
      </c>
      <c r="B1241" s="2185" t="s">
        <v>3676</v>
      </c>
      <c r="C1241" s="2296" t="s">
        <v>3453</v>
      </c>
      <c r="D1241" s="2296"/>
      <c r="E1241" s="2333" t="s">
        <v>3467</v>
      </c>
      <c r="F1241" s="2333" t="s">
        <v>3468</v>
      </c>
      <c r="G1241" s="2185" t="s">
        <v>3469</v>
      </c>
      <c r="H1241" s="2333"/>
      <c r="I1241" s="2334"/>
      <c r="J1241" s="2185"/>
      <c r="K1241" s="2336"/>
      <c r="L1241" s="2335"/>
      <c r="M1241" s="1951"/>
      <c r="N1241" s="1962"/>
      <c r="O1241" s="1961">
        <v>23689</v>
      </c>
      <c r="P1241" s="1951">
        <v>24779</v>
      </c>
      <c r="Q1241" s="1960">
        <v>25919</v>
      </c>
    </row>
    <row r="1242" spans="1:17" ht="12.75" customHeight="1">
      <c r="A1242" s="2332" t="s">
        <v>3538</v>
      </c>
      <c r="B1242" s="2185" t="s">
        <v>3909</v>
      </c>
      <c r="C1242" s="2296" t="s">
        <v>3518</v>
      </c>
      <c r="D1242" s="2296"/>
      <c r="E1242" s="2333" t="s">
        <v>3456</v>
      </c>
      <c r="F1242" s="2333" t="s">
        <v>3457</v>
      </c>
      <c r="G1242" s="2185" t="s">
        <v>3458</v>
      </c>
      <c r="H1242" s="2333"/>
      <c r="I1242" s="2334"/>
      <c r="J1242" s="2185"/>
      <c r="K1242" s="2336"/>
      <c r="L1242" s="2335"/>
      <c r="M1242" s="1951"/>
      <c r="N1242" s="1962"/>
      <c r="O1242" s="1961">
        <v>1273123</v>
      </c>
      <c r="P1242" s="1951">
        <v>1331687</v>
      </c>
      <c r="Q1242" s="1960">
        <v>1392945</v>
      </c>
    </row>
    <row r="1243" spans="1:17" ht="12.75" customHeight="1">
      <c r="A1243" s="2332" t="s">
        <v>3576</v>
      </c>
      <c r="B1243" s="2185" t="s">
        <v>3577</v>
      </c>
      <c r="C1243" s="2296" t="s">
        <v>3453</v>
      </c>
      <c r="D1243" s="2296"/>
      <c r="E1243" s="2333" t="s">
        <v>3456</v>
      </c>
      <c r="F1243" s="2333" t="s">
        <v>3457</v>
      </c>
      <c r="G1243" s="2185" t="s">
        <v>3461</v>
      </c>
      <c r="H1243" s="2333"/>
      <c r="I1243" s="2334"/>
      <c r="J1243" s="2185"/>
      <c r="K1243" s="2336"/>
      <c r="L1243" s="2335"/>
      <c r="M1243" s="1951"/>
      <c r="N1243" s="1962"/>
      <c r="O1243" s="1961">
        <v>384160</v>
      </c>
      <c r="P1243" s="1951">
        <v>401832</v>
      </c>
      <c r="Q1243" s="1960">
        <v>420316</v>
      </c>
    </row>
    <row r="1244" spans="1:17" ht="12.75" customHeight="1">
      <c r="A1244" s="2332" t="s">
        <v>3451</v>
      </c>
      <c r="B1244" s="2185" t="s">
        <v>3452</v>
      </c>
      <c r="C1244" s="2296" t="s">
        <v>3453</v>
      </c>
      <c r="D1244" s="2296"/>
      <c r="E1244" s="2333" t="s">
        <v>3467</v>
      </c>
      <c r="F1244" s="2333" t="s">
        <v>3468</v>
      </c>
      <c r="G1244" s="2185" t="s">
        <v>3469</v>
      </c>
      <c r="H1244" s="2333"/>
      <c r="I1244" s="2334"/>
      <c r="J1244" s="2185"/>
      <c r="K1244" s="2336"/>
      <c r="L1244" s="2335"/>
      <c r="M1244" s="1951"/>
      <c r="N1244" s="1962"/>
      <c r="O1244" s="1961">
        <v>1312129</v>
      </c>
      <c r="P1244" s="1951">
        <v>1372487</v>
      </c>
      <c r="Q1244" s="1960">
        <v>1435621</v>
      </c>
    </row>
    <row r="1245" spans="1:17" ht="12.75" customHeight="1">
      <c r="A1245" s="2332" t="s">
        <v>3459</v>
      </c>
      <c r="B1245" s="2185" t="s">
        <v>3910</v>
      </c>
      <c r="C1245" s="2296" t="s">
        <v>3472</v>
      </c>
      <c r="D1245" s="2296"/>
      <c r="E1245" s="2333" t="s">
        <v>3456</v>
      </c>
      <c r="F1245" s="2333" t="s">
        <v>3457</v>
      </c>
      <c r="G1245" s="2185" t="s">
        <v>3461</v>
      </c>
      <c r="H1245" s="2333"/>
      <c r="I1245" s="2334"/>
      <c r="J1245" s="2185"/>
      <c r="K1245" s="2336"/>
      <c r="L1245" s="2335"/>
      <c r="M1245" s="1951"/>
      <c r="N1245" s="1962"/>
      <c r="O1245" s="1961">
        <v>445</v>
      </c>
      <c r="P1245" s="1951">
        <v>466</v>
      </c>
      <c r="Q1245" s="1960">
        <v>487</v>
      </c>
    </row>
    <row r="1246" spans="1:17" ht="12.75" customHeight="1">
      <c r="A1246" s="2332" t="s">
        <v>3531</v>
      </c>
      <c r="B1246" s="2185" t="s">
        <v>3532</v>
      </c>
      <c r="C1246" s="2296" t="s">
        <v>3453</v>
      </c>
      <c r="D1246" s="2296"/>
      <c r="E1246" s="2333" t="s">
        <v>3467</v>
      </c>
      <c r="F1246" s="2333" t="s">
        <v>3468</v>
      </c>
      <c r="G1246" s="2185" t="s">
        <v>3475</v>
      </c>
      <c r="H1246" s="2333"/>
      <c r="I1246" s="2334"/>
      <c r="J1246" s="2185"/>
      <c r="K1246" s="2336"/>
      <c r="L1246" s="2335"/>
      <c r="M1246" s="1951"/>
      <c r="N1246" s="1962"/>
      <c r="O1246" s="1961">
        <v>0</v>
      </c>
      <c r="P1246" s="1951">
        <v>0</v>
      </c>
      <c r="Q1246" s="1960">
        <v>0</v>
      </c>
    </row>
    <row r="1247" spans="1:17" ht="12.75" customHeight="1">
      <c r="A1247" s="2332" t="s">
        <v>3459</v>
      </c>
      <c r="B1247" s="2185" t="s">
        <v>3645</v>
      </c>
      <c r="C1247" s="2296" t="s">
        <v>3453</v>
      </c>
      <c r="D1247" s="2296"/>
      <c r="E1247" s="2333" t="s">
        <v>3467</v>
      </c>
      <c r="F1247" s="2333" t="s">
        <v>3468</v>
      </c>
      <c r="G1247" s="2185" t="s">
        <v>3469</v>
      </c>
      <c r="H1247" s="2333"/>
      <c r="I1247" s="2334"/>
      <c r="J1247" s="2185"/>
      <c r="K1247" s="2336"/>
      <c r="L1247" s="2335"/>
      <c r="M1247" s="1951"/>
      <c r="N1247" s="1962"/>
      <c r="O1247" s="1961">
        <v>10480</v>
      </c>
      <c r="P1247" s="1951">
        <v>10963</v>
      </c>
      <c r="Q1247" s="1960">
        <v>11467</v>
      </c>
    </row>
    <row r="1248" spans="1:17" ht="12.75" customHeight="1">
      <c r="A1248" s="2332" t="s">
        <v>3479</v>
      </c>
      <c r="B1248" s="2185" t="s">
        <v>3480</v>
      </c>
      <c r="C1248" s="2296" t="s">
        <v>3453</v>
      </c>
      <c r="D1248" s="2296"/>
      <c r="E1248" s="2333" t="s">
        <v>3456</v>
      </c>
      <c r="F1248" s="2333" t="s">
        <v>3457</v>
      </c>
      <c r="G1248" s="2185" t="s">
        <v>3458</v>
      </c>
      <c r="H1248" s="2333"/>
      <c r="I1248" s="2334"/>
      <c r="J1248" s="2185"/>
      <c r="K1248" s="2336"/>
      <c r="L1248" s="2335"/>
      <c r="M1248" s="1951"/>
      <c r="N1248" s="1962"/>
      <c r="O1248" s="1961">
        <v>74201</v>
      </c>
      <c r="P1248" s="1951">
        <v>77615</v>
      </c>
      <c r="Q1248" s="1960">
        <v>81185</v>
      </c>
    </row>
    <row r="1249" spans="1:17" ht="12.75" customHeight="1">
      <c r="A1249" s="2332" t="s">
        <v>3531</v>
      </c>
      <c r="B1249" s="2185" t="s">
        <v>3532</v>
      </c>
      <c r="C1249" s="2296" t="s">
        <v>3453</v>
      </c>
      <c r="D1249" s="2296"/>
      <c r="E1249" s="2333" t="s">
        <v>3456</v>
      </c>
      <c r="F1249" s="2333" t="s">
        <v>3457</v>
      </c>
      <c r="G1249" s="2185" t="s">
        <v>3461</v>
      </c>
      <c r="H1249" s="2333"/>
      <c r="I1249" s="2334"/>
      <c r="J1249" s="2185"/>
      <c r="K1249" s="2336"/>
      <c r="L1249" s="2335"/>
      <c r="M1249" s="1951"/>
      <c r="N1249" s="1962"/>
      <c r="O1249" s="1961">
        <v>0</v>
      </c>
      <c r="P1249" s="1951">
        <v>0</v>
      </c>
      <c r="Q1249" s="1960">
        <v>0</v>
      </c>
    </row>
    <row r="1250" spans="1:17" ht="12.75" customHeight="1">
      <c r="A1250" s="2332" t="s">
        <v>3479</v>
      </c>
      <c r="B1250" s="2185" t="s">
        <v>3911</v>
      </c>
      <c r="C1250" s="2296" t="s">
        <v>3453</v>
      </c>
      <c r="D1250" s="2296"/>
      <c r="E1250" s="2333" t="s">
        <v>3467</v>
      </c>
      <c r="F1250" s="2333" t="s">
        <v>3468</v>
      </c>
      <c r="G1250" s="2185" t="s">
        <v>3469</v>
      </c>
      <c r="H1250" s="2333"/>
      <c r="I1250" s="2334"/>
      <c r="J1250" s="2185"/>
      <c r="K1250" s="2336"/>
      <c r="L1250" s="2335"/>
      <c r="M1250" s="1951"/>
      <c r="N1250" s="1962"/>
      <c r="O1250" s="1961">
        <v>122832</v>
      </c>
      <c r="P1250" s="1951">
        <v>128483</v>
      </c>
      <c r="Q1250" s="1960">
        <v>134393</v>
      </c>
    </row>
    <row r="1251" spans="1:17" ht="12.75" customHeight="1">
      <c r="A1251" s="2332" t="s">
        <v>3464</v>
      </c>
      <c r="B1251" s="2185" t="s">
        <v>3482</v>
      </c>
      <c r="C1251" s="2296" t="s">
        <v>3453</v>
      </c>
      <c r="D1251" s="2296"/>
      <c r="E1251" s="2333" t="s">
        <v>3467</v>
      </c>
      <c r="F1251" s="2333" t="s">
        <v>3468</v>
      </c>
      <c r="G1251" s="2185" t="s">
        <v>3469</v>
      </c>
      <c r="H1251" s="2333"/>
      <c r="I1251" s="2334"/>
      <c r="J1251" s="2185"/>
      <c r="K1251" s="2336"/>
      <c r="L1251" s="2335"/>
      <c r="M1251" s="1951"/>
      <c r="N1251" s="1962"/>
      <c r="O1251" s="1961">
        <v>2219196</v>
      </c>
      <c r="P1251" s="1951">
        <v>2321280</v>
      </c>
      <c r="Q1251" s="1960">
        <v>2428058</v>
      </c>
    </row>
    <row r="1252" spans="1:17" ht="12.75" customHeight="1">
      <c r="A1252" s="2332" t="s">
        <v>3459</v>
      </c>
      <c r="B1252" s="2185" t="s">
        <v>3709</v>
      </c>
      <c r="C1252" s="2296" t="s">
        <v>3453</v>
      </c>
      <c r="D1252" s="2296"/>
      <c r="E1252" s="2333" t="s">
        <v>3456</v>
      </c>
      <c r="F1252" s="2333" t="s">
        <v>3457</v>
      </c>
      <c r="G1252" s="2185" t="s">
        <v>3461</v>
      </c>
      <c r="H1252" s="2333"/>
      <c r="I1252" s="2334"/>
      <c r="J1252" s="2185"/>
      <c r="K1252" s="2336"/>
      <c r="L1252" s="2335"/>
      <c r="M1252" s="1951"/>
      <c r="N1252" s="1962"/>
      <c r="O1252" s="1961">
        <v>1873</v>
      </c>
      <c r="P1252" s="1951">
        <v>1960</v>
      </c>
      <c r="Q1252" s="1960">
        <v>2050</v>
      </c>
    </row>
    <row r="1253" spans="1:17" ht="12.75" customHeight="1">
      <c r="A1253" s="2332" t="s">
        <v>3464</v>
      </c>
      <c r="B1253" s="2185" t="s">
        <v>3912</v>
      </c>
      <c r="C1253" s="2296" t="s">
        <v>3453</v>
      </c>
      <c r="D1253" s="2296"/>
      <c r="E1253" s="2333" t="s">
        <v>3467</v>
      </c>
      <c r="F1253" s="2333" t="s">
        <v>3468</v>
      </c>
      <c r="G1253" s="2185" t="s">
        <v>3469</v>
      </c>
      <c r="H1253" s="2333"/>
      <c r="I1253" s="2334"/>
      <c r="J1253" s="2185"/>
      <c r="K1253" s="2336"/>
      <c r="L1253" s="2335"/>
      <c r="M1253" s="1951"/>
      <c r="N1253" s="1962"/>
      <c r="O1253" s="1961">
        <v>900000</v>
      </c>
      <c r="P1253" s="1951">
        <v>941400</v>
      </c>
      <c r="Q1253" s="1960">
        <v>984705</v>
      </c>
    </row>
    <row r="1254" spans="1:17" ht="12.75" customHeight="1">
      <c r="A1254" s="2332" t="s">
        <v>3520</v>
      </c>
      <c r="B1254" s="2185" t="s">
        <v>3603</v>
      </c>
      <c r="C1254" s="2296" t="s">
        <v>3453</v>
      </c>
      <c r="D1254" s="2296"/>
      <c r="E1254" s="2333" t="s">
        <v>3456</v>
      </c>
      <c r="F1254" s="2333" t="s">
        <v>3457</v>
      </c>
      <c r="G1254" s="2185" t="s">
        <v>3461</v>
      </c>
      <c r="H1254" s="2333"/>
      <c r="I1254" s="2334"/>
      <c r="J1254" s="2185"/>
      <c r="K1254" s="2336"/>
      <c r="L1254" s="2335"/>
      <c r="M1254" s="1951"/>
      <c r="N1254" s="1962"/>
      <c r="O1254" s="1961">
        <v>359</v>
      </c>
      <c r="P1254" s="1951">
        <v>376</v>
      </c>
      <c r="Q1254" s="1960">
        <v>393</v>
      </c>
    </row>
    <row r="1255" spans="1:17" ht="12.75" customHeight="1">
      <c r="A1255" s="2332" t="s">
        <v>3563</v>
      </c>
      <c r="B1255" s="2185" t="s">
        <v>3659</v>
      </c>
      <c r="C1255" s="2296" t="s">
        <v>3453</v>
      </c>
      <c r="D1255" s="2296"/>
      <c r="E1255" s="2333" t="s">
        <v>3467</v>
      </c>
      <c r="F1255" s="2333" t="s">
        <v>3468</v>
      </c>
      <c r="G1255" s="2185" t="s">
        <v>3469</v>
      </c>
      <c r="H1255" s="2333"/>
      <c r="I1255" s="2334"/>
      <c r="J1255" s="2185"/>
      <c r="K1255" s="2336"/>
      <c r="L1255" s="2335"/>
      <c r="M1255" s="1951"/>
      <c r="N1255" s="1962"/>
      <c r="O1255" s="1961">
        <v>0</v>
      </c>
      <c r="P1255" s="1951">
        <v>0</v>
      </c>
      <c r="Q1255" s="1960">
        <v>0</v>
      </c>
    </row>
    <row r="1256" spans="1:17" ht="12.75" customHeight="1">
      <c r="A1256" s="2332" t="s">
        <v>3531</v>
      </c>
      <c r="B1256" s="2185" t="s">
        <v>3697</v>
      </c>
      <c r="C1256" s="2296" t="s">
        <v>3453</v>
      </c>
      <c r="D1256" s="2296"/>
      <c r="E1256" s="2333" t="s">
        <v>3467</v>
      </c>
      <c r="F1256" s="2333" t="s">
        <v>3468</v>
      </c>
      <c r="G1256" s="2185" t="s">
        <v>3469</v>
      </c>
      <c r="H1256" s="2333"/>
      <c r="I1256" s="2334"/>
      <c r="J1256" s="2185"/>
      <c r="K1256" s="2336"/>
      <c r="L1256" s="2335"/>
      <c r="M1256" s="1951"/>
      <c r="N1256" s="1962"/>
      <c r="O1256" s="1961">
        <v>43697</v>
      </c>
      <c r="P1256" s="1951">
        <v>46057</v>
      </c>
      <c r="Q1256" s="1960">
        <v>48544</v>
      </c>
    </row>
    <row r="1257" spans="1:17" ht="12.75" customHeight="1">
      <c r="A1257" s="2332" t="s">
        <v>3510</v>
      </c>
      <c r="B1257" s="2185" t="s">
        <v>3511</v>
      </c>
      <c r="C1257" s="2296" t="s">
        <v>3453</v>
      </c>
      <c r="D1257" s="2296"/>
      <c r="E1257" s="2333" t="s">
        <v>3467</v>
      </c>
      <c r="F1257" s="2333" t="s">
        <v>3468</v>
      </c>
      <c r="G1257" s="2185" t="s">
        <v>3469</v>
      </c>
      <c r="H1257" s="2333"/>
      <c r="I1257" s="2334"/>
      <c r="J1257" s="2185"/>
      <c r="K1257" s="2336"/>
      <c r="L1257" s="2335"/>
      <c r="M1257" s="1951"/>
      <c r="N1257" s="1962"/>
      <c r="O1257" s="1961">
        <v>65591</v>
      </c>
      <c r="P1257" s="1951">
        <v>68609</v>
      </c>
      <c r="Q1257" s="1960">
        <v>71765</v>
      </c>
    </row>
    <row r="1258" spans="1:17" ht="12.75" customHeight="1">
      <c r="A1258" s="2332" t="s">
        <v>3490</v>
      </c>
      <c r="B1258" s="2185" t="s">
        <v>3913</v>
      </c>
      <c r="C1258" s="2296" t="s">
        <v>3463</v>
      </c>
      <c r="D1258" s="2296"/>
      <c r="E1258" s="2333" t="s">
        <v>3456</v>
      </c>
      <c r="F1258" s="2333" t="s">
        <v>3457</v>
      </c>
      <c r="G1258" s="2185" t="s">
        <v>3461</v>
      </c>
      <c r="H1258" s="2333"/>
      <c r="I1258" s="2334"/>
      <c r="J1258" s="2185"/>
      <c r="K1258" s="2336"/>
      <c r="L1258" s="2335"/>
      <c r="M1258" s="1951"/>
      <c r="N1258" s="1962"/>
      <c r="O1258" s="1961">
        <v>2322</v>
      </c>
      <c r="P1258" s="1951">
        <v>2429</v>
      </c>
      <c r="Q1258" s="1960">
        <v>2541</v>
      </c>
    </row>
    <row r="1259" spans="1:17" ht="12.75" customHeight="1">
      <c r="A1259" s="2332" t="s">
        <v>3451</v>
      </c>
      <c r="B1259" s="2185" t="s">
        <v>3671</v>
      </c>
      <c r="C1259" s="2296" t="s">
        <v>3453</v>
      </c>
      <c r="D1259" s="2296"/>
      <c r="E1259" s="2333" t="s">
        <v>3467</v>
      </c>
      <c r="F1259" s="2333" t="s">
        <v>3468</v>
      </c>
      <c r="G1259" s="2185" t="s">
        <v>3475</v>
      </c>
      <c r="H1259" s="2333"/>
      <c r="I1259" s="2334"/>
      <c r="J1259" s="2185"/>
      <c r="K1259" s="2336"/>
      <c r="L1259" s="2335"/>
      <c r="M1259" s="1951"/>
      <c r="N1259" s="1962"/>
      <c r="O1259" s="1961">
        <v>0</v>
      </c>
      <c r="P1259" s="1951">
        <v>0</v>
      </c>
      <c r="Q1259" s="1960">
        <v>0</v>
      </c>
    </row>
    <row r="1260" spans="1:17" ht="12.75" customHeight="1">
      <c r="A1260" s="2332" t="s">
        <v>3459</v>
      </c>
      <c r="B1260" s="2185" t="s">
        <v>3612</v>
      </c>
      <c r="C1260" s="2296" t="s">
        <v>3453</v>
      </c>
      <c r="D1260" s="2296"/>
      <c r="E1260" s="2333" t="s">
        <v>3467</v>
      </c>
      <c r="F1260" s="2333" t="s">
        <v>3468</v>
      </c>
      <c r="G1260" s="2185" t="s">
        <v>3469</v>
      </c>
      <c r="H1260" s="2333"/>
      <c r="I1260" s="2334"/>
      <c r="J1260" s="2185"/>
      <c r="K1260" s="2336"/>
      <c r="L1260" s="2335"/>
      <c r="M1260" s="1951"/>
      <c r="N1260" s="1962"/>
      <c r="O1260" s="1961">
        <v>0</v>
      </c>
      <c r="P1260" s="1951">
        <v>0</v>
      </c>
      <c r="Q1260" s="1960">
        <v>0</v>
      </c>
    </row>
    <row r="1261" spans="1:17" ht="12.75" customHeight="1">
      <c r="A1261" s="2332" t="s">
        <v>3490</v>
      </c>
      <c r="B1261" s="2185" t="s">
        <v>3493</v>
      </c>
      <c r="C1261" s="2296" t="s">
        <v>3453</v>
      </c>
      <c r="D1261" s="2296"/>
      <c r="E1261" s="2333" t="s">
        <v>3456</v>
      </c>
      <c r="F1261" s="2333" t="s">
        <v>3457</v>
      </c>
      <c r="G1261" s="2185" t="s">
        <v>3461</v>
      </c>
      <c r="H1261" s="2333"/>
      <c r="I1261" s="2334"/>
      <c r="J1261" s="2185"/>
      <c r="K1261" s="2336"/>
      <c r="L1261" s="2335"/>
      <c r="M1261" s="1951"/>
      <c r="N1261" s="1962"/>
      <c r="O1261" s="1961">
        <v>899017</v>
      </c>
      <c r="P1261" s="1951">
        <v>940372</v>
      </c>
      <c r="Q1261" s="1960">
        <v>983629</v>
      </c>
    </row>
    <row r="1262" spans="1:17" ht="12.75" customHeight="1">
      <c r="A1262" s="2332" t="s">
        <v>3572</v>
      </c>
      <c r="B1262" s="2185" t="s">
        <v>3573</v>
      </c>
      <c r="C1262" s="2296" t="s">
        <v>3453</v>
      </c>
      <c r="D1262" s="2296"/>
      <c r="E1262" s="2333" t="s">
        <v>3456</v>
      </c>
      <c r="F1262" s="2333" t="s">
        <v>3457</v>
      </c>
      <c r="G1262" s="2185" t="s">
        <v>3461</v>
      </c>
      <c r="H1262" s="2333"/>
      <c r="I1262" s="2334"/>
      <c r="J1262" s="2185"/>
      <c r="K1262" s="2336"/>
      <c r="L1262" s="2335"/>
      <c r="M1262" s="1951"/>
      <c r="N1262" s="1962"/>
      <c r="O1262" s="1961">
        <v>479</v>
      </c>
      <c r="P1262" s="1951">
        <v>502</v>
      </c>
      <c r="Q1262" s="1960">
        <v>525</v>
      </c>
    </row>
    <row r="1263" spans="1:17" ht="12.75" customHeight="1">
      <c r="A1263" s="2332" t="s">
        <v>3459</v>
      </c>
      <c r="B1263" s="2185" t="s">
        <v>3742</v>
      </c>
      <c r="C1263" s="2296" t="s">
        <v>3453</v>
      </c>
      <c r="D1263" s="2296"/>
      <c r="E1263" s="2333" t="s">
        <v>3456</v>
      </c>
      <c r="F1263" s="2333" t="s">
        <v>3457</v>
      </c>
      <c r="G1263" s="2185" t="s">
        <v>3461</v>
      </c>
      <c r="H1263" s="2333"/>
      <c r="I1263" s="2334"/>
      <c r="J1263" s="2185"/>
      <c r="K1263" s="2336"/>
      <c r="L1263" s="2335"/>
      <c r="M1263" s="1951"/>
      <c r="N1263" s="1962"/>
      <c r="O1263" s="1961">
        <v>22288</v>
      </c>
      <c r="P1263" s="1951">
        <v>23314</v>
      </c>
      <c r="Q1263" s="1960">
        <v>24386</v>
      </c>
    </row>
    <row r="1264" spans="1:17" ht="12.75" customHeight="1">
      <c r="A1264" s="2332" t="s">
        <v>3483</v>
      </c>
      <c r="B1264" s="2185" t="s">
        <v>3484</v>
      </c>
      <c r="C1264" s="2296" t="s">
        <v>3453</v>
      </c>
      <c r="D1264" s="2296"/>
      <c r="E1264" s="2333" t="s">
        <v>3467</v>
      </c>
      <c r="F1264" s="2333" t="s">
        <v>3468</v>
      </c>
      <c r="G1264" s="2185" t="s">
        <v>3469</v>
      </c>
      <c r="H1264" s="2333"/>
      <c r="I1264" s="2334"/>
      <c r="J1264" s="2185"/>
      <c r="K1264" s="2336"/>
      <c r="L1264" s="2335"/>
      <c r="M1264" s="1951"/>
      <c r="N1264" s="1962"/>
      <c r="O1264" s="1961">
        <v>1296222</v>
      </c>
      <c r="P1264" s="1951">
        <v>1355849</v>
      </c>
      <c r="Q1264" s="1960">
        <v>1418218</v>
      </c>
    </row>
    <row r="1265" spans="1:17" ht="12.75" customHeight="1">
      <c r="A1265" s="2332" t="s">
        <v>3470</v>
      </c>
      <c r="B1265" s="2185" t="s">
        <v>3914</v>
      </c>
      <c r="C1265" s="2296" t="s">
        <v>3453</v>
      </c>
      <c r="D1265" s="2296"/>
      <c r="E1265" s="2333" t="s">
        <v>3467</v>
      </c>
      <c r="F1265" s="2333" t="s">
        <v>3468</v>
      </c>
      <c r="G1265" s="2185" t="s">
        <v>3469</v>
      </c>
      <c r="H1265" s="2333"/>
      <c r="I1265" s="2334"/>
      <c r="J1265" s="2185"/>
      <c r="K1265" s="2336"/>
      <c r="L1265" s="2335"/>
      <c r="M1265" s="1951"/>
      <c r="N1265" s="1962"/>
      <c r="O1265" s="1961">
        <v>40207</v>
      </c>
      <c r="P1265" s="1951">
        <v>42057</v>
      </c>
      <c r="Q1265" s="1960">
        <v>43992</v>
      </c>
    </row>
    <row r="1266" spans="1:17" ht="12.75" customHeight="1">
      <c r="A1266" s="2332" t="s">
        <v>3536</v>
      </c>
      <c r="B1266" s="2185" t="s">
        <v>3537</v>
      </c>
      <c r="C1266" s="2296" t="s">
        <v>3453</v>
      </c>
      <c r="D1266" s="2296"/>
      <c r="E1266" s="2333" t="s">
        <v>3456</v>
      </c>
      <c r="F1266" s="2333" t="s">
        <v>3457</v>
      </c>
      <c r="G1266" s="2185" t="s">
        <v>3461</v>
      </c>
      <c r="H1266" s="2333"/>
      <c r="I1266" s="2334"/>
      <c r="J1266" s="2185"/>
      <c r="K1266" s="2336"/>
      <c r="L1266" s="2335"/>
      <c r="M1266" s="1951"/>
      <c r="N1266" s="1962"/>
      <c r="O1266" s="1961">
        <v>2818226</v>
      </c>
      <c r="P1266" s="1951">
        <v>2947865</v>
      </c>
      <c r="Q1266" s="1960">
        <v>3083467</v>
      </c>
    </row>
    <row r="1267" spans="1:17" ht="12.75" customHeight="1">
      <c r="A1267" s="2332" t="s">
        <v>3565</v>
      </c>
      <c r="B1267" s="2185" t="s">
        <v>3628</v>
      </c>
      <c r="C1267" s="2296" t="s">
        <v>3453</v>
      </c>
      <c r="D1267" s="2296"/>
      <c r="E1267" s="2333" t="s">
        <v>3467</v>
      </c>
      <c r="F1267" s="2333" t="s">
        <v>3468</v>
      </c>
      <c r="G1267" s="2185" t="s">
        <v>3469</v>
      </c>
      <c r="H1267" s="2333"/>
      <c r="I1267" s="2334"/>
      <c r="J1267" s="2185"/>
      <c r="K1267" s="2336"/>
      <c r="L1267" s="2335"/>
      <c r="M1267" s="1951"/>
      <c r="N1267" s="1962"/>
      <c r="O1267" s="1961">
        <v>1437</v>
      </c>
      <c r="P1267" s="1951">
        <v>1504</v>
      </c>
      <c r="Q1267" s="1960">
        <v>1573</v>
      </c>
    </row>
    <row r="1268" spans="1:17" ht="12.75" customHeight="1">
      <c r="A1268" s="2332" t="s">
        <v>3531</v>
      </c>
      <c r="B1268" s="2185" t="s">
        <v>3532</v>
      </c>
      <c r="C1268" s="2296" t="s">
        <v>3453</v>
      </c>
      <c r="D1268" s="2296"/>
      <c r="E1268" s="2333" t="s">
        <v>3456</v>
      </c>
      <c r="F1268" s="2333" t="s">
        <v>3457</v>
      </c>
      <c r="G1268" s="2185" t="s">
        <v>3481</v>
      </c>
      <c r="H1268" s="2333"/>
      <c r="I1268" s="2334"/>
      <c r="J1268" s="2185"/>
      <c r="K1268" s="2336"/>
      <c r="L1268" s="2335"/>
      <c r="M1268" s="1951"/>
      <c r="N1268" s="1962"/>
      <c r="O1268" s="1961">
        <v>0</v>
      </c>
      <c r="P1268" s="1951">
        <v>0</v>
      </c>
      <c r="Q1268" s="1960">
        <v>0</v>
      </c>
    </row>
    <row r="1269" spans="1:17" ht="12.75" customHeight="1">
      <c r="A1269" s="2332" t="s">
        <v>3531</v>
      </c>
      <c r="B1269" s="2185" t="s">
        <v>3593</v>
      </c>
      <c r="C1269" s="2296" t="s">
        <v>3453</v>
      </c>
      <c r="D1269" s="2296"/>
      <c r="E1269" s="2333" t="s">
        <v>3456</v>
      </c>
      <c r="F1269" s="2333" t="s">
        <v>3457</v>
      </c>
      <c r="G1269" s="2185" t="s">
        <v>3461</v>
      </c>
      <c r="H1269" s="2333"/>
      <c r="I1269" s="2334"/>
      <c r="J1269" s="2185"/>
      <c r="K1269" s="2336"/>
      <c r="L1269" s="2335"/>
      <c r="M1269" s="1951"/>
      <c r="N1269" s="1962"/>
      <c r="O1269" s="1961">
        <v>2272234</v>
      </c>
      <c r="P1269" s="1951">
        <v>2394935</v>
      </c>
      <c r="Q1269" s="1960">
        <v>2524261</v>
      </c>
    </row>
    <row r="1270" spans="1:17" ht="12.75" customHeight="1">
      <c r="A1270" s="2332" t="s">
        <v>3487</v>
      </c>
      <c r="B1270" s="2185" t="s">
        <v>3915</v>
      </c>
      <c r="C1270" s="2296" t="s">
        <v>3453</v>
      </c>
      <c r="D1270" s="2296"/>
      <c r="E1270" s="2333" t="s">
        <v>3467</v>
      </c>
      <c r="F1270" s="2333" t="s">
        <v>3468</v>
      </c>
      <c r="G1270" s="2185" t="s">
        <v>2676</v>
      </c>
      <c r="H1270" s="2333"/>
      <c r="I1270" s="2334"/>
      <c r="J1270" s="2185"/>
      <c r="K1270" s="2336"/>
      <c r="L1270" s="2335"/>
      <c r="M1270" s="1951"/>
      <c r="N1270" s="1962"/>
      <c r="O1270" s="1961">
        <v>2366</v>
      </c>
      <c r="P1270" s="1951">
        <v>2475</v>
      </c>
      <c r="Q1270" s="1960">
        <v>2589</v>
      </c>
    </row>
    <row r="1271" spans="1:17" ht="12.75" customHeight="1">
      <c r="A1271" s="2332" t="s">
        <v>3451</v>
      </c>
      <c r="B1271" s="2185" t="s">
        <v>3671</v>
      </c>
      <c r="C1271" s="2296" t="s">
        <v>3453</v>
      </c>
      <c r="D1271" s="2296"/>
      <c r="E1271" s="2333" t="s">
        <v>3467</v>
      </c>
      <c r="F1271" s="2333" t="s">
        <v>3468</v>
      </c>
      <c r="G1271" s="2185" t="s">
        <v>2676</v>
      </c>
      <c r="H1271" s="2333"/>
      <c r="I1271" s="2334"/>
      <c r="J1271" s="2185"/>
      <c r="K1271" s="2336"/>
      <c r="L1271" s="2335"/>
      <c r="M1271" s="1951"/>
      <c r="N1271" s="1962"/>
      <c r="O1271" s="1961">
        <v>0</v>
      </c>
      <c r="P1271" s="1951">
        <v>0</v>
      </c>
      <c r="Q1271" s="1960">
        <v>0</v>
      </c>
    </row>
    <row r="1272" spans="1:17" ht="12.75" customHeight="1">
      <c r="A1272" s="2332" t="s">
        <v>3572</v>
      </c>
      <c r="B1272" s="2185" t="s">
        <v>3688</v>
      </c>
      <c r="C1272" s="2296" t="s">
        <v>3453</v>
      </c>
      <c r="D1272" s="2296"/>
      <c r="E1272" s="2333" t="s">
        <v>3456</v>
      </c>
      <c r="F1272" s="2333" t="s">
        <v>3457</v>
      </c>
      <c r="G1272" s="2185" t="s">
        <v>3458</v>
      </c>
      <c r="H1272" s="2333"/>
      <c r="I1272" s="2334"/>
      <c r="J1272" s="2185"/>
      <c r="K1272" s="2336"/>
      <c r="L1272" s="2335"/>
      <c r="M1272" s="1951"/>
      <c r="N1272" s="1962"/>
      <c r="O1272" s="1961">
        <v>2000</v>
      </c>
      <c r="P1272" s="1951">
        <v>2000</v>
      </c>
      <c r="Q1272" s="1960">
        <v>2000</v>
      </c>
    </row>
    <row r="1273" spans="1:17" ht="12.75" customHeight="1">
      <c r="A1273" s="2332" t="s">
        <v>3499</v>
      </c>
      <c r="B1273" s="2185" t="s">
        <v>3592</v>
      </c>
      <c r="C1273" s="2296" t="s">
        <v>3453</v>
      </c>
      <c r="D1273" s="2296"/>
      <c r="E1273" s="2333" t="s">
        <v>3467</v>
      </c>
      <c r="F1273" s="2333" t="s">
        <v>3468</v>
      </c>
      <c r="G1273" s="2185" t="s">
        <v>3475</v>
      </c>
      <c r="H1273" s="2333"/>
      <c r="I1273" s="2334"/>
      <c r="J1273" s="2185"/>
      <c r="K1273" s="2336"/>
      <c r="L1273" s="2335"/>
      <c r="M1273" s="1951"/>
      <c r="N1273" s="1962"/>
      <c r="O1273" s="1961">
        <v>3508</v>
      </c>
      <c r="P1273" s="1951">
        <v>3670</v>
      </c>
      <c r="Q1273" s="1960">
        <v>3839</v>
      </c>
    </row>
    <row r="1274" spans="1:17" ht="12.75" customHeight="1">
      <c r="A1274" s="2332" t="s">
        <v>3464</v>
      </c>
      <c r="B1274" s="2185" t="s">
        <v>3630</v>
      </c>
      <c r="C1274" s="2296" t="s">
        <v>3453</v>
      </c>
      <c r="D1274" s="2296"/>
      <c r="E1274" s="2333" t="s">
        <v>3456</v>
      </c>
      <c r="F1274" s="2333" t="s">
        <v>3457</v>
      </c>
      <c r="G1274" s="2185" t="s">
        <v>3461</v>
      </c>
      <c r="H1274" s="2333"/>
      <c r="I1274" s="2334"/>
      <c r="J1274" s="2185"/>
      <c r="K1274" s="2336"/>
      <c r="L1274" s="2335"/>
      <c r="M1274" s="1951"/>
      <c r="N1274" s="1962"/>
      <c r="O1274" s="1961">
        <v>1336745</v>
      </c>
      <c r="P1274" s="1951">
        <v>1398235</v>
      </c>
      <c r="Q1274" s="1960">
        <v>1462554</v>
      </c>
    </row>
    <row r="1275" spans="1:17" ht="12.75" customHeight="1">
      <c r="A1275" s="2332" t="s">
        <v>3485</v>
      </c>
      <c r="B1275" s="2185" t="s">
        <v>3916</v>
      </c>
      <c r="C1275" s="2296" t="s">
        <v>3748</v>
      </c>
      <c r="D1275" s="2296"/>
      <c r="E1275" s="2333" t="s">
        <v>3467</v>
      </c>
      <c r="F1275" s="2333" t="s">
        <v>3468</v>
      </c>
      <c r="G1275" s="2185" t="s">
        <v>3469</v>
      </c>
      <c r="H1275" s="2333"/>
      <c r="I1275" s="2334"/>
      <c r="J1275" s="2185"/>
      <c r="K1275" s="2336"/>
      <c r="L1275" s="2335"/>
      <c r="M1275" s="1951"/>
      <c r="N1275" s="1962"/>
      <c r="O1275" s="1961">
        <v>849</v>
      </c>
      <c r="P1275" s="1951">
        <v>889</v>
      </c>
      <c r="Q1275" s="1960">
        <v>929</v>
      </c>
    </row>
    <row r="1276" spans="1:17" ht="12.75" customHeight="1">
      <c r="A1276" s="2332" t="s">
        <v>3464</v>
      </c>
      <c r="B1276" s="2185" t="s">
        <v>3632</v>
      </c>
      <c r="C1276" s="2296" t="s">
        <v>3453</v>
      </c>
      <c r="D1276" s="2296"/>
      <c r="E1276" s="2333" t="s">
        <v>3456</v>
      </c>
      <c r="F1276" s="2333" t="s">
        <v>3457</v>
      </c>
      <c r="G1276" s="2185" t="s">
        <v>3461</v>
      </c>
      <c r="H1276" s="2333"/>
      <c r="I1276" s="2334"/>
      <c r="J1276" s="2185"/>
      <c r="K1276" s="2336"/>
      <c r="L1276" s="2335"/>
      <c r="M1276" s="1951"/>
      <c r="N1276" s="1962"/>
      <c r="O1276" s="1961">
        <v>9557</v>
      </c>
      <c r="P1276" s="1951">
        <v>9997</v>
      </c>
      <c r="Q1276" s="1960">
        <v>10457</v>
      </c>
    </row>
    <row r="1277" spans="1:17" ht="12.75" customHeight="1">
      <c r="A1277" s="2332" t="s">
        <v>3520</v>
      </c>
      <c r="B1277" s="2185" t="s">
        <v>3917</v>
      </c>
      <c r="C1277" s="2296" t="s">
        <v>3453</v>
      </c>
      <c r="D1277" s="2296"/>
      <c r="E1277" s="2333" t="s">
        <v>3467</v>
      </c>
      <c r="F1277" s="2333" t="s">
        <v>3468</v>
      </c>
      <c r="G1277" s="2185" t="s">
        <v>3469</v>
      </c>
      <c r="H1277" s="2333"/>
      <c r="I1277" s="2334"/>
      <c r="J1277" s="2185"/>
      <c r="K1277" s="2336"/>
      <c r="L1277" s="2335"/>
      <c r="M1277" s="1951"/>
      <c r="N1277" s="1962"/>
      <c r="O1277" s="1961">
        <v>5000</v>
      </c>
      <c r="P1277" s="1951">
        <v>5230</v>
      </c>
      <c r="Q1277" s="1960">
        <v>5471</v>
      </c>
    </row>
    <row r="1278" spans="1:17" ht="12.75" customHeight="1">
      <c r="A1278" s="2332" t="s">
        <v>3543</v>
      </c>
      <c r="B1278" s="2185" t="s">
        <v>3918</v>
      </c>
      <c r="C1278" s="2296" t="s">
        <v>3472</v>
      </c>
      <c r="D1278" s="2296"/>
      <c r="E1278" s="2333" t="s">
        <v>3467</v>
      </c>
      <c r="F1278" s="2333" t="s">
        <v>3468</v>
      </c>
      <c r="G1278" s="2185" t="s">
        <v>3469</v>
      </c>
      <c r="H1278" s="2333"/>
      <c r="I1278" s="2334"/>
      <c r="J1278" s="2185"/>
      <c r="K1278" s="2336"/>
      <c r="L1278" s="2335"/>
      <c r="M1278" s="1951"/>
      <c r="N1278" s="1962"/>
      <c r="O1278" s="1961">
        <v>14000</v>
      </c>
      <c r="P1278" s="1951">
        <v>14644</v>
      </c>
      <c r="Q1278" s="1960">
        <v>15318</v>
      </c>
    </row>
    <row r="1279" spans="1:17" ht="12.75" customHeight="1">
      <c r="A1279" s="2332" t="s">
        <v>3459</v>
      </c>
      <c r="B1279" s="2185" t="s">
        <v>3919</v>
      </c>
      <c r="C1279" s="2296" t="s">
        <v>3453</v>
      </c>
      <c r="D1279" s="2296"/>
      <c r="E1279" s="2333" t="s">
        <v>3467</v>
      </c>
      <c r="F1279" s="2333" t="s">
        <v>3468</v>
      </c>
      <c r="G1279" s="2185" t="s">
        <v>3469</v>
      </c>
      <c r="H1279" s="2333"/>
      <c r="I1279" s="2334"/>
      <c r="J1279" s="2185"/>
      <c r="K1279" s="2336"/>
      <c r="L1279" s="2335"/>
      <c r="M1279" s="1951"/>
      <c r="N1279" s="1962"/>
      <c r="O1279" s="1961">
        <v>2000000</v>
      </c>
      <c r="P1279" s="1951">
        <v>2100000</v>
      </c>
      <c r="Q1279" s="1960">
        <v>2100000</v>
      </c>
    </row>
    <row r="1280" spans="1:17" ht="12.75" customHeight="1">
      <c r="A1280" s="2332" t="s">
        <v>3531</v>
      </c>
      <c r="B1280" s="2185" t="s">
        <v>3532</v>
      </c>
      <c r="C1280" s="2296" t="s">
        <v>3453</v>
      </c>
      <c r="D1280" s="2296"/>
      <c r="E1280" s="2333" t="s">
        <v>3467</v>
      </c>
      <c r="F1280" s="2333" t="s">
        <v>3468</v>
      </c>
      <c r="G1280" s="2185" t="s">
        <v>3469</v>
      </c>
      <c r="H1280" s="2333"/>
      <c r="I1280" s="2334"/>
      <c r="J1280" s="2185"/>
      <c r="K1280" s="2336"/>
      <c r="L1280" s="2335"/>
      <c r="M1280" s="1951"/>
      <c r="N1280" s="1962"/>
      <c r="O1280" s="1961">
        <v>0</v>
      </c>
      <c r="P1280" s="1951">
        <v>0</v>
      </c>
      <c r="Q1280" s="1960">
        <v>0</v>
      </c>
    </row>
    <row r="1281" spans="1:17" ht="12.75" customHeight="1">
      <c r="A1281" s="2332" t="s">
        <v>3490</v>
      </c>
      <c r="B1281" s="2185" t="s">
        <v>3494</v>
      </c>
      <c r="C1281" s="2296" t="s">
        <v>3453</v>
      </c>
      <c r="D1281" s="2296"/>
      <c r="E1281" s="2333" t="s">
        <v>3456</v>
      </c>
      <c r="F1281" s="2333" t="s">
        <v>3457</v>
      </c>
      <c r="G1281" s="2185" t="s">
        <v>3461</v>
      </c>
      <c r="H1281" s="2333"/>
      <c r="I1281" s="2334"/>
      <c r="J1281" s="2185"/>
      <c r="K1281" s="2336"/>
      <c r="L1281" s="2335"/>
      <c r="M1281" s="1951"/>
      <c r="N1281" s="1962"/>
      <c r="O1281" s="1961">
        <v>4152</v>
      </c>
      <c r="P1281" s="1951">
        <v>4343</v>
      </c>
      <c r="Q1281" s="1960">
        <v>4543</v>
      </c>
    </row>
    <row r="1282" spans="1:17" ht="12.75" customHeight="1">
      <c r="A1282" s="2332" t="s">
        <v>3485</v>
      </c>
      <c r="B1282" s="2185" t="s">
        <v>3505</v>
      </c>
      <c r="C1282" s="2296" t="s">
        <v>3453</v>
      </c>
      <c r="D1282" s="2296"/>
      <c r="E1282" s="2333" t="s">
        <v>3467</v>
      </c>
      <c r="F1282" s="2333" t="s">
        <v>3468</v>
      </c>
      <c r="G1282" s="2185" t="s">
        <v>2676</v>
      </c>
      <c r="H1282" s="2333"/>
      <c r="I1282" s="2334"/>
      <c r="J1282" s="2185"/>
      <c r="K1282" s="2336"/>
      <c r="L1282" s="2335"/>
      <c r="M1282" s="1951"/>
      <c r="N1282" s="1962"/>
      <c r="O1282" s="1961">
        <v>1454</v>
      </c>
      <c r="P1282" s="1951">
        <v>1521</v>
      </c>
      <c r="Q1282" s="1960">
        <v>1591</v>
      </c>
    </row>
    <row r="1283" spans="1:17" ht="12.75" customHeight="1">
      <c r="A1283" s="2332" t="s">
        <v>3479</v>
      </c>
      <c r="B1283" s="2185" t="s">
        <v>3480</v>
      </c>
      <c r="C1283" s="2296" t="s">
        <v>3453</v>
      </c>
      <c r="D1283" s="2296"/>
      <c r="E1283" s="2333" t="s">
        <v>3456</v>
      </c>
      <c r="F1283" s="2333" t="s">
        <v>3457</v>
      </c>
      <c r="G1283" s="2185" t="s">
        <v>3458</v>
      </c>
      <c r="H1283" s="2333"/>
      <c r="I1283" s="2334"/>
      <c r="J1283" s="2185"/>
      <c r="K1283" s="2336"/>
      <c r="L1283" s="2335"/>
      <c r="M1283" s="1951"/>
      <c r="N1283" s="1962"/>
      <c r="O1283" s="1961">
        <v>1138324</v>
      </c>
      <c r="P1283" s="1951">
        <v>1190687</v>
      </c>
      <c r="Q1283" s="1960">
        <v>1245459</v>
      </c>
    </row>
    <row r="1284" spans="1:17" ht="12.75" customHeight="1">
      <c r="A1284" s="2332" t="s">
        <v>3523</v>
      </c>
      <c r="B1284" s="2185" t="s">
        <v>3626</v>
      </c>
      <c r="C1284" s="2296" t="s">
        <v>3453</v>
      </c>
      <c r="D1284" s="2296"/>
      <c r="E1284" s="2333" t="s">
        <v>3525</v>
      </c>
      <c r="F1284" s="2333" t="s">
        <v>3457</v>
      </c>
      <c r="G1284" s="2185" t="s">
        <v>3526</v>
      </c>
      <c r="H1284" s="2333"/>
      <c r="I1284" s="2334"/>
      <c r="J1284" s="2185"/>
      <c r="K1284" s="2336"/>
      <c r="L1284" s="2335"/>
      <c r="M1284" s="1951"/>
      <c r="N1284" s="1962"/>
      <c r="O1284" s="1961">
        <v>195964</v>
      </c>
      <c r="P1284" s="1951">
        <v>204979</v>
      </c>
      <c r="Q1284" s="1960">
        <v>214408</v>
      </c>
    </row>
    <row r="1285" spans="1:17" ht="12.75" customHeight="1">
      <c r="A1285" s="2332" t="s">
        <v>3479</v>
      </c>
      <c r="B1285" s="2185" t="s">
        <v>3664</v>
      </c>
      <c r="C1285" s="2296" t="s">
        <v>3453</v>
      </c>
      <c r="D1285" s="2296"/>
      <c r="E1285" s="2333" t="s">
        <v>3525</v>
      </c>
      <c r="F1285" s="2333" t="s">
        <v>3457</v>
      </c>
      <c r="G1285" s="2185" t="s">
        <v>3526</v>
      </c>
      <c r="H1285" s="2333"/>
      <c r="I1285" s="2334"/>
      <c r="J1285" s="2185"/>
      <c r="K1285" s="2336"/>
      <c r="L1285" s="2335"/>
      <c r="M1285" s="1951"/>
      <c r="N1285" s="1962"/>
      <c r="O1285" s="1961">
        <v>8111</v>
      </c>
      <c r="P1285" s="1951">
        <v>8485</v>
      </c>
      <c r="Q1285" s="1960">
        <v>8875</v>
      </c>
    </row>
    <row r="1286" spans="1:17" ht="12.75" customHeight="1">
      <c r="A1286" s="2332" t="s">
        <v>3459</v>
      </c>
      <c r="B1286" s="2185" t="s">
        <v>3460</v>
      </c>
      <c r="C1286" s="2296" t="s">
        <v>3453</v>
      </c>
      <c r="D1286" s="2296"/>
      <c r="E1286" s="2333" t="s">
        <v>3525</v>
      </c>
      <c r="F1286" s="2333" t="s">
        <v>3457</v>
      </c>
      <c r="G1286" s="2185" t="s">
        <v>3526</v>
      </c>
      <c r="H1286" s="2333"/>
      <c r="I1286" s="2334"/>
      <c r="J1286" s="2185"/>
      <c r="K1286" s="2336"/>
      <c r="L1286" s="2335"/>
      <c r="M1286" s="1951"/>
      <c r="N1286" s="1962"/>
      <c r="O1286" s="1961">
        <v>24852</v>
      </c>
      <c r="P1286" s="1951">
        <v>25996</v>
      </c>
      <c r="Q1286" s="1960">
        <v>27191</v>
      </c>
    </row>
    <row r="1287" spans="1:17" ht="12.75" customHeight="1">
      <c r="A1287" s="2332" t="s">
        <v>3558</v>
      </c>
      <c r="B1287" s="2185" t="s">
        <v>3696</v>
      </c>
      <c r="C1287" s="2296" t="s">
        <v>3453</v>
      </c>
      <c r="D1287" s="2296"/>
      <c r="E1287" s="2333" t="s">
        <v>3525</v>
      </c>
      <c r="F1287" s="2333" t="s">
        <v>3457</v>
      </c>
      <c r="G1287" s="2185" t="s">
        <v>3526</v>
      </c>
      <c r="H1287" s="2333"/>
      <c r="I1287" s="2334"/>
      <c r="J1287" s="2185"/>
      <c r="K1287" s="2336"/>
      <c r="L1287" s="2335"/>
      <c r="M1287" s="1951"/>
      <c r="N1287" s="1962"/>
      <c r="O1287" s="1961">
        <v>443068</v>
      </c>
      <c r="P1287" s="1951">
        <v>463450</v>
      </c>
      <c r="Q1287" s="1960">
        <v>484768</v>
      </c>
    </row>
    <row r="1288" spans="1:17" ht="12.75" customHeight="1">
      <c r="A1288" s="2332" t="s">
        <v>3499</v>
      </c>
      <c r="B1288" s="2185" t="s">
        <v>3500</v>
      </c>
      <c r="C1288" s="2296" t="s">
        <v>3453</v>
      </c>
      <c r="D1288" s="2296"/>
      <c r="E1288" s="2333" t="s">
        <v>3525</v>
      </c>
      <c r="F1288" s="2333" t="s">
        <v>3457</v>
      </c>
      <c r="G1288" s="2185" t="s">
        <v>3526</v>
      </c>
      <c r="H1288" s="2333"/>
      <c r="I1288" s="2334"/>
      <c r="J1288" s="2185"/>
      <c r="K1288" s="2336"/>
      <c r="L1288" s="2335"/>
      <c r="M1288" s="1951"/>
      <c r="N1288" s="1962"/>
      <c r="O1288" s="1961">
        <v>3507</v>
      </c>
      <c r="P1288" s="1951">
        <v>3669</v>
      </c>
      <c r="Q1288" s="1960">
        <v>3838</v>
      </c>
    </row>
    <row r="1289" spans="1:17" ht="12.75" customHeight="1">
      <c r="A1289" s="2332" t="s">
        <v>3490</v>
      </c>
      <c r="B1289" s="2185" t="s">
        <v>3493</v>
      </c>
      <c r="C1289" s="2296" t="s">
        <v>3453</v>
      </c>
      <c r="D1289" s="2296"/>
      <c r="E1289" s="2333" t="s">
        <v>3525</v>
      </c>
      <c r="F1289" s="2333" t="s">
        <v>3457</v>
      </c>
      <c r="G1289" s="2185" t="s">
        <v>3526</v>
      </c>
      <c r="H1289" s="2333"/>
      <c r="I1289" s="2334"/>
      <c r="J1289" s="2185"/>
      <c r="K1289" s="2336"/>
      <c r="L1289" s="2335"/>
      <c r="M1289" s="1951"/>
      <c r="N1289" s="1962"/>
      <c r="O1289" s="1961">
        <v>4909</v>
      </c>
      <c r="P1289" s="1951">
        <v>5135</v>
      </c>
      <c r="Q1289" s="1960">
        <v>5372</v>
      </c>
    </row>
    <row r="1290" spans="1:17" ht="12.75" customHeight="1">
      <c r="A1290" s="2332" t="s">
        <v>3523</v>
      </c>
      <c r="B1290" s="2185" t="s">
        <v>3535</v>
      </c>
      <c r="C1290" s="2296" t="s">
        <v>3453</v>
      </c>
      <c r="D1290" s="2296"/>
      <c r="E1290" s="2333" t="s">
        <v>3525</v>
      </c>
      <c r="F1290" s="2333" t="s">
        <v>3457</v>
      </c>
      <c r="G1290" s="2185" t="s">
        <v>3526</v>
      </c>
      <c r="H1290" s="2333"/>
      <c r="I1290" s="2334"/>
      <c r="J1290" s="2185"/>
      <c r="K1290" s="2336"/>
      <c r="L1290" s="2335"/>
      <c r="M1290" s="1951"/>
      <c r="N1290" s="1962"/>
      <c r="O1290" s="1961">
        <v>6195</v>
      </c>
      <c r="P1290" s="1951">
        <v>6480</v>
      </c>
      <c r="Q1290" s="1960">
        <v>6779</v>
      </c>
    </row>
    <row r="1291" spans="1:17" ht="12.75" customHeight="1">
      <c r="A1291" s="2332" t="s">
        <v>3490</v>
      </c>
      <c r="B1291" s="2185" t="s">
        <v>3920</v>
      </c>
      <c r="C1291" s="2296" t="s">
        <v>3453</v>
      </c>
      <c r="D1291" s="2296"/>
      <c r="E1291" s="2333" t="s">
        <v>3525</v>
      </c>
      <c r="F1291" s="2333" t="s">
        <v>3457</v>
      </c>
      <c r="G1291" s="2185" t="s">
        <v>3526</v>
      </c>
      <c r="H1291" s="2333"/>
      <c r="I1291" s="2334"/>
      <c r="J1291" s="2185"/>
      <c r="K1291" s="2336"/>
      <c r="L1291" s="2335"/>
      <c r="M1291" s="1951"/>
      <c r="N1291" s="1962"/>
      <c r="O1291" s="1961">
        <f>43238489-43099000</f>
        <v>139489</v>
      </c>
      <c r="P1291" s="1951">
        <f>48238489-45082000</f>
        <v>3156489</v>
      </c>
      <c r="Q1291" s="1960">
        <f>50553937-47156000</f>
        <v>3397937</v>
      </c>
    </row>
    <row r="1292" spans="1:17" ht="12.75" customHeight="1">
      <c r="A1292" s="2332" t="s">
        <v>3584</v>
      </c>
      <c r="B1292" s="2185" t="s">
        <v>3921</v>
      </c>
      <c r="C1292" s="2296" t="s">
        <v>3453</v>
      </c>
      <c r="D1292" s="2296"/>
      <c r="E1292" s="2333" t="s">
        <v>3525</v>
      </c>
      <c r="F1292" s="2333" t="s">
        <v>3457</v>
      </c>
      <c r="G1292" s="2185" t="s">
        <v>3526</v>
      </c>
      <c r="H1292" s="2333"/>
      <c r="I1292" s="2334"/>
      <c r="J1292" s="2185"/>
      <c r="K1292" s="2336"/>
      <c r="L1292" s="2335"/>
      <c r="M1292" s="1951"/>
      <c r="N1292" s="1962"/>
      <c r="O1292" s="1961">
        <v>16265</v>
      </c>
      <c r="P1292" s="1951">
        <v>16265</v>
      </c>
      <c r="Q1292" s="1960">
        <v>17014</v>
      </c>
    </row>
    <row r="1293" spans="1:17" ht="12.75" customHeight="1">
      <c r="A1293" s="2332" t="s">
        <v>3501</v>
      </c>
      <c r="B1293" s="2185" t="s">
        <v>3553</v>
      </c>
      <c r="C1293" s="2296" t="s">
        <v>3453</v>
      </c>
      <c r="D1293" s="2296"/>
      <c r="E1293" s="2333" t="s">
        <v>3525</v>
      </c>
      <c r="F1293" s="2333" t="s">
        <v>3457</v>
      </c>
      <c r="G1293" s="2185" t="s">
        <v>3526</v>
      </c>
      <c r="H1293" s="2333"/>
      <c r="I1293" s="2334"/>
      <c r="J1293" s="2185"/>
      <c r="K1293" s="2336"/>
      <c r="L1293" s="2335"/>
      <c r="M1293" s="1951"/>
      <c r="N1293" s="1962"/>
      <c r="O1293" s="1961">
        <v>1571</v>
      </c>
      <c r="P1293" s="1951">
        <v>1644</v>
      </c>
      <c r="Q1293" s="1960">
        <v>1719</v>
      </c>
    </row>
    <row r="1294" spans="1:17" ht="12.75" customHeight="1">
      <c r="A1294" s="2332" t="s">
        <v>3451</v>
      </c>
      <c r="B1294" s="2185" t="s">
        <v>3452</v>
      </c>
      <c r="C1294" s="2296" t="s">
        <v>3453</v>
      </c>
      <c r="D1294" s="2296"/>
      <c r="E1294" s="2333" t="s">
        <v>3525</v>
      </c>
      <c r="F1294" s="2333" t="s">
        <v>3457</v>
      </c>
      <c r="G1294" s="2185" t="s">
        <v>3526</v>
      </c>
      <c r="H1294" s="2333"/>
      <c r="I1294" s="2334"/>
      <c r="J1294" s="2185"/>
      <c r="K1294" s="2336"/>
      <c r="L1294" s="2335"/>
      <c r="M1294" s="1951"/>
      <c r="N1294" s="1962"/>
      <c r="O1294" s="1961">
        <v>33358</v>
      </c>
      <c r="P1294" s="1951">
        <v>34893</v>
      </c>
      <c r="Q1294" s="1960">
        <v>36498</v>
      </c>
    </row>
    <row r="1295" spans="1:17" ht="12.75" customHeight="1">
      <c r="A1295" s="2332" t="s">
        <v>3459</v>
      </c>
      <c r="B1295" s="2185" t="s">
        <v>3669</v>
      </c>
      <c r="C1295" s="2296" t="s">
        <v>3453</v>
      </c>
      <c r="D1295" s="2296"/>
      <c r="E1295" s="2333" t="s">
        <v>3525</v>
      </c>
      <c r="F1295" s="2333" t="s">
        <v>3457</v>
      </c>
      <c r="G1295" s="2185" t="s">
        <v>3526</v>
      </c>
      <c r="H1295" s="2333"/>
      <c r="I1295" s="2334"/>
      <c r="J1295" s="2185"/>
      <c r="K1295" s="2336"/>
      <c r="L1295" s="2335"/>
      <c r="M1295" s="1951"/>
      <c r="N1295" s="1962"/>
      <c r="O1295" s="1961">
        <v>120330</v>
      </c>
      <c r="P1295" s="1951">
        <v>125866</v>
      </c>
      <c r="Q1295" s="1960">
        <v>131655</v>
      </c>
    </row>
    <row r="1296" spans="1:17" ht="12.75" customHeight="1">
      <c r="A1296" s="2332" t="s">
        <v>3459</v>
      </c>
      <c r="B1296" s="2185" t="s">
        <v>3645</v>
      </c>
      <c r="C1296" s="2296" t="s">
        <v>3453</v>
      </c>
      <c r="D1296" s="2296"/>
      <c r="E1296" s="2333" t="s">
        <v>3525</v>
      </c>
      <c r="F1296" s="2333" t="s">
        <v>3457</v>
      </c>
      <c r="G1296" s="2185" t="s">
        <v>3526</v>
      </c>
      <c r="H1296" s="2333"/>
      <c r="I1296" s="2334"/>
      <c r="J1296" s="2185"/>
      <c r="K1296" s="2336"/>
      <c r="L1296" s="2335"/>
      <c r="M1296" s="1951"/>
      <c r="N1296" s="1962"/>
      <c r="O1296" s="1961">
        <v>0</v>
      </c>
      <c r="P1296" s="1951">
        <v>0</v>
      </c>
      <c r="Q1296" s="1960">
        <v>1</v>
      </c>
    </row>
    <row r="1297" spans="1:17" ht="12.75" customHeight="1">
      <c r="A1297" s="2332" t="s">
        <v>3490</v>
      </c>
      <c r="B1297" s="2185" t="s">
        <v>3586</v>
      </c>
      <c r="C1297" s="2296" t="s">
        <v>3453</v>
      </c>
      <c r="D1297" s="2296"/>
      <c r="E1297" s="2333" t="s">
        <v>3525</v>
      </c>
      <c r="F1297" s="2333" t="s">
        <v>3457</v>
      </c>
      <c r="G1297" s="2185" t="s">
        <v>3526</v>
      </c>
      <c r="H1297" s="2333"/>
      <c r="I1297" s="2334"/>
      <c r="J1297" s="2185"/>
      <c r="K1297" s="2336"/>
      <c r="L1297" s="2335"/>
      <c r="M1297" s="1951"/>
      <c r="N1297" s="1962"/>
      <c r="O1297" s="1961">
        <v>456762</v>
      </c>
      <c r="P1297" s="1951">
        <v>477773</v>
      </c>
      <c r="Q1297" s="1960">
        <v>499751</v>
      </c>
    </row>
    <row r="1298" spans="1:17" ht="12.75" customHeight="1">
      <c r="A1298" s="2332" t="s">
        <v>3563</v>
      </c>
      <c r="B1298" s="2185" t="s">
        <v>3659</v>
      </c>
      <c r="C1298" s="2296" t="s">
        <v>3453</v>
      </c>
      <c r="D1298" s="2296"/>
      <c r="E1298" s="2333" t="s">
        <v>3525</v>
      </c>
      <c r="F1298" s="2333" t="s">
        <v>3457</v>
      </c>
      <c r="G1298" s="2185" t="s">
        <v>3526</v>
      </c>
      <c r="H1298" s="2333"/>
      <c r="I1298" s="2334"/>
      <c r="J1298" s="2185"/>
      <c r="K1298" s="2336"/>
      <c r="L1298" s="2335"/>
      <c r="M1298" s="1951"/>
      <c r="N1298" s="1962"/>
      <c r="O1298" s="1961">
        <v>1000</v>
      </c>
      <c r="P1298" s="1951">
        <v>1046</v>
      </c>
      <c r="Q1298" s="1960">
        <v>1095</v>
      </c>
    </row>
    <row r="1299" spans="1:17" ht="12.75" customHeight="1">
      <c r="A1299" s="2332" t="s">
        <v>3490</v>
      </c>
      <c r="B1299" s="2185" t="s">
        <v>3494</v>
      </c>
      <c r="C1299" s="2296" t="s">
        <v>3453</v>
      </c>
      <c r="D1299" s="2296"/>
      <c r="E1299" s="2333" t="s">
        <v>3525</v>
      </c>
      <c r="F1299" s="2333" t="s">
        <v>3457</v>
      </c>
      <c r="G1299" s="2185" t="s">
        <v>3526</v>
      </c>
      <c r="H1299" s="2333"/>
      <c r="I1299" s="2334"/>
      <c r="J1299" s="2185"/>
      <c r="K1299" s="2336"/>
      <c r="L1299" s="2335"/>
      <c r="M1299" s="1951"/>
      <c r="N1299" s="1962"/>
      <c r="O1299" s="1961">
        <v>188201</v>
      </c>
      <c r="P1299" s="1951">
        <v>196859</v>
      </c>
      <c r="Q1299" s="1960">
        <v>205914</v>
      </c>
    </row>
    <row r="1300" spans="1:17" ht="12.75" customHeight="1">
      <c r="A1300" s="2332" t="s">
        <v>3508</v>
      </c>
      <c r="B1300" s="2185" t="s">
        <v>3681</v>
      </c>
      <c r="C1300" s="2296" t="s">
        <v>3453</v>
      </c>
      <c r="D1300" s="2296"/>
      <c r="E1300" s="2333" t="s">
        <v>3525</v>
      </c>
      <c r="F1300" s="2333" t="s">
        <v>3457</v>
      </c>
      <c r="G1300" s="2185" t="s">
        <v>3526</v>
      </c>
      <c r="H1300" s="2333"/>
      <c r="I1300" s="2334"/>
      <c r="J1300" s="2185"/>
      <c r="K1300" s="2336"/>
      <c r="L1300" s="2335"/>
      <c r="M1300" s="1951"/>
      <c r="N1300" s="1962"/>
      <c r="O1300" s="1961">
        <v>1095021</v>
      </c>
      <c r="P1300" s="1951">
        <v>1145392</v>
      </c>
      <c r="Q1300" s="1960">
        <v>1198080</v>
      </c>
    </row>
    <row r="1301" spans="1:17" ht="12.75" customHeight="1">
      <c r="A1301" s="2332" t="s">
        <v>3459</v>
      </c>
      <c r="B1301" s="2185" t="s">
        <v>3709</v>
      </c>
      <c r="C1301" s="2296" t="s">
        <v>3453</v>
      </c>
      <c r="D1301" s="2296"/>
      <c r="E1301" s="2333" t="s">
        <v>3525</v>
      </c>
      <c r="F1301" s="2333" t="s">
        <v>3457</v>
      </c>
      <c r="G1301" s="2185" t="s">
        <v>3526</v>
      </c>
      <c r="H1301" s="2333"/>
      <c r="I1301" s="2334"/>
      <c r="J1301" s="2185"/>
      <c r="K1301" s="2336"/>
      <c r="L1301" s="2335"/>
      <c r="M1301" s="1951"/>
      <c r="N1301" s="1962"/>
      <c r="O1301" s="1961">
        <v>3800</v>
      </c>
      <c r="P1301" s="1951">
        <v>3975</v>
      </c>
      <c r="Q1301" s="1960">
        <v>4158</v>
      </c>
    </row>
    <row r="1302" spans="1:17" ht="12.75" customHeight="1">
      <c r="A1302" s="2332" t="s">
        <v>3533</v>
      </c>
      <c r="B1302" s="2185" t="s">
        <v>3534</v>
      </c>
      <c r="C1302" s="2296" t="s">
        <v>3453</v>
      </c>
      <c r="D1302" s="2296"/>
      <c r="E1302" s="2333" t="s">
        <v>3525</v>
      </c>
      <c r="F1302" s="2333" t="s">
        <v>3457</v>
      </c>
      <c r="G1302" s="2185" t="s">
        <v>3526</v>
      </c>
      <c r="H1302" s="2333"/>
      <c r="I1302" s="2334"/>
      <c r="J1302" s="2185"/>
      <c r="K1302" s="2336"/>
      <c r="L1302" s="2335"/>
      <c r="M1302" s="1951"/>
      <c r="N1302" s="1962"/>
      <c r="O1302" s="1961">
        <v>332</v>
      </c>
      <c r="P1302" s="1951">
        <v>348</v>
      </c>
      <c r="Q1302" s="1960">
        <v>364</v>
      </c>
    </row>
    <row r="1303" spans="1:17" ht="12.75" customHeight="1">
      <c r="A1303" s="2332" t="s">
        <v>3533</v>
      </c>
      <c r="B1303" s="2185" t="s">
        <v>3534</v>
      </c>
      <c r="C1303" s="2296" t="s">
        <v>3453</v>
      </c>
      <c r="D1303" s="2296"/>
      <c r="E1303" s="2333" t="s">
        <v>3525</v>
      </c>
      <c r="F1303" s="2333" t="s">
        <v>3457</v>
      </c>
      <c r="G1303" s="2185" t="s">
        <v>3526</v>
      </c>
      <c r="H1303" s="2333"/>
      <c r="I1303" s="2334"/>
      <c r="J1303" s="2185"/>
      <c r="K1303" s="2336"/>
      <c r="L1303" s="2335"/>
      <c r="M1303" s="1951"/>
      <c r="N1303" s="1962"/>
      <c r="O1303" s="1961">
        <v>0</v>
      </c>
      <c r="P1303" s="1951">
        <v>0</v>
      </c>
      <c r="Q1303" s="1960">
        <v>0</v>
      </c>
    </row>
    <row r="1304" spans="1:17" ht="12.75" customHeight="1">
      <c r="A1304" s="2332" t="s">
        <v>3454</v>
      </c>
      <c r="B1304" s="2185" t="s">
        <v>3512</v>
      </c>
      <c r="C1304" s="2296" t="s">
        <v>3453</v>
      </c>
      <c r="D1304" s="2296"/>
      <c r="E1304" s="2333" t="s">
        <v>3525</v>
      </c>
      <c r="F1304" s="2333" t="s">
        <v>3457</v>
      </c>
      <c r="G1304" s="2185" t="s">
        <v>3526</v>
      </c>
      <c r="H1304" s="2333"/>
      <c r="I1304" s="2334"/>
      <c r="J1304" s="2185"/>
      <c r="K1304" s="2336"/>
      <c r="L1304" s="2335"/>
      <c r="M1304" s="1951"/>
      <c r="N1304" s="1962"/>
      <c r="O1304" s="1961">
        <v>0</v>
      </c>
      <c r="P1304" s="1951">
        <v>0</v>
      </c>
      <c r="Q1304" s="1960">
        <v>0</v>
      </c>
    </row>
    <row r="1305" spans="1:17" ht="12.75" customHeight="1">
      <c r="A1305" s="2332" t="s">
        <v>3454</v>
      </c>
      <c r="B1305" s="2185" t="s">
        <v>3545</v>
      </c>
      <c r="C1305" s="2296" t="s">
        <v>3453</v>
      </c>
      <c r="D1305" s="2296"/>
      <c r="E1305" s="2333" t="s">
        <v>3525</v>
      </c>
      <c r="F1305" s="2333" t="s">
        <v>3457</v>
      </c>
      <c r="G1305" s="2185" t="s">
        <v>3526</v>
      </c>
      <c r="H1305" s="2333"/>
      <c r="I1305" s="2334"/>
      <c r="J1305" s="2185"/>
      <c r="K1305" s="2336"/>
      <c r="L1305" s="2335"/>
      <c r="M1305" s="1951"/>
      <c r="N1305" s="1962"/>
      <c r="O1305" s="1961">
        <v>0</v>
      </c>
      <c r="P1305" s="1951">
        <v>0</v>
      </c>
      <c r="Q1305" s="1960">
        <v>0</v>
      </c>
    </row>
    <row r="1306" spans="1:17" ht="12.75" customHeight="1">
      <c r="A1306" s="2332" t="s">
        <v>3523</v>
      </c>
      <c r="B1306" s="2185" t="s">
        <v>3922</v>
      </c>
      <c r="C1306" s="2296" t="s">
        <v>3453</v>
      </c>
      <c r="D1306" s="2296"/>
      <c r="E1306" s="2333" t="s">
        <v>3525</v>
      </c>
      <c r="F1306" s="2333" t="s">
        <v>3457</v>
      </c>
      <c r="G1306" s="2185" t="s">
        <v>3526</v>
      </c>
      <c r="H1306" s="2333"/>
      <c r="I1306" s="2334"/>
      <c r="J1306" s="2185"/>
      <c r="K1306" s="2336"/>
      <c r="L1306" s="2335"/>
      <c r="M1306" s="1951"/>
      <c r="N1306" s="1962"/>
      <c r="O1306" s="1961">
        <v>4267</v>
      </c>
      <c r="P1306" s="1951">
        <v>4464</v>
      </c>
      <c r="Q1306" s="1960">
        <v>4669</v>
      </c>
    </row>
    <row r="1307" spans="1:17" ht="12.75" customHeight="1">
      <c r="A1307" s="2332" t="s">
        <v>3576</v>
      </c>
      <c r="B1307" s="2185" t="s">
        <v>3596</v>
      </c>
      <c r="C1307" s="2296" t="s">
        <v>3453</v>
      </c>
      <c r="D1307" s="2296"/>
      <c r="E1307" s="2333" t="s">
        <v>3525</v>
      </c>
      <c r="F1307" s="2333" t="s">
        <v>3457</v>
      </c>
      <c r="G1307" s="2185" t="s">
        <v>3526</v>
      </c>
      <c r="H1307" s="2333"/>
      <c r="I1307" s="2334"/>
      <c r="J1307" s="2185"/>
      <c r="K1307" s="2336"/>
      <c r="L1307" s="2335"/>
      <c r="M1307" s="1951"/>
      <c r="N1307" s="1962"/>
      <c r="O1307" s="1961">
        <v>0</v>
      </c>
      <c r="P1307" s="1951">
        <v>0</v>
      </c>
      <c r="Q1307" s="1960">
        <v>0</v>
      </c>
    </row>
    <row r="1308" spans="1:17" ht="12.75" customHeight="1">
      <c r="A1308" s="2332" t="s">
        <v>3543</v>
      </c>
      <c r="B1308" s="2185" t="s">
        <v>3658</v>
      </c>
      <c r="C1308" s="2296" t="s">
        <v>3453</v>
      </c>
      <c r="D1308" s="2296"/>
      <c r="E1308" s="2333" t="s">
        <v>3525</v>
      </c>
      <c r="F1308" s="2333" t="s">
        <v>3457</v>
      </c>
      <c r="G1308" s="2185" t="s">
        <v>3526</v>
      </c>
      <c r="H1308" s="2333"/>
      <c r="I1308" s="2334"/>
      <c r="J1308" s="2185"/>
      <c r="K1308" s="2336"/>
      <c r="L1308" s="2335"/>
      <c r="M1308" s="1951"/>
      <c r="N1308" s="1962"/>
      <c r="O1308" s="1961">
        <v>53992</v>
      </c>
      <c r="P1308" s="1951">
        <v>56476</v>
      </c>
      <c r="Q1308" s="1960">
        <v>59074</v>
      </c>
    </row>
    <row r="1309" spans="1:17" ht="12.75" customHeight="1">
      <c r="A1309" s="2332" t="s">
        <v>3479</v>
      </c>
      <c r="B1309" s="2185" t="s">
        <v>3749</v>
      </c>
      <c r="C1309" s="2296" t="s">
        <v>3453</v>
      </c>
      <c r="D1309" s="2296"/>
      <c r="E1309" s="2333" t="s">
        <v>3525</v>
      </c>
      <c r="F1309" s="2333" t="s">
        <v>3457</v>
      </c>
      <c r="G1309" s="2185" t="s">
        <v>3526</v>
      </c>
      <c r="H1309" s="2333"/>
      <c r="I1309" s="2334"/>
      <c r="J1309" s="2185"/>
      <c r="K1309" s="2336"/>
      <c r="L1309" s="2335"/>
      <c r="M1309" s="1951"/>
      <c r="N1309" s="1962"/>
      <c r="O1309" s="1961">
        <v>6990000</v>
      </c>
      <c r="P1309" s="1951">
        <v>7311540</v>
      </c>
      <c r="Q1309" s="1960">
        <v>7647871</v>
      </c>
    </row>
    <row r="1310" spans="1:17" ht="12.75" customHeight="1">
      <c r="A1310" s="2332" t="s">
        <v>3464</v>
      </c>
      <c r="B1310" s="2185" t="s">
        <v>3630</v>
      </c>
      <c r="C1310" s="2296" t="s">
        <v>3453</v>
      </c>
      <c r="D1310" s="2296"/>
      <c r="E1310" s="2333" t="s">
        <v>3525</v>
      </c>
      <c r="F1310" s="2333" t="s">
        <v>3457</v>
      </c>
      <c r="G1310" s="2185" t="s">
        <v>3526</v>
      </c>
      <c r="H1310" s="2333"/>
      <c r="I1310" s="2334"/>
      <c r="J1310" s="2185"/>
      <c r="K1310" s="2336"/>
      <c r="L1310" s="2335"/>
      <c r="M1310" s="1951"/>
      <c r="N1310" s="1962"/>
      <c r="O1310" s="1961">
        <v>92153</v>
      </c>
      <c r="P1310" s="1951">
        <v>96393</v>
      </c>
      <c r="Q1310" s="1960">
        <v>100827</v>
      </c>
    </row>
    <row r="1311" spans="1:17" ht="12.75" customHeight="1">
      <c r="A1311" s="2332" t="s">
        <v>3479</v>
      </c>
      <c r="B1311" s="2185" t="s">
        <v>3923</v>
      </c>
      <c r="C1311" s="2296" t="s">
        <v>3497</v>
      </c>
      <c r="D1311" s="2296"/>
      <c r="E1311" s="2333" t="s">
        <v>3525</v>
      </c>
      <c r="F1311" s="2333" t="s">
        <v>3457</v>
      </c>
      <c r="G1311" s="2185" t="s">
        <v>3526</v>
      </c>
      <c r="H1311" s="2333"/>
      <c r="I1311" s="2334"/>
      <c r="J1311" s="2185"/>
      <c r="K1311" s="2336"/>
      <c r="L1311" s="2335"/>
      <c r="M1311" s="1951"/>
      <c r="N1311" s="1962"/>
      <c r="O1311" s="1961">
        <v>69</v>
      </c>
      <c r="P1311" s="1951">
        <v>73</v>
      </c>
      <c r="Q1311" s="1960">
        <v>76</v>
      </c>
    </row>
    <row r="1312" spans="1:17" ht="12.75" customHeight="1">
      <c r="A1312" s="2332" t="s">
        <v>3490</v>
      </c>
      <c r="B1312" s="2185" t="s">
        <v>3586</v>
      </c>
      <c r="C1312" s="2296" t="s">
        <v>3453</v>
      </c>
      <c r="D1312" s="2296"/>
      <c r="E1312" s="2333" t="s">
        <v>3525</v>
      </c>
      <c r="F1312" s="2333" t="s">
        <v>3457</v>
      </c>
      <c r="G1312" s="2185" t="s">
        <v>3526</v>
      </c>
      <c r="H1312" s="2333"/>
      <c r="I1312" s="2334"/>
      <c r="J1312" s="2185"/>
      <c r="K1312" s="2336"/>
      <c r="L1312" s="2335"/>
      <c r="M1312" s="1951"/>
      <c r="N1312" s="1962"/>
      <c r="O1312" s="1961">
        <v>958</v>
      </c>
      <c r="P1312" s="1951">
        <v>1003</v>
      </c>
      <c r="Q1312" s="1960">
        <v>1049</v>
      </c>
    </row>
    <row r="1313" spans="1:17" ht="12.75" customHeight="1">
      <c r="A1313" s="2332" t="s">
        <v>3487</v>
      </c>
      <c r="B1313" s="2185" t="s">
        <v>3647</v>
      </c>
      <c r="C1313" s="2296" t="s">
        <v>3453</v>
      </c>
      <c r="D1313" s="2296"/>
      <c r="E1313" s="2333" t="s">
        <v>3525</v>
      </c>
      <c r="F1313" s="2333" t="s">
        <v>3457</v>
      </c>
      <c r="G1313" s="2185" t="s">
        <v>3526</v>
      </c>
      <c r="H1313" s="2333"/>
      <c r="I1313" s="2334"/>
      <c r="J1313" s="2185"/>
      <c r="K1313" s="2336"/>
      <c r="L1313" s="2335"/>
      <c r="M1313" s="1951"/>
      <c r="N1313" s="1962"/>
      <c r="O1313" s="1961">
        <v>5749</v>
      </c>
      <c r="P1313" s="1951">
        <v>6014</v>
      </c>
      <c r="Q1313" s="1960">
        <v>6291</v>
      </c>
    </row>
    <row r="1314" spans="1:17" ht="12.75" customHeight="1">
      <c r="A1314" s="2332" t="s">
        <v>3531</v>
      </c>
      <c r="B1314" s="2185" t="s">
        <v>3532</v>
      </c>
      <c r="C1314" s="2296" t="s">
        <v>3453</v>
      </c>
      <c r="D1314" s="2296"/>
      <c r="E1314" s="2333" t="s">
        <v>3525</v>
      </c>
      <c r="F1314" s="2333" t="s">
        <v>3457</v>
      </c>
      <c r="G1314" s="2185" t="s">
        <v>3526</v>
      </c>
      <c r="H1314" s="2333"/>
      <c r="I1314" s="2334"/>
      <c r="J1314" s="2185"/>
      <c r="K1314" s="2336"/>
      <c r="L1314" s="2335"/>
      <c r="M1314" s="1951"/>
      <c r="N1314" s="1962"/>
      <c r="O1314" s="1961">
        <v>0</v>
      </c>
      <c r="P1314" s="1951">
        <v>0</v>
      </c>
      <c r="Q1314" s="1960">
        <v>0</v>
      </c>
    </row>
    <row r="1315" spans="1:17" ht="12.75" customHeight="1">
      <c r="A1315" s="2332" t="s">
        <v>3541</v>
      </c>
      <c r="B1315" s="2185" t="s">
        <v>3542</v>
      </c>
      <c r="C1315" s="2296" t="s">
        <v>3453</v>
      </c>
      <c r="D1315" s="2296"/>
      <c r="E1315" s="2333" t="s">
        <v>3525</v>
      </c>
      <c r="F1315" s="2333" t="s">
        <v>3457</v>
      </c>
      <c r="G1315" s="2185" t="s">
        <v>3526</v>
      </c>
      <c r="H1315" s="2333"/>
      <c r="I1315" s="2334"/>
      <c r="J1315" s="2185"/>
      <c r="K1315" s="2336"/>
      <c r="L1315" s="2335"/>
      <c r="M1315" s="1951"/>
      <c r="N1315" s="1962"/>
      <c r="O1315" s="1961">
        <v>30000</v>
      </c>
      <c r="P1315" s="1951">
        <v>31380</v>
      </c>
      <c r="Q1315" s="1960">
        <v>32824</v>
      </c>
    </row>
    <row r="1316" spans="1:17" ht="12.75" customHeight="1">
      <c r="A1316" s="2332" t="s">
        <v>3572</v>
      </c>
      <c r="B1316" s="2185" t="s">
        <v>3573</v>
      </c>
      <c r="C1316" s="2296" t="s">
        <v>3453</v>
      </c>
      <c r="D1316" s="2296"/>
      <c r="E1316" s="2333" t="s">
        <v>3525</v>
      </c>
      <c r="F1316" s="2333" t="s">
        <v>3457</v>
      </c>
      <c r="G1316" s="2185" t="s">
        <v>3526</v>
      </c>
      <c r="H1316" s="2333"/>
      <c r="I1316" s="2334"/>
      <c r="J1316" s="2185"/>
      <c r="K1316" s="2336"/>
      <c r="L1316" s="2335"/>
      <c r="M1316" s="1951"/>
      <c r="N1316" s="1962"/>
      <c r="O1316" s="1961">
        <v>26357</v>
      </c>
      <c r="P1316" s="1951">
        <v>27570</v>
      </c>
      <c r="Q1316" s="1960">
        <v>28838</v>
      </c>
    </row>
    <row r="1317" spans="1:17" ht="12.75" customHeight="1">
      <c r="A1317" s="2332" t="s">
        <v>3479</v>
      </c>
      <c r="B1317" s="2185" t="s">
        <v>3924</v>
      </c>
      <c r="C1317" s="2296" t="s">
        <v>3463</v>
      </c>
      <c r="D1317" s="2296"/>
      <c r="E1317" s="2333" t="s">
        <v>3525</v>
      </c>
      <c r="F1317" s="2333" t="s">
        <v>3457</v>
      </c>
      <c r="G1317" s="2185" t="s">
        <v>3526</v>
      </c>
      <c r="H1317" s="2333"/>
      <c r="I1317" s="2334"/>
      <c r="J1317" s="2185"/>
      <c r="K1317" s="2336"/>
      <c r="L1317" s="2335"/>
      <c r="M1317" s="1951"/>
      <c r="N1317" s="1962"/>
      <c r="O1317" s="1961">
        <v>722</v>
      </c>
      <c r="P1317" s="1951">
        <v>756</v>
      </c>
      <c r="Q1317" s="1960">
        <v>790</v>
      </c>
    </row>
    <row r="1318" spans="1:17" ht="12.75" customHeight="1">
      <c r="A1318" s="2332" t="s">
        <v>3454</v>
      </c>
      <c r="B1318" s="2185" t="s">
        <v>3512</v>
      </c>
      <c r="C1318" s="2296" t="s">
        <v>3453</v>
      </c>
      <c r="D1318" s="2296"/>
      <c r="E1318" s="2333" t="s">
        <v>3525</v>
      </c>
      <c r="F1318" s="2333" t="s">
        <v>3457</v>
      </c>
      <c r="G1318" s="2185" t="s">
        <v>3526</v>
      </c>
      <c r="H1318" s="2333"/>
      <c r="I1318" s="2334"/>
      <c r="J1318" s="2185"/>
      <c r="K1318" s="2336"/>
      <c r="L1318" s="2335"/>
      <c r="M1318" s="1951"/>
      <c r="N1318" s="1962"/>
      <c r="O1318" s="1961">
        <v>0</v>
      </c>
      <c r="P1318" s="1951">
        <v>0</v>
      </c>
      <c r="Q1318" s="1960">
        <v>0</v>
      </c>
    </row>
    <row r="1319" spans="1:17" ht="12.75" customHeight="1">
      <c r="A1319" s="2332" t="s">
        <v>3459</v>
      </c>
      <c r="B1319" s="2185" t="s">
        <v>3460</v>
      </c>
      <c r="C1319" s="2296" t="s">
        <v>3453</v>
      </c>
      <c r="D1319" s="2296"/>
      <c r="E1319" s="2333" t="s">
        <v>3525</v>
      </c>
      <c r="F1319" s="2333" t="s">
        <v>3457</v>
      </c>
      <c r="G1319" s="2185" t="s">
        <v>3526</v>
      </c>
      <c r="H1319" s="2333"/>
      <c r="I1319" s="2334"/>
      <c r="J1319" s="2185"/>
      <c r="K1319" s="2336"/>
      <c r="L1319" s="2335"/>
      <c r="M1319" s="1951"/>
      <c r="N1319" s="1962"/>
      <c r="O1319" s="1961">
        <v>158694</v>
      </c>
      <c r="P1319" s="1951">
        <v>165994</v>
      </c>
      <c r="Q1319" s="1960">
        <v>173630</v>
      </c>
    </row>
    <row r="1320" spans="1:17" ht="12.75" customHeight="1">
      <c r="A1320" s="2332" t="s">
        <v>3459</v>
      </c>
      <c r="B1320" s="2185" t="s">
        <v>3649</v>
      </c>
      <c r="C1320" s="2296" t="s">
        <v>3453</v>
      </c>
      <c r="D1320" s="2296"/>
      <c r="E1320" s="2333" t="s">
        <v>3525</v>
      </c>
      <c r="F1320" s="2333" t="s">
        <v>3457</v>
      </c>
      <c r="G1320" s="2185" t="s">
        <v>3526</v>
      </c>
      <c r="H1320" s="2333"/>
      <c r="I1320" s="2334"/>
      <c r="J1320" s="2185"/>
      <c r="K1320" s="2336"/>
      <c r="L1320" s="2335"/>
      <c r="M1320" s="1951"/>
      <c r="N1320" s="1962"/>
      <c r="O1320" s="1961">
        <v>0</v>
      </c>
      <c r="P1320" s="1951">
        <v>0</v>
      </c>
      <c r="Q1320" s="1960">
        <v>0</v>
      </c>
    </row>
    <row r="1321" spans="1:17" ht="12.75" customHeight="1">
      <c r="A1321" s="2332" t="s">
        <v>3508</v>
      </c>
      <c r="B1321" s="2185" t="s">
        <v>3555</v>
      </c>
      <c r="C1321" s="2296" t="s">
        <v>3453</v>
      </c>
      <c r="D1321" s="2296"/>
      <c r="E1321" s="2333" t="s">
        <v>3525</v>
      </c>
      <c r="F1321" s="2333" t="s">
        <v>3457</v>
      </c>
      <c r="G1321" s="2185" t="s">
        <v>3526</v>
      </c>
      <c r="H1321" s="2333"/>
      <c r="I1321" s="2334"/>
      <c r="J1321" s="2185"/>
      <c r="K1321" s="2336"/>
      <c r="L1321" s="2335"/>
      <c r="M1321" s="1951"/>
      <c r="N1321" s="1962"/>
      <c r="O1321" s="1961">
        <v>0</v>
      </c>
      <c r="P1321" s="1951">
        <v>0</v>
      </c>
      <c r="Q1321" s="1960">
        <v>0</v>
      </c>
    </row>
    <row r="1322" spans="1:17" ht="12.75" customHeight="1">
      <c r="A1322" s="2332" t="s">
        <v>3531</v>
      </c>
      <c r="B1322" s="2185" t="s">
        <v>3532</v>
      </c>
      <c r="C1322" s="2296" t="s">
        <v>3453</v>
      </c>
      <c r="D1322" s="2296"/>
      <c r="E1322" s="2333" t="s">
        <v>3525</v>
      </c>
      <c r="F1322" s="2333" t="s">
        <v>3457</v>
      </c>
      <c r="G1322" s="2185" t="s">
        <v>3526</v>
      </c>
      <c r="H1322" s="2333"/>
      <c r="I1322" s="2334"/>
      <c r="J1322" s="2185"/>
      <c r="K1322" s="2336"/>
      <c r="L1322" s="2335"/>
      <c r="M1322" s="1951"/>
      <c r="N1322" s="1962"/>
      <c r="O1322" s="1961">
        <v>0</v>
      </c>
      <c r="P1322" s="1951">
        <v>0</v>
      </c>
      <c r="Q1322" s="1960">
        <v>0</v>
      </c>
    </row>
    <row r="1323" spans="1:17" ht="12.75" customHeight="1">
      <c r="A1323" s="2332" t="s">
        <v>3459</v>
      </c>
      <c r="B1323" s="2185" t="s">
        <v>3925</v>
      </c>
      <c r="C1323" s="2296" t="s">
        <v>3453</v>
      </c>
      <c r="D1323" s="2296"/>
      <c r="E1323" s="2333" t="s">
        <v>3525</v>
      </c>
      <c r="F1323" s="2333" t="s">
        <v>3457</v>
      </c>
      <c r="G1323" s="2185" t="s">
        <v>3526</v>
      </c>
      <c r="H1323" s="2333"/>
      <c r="I1323" s="2334"/>
      <c r="J1323" s="2185"/>
      <c r="K1323" s="2336"/>
      <c r="L1323" s="2335"/>
      <c r="M1323" s="1951"/>
      <c r="N1323" s="1962"/>
      <c r="O1323" s="1961">
        <v>0</v>
      </c>
      <c r="P1323" s="1951">
        <v>0</v>
      </c>
      <c r="Q1323" s="1960">
        <v>0</v>
      </c>
    </row>
    <row r="1324" spans="1:17" ht="12.75" customHeight="1">
      <c r="A1324" s="2332" t="s">
        <v>3499</v>
      </c>
      <c r="B1324" s="2185" t="s">
        <v>3589</v>
      </c>
      <c r="C1324" s="2296" t="s">
        <v>3453</v>
      </c>
      <c r="D1324" s="2296"/>
      <c r="E1324" s="2333" t="s">
        <v>3525</v>
      </c>
      <c r="F1324" s="2333" t="s">
        <v>3457</v>
      </c>
      <c r="G1324" s="2185" t="s">
        <v>3526</v>
      </c>
      <c r="H1324" s="2333"/>
      <c r="I1324" s="2334"/>
      <c r="J1324" s="2185"/>
      <c r="K1324" s="2336"/>
      <c r="L1324" s="2335"/>
      <c r="M1324" s="1951"/>
      <c r="N1324" s="1962"/>
      <c r="O1324" s="1961">
        <v>78864</v>
      </c>
      <c r="P1324" s="1951">
        <v>82492</v>
      </c>
      <c r="Q1324" s="1960">
        <v>86287</v>
      </c>
    </row>
    <row r="1325" spans="1:17" ht="12.75" customHeight="1">
      <c r="A1325" s="2332" t="s">
        <v>3454</v>
      </c>
      <c r="B1325" s="2185" t="s">
        <v>3545</v>
      </c>
      <c r="C1325" s="2296" t="s">
        <v>3453</v>
      </c>
      <c r="D1325" s="2296"/>
      <c r="E1325" s="2333" t="s">
        <v>3525</v>
      </c>
      <c r="F1325" s="2333" t="s">
        <v>3457</v>
      </c>
      <c r="G1325" s="2185" t="s">
        <v>3526</v>
      </c>
      <c r="H1325" s="2333"/>
      <c r="I1325" s="2334"/>
      <c r="J1325" s="2185"/>
      <c r="K1325" s="2336"/>
      <c r="L1325" s="2335"/>
      <c r="M1325" s="1951"/>
      <c r="N1325" s="1962"/>
      <c r="O1325" s="1961">
        <v>0</v>
      </c>
      <c r="P1325" s="1951">
        <v>0</v>
      </c>
      <c r="Q1325" s="1960">
        <v>0</v>
      </c>
    </row>
    <row r="1326" spans="1:17" ht="12.75" customHeight="1">
      <c r="A1326" s="2332" t="s">
        <v>3541</v>
      </c>
      <c r="B1326" s="2185" t="s">
        <v>3926</v>
      </c>
      <c r="C1326" s="2296" t="s">
        <v>3453</v>
      </c>
      <c r="D1326" s="2296"/>
      <c r="E1326" s="2333" t="s">
        <v>3525</v>
      </c>
      <c r="F1326" s="2333" t="s">
        <v>3457</v>
      </c>
      <c r="G1326" s="2185" t="s">
        <v>3526</v>
      </c>
      <c r="H1326" s="2333"/>
      <c r="I1326" s="2334"/>
      <c r="J1326" s="2185"/>
      <c r="K1326" s="2336"/>
      <c r="L1326" s="2335"/>
      <c r="M1326" s="1951"/>
      <c r="N1326" s="1962"/>
      <c r="O1326" s="1961">
        <v>889150</v>
      </c>
      <c r="P1326" s="1951">
        <v>930051</v>
      </c>
      <c r="Q1326" s="1960">
        <v>972834</v>
      </c>
    </row>
    <row r="1327" spans="1:17" ht="12.75" customHeight="1">
      <c r="A1327" s="2332" t="s">
        <v>3479</v>
      </c>
      <c r="B1327" s="2185" t="s">
        <v>3664</v>
      </c>
      <c r="C1327" s="2296" t="s">
        <v>3453</v>
      </c>
      <c r="D1327" s="2296"/>
      <c r="E1327" s="2333" t="s">
        <v>3525</v>
      </c>
      <c r="F1327" s="2333" t="s">
        <v>3457</v>
      </c>
      <c r="G1327" s="2185" t="s">
        <v>3526</v>
      </c>
      <c r="H1327" s="2333"/>
      <c r="I1327" s="2334"/>
      <c r="J1327" s="2185"/>
      <c r="K1327" s="2336"/>
      <c r="L1327" s="2335"/>
      <c r="M1327" s="1951"/>
      <c r="N1327" s="1962"/>
      <c r="O1327" s="1961">
        <v>1278</v>
      </c>
      <c r="P1327" s="1951">
        <v>1337</v>
      </c>
      <c r="Q1327" s="1960">
        <v>1399</v>
      </c>
    </row>
    <row r="1328" spans="1:17" ht="12.75" customHeight="1">
      <c r="A1328" s="2332" t="s">
        <v>3473</v>
      </c>
      <c r="B1328" s="2185" t="s">
        <v>3927</v>
      </c>
      <c r="C1328" s="2296" t="s">
        <v>3463</v>
      </c>
      <c r="D1328" s="2296"/>
      <c r="E1328" s="2333" t="s">
        <v>3525</v>
      </c>
      <c r="F1328" s="2333" t="s">
        <v>3457</v>
      </c>
      <c r="G1328" s="2185" t="s">
        <v>3526</v>
      </c>
      <c r="H1328" s="2333"/>
      <c r="I1328" s="2334"/>
      <c r="J1328" s="2185"/>
      <c r="K1328" s="2336"/>
      <c r="L1328" s="2335"/>
      <c r="M1328" s="1951"/>
      <c r="N1328" s="1962"/>
      <c r="O1328" s="1961">
        <v>799</v>
      </c>
      <c r="P1328" s="1951">
        <v>836</v>
      </c>
      <c r="Q1328" s="1960">
        <v>875</v>
      </c>
    </row>
    <row r="1329" spans="1:17" ht="12.75" customHeight="1">
      <c r="A1329" s="2332" t="s">
        <v>3531</v>
      </c>
      <c r="B1329" s="2185" t="s">
        <v>3684</v>
      </c>
      <c r="C1329" s="2296" t="s">
        <v>3453</v>
      </c>
      <c r="D1329" s="2296"/>
      <c r="E1329" s="2333" t="s">
        <v>3525</v>
      </c>
      <c r="F1329" s="2333" t="s">
        <v>3457</v>
      </c>
      <c r="G1329" s="2185" t="s">
        <v>3526</v>
      </c>
      <c r="H1329" s="2333"/>
      <c r="I1329" s="2334"/>
      <c r="J1329" s="2185"/>
      <c r="K1329" s="2336"/>
      <c r="L1329" s="2335"/>
      <c r="M1329" s="1951"/>
      <c r="N1329" s="1962"/>
      <c r="O1329" s="1961">
        <v>517777</v>
      </c>
      <c r="P1329" s="1951">
        <v>545737</v>
      </c>
      <c r="Q1329" s="1960">
        <v>575207</v>
      </c>
    </row>
    <row r="1330" spans="1:17" ht="12.75" customHeight="1">
      <c r="A1330" s="2332" t="s">
        <v>3520</v>
      </c>
      <c r="B1330" s="2185" t="s">
        <v>3780</v>
      </c>
      <c r="C1330" s="2296" t="s">
        <v>3453</v>
      </c>
      <c r="D1330" s="2296"/>
      <c r="E1330" s="2333" t="s">
        <v>3525</v>
      </c>
      <c r="F1330" s="2333" t="s">
        <v>3457</v>
      </c>
      <c r="G1330" s="2185" t="s">
        <v>3526</v>
      </c>
      <c r="H1330" s="2333"/>
      <c r="I1330" s="2334"/>
      <c r="J1330" s="2185"/>
      <c r="K1330" s="2336"/>
      <c r="L1330" s="2335"/>
      <c r="M1330" s="1951"/>
      <c r="N1330" s="1962"/>
      <c r="O1330" s="1961">
        <v>33263</v>
      </c>
      <c r="P1330" s="1951">
        <v>34794</v>
      </c>
      <c r="Q1330" s="1960">
        <v>36394</v>
      </c>
    </row>
    <row r="1331" spans="1:17" ht="12.75" customHeight="1">
      <c r="A1331" s="2332" t="s">
        <v>3459</v>
      </c>
      <c r="B1331" s="2185" t="s">
        <v>3680</v>
      </c>
      <c r="C1331" s="2296" t="s">
        <v>3453</v>
      </c>
      <c r="D1331" s="2296"/>
      <c r="E1331" s="2333" t="s">
        <v>3525</v>
      </c>
      <c r="F1331" s="2333" t="s">
        <v>3457</v>
      </c>
      <c r="G1331" s="2185" t="s">
        <v>3526</v>
      </c>
      <c r="H1331" s="2333"/>
      <c r="I1331" s="2334"/>
      <c r="J1331" s="2185"/>
      <c r="K1331" s="2336"/>
      <c r="L1331" s="2335"/>
      <c r="M1331" s="1951"/>
      <c r="N1331" s="1962"/>
      <c r="O1331" s="1961">
        <v>2000</v>
      </c>
      <c r="P1331" s="1951">
        <v>2000</v>
      </c>
      <c r="Q1331" s="1960">
        <v>2000</v>
      </c>
    </row>
    <row r="1332" spans="1:17" ht="12.75" customHeight="1">
      <c r="A1332" s="2332" t="s">
        <v>3479</v>
      </c>
      <c r="B1332" s="2185" t="s">
        <v>3550</v>
      </c>
      <c r="C1332" s="2296" t="s">
        <v>3453</v>
      </c>
      <c r="D1332" s="2296"/>
      <c r="E1332" s="2333" t="s">
        <v>3525</v>
      </c>
      <c r="F1332" s="2333" t="s">
        <v>3457</v>
      </c>
      <c r="G1332" s="2185" t="s">
        <v>3526</v>
      </c>
      <c r="H1332" s="2333"/>
      <c r="I1332" s="2334"/>
      <c r="J1332" s="2185"/>
      <c r="K1332" s="2336"/>
      <c r="L1332" s="2335"/>
      <c r="M1332" s="1951"/>
      <c r="N1332" s="1962"/>
      <c r="O1332" s="1961">
        <v>28670</v>
      </c>
      <c r="P1332" s="1951">
        <v>29989</v>
      </c>
      <c r="Q1332" s="1960">
        <v>31369</v>
      </c>
    </row>
    <row r="1333" spans="1:17" ht="12.75" customHeight="1">
      <c r="A1333" s="2332" t="s">
        <v>3531</v>
      </c>
      <c r="B1333" s="2185" t="s">
        <v>3593</v>
      </c>
      <c r="C1333" s="2296" t="s">
        <v>3453</v>
      </c>
      <c r="D1333" s="2296"/>
      <c r="E1333" s="2333" t="s">
        <v>3525</v>
      </c>
      <c r="F1333" s="2333" t="s">
        <v>3457</v>
      </c>
      <c r="G1333" s="2185" t="s">
        <v>3526</v>
      </c>
      <c r="H1333" s="2333"/>
      <c r="I1333" s="2334"/>
      <c r="J1333" s="2185"/>
      <c r="K1333" s="2336"/>
      <c r="L1333" s="2335"/>
      <c r="M1333" s="1951"/>
      <c r="N1333" s="1962"/>
      <c r="O1333" s="1961">
        <v>43697</v>
      </c>
      <c r="P1333" s="1951">
        <v>46057</v>
      </c>
      <c r="Q1333" s="1960">
        <v>48544</v>
      </c>
    </row>
    <row r="1334" spans="1:17" ht="12.75" customHeight="1">
      <c r="A1334" s="2332" t="s">
        <v>3536</v>
      </c>
      <c r="B1334" s="2185" t="s">
        <v>3548</v>
      </c>
      <c r="C1334" s="2296" t="s">
        <v>3453</v>
      </c>
      <c r="D1334" s="2296"/>
      <c r="E1334" s="2333" t="s">
        <v>3525</v>
      </c>
      <c r="F1334" s="2333" t="s">
        <v>3457</v>
      </c>
      <c r="G1334" s="2185" t="s">
        <v>3526</v>
      </c>
      <c r="H1334" s="2333"/>
      <c r="I1334" s="2334"/>
      <c r="J1334" s="2185"/>
      <c r="K1334" s="2336"/>
      <c r="L1334" s="2335"/>
      <c r="M1334" s="1951"/>
      <c r="N1334" s="1962"/>
      <c r="O1334" s="1961">
        <v>0</v>
      </c>
      <c r="P1334" s="1951">
        <v>0</v>
      </c>
      <c r="Q1334" s="1960">
        <v>0</v>
      </c>
    </row>
    <row r="1335" spans="1:17" ht="12.75" customHeight="1">
      <c r="A1335" s="2332" t="s">
        <v>3531</v>
      </c>
      <c r="B1335" s="2185" t="s">
        <v>3532</v>
      </c>
      <c r="C1335" s="2296" t="s">
        <v>3453</v>
      </c>
      <c r="D1335" s="2296"/>
      <c r="E1335" s="2333" t="s">
        <v>3525</v>
      </c>
      <c r="F1335" s="2333" t="s">
        <v>3457</v>
      </c>
      <c r="G1335" s="2185" t="s">
        <v>3526</v>
      </c>
      <c r="H1335" s="2333"/>
      <c r="I1335" s="2334"/>
      <c r="J1335" s="2185"/>
      <c r="K1335" s="2336"/>
      <c r="L1335" s="2335"/>
      <c r="M1335" s="1951"/>
      <c r="N1335" s="1962"/>
      <c r="O1335" s="1961">
        <v>0</v>
      </c>
      <c r="P1335" s="1951">
        <v>0</v>
      </c>
      <c r="Q1335" s="1960">
        <v>0</v>
      </c>
    </row>
    <row r="1336" spans="1:17" ht="12.75" customHeight="1">
      <c r="A1336" s="2332" t="s">
        <v>3464</v>
      </c>
      <c r="B1336" s="2185" t="s">
        <v>3928</v>
      </c>
      <c r="C1336" s="2296" t="s">
        <v>3453</v>
      </c>
      <c r="D1336" s="2296"/>
      <c r="E1336" s="2333" t="s">
        <v>3525</v>
      </c>
      <c r="F1336" s="2333" t="s">
        <v>3457</v>
      </c>
      <c r="G1336" s="2185" t="s">
        <v>3526</v>
      </c>
      <c r="H1336" s="2333"/>
      <c r="I1336" s="2334"/>
      <c r="J1336" s="2185"/>
      <c r="K1336" s="2336"/>
      <c r="L1336" s="2335"/>
      <c r="M1336" s="1951"/>
      <c r="N1336" s="1962"/>
      <c r="O1336" s="1961">
        <v>1355</v>
      </c>
      <c r="P1336" s="1951">
        <v>1417</v>
      </c>
      <c r="Q1336" s="1960">
        <v>1483</v>
      </c>
    </row>
    <row r="1337" spans="1:17" ht="12.75" customHeight="1">
      <c r="A1337" s="2332" t="s">
        <v>3506</v>
      </c>
      <c r="B1337" s="2185" t="s">
        <v>3929</v>
      </c>
      <c r="C1337" s="2296" t="s">
        <v>3930</v>
      </c>
      <c r="D1337" s="2296"/>
      <c r="E1337" s="2333" t="s">
        <v>3525</v>
      </c>
      <c r="F1337" s="2333" t="s">
        <v>3457</v>
      </c>
      <c r="G1337" s="2185" t="s">
        <v>3526</v>
      </c>
      <c r="H1337" s="2333"/>
      <c r="I1337" s="2334"/>
      <c r="J1337" s="2185"/>
      <c r="K1337" s="2336"/>
      <c r="L1337" s="2335"/>
      <c r="M1337" s="1951"/>
      <c r="N1337" s="1962"/>
      <c r="O1337" s="1961">
        <v>25000</v>
      </c>
      <c r="P1337" s="1951">
        <v>26150</v>
      </c>
      <c r="Q1337" s="1960">
        <v>27353</v>
      </c>
    </row>
    <row r="1338" spans="1:17" ht="12.75" customHeight="1">
      <c r="A1338" s="2332" t="s">
        <v>3487</v>
      </c>
      <c r="B1338" s="2185" t="s">
        <v>3647</v>
      </c>
      <c r="C1338" s="2296" t="s">
        <v>3453</v>
      </c>
      <c r="D1338" s="2296"/>
      <c r="E1338" s="2333" t="s">
        <v>3525</v>
      </c>
      <c r="F1338" s="2333" t="s">
        <v>3457</v>
      </c>
      <c r="G1338" s="2185" t="s">
        <v>3526</v>
      </c>
      <c r="H1338" s="2333"/>
      <c r="I1338" s="2334"/>
      <c r="J1338" s="2185"/>
      <c r="K1338" s="2336"/>
      <c r="L1338" s="2335"/>
      <c r="M1338" s="1951"/>
      <c r="N1338" s="1962"/>
      <c r="O1338" s="1961">
        <v>463996</v>
      </c>
      <c r="P1338" s="1951">
        <v>485340</v>
      </c>
      <c r="Q1338" s="1960">
        <v>507665</v>
      </c>
    </row>
    <row r="1339" spans="1:17" ht="12.75" customHeight="1">
      <c r="A1339" s="2332" t="s">
        <v>3510</v>
      </c>
      <c r="B1339" s="2185" t="s">
        <v>3511</v>
      </c>
      <c r="C1339" s="2296" t="s">
        <v>3453</v>
      </c>
      <c r="D1339" s="2296"/>
      <c r="E1339" s="2333" t="s">
        <v>3525</v>
      </c>
      <c r="F1339" s="2333" t="s">
        <v>3457</v>
      </c>
      <c r="G1339" s="2185" t="s">
        <v>3526</v>
      </c>
      <c r="H1339" s="2333"/>
      <c r="I1339" s="2334"/>
      <c r="J1339" s="2185"/>
      <c r="K1339" s="2336"/>
      <c r="L1339" s="2335"/>
      <c r="M1339" s="1951"/>
      <c r="N1339" s="1962"/>
      <c r="O1339" s="1961">
        <v>76028</v>
      </c>
      <c r="P1339" s="1951">
        <v>79526</v>
      </c>
      <c r="Q1339" s="1960">
        <v>83184</v>
      </c>
    </row>
    <row r="1340" spans="1:17" ht="12.75" customHeight="1">
      <c r="A1340" s="2332" t="s">
        <v>3510</v>
      </c>
      <c r="B1340" s="2185" t="s">
        <v>3931</v>
      </c>
      <c r="C1340" s="2296" t="s">
        <v>3735</v>
      </c>
      <c r="D1340" s="2296"/>
      <c r="E1340" s="2333" t="s">
        <v>3525</v>
      </c>
      <c r="F1340" s="2333" t="s">
        <v>3457</v>
      </c>
      <c r="G1340" s="2185" t="s">
        <v>3526</v>
      </c>
      <c r="H1340" s="2333"/>
      <c r="I1340" s="2334"/>
      <c r="J1340" s="2185"/>
      <c r="K1340" s="2336"/>
      <c r="L1340" s="2335"/>
      <c r="M1340" s="1951"/>
      <c r="N1340" s="1962"/>
      <c r="O1340" s="1961">
        <v>29000</v>
      </c>
      <c r="P1340" s="1951">
        <v>30334</v>
      </c>
      <c r="Q1340" s="1960">
        <v>31730</v>
      </c>
    </row>
    <row r="1341" spans="1:17" ht="12.75" customHeight="1">
      <c r="A1341" s="2332" t="s">
        <v>3477</v>
      </c>
      <c r="B1341" s="2185" t="s">
        <v>3575</v>
      </c>
      <c r="C1341" s="2296" t="s">
        <v>3453</v>
      </c>
      <c r="D1341" s="2296"/>
      <c r="E1341" s="2333" t="s">
        <v>3525</v>
      </c>
      <c r="F1341" s="2333" t="s">
        <v>3457</v>
      </c>
      <c r="G1341" s="2185" t="s">
        <v>3526</v>
      </c>
      <c r="H1341" s="2333"/>
      <c r="I1341" s="2334"/>
      <c r="J1341" s="2185"/>
      <c r="K1341" s="2336"/>
      <c r="L1341" s="2335"/>
      <c r="M1341" s="1951"/>
      <c r="N1341" s="1962"/>
      <c r="O1341" s="1961">
        <v>177244</v>
      </c>
      <c r="P1341" s="1951">
        <v>185398</v>
      </c>
      <c r="Q1341" s="1960">
        <v>193926</v>
      </c>
    </row>
    <row r="1342" spans="1:17" ht="12.75" customHeight="1">
      <c r="A1342" s="2332" t="s">
        <v>3464</v>
      </c>
      <c r="B1342" s="2185" t="s">
        <v>3605</v>
      </c>
      <c r="C1342" s="2296" t="s">
        <v>3453</v>
      </c>
      <c r="D1342" s="2296"/>
      <c r="E1342" s="2333" t="s">
        <v>3525</v>
      </c>
      <c r="F1342" s="2333" t="s">
        <v>3457</v>
      </c>
      <c r="G1342" s="2185" t="s">
        <v>3526</v>
      </c>
      <c r="H1342" s="2333"/>
      <c r="I1342" s="2334"/>
      <c r="J1342" s="2185"/>
      <c r="K1342" s="2336"/>
      <c r="L1342" s="2335"/>
      <c r="M1342" s="1951"/>
      <c r="N1342" s="1962"/>
      <c r="O1342" s="1961">
        <v>0</v>
      </c>
      <c r="P1342" s="1951">
        <v>0</v>
      </c>
      <c r="Q1342" s="1960">
        <v>0</v>
      </c>
    </row>
    <row r="1343" spans="1:17" ht="12.75" customHeight="1">
      <c r="A1343" s="2332" t="s">
        <v>3459</v>
      </c>
      <c r="B1343" s="2185" t="s">
        <v>3616</v>
      </c>
      <c r="C1343" s="2296" t="s">
        <v>3453</v>
      </c>
      <c r="D1343" s="2296"/>
      <c r="E1343" s="2333" t="s">
        <v>3525</v>
      </c>
      <c r="F1343" s="2333" t="s">
        <v>3457</v>
      </c>
      <c r="G1343" s="2185" t="s">
        <v>3526</v>
      </c>
      <c r="H1343" s="2333"/>
      <c r="I1343" s="2334"/>
      <c r="J1343" s="2185"/>
      <c r="K1343" s="2336"/>
      <c r="L1343" s="2335"/>
      <c r="M1343" s="1951"/>
      <c r="N1343" s="1962"/>
      <c r="O1343" s="1961">
        <v>105434</v>
      </c>
      <c r="P1343" s="1951">
        <v>110284</v>
      </c>
      <c r="Q1343" s="1960">
        <v>115358</v>
      </c>
    </row>
    <row r="1344" spans="1:17" ht="12.75" customHeight="1">
      <c r="A1344" s="2332" t="s">
        <v>3543</v>
      </c>
      <c r="B1344" s="2185" t="s">
        <v>3623</v>
      </c>
      <c r="C1344" s="2296" t="s">
        <v>3453</v>
      </c>
      <c r="D1344" s="2296"/>
      <c r="E1344" s="2333" t="s">
        <v>3525</v>
      </c>
      <c r="F1344" s="2333" t="s">
        <v>3457</v>
      </c>
      <c r="G1344" s="2185" t="s">
        <v>3526</v>
      </c>
      <c r="H1344" s="2333"/>
      <c r="I1344" s="2334"/>
      <c r="J1344" s="2185"/>
      <c r="K1344" s="2336"/>
      <c r="L1344" s="2335"/>
      <c r="M1344" s="1951"/>
      <c r="N1344" s="1962"/>
      <c r="O1344" s="1961">
        <v>1290</v>
      </c>
      <c r="P1344" s="1951">
        <v>1350</v>
      </c>
      <c r="Q1344" s="1960">
        <v>1412</v>
      </c>
    </row>
    <row r="1345" spans="1:17" ht="12.75" customHeight="1">
      <c r="A1345" s="2332" t="s">
        <v>3485</v>
      </c>
      <c r="B1345" s="2185" t="s">
        <v>3486</v>
      </c>
      <c r="C1345" s="2296" t="s">
        <v>3453</v>
      </c>
      <c r="D1345" s="2296"/>
      <c r="E1345" s="2333" t="s">
        <v>3525</v>
      </c>
      <c r="F1345" s="2333" t="s">
        <v>3457</v>
      </c>
      <c r="G1345" s="2185" t="s">
        <v>3526</v>
      </c>
      <c r="H1345" s="2333"/>
      <c r="I1345" s="2334"/>
      <c r="J1345" s="2185"/>
      <c r="K1345" s="2336"/>
      <c r="L1345" s="2335"/>
      <c r="M1345" s="1951"/>
      <c r="N1345" s="1962"/>
      <c r="O1345" s="1961">
        <v>1543092</v>
      </c>
      <c r="P1345" s="1951">
        <v>1614075</v>
      </c>
      <c r="Q1345" s="1960">
        <v>1688322</v>
      </c>
    </row>
    <row r="1346" spans="1:17" ht="12.75" customHeight="1">
      <c r="A1346" s="2332" t="s">
        <v>3490</v>
      </c>
      <c r="B1346" s="2185" t="s">
        <v>3932</v>
      </c>
      <c r="C1346" s="2296" t="s">
        <v>3453</v>
      </c>
      <c r="D1346" s="2296"/>
      <c r="E1346" s="2333" t="s">
        <v>3525</v>
      </c>
      <c r="F1346" s="2333" t="s">
        <v>3457</v>
      </c>
      <c r="G1346" s="2185" t="s">
        <v>3526</v>
      </c>
      <c r="H1346" s="2333"/>
      <c r="I1346" s="2334"/>
      <c r="J1346" s="2185"/>
      <c r="K1346" s="2336"/>
      <c r="L1346" s="2335"/>
      <c r="M1346" s="1951"/>
      <c r="N1346" s="1962"/>
      <c r="O1346" s="1961">
        <v>40006</v>
      </c>
      <c r="P1346" s="1951">
        <v>41847</v>
      </c>
      <c r="Q1346" s="1960">
        <v>43772</v>
      </c>
    </row>
    <row r="1347" spans="1:17" ht="12.75" customHeight="1">
      <c r="A1347" s="2332" t="s">
        <v>3520</v>
      </c>
      <c r="B1347" s="2185" t="s">
        <v>3780</v>
      </c>
      <c r="C1347" s="2296" t="s">
        <v>3453</v>
      </c>
      <c r="D1347" s="2296"/>
      <c r="E1347" s="2333" t="s">
        <v>3525</v>
      </c>
      <c r="F1347" s="2333" t="s">
        <v>3457</v>
      </c>
      <c r="G1347" s="2185" t="s">
        <v>3526</v>
      </c>
      <c r="H1347" s="2333"/>
      <c r="I1347" s="2334"/>
      <c r="J1347" s="2185"/>
      <c r="K1347" s="2336"/>
      <c r="L1347" s="2335"/>
      <c r="M1347" s="1951"/>
      <c r="N1347" s="1962"/>
      <c r="O1347" s="1961">
        <v>61005</v>
      </c>
      <c r="P1347" s="1951">
        <v>63812</v>
      </c>
      <c r="Q1347" s="1960">
        <v>66747</v>
      </c>
    </row>
    <row r="1348" spans="1:17" ht="12.75" customHeight="1">
      <c r="A1348" s="2332" t="s">
        <v>3459</v>
      </c>
      <c r="B1348" s="2185" t="s">
        <v>3612</v>
      </c>
      <c r="C1348" s="2296" t="s">
        <v>3453</v>
      </c>
      <c r="D1348" s="2296"/>
      <c r="E1348" s="2333" t="s">
        <v>3525</v>
      </c>
      <c r="F1348" s="2333" t="s">
        <v>3457</v>
      </c>
      <c r="G1348" s="2185" t="s">
        <v>3526</v>
      </c>
      <c r="H1348" s="2333"/>
      <c r="I1348" s="2334"/>
      <c r="J1348" s="2185"/>
      <c r="K1348" s="2336"/>
      <c r="L1348" s="2335"/>
      <c r="M1348" s="1951"/>
      <c r="N1348" s="1962"/>
      <c r="O1348" s="1961">
        <v>0</v>
      </c>
      <c r="P1348" s="1951">
        <v>0</v>
      </c>
      <c r="Q1348" s="1960">
        <v>0</v>
      </c>
    </row>
    <row r="1349" spans="1:17" ht="12.75" customHeight="1">
      <c r="A1349" s="2332" t="s">
        <v>3499</v>
      </c>
      <c r="B1349" s="2185" t="s">
        <v>3933</v>
      </c>
      <c r="C1349" s="2296" t="s">
        <v>3453</v>
      </c>
      <c r="D1349" s="2296"/>
      <c r="E1349" s="2333" t="s">
        <v>3525</v>
      </c>
      <c r="F1349" s="2333" t="s">
        <v>3457</v>
      </c>
      <c r="G1349" s="2185" t="s">
        <v>3526</v>
      </c>
      <c r="H1349" s="2333"/>
      <c r="I1349" s="2334"/>
      <c r="J1349" s="2185"/>
      <c r="K1349" s="2336"/>
      <c r="L1349" s="2335"/>
      <c r="M1349" s="1951"/>
      <c r="N1349" s="1962"/>
      <c r="O1349" s="1961">
        <v>0</v>
      </c>
      <c r="P1349" s="1951">
        <v>0</v>
      </c>
      <c r="Q1349" s="1960">
        <v>0</v>
      </c>
    </row>
    <row r="1350" spans="1:17" ht="12.75" customHeight="1">
      <c r="A1350" s="2332" t="s">
        <v>3520</v>
      </c>
      <c r="B1350" s="2185" t="s">
        <v>3603</v>
      </c>
      <c r="C1350" s="2296" t="s">
        <v>3453</v>
      </c>
      <c r="D1350" s="2296"/>
      <c r="E1350" s="2333" t="s">
        <v>3525</v>
      </c>
      <c r="F1350" s="2333" t="s">
        <v>3457</v>
      </c>
      <c r="G1350" s="2185" t="s">
        <v>3526</v>
      </c>
      <c r="H1350" s="2333"/>
      <c r="I1350" s="2334"/>
      <c r="J1350" s="2185"/>
      <c r="K1350" s="2336"/>
      <c r="L1350" s="2335"/>
      <c r="M1350" s="1951"/>
      <c r="N1350" s="1962"/>
      <c r="O1350" s="1961">
        <v>2148381</v>
      </c>
      <c r="P1350" s="1951">
        <v>2247206</v>
      </c>
      <c r="Q1350" s="1960">
        <v>2350578</v>
      </c>
    </row>
    <row r="1351" spans="1:17" ht="12.75" customHeight="1">
      <c r="A1351" s="2332" t="s">
        <v>3520</v>
      </c>
      <c r="B1351" s="2185" t="s">
        <v>3668</v>
      </c>
      <c r="C1351" s="2296" t="s">
        <v>3453</v>
      </c>
      <c r="D1351" s="2296"/>
      <c r="E1351" s="2333" t="s">
        <v>3525</v>
      </c>
      <c r="F1351" s="2333" t="s">
        <v>3457</v>
      </c>
      <c r="G1351" s="2185" t="s">
        <v>3526</v>
      </c>
      <c r="H1351" s="2333"/>
      <c r="I1351" s="2334"/>
      <c r="J1351" s="2185"/>
      <c r="K1351" s="2336"/>
      <c r="L1351" s="2335"/>
      <c r="M1351" s="1951"/>
      <c r="N1351" s="1962"/>
      <c r="O1351" s="1961">
        <v>0</v>
      </c>
      <c r="P1351" s="1951">
        <v>0</v>
      </c>
      <c r="Q1351" s="1960">
        <v>1</v>
      </c>
    </row>
    <row r="1352" spans="1:17" ht="12.75" customHeight="1">
      <c r="A1352" s="2332" t="s">
        <v>3483</v>
      </c>
      <c r="B1352" s="2185" t="s">
        <v>3484</v>
      </c>
      <c r="C1352" s="2296" t="s">
        <v>3453</v>
      </c>
      <c r="D1352" s="2296"/>
      <c r="E1352" s="2333" t="s">
        <v>3525</v>
      </c>
      <c r="F1352" s="2333" t="s">
        <v>3457</v>
      </c>
      <c r="G1352" s="2185" t="s">
        <v>3526</v>
      </c>
      <c r="H1352" s="2333"/>
      <c r="I1352" s="2334"/>
      <c r="J1352" s="2185"/>
      <c r="K1352" s="2336"/>
      <c r="L1352" s="2335"/>
      <c r="M1352" s="1951"/>
      <c r="N1352" s="1962"/>
      <c r="O1352" s="1961">
        <v>125817</v>
      </c>
      <c r="P1352" s="1951">
        <v>131605</v>
      </c>
      <c r="Q1352" s="1960">
        <v>137659</v>
      </c>
    </row>
    <row r="1353" spans="1:17" ht="12.75" customHeight="1">
      <c r="A1353" s="2332" t="s">
        <v>3541</v>
      </c>
      <c r="B1353" s="2185" t="s">
        <v>3934</v>
      </c>
      <c r="C1353" s="2296" t="s">
        <v>3453</v>
      </c>
      <c r="D1353" s="2296"/>
      <c r="E1353" s="2333" t="s">
        <v>3525</v>
      </c>
      <c r="F1353" s="2333" t="s">
        <v>3457</v>
      </c>
      <c r="G1353" s="2185" t="s">
        <v>3526</v>
      </c>
      <c r="H1353" s="2333"/>
      <c r="I1353" s="2334"/>
      <c r="J1353" s="2185"/>
      <c r="K1353" s="2336"/>
      <c r="L1353" s="2335"/>
      <c r="M1353" s="1951"/>
      <c r="N1353" s="1962"/>
      <c r="O1353" s="1961">
        <v>1000</v>
      </c>
      <c r="P1353" s="1951">
        <v>1046</v>
      </c>
      <c r="Q1353" s="1960">
        <v>1095</v>
      </c>
    </row>
    <row r="1354" spans="1:17" ht="12.75" customHeight="1">
      <c r="A1354" s="2332" t="s">
        <v>3477</v>
      </c>
      <c r="B1354" s="2185" t="s">
        <v>3935</v>
      </c>
      <c r="C1354" s="2296" t="s">
        <v>3453</v>
      </c>
      <c r="D1354" s="2296"/>
      <c r="E1354" s="2333" t="s">
        <v>3525</v>
      </c>
      <c r="F1354" s="2333" t="s">
        <v>3457</v>
      </c>
      <c r="G1354" s="2185" t="s">
        <v>3526</v>
      </c>
      <c r="H1354" s="2333"/>
      <c r="I1354" s="2334"/>
      <c r="J1354" s="2185"/>
      <c r="K1354" s="2336"/>
      <c r="L1354" s="2335"/>
      <c r="M1354" s="1951"/>
      <c r="N1354" s="1962"/>
      <c r="O1354" s="1961">
        <v>1000000</v>
      </c>
      <c r="P1354" s="1951">
        <v>1046000</v>
      </c>
      <c r="Q1354" s="1960">
        <v>1094116</v>
      </c>
    </row>
    <row r="1355" spans="1:17" ht="12.75" customHeight="1">
      <c r="A1355" s="2332" t="s">
        <v>3565</v>
      </c>
      <c r="B1355" s="2185" t="s">
        <v>3566</v>
      </c>
      <c r="C1355" s="2296" t="s">
        <v>3453</v>
      </c>
      <c r="D1355" s="2296"/>
      <c r="E1355" s="2333" t="s">
        <v>3525</v>
      </c>
      <c r="F1355" s="2333" t="s">
        <v>3457</v>
      </c>
      <c r="G1355" s="2185" t="s">
        <v>3526</v>
      </c>
      <c r="H1355" s="2333"/>
      <c r="I1355" s="2334"/>
      <c r="J1355" s="2185"/>
      <c r="K1355" s="2336"/>
      <c r="L1355" s="2335"/>
      <c r="M1355" s="1951"/>
      <c r="N1355" s="1962"/>
      <c r="O1355" s="1961">
        <v>1770</v>
      </c>
      <c r="P1355" s="1951">
        <v>1852</v>
      </c>
      <c r="Q1355" s="1960">
        <v>1937</v>
      </c>
    </row>
    <row r="1356" spans="1:17" ht="12.75" customHeight="1">
      <c r="A1356" s="2332" t="s">
        <v>3531</v>
      </c>
      <c r="B1356" s="2185" t="s">
        <v>3532</v>
      </c>
      <c r="C1356" s="2296" t="s">
        <v>3453</v>
      </c>
      <c r="D1356" s="2296"/>
      <c r="E1356" s="2333" t="s">
        <v>3525</v>
      </c>
      <c r="F1356" s="2333" t="s">
        <v>3457</v>
      </c>
      <c r="G1356" s="2185" t="s">
        <v>3526</v>
      </c>
      <c r="H1356" s="2333"/>
      <c r="I1356" s="2334"/>
      <c r="J1356" s="2185"/>
      <c r="K1356" s="2336"/>
      <c r="L1356" s="2335"/>
      <c r="M1356" s="1951"/>
      <c r="N1356" s="1962"/>
      <c r="O1356" s="1961">
        <v>0</v>
      </c>
      <c r="P1356" s="1951">
        <v>0</v>
      </c>
      <c r="Q1356" s="1960">
        <v>0</v>
      </c>
    </row>
    <row r="1357" spans="1:17" ht="12.75" customHeight="1">
      <c r="A1357" s="2332" t="s">
        <v>3531</v>
      </c>
      <c r="B1357" s="2185" t="s">
        <v>3593</v>
      </c>
      <c r="C1357" s="2296" t="s">
        <v>3453</v>
      </c>
      <c r="D1357" s="2296"/>
      <c r="E1357" s="2333" t="s">
        <v>3525</v>
      </c>
      <c r="F1357" s="2333" t="s">
        <v>3457</v>
      </c>
      <c r="G1357" s="2185" t="s">
        <v>3526</v>
      </c>
      <c r="H1357" s="2333"/>
      <c r="I1357" s="2334"/>
      <c r="J1357" s="2185"/>
      <c r="K1357" s="2336"/>
      <c r="L1357" s="2335"/>
      <c r="M1357" s="1951"/>
      <c r="N1357" s="1962"/>
      <c r="O1357" s="1961">
        <v>200491</v>
      </c>
      <c r="P1357" s="1951">
        <v>211318</v>
      </c>
      <c r="Q1357" s="1960">
        <v>222729</v>
      </c>
    </row>
    <row r="1358" spans="1:17" ht="12.75" customHeight="1">
      <c r="A1358" s="2332" t="s">
        <v>3523</v>
      </c>
      <c r="B1358" s="2185" t="s">
        <v>3535</v>
      </c>
      <c r="C1358" s="2296" t="s">
        <v>3453</v>
      </c>
      <c r="D1358" s="2296"/>
      <c r="E1358" s="2333" t="s">
        <v>3525</v>
      </c>
      <c r="F1358" s="2333" t="s">
        <v>3457</v>
      </c>
      <c r="G1358" s="2185" t="s">
        <v>3526</v>
      </c>
      <c r="H1358" s="2333"/>
      <c r="I1358" s="2334"/>
      <c r="J1358" s="2185"/>
      <c r="K1358" s="2336"/>
      <c r="L1358" s="2335"/>
      <c r="M1358" s="1951"/>
      <c r="N1358" s="1962"/>
      <c r="O1358" s="1961">
        <v>48125</v>
      </c>
      <c r="P1358" s="1951">
        <v>50339</v>
      </c>
      <c r="Q1358" s="1960">
        <v>52655</v>
      </c>
    </row>
    <row r="1359" spans="1:17" ht="12.75" customHeight="1">
      <c r="A1359" s="2332" t="s">
        <v>3459</v>
      </c>
      <c r="B1359" s="2185" t="s">
        <v>3616</v>
      </c>
      <c r="C1359" s="2296" t="s">
        <v>3453</v>
      </c>
      <c r="D1359" s="2296"/>
      <c r="E1359" s="2333" t="s">
        <v>3525</v>
      </c>
      <c r="F1359" s="2333" t="s">
        <v>3457</v>
      </c>
      <c r="G1359" s="2185" t="s">
        <v>3526</v>
      </c>
      <c r="H1359" s="2333"/>
      <c r="I1359" s="2334"/>
      <c r="J1359" s="2185"/>
      <c r="K1359" s="2336"/>
      <c r="L1359" s="2335"/>
      <c r="M1359" s="1951"/>
      <c r="N1359" s="1962"/>
      <c r="O1359" s="1961">
        <v>221218</v>
      </c>
      <c r="P1359" s="1951">
        <v>231395</v>
      </c>
      <c r="Q1359" s="1960">
        <v>242039</v>
      </c>
    </row>
    <row r="1360" spans="1:17" ht="12.75" customHeight="1">
      <c r="A1360" s="2332" t="s">
        <v>3483</v>
      </c>
      <c r="B1360" s="2185" t="s">
        <v>3484</v>
      </c>
      <c r="C1360" s="2296" t="s">
        <v>3453</v>
      </c>
      <c r="D1360" s="2296"/>
      <c r="E1360" s="2333" t="s">
        <v>3525</v>
      </c>
      <c r="F1360" s="2333" t="s">
        <v>3457</v>
      </c>
      <c r="G1360" s="2185" t="s">
        <v>3526</v>
      </c>
      <c r="H1360" s="2333"/>
      <c r="I1360" s="2334"/>
      <c r="J1360" s="2185"/>
      <c r="K1360" s="2336"/>
      <c r="L1360" s="2335"/>
      <c r="M1360" s="1951"/>
      <c r="N1360" s="1962"/>
      <c r="O1360" s="1961">
        <v>76935</v>
      </c>
      <c r="P1360" s="1951">
        <v>80475</v>
      </c>
      <c r="Q1360" s="1960">
        <v>84176</v>
      </c>
    </row>
    <row r="1361" spans="1:17" ht="12.75" customHeight="1">
      <c r="A1361" s="2332" t="s">
        <v>3565</v>
      </c>
      <c r="B1361" s="2185" t="s">
        <v>3566</v>
      </c>
      <c r="C1361" s="2296" t="s">
        <v>3453</v>
      </c>
      <c r="D1361" s="2296"/>
      <c r="E1361" s="2333" t="s">
        <v>3525</v>
      </c>
      <c r="F1361" s="2333" t="s">
        <v>3457</v>
      </c>
      <c r="G1361" s="2185" t="s">
        <v>3526</v>
      </c>
      <c r="H1361" s="2333"/>
      <c r="I1361" s="2334"/>
      <c r="J1361" s="2185"/>
      <c r="K1361" s="2336"/>
      <c r="L1361" s="2335"/>
      <c r="M1361" s="1951"/>
      <c r="N1361" s="1962"/>
      <c r="O1361" s="1961">
        <v>0</v>
      </c>
      <c r="P1361" s="1951">
        <v>0</v>
      </c>
      <c r="Q1361" s="1960">
        <v>0</v>
      </c>
    </row>
    <row r="1362" spans="1:17" ht="12.75" customHeight="1">
      <c r="A1362" s="2332" t="s">
        <v>3565</v>
      </c>
      <c r="B1362" s="2185" t="s">
        <v>3936</v>
      </c>
      <c r="C1362" s="2296" t="s">
        <v>3463</v>
      </c>
      <c r="D1362" s="2296"/>
      <c r="E1362" s="2333" t="s">
        <v>3525</v>
      </c>
      <c r="F1362" s="2333" t="s">
        <v>3457</v>
      </c>
      <c r="G1362" s="2185" t="s">
        <v>3526</v>
      </c>
      <c r="H1362" s="2333"/>
      <c r="I1362" s="2334"/>
      <c r="J1362" s="2185"/>
      <c r="K1362" s="2336"/>
      <c r="L1362" s="2335"/>
      <c r="M1362" s="1951"/>
      <c r="N1362" s="1962"/>
      <c r="O1362" s="1961">
        <v>1700</v>
      </c>
      <c r="P1362" s="1951">
        <v>1779</v>
      </c>
      <c r="Q1362" s="1960">
        <v>1860</v>
      </c>
    </row>
    <row r="1363" spans="1:17" ht="12.75" customHeight="1">
      <c r="A1363" s="2332" t="s">
        <v>3538</v>
      </c>
      <c r="B1363" s="2185" t="s">
        <v>3678</v>
      </c>
      <c r="C1363" s="2296" t="s">
        <v>3453</v>
      </c>
      <c r="D1363" s="2296"/>
      <c r="E1363" s="2333" t="s">
        <v>3525</v>
      </c>
      <c r="F1363" s="2333" t="s">
        <v>3457</v>
      </c>
      <c r="G1363" s="2185" t="s">
        <v>3526</v>
      </c>
      <c r="H1363" s="2333"/>
      <c r="I1363" s="2334"/>
      <c r="J1363" s="2185"/>
      <c r="K1363" s="2336"/>
      <c r="L1363" s="2335"/>
      <c r="M1363" s="1951"/>
      <c r="N1363" s="1962"/>
      <c r="O1363" s="1961">
        <v>4496</v>
      </c>
      <c r="P1363" s="1951">
        <v>4703</v>
      </c>
      <c r="Q1363" s="1960">
        <v>4920</v>
      </c>
    </row>
    <row r="1364" spans="1:17" ht="12.75" customHeight="1">
      <c r="A1364" s="2332" t="s">
        <v>3490</v>
      </c>
      <c r="B1364" s="2185" t="s">
        <v>3493</v>
      </c>
      <c r="C1364" s="2296" t="s">
        <v>3453</v>
      </c>
      <c r="D1364" s="2296"/>
      <c r="E1364" s="2333" t="s">
        <v>3525</v>
      </c>
      <c r="F1364" s="2333" t="s">
        <v>3457</v>
      </c>
      <c r="G1364" s="2185" t="s">
        <v>3526</v>
      </c>
      <c r="H1364" s="2333"/>
      <c r="I1364" s="2334"/>
      <c r="J1364" s="2185"/>
      <c r="K1364" s="2336"/>
      <c r="L1364" s="2335"/>
      <c r="M1364" s="1951"/>
      <c r="N1364" s="1962"/>
      <c r="O1364" s="1961">
        <v>124238</v>
      </c>
      <c r="P1364" s="1951">
        <v>129953</v>
      </c>
      <c r="Q1364" s="1960">
        <v>135931</v>
      </c>
    </row>
    <row r="1365" spans="1:17" ht="12.75" customHeight="1">
      <c r="A1365" s="2332" t="s">
        <v>3584</v>
      </c>
      <c r="B1365" s="2185" t="s">
        <v>3585</v>
      </c>
      <c r="C1365" s="2296" t="s">
        <v>3453</v>
      </c>
      <c r="D1365" s="2296"/>
      <c r="E1365" s="2333" t="s">
        <v>3525</v>
      </c>
      <c r="F1365" s="2333" t="s">
        <v>3457</v>
      </c>
      <c r="G1365" s="2185" t="s">
        <v>3526</v>
      </c>
      <c r="H1365" s="2333"/>
      <c r="I1365" s="2334"/>
      <c r="J1365" s="2185"/>
      <c r="K1365" s="2336"/>
      <c r="L1365" s="2335"/>
      <c r="M1365" s="1951"/>
      <c r="N1365" s="1962"/>
      <c r="O1365" s="1961">
        <v>157429</v>
      </c>
      <c r="P1365" s="1951">
        <v>164671</v>
      </c>
      <c r="Q1365" s="1960">
        <v>172246</v>
      </c>
    </row>
    <row r="1366" spans="1:17" ht="12.75" customHeight="1">
      <c r="A1366" s="2332" t="s">
        <v>3459</v>
      </c>
      <c r="B1366" s="2185" t="s">
        <v>3937</v>
      </c>
      <c r="C1366" s="2296" t="s">
        <v>3453</v>
      </c>
      <c r="D1366" s="2296"/>
      <c r="E1366" s="2333" t="s">
        <v>3525</v>
      </c>
      <c r="F1366" s="2333" t="s">
        <v>3457</v>
      </c>
      <c r="G1366" s="2185" t="s">
        <v>3526</v>
      </c>
      <c r="H1366" s="2333"/>
      <c r="I1366" s="2334"/>
      <c r="J1366" s="2185"/>
      <c r="K1366" s="2336"/>
      <c r="L1366" s="2335"/>
      <c r="M1366" s="1951"/>
      <c r="N1366" s="1962"/>
      <c r="O1366" s="1961">
        <v>829</v>
      </c>
      <c r="P1366" s="1951">
        <v>868</v>
      </c>
      <c r="Q1366" s="1960">
        <v>908</v>
      </c>
    </row>
    <row r="1367" spans="1:17" ht="12.75" customHeight="1">
      <c r="A1367" s="2332" t="s">
        <v>3531</v>
      </c>
      <c r="B1367" s="2185" t="s">
        <v>3532</v>
      </c>
      <c r="C1367" s="2296" t="s">
        <v>3453</v>
      </c>
      <c r="D1367" s="2296"/>
      <c r="E1367" s="2333" t="s">
        <v>3525</v>
      </c>
      <c r="F1367" s="2333" t="s">
        <v>3457</v>
      </c>
      <c r="G1367" s="2185" t="s">
        <v>3526</v>
      </c>
      <c r="H1367" s="2333"/>
      <c r="I1367" s="2334"/>
      <c r="J1367" s="2185"/>
      <c r="K1367" s="2336"/>
      <c r="L1367" s="2335"/>
      <c r="M1367" s="1951"/>
      <c r="N1367" s="1962"/>
      <c r="O1367" s="1961">
        <v>0</v>
      </c>
      <c r="P1367" s="1951">
        <v>0</v>
      </c>
      <c r="Q1367" s="1960">
        <v>0</v>
      </c>
    </row>
    <row r="1368" spans="1:17" ht="12.75" customHeight="1">
      <c r="A1368" s="2332" t="s">
        <v>3541</v>
      </c>
      <c r="B1368" s="2185" t="s">
        <v>3606</v>
      </c>
      <c r="C1368" s="2296" t="s">
        <v>3453</v>
      </c>
      <c r="D1368" s="2296"/>
      <c r="E1368" s="2333" t="s">
        <v>3525</v>
      </c>
      <c r="F1368" s="2333" t="s">
        <v>3457</v>
      </c>
      <c r="G1368" s="2185" t="s">
        <v>3526</v>
      </c>
      <c r="H1368" s="2333"/>
      <c r="I1368" s="2334"/>
      <c r="J1368" s="2185"/>
      <c r="K1368" s="2336"/>
      <c r="L1368" s="2335"/>
      <c r="M1368" s="1951"/>
      <c r="N1368" s="1962"/>
      <c r="O1368" s="1961">
        <v>308471</v>
      </c>
      <c r="P1368" s="1951">
        <v>322661</v>
      </c>
      <c r="Q1368" s="1960">
        <v>337504</v>
      </c>
    </row>
    <row r="1369" spans="1:17" ht="12.75" customHeight="1">
      <c r="A1369" s="2332" t="s">
        <v>3531</v>
      </c>
      <c r="B1369" s="2185" t="s">
        <v>3684</v>
      </c>
      <c r="C1369" s="2296" t="s">
        <v>3453</v>
      </c>
      <c r="D1369" s="2296"/>
      <c r="E1369" s="2333" t="s">
        <v>3525</v>
      </c>
      <c r="F1369" s="2333" t="s">
        <v>3457</v>
      </c>
      <c r="G1369" s="2185" t="s">
        <v>3526</v>
      </c>
      <c r="H1369" s="2333"/>
      <c r="I1369" s="2334"/>
      <c r="J1369" s="2185"/>
      <c r="K1369" s="2336"/>
      <c r="L1369" s="2335"/>
      <c r="M1369" s="1951"/>
      <c r="N1369" s="1962"/>
      <c r="O1369" s="1961">
        <v>3856</v>
      </c>
      <c r="P1369" s="1951">
        <v>4064</v>
      </c>
      <c r="Q1369" s="1960">
        <v>4284</v>
      </c>
    </row>
    <row r="1370" spans="1:17" ht="12.75" customHeight="1">
      <c r="A1370" s="2332" t="s">
        <v>3490</v>
      </c>
      <c r="B1370" s="2185" t="s">
        <v>3493</v>
      </c>
      <c r="C1370" s="2296" t="s">
        <v>3453</v>
      </c>
      <c r="D1370" s="2296"/>
      <c r="E1370" s="2333" t="s">
        <v>3525</v>
      </c>
      <c r="F1370" s="2333" t="s">
        <v>3457</v>
      </c>
      <c r="G1370" s="2185" t="s">
        <v>3526</v>
      </c>
      <c r="H1370" s="2333"/>
      <c r="I1370" s="2334"/>
      <c r="J1370" s="2185"/>
      <c r="K1370" s="2336"/>
      <c r="L1370" s="2335"/>
      <c r="M1370" s="1951"/>
      <c r="N1370" s="1962"/>
      <c r="O1370" s="1961">
        <v>1356067</v>
      </c>
      <c r="P1370" s="1951">
        <v>1418447</v>
      </c>
      <c r="Q1370" s="1960">
        <v>1483695</v>
      </c>
    </row>
    <row r="1371" spans="1:17" ht="12.75" customHeight="1">
      <c r="A1371" s="2332" t="s">
        <v>3508</v>
      </c>
      <c r="B1371" s="2185" t="s">
        <v>3681</v>
      </c>
      <c r="C1371" s="2296" t="s">
        <v>3453</v>
      </c>
      <c r="D1371" s="2296"/>
      <c r="E1371" s="2333" t="s">
        <v>3525</v>
      </c>
      <c r="F1371" s="2333" t="s">
        <v>3457</v>
      </c>
      <c r="G1371" s="2185" t="s">
        <v>3526</v>
      </c>
      <c r="H1371" s="2333"/>
      <c r="I1371" s="2334"/>
      <c r="J1371" s="2185"/>
      <c r="K1371" s="2336"/>
      <c r="L1371" s="2335"/>
      <c r="M1371" s="1951"/>
      <c r="N1371" s="1962"/>
      <c r="O1371" s="1961">
        <v>107923</v>
      </c>
      <c r="P1371" s="1951">
        <v>112888</v>
      </c>
      <c r="Q1371" s="1960">
        <v>118081</v>
      </c>
    </row>
    <row r="1372" spans="1:17" ht="12.75" customHeight="1">
      <c r="A1372" s="2332" t="s">
        <v>3499</v>
      </c>
      <c r="B1372" s="2185" t="s">
        <v>3589</v>
      </c>
      <c r="C1372" s="2296" t="s">
        <v>3453</v>
      </c>
      <c r="D1372" s="2296"/>
      <c r="E1372" s="2333" t="s">
        <v>3525</v>
      </c>
      <c r="F1372" s="2333" t="s">
        <v>3457</v>
      </c>
      <c r="G1372" s="2185" t="s">
        <v>3526</v>
      </c>
      <c r="H1372" s="2333"/>
      <c r="I1372" s="2334"/>
      <c r="J1372" s="2185"/>
      <c r="K1372" s="2336"/>
      <c r="L1372" s="2335"/>
      <c r="M1372" s="1951"/>
      <c r="N1372" s="1962"/>
      <c r="O1372" s="1961">
        <v>549910</v>
      </c>
      <c r="P1372" s="1951">
        <v>575206</v>
      </c>
      <c r="Q1372" s="1960">
        <v>601666</v>
      </c>
    </row>
    <row r="1373" spans="1:17" ht="12.75" customHeight="1">
      <c r="A1373" s="2332" t="s">
        <v>3543</v>
      </c>
      <c r="B1373" s="2185" t="s">
        <v>3623</v>
      </c>
      <c r="C1373" s="2296" t="s">
        <v>3453</v>
      </c>
      <c r="D1373" s="2296"/>
      <c r="E1373" s="2333" t="s">
        <v>3525</v>
      </c>
      <c r="F1373" s="2333" t="s">
        <v>3457</v>
      </c>
      <c r="G1373" s="2185" t="s">
        <v>3526</v>
      </c>
      <c r="H1373" s="2333"/>
      <c r="I1373" s="2334"/>
      <c r="J1373" s="2185"/>
      <c r="K1373" s="2336"/>
      <c r="L1373" s="2335"/>
      <c r="M1373" s="1951"/>
      <c r="N1373" s="1962"/>
      <c r="O1373" s="1961">
        <v>30000</v>
      </c>
      <c r="P1373" s="1951">
        <v>31380</v>
      </c>
      <c r="Q1373" s="1960">
        <v>32824</v>
      </c>
    </row>
    <row r="1374" spans="1:17" ht="12.75" customHeight="1">
      <c r="A1374" s="2332" t="s">
        <v>3531</v>
      </c>
      <c r="B1374" s="2185" t="s">
        <v>3532</v>
      </c>
      <c r="C1374" s="2296" t="s">
        <v>3453</v>
      </c>
      <c r="D1374" s="2296"/>
      <c r="E1374" s="2333" t="s">
        <v>3525</v>
      </c>
      <c r="F1374" s="2333" t="s">
        <v>3457</v>
      </c>
      <c r="G1374" s="2185" t="s">
        <v>3526</v>
      </c>
      <c r="H1374" s="2333"/>
      <c r="I1374" s="2334"/>
      <c r="J1374" s="2185"/>
      <c r="K1374" s="2336"/>
      <c r="L1374" s="2335"/>
      <c r="M1374" s="1951"/>
      <c r="N1374" s="1962"/>
      <c r="O1374" s="1961">
        <v>0</v>
      </c>
      <c r="P1374" s="1951">
        <v>0</v>
      </c>
      <c r="Q1374" s="1960">
        <v>0</v>
      </c>
    </row>
    <row r="1375" spans="1:17" ht="12.75" customHeight="1">
      <c r="A1375" s="2332" t="s">
        <v>3538</v>
      </c>
      <c r="B1375" s="2185" t="s">
        <v>3539</v>
      </c>
      <c r="C1375" s="2296" t="s">
        <v>3453</v>
      </c>
      <c r="D1375" s="2296"/>
      <c r="E1375" s="2333" t="s">
        <v>3525</v>
      </c>
      <c r="F1375" s="2333" t="s">
        <v>3457</v>
      </c>
      <c r="G1375" s="2185" t="s">
        <v>3526</v>
      </c>
      <c r="H1375" s="2333"/>
      <c r="I1375" s="2334"/>
      <c r="J1375" s="2185"/>
      <c r="K1375" s="2336"/>
      <c r="L1375" s="2335"/>
      <c r="M1375" s="1951"/>
      <c r="N1375" s="1962"/>
      <c r="O1375" s="1961">
        <v>213781</v>
      </c>
      <c r="P1375" s="1951">
        <v>223615</v>
      </c>
      <c r="Q1375" s="1960">
        <v>233902</v>
      </c>
    </row>
    <row r="1376" spans="1:17" ht="12.75" customHeight="1">
      <c r="A1376" s="2332" t="s">
        <v>3459</v>
      </c>
      <c r="B1376" s="2185" t="s">
        <v>3649</v>
      </c>
      <c r="C1376" s="2296" t="s">
        <v>3453</v>
      </c>
      <c r="D1376" s="2296"/>
      <c r="E1376" s="2333" t="s">
        <v>3525</v>
      </c>
      <c r="F1376" s="2333" t="s">
        <v>3457</v>
      </c>
      <c r="G1376" s="2185" t="s">
        <v>3526</v>
      </c>
      <c r="H1376" s="2333"/>
      <c r="I1376" s="2334"/>
      <c r="J1376" s="2185"/>
      <c r="K1376" s="2336"/>
      <c r="L1376" s="2335"/>
      <c r="M1376" s="1951"/>
      <c r="N1376" s="1962"/>
      <c r="O1376" s="1961">
        <v>0</v>
      </c>
      <c r="P1376" s="1951">
        <v>0</v>
      </c>
      <c r="Q1376" s="1960">
        <v>0</v>
      </c>
    </row>
    <row r="1377" spans="1:17" ht="12.75" customHeight="1">
      <c r="A1377" s="2332" t="s">
        <v>3499</v>
      </c>
      <c r="B1377" s="2185" t="s">
        <v>3938</v>
      </c>
      <c r="C1377" s="2296" t="s">
        <v>3939</v>
      </c>
      <c r="D1377" s="2296"/>
      <c r="E1377" s="2333" t="s">
        <v>3525</v>
      </c>
      <c r="F1377" s="2333" t="s">
        <v>3457</v>
      </c>
      <c r="G1377" s="2185" t="s">
        <v>3526</v>
      </c>
      <c r="H1377" s="2333"/>
      <c r="I1377" s="2334"/>
      <c r="J1377" s="2185"/>
      <c r="K1377" s="2336"/>
      <c r="L1377" s="2335"/>
      <c r="M1377" s="1951"/>
      <c r="N1377" s="1962"/>
      <c r="O1377" s="1961">
        <v>34789</v>
      </c>
      <c r="P1377" s="1951">
        <v>36390</v>
      </c>
      <c r="Q1377" s="1960">
        <v>38064</v>
      </c>
    </row>
    <row r="1378" spans="1:17" ht="12.75" customHeight="1">
      <c r="A1378" s="2332" t="s">
        <v>3483</v>
      </c>
      <c r="B1378" s="2185" t="s">
        <v>3676</v>
      </c>
      <c r="C1378" s="2296" t="s">
        <v>3453</v>
      </c>
      <c r="D1378" s="2296"/>
      <c r="E1378" s="2333" t="s">
        <v>3525</v>
      </c>
      <c r="F1378" s="2333" t="s">
        <v>3457</v>
      </c>
      <c r="G1378" s="2185" t="s">
        <v>3526</v>
      </c>
      <c r="H1378" s="2333"/>
      <c r="I1378" s="2334"/>
      <c r="J1378" s="2185"/>
      <c r="K1378" s="2336"/>
      <c r="L1378" s="2335"/>
      <c r="M1378" s="1951"/>
      <c r="N1378" s="1962"/>
      <c r="O1378" s="1961">
        <v>8006</v>
      </c>
      <c r="P1378" s="1951">
        <v>8375</v>
      </c>
      <c r="Q1378" s="1960">
        <v>8760</v>
      </c>
    </row>
    <row r="1379" spans="1:17" ht="12.75" customHeight="1">
      <c r="A1379" s="2332" t="s">
        <v>3523</v>
      </c>
      <c r="B1379" s="2185" t="s">
        <v>3940</v>
      </c>
      <c r="C1379" s="2296" t="s">
        <v>3652</v>
      </c>
      <c r="D1379" s="2296"/>
      <c r="E1379" s="2333" t="s">
        <v>3525</v>
      </c>
      <c r="F1379" s="2333" t="s">
        <v>3457</v>
      </c>
      <c r="G1379" s="2185" t="s">
        <v>3526</v>
      </c>
      <c r="H1379" s="2333"/>
      <c r="I1379" s="2334"/>
      <c r="J1379" s="2185"/>
      <c r="K1379" s="2336"/>
      <c r="L1379" s="2335"/>
      <c r="M1379" s="1951"/>
      <c r="N1379" s="1962"/>
      <c r="O1379" s="1961">
        <v>0</v>
      </c>
      <c r="P1379" s="1951">
        <v>0</v>
      </c>
      <c r="Q1379" s="1960">
        <v>0</v>
      </c>
    </row>
    <row r="1380" spans="1:17" ht="12.75" customHeight="1">
      <c r="A1380" s="2332" t="s">
        <v>3531</v>
      </c>
      <c r="B1380" s="2185" t="s">
        <v>3532</v>
      </c>
      <c r="C1380" s="2296" t="s">
        <v>3453</v>
      </c>
      <c r="D1380" s="2296"/>
      <c r="E1380" s="2333" t="s">
        <v>3525</v>
      </c>
      <c r="F1380" s="2333" t="s">
        <v>3457</v>
      </c>
      <c r="G1380" s="2185" t="s">
        <v>3526</v>
      </c>
      <c r="H1380" s="2333"/>
      <c r="I1380" s="2334"/>
      <c r="J1380" s="2185"/>
      <c r="K1380" s="2336"/>
      <c r="L1380" s="2335"/>
      <c r="M1380" s="1951"/>
      <c r="N1380" s="1962"/>
      <c r="O1380" s="1961">
        <v>0</v>
      </c>
      <c r="P1380" s="1951">
        <v>0</v>
      </c>
      <c r="Q1380" s="1960">
        <v>0</v>
      </c>
    </row>
    <row r="1381" spans="1:17" ht="12.75" customHeight="1">
      <c r="A1381" s="2332" t="s">
        <v>3470</v>
      </c>
      <c r="B1381" s="2185" t="s">
        <v>3941</v>
      </c>
      <c r="C1381" s="2296" t="s">
        <v>3492</v>
      </c>
      <c r="D1381" s="2296"/>
      <c r="E1381" s="2333" t="s">
        <v>3525</v>
      </c>
      <c r="F1381" s="2333" t="s">
        <v>3457</v>
      </c>
      <c r="G1381" s="2185" t="s">
        <v>3526</v>
      </c>
      <c r="H1381" s="2333"/>
      <c r="I1381" s="2334"/>
      <c r="J1381" s="2185"/>
      <c r="K1381" s="2336"/>
      <c r="L1381" s="2335"/>
      <c r="M1381" s="1951"/>
      <c r="N1381" s="1962"/>
      <c r="O1381" s="1961">
        <v>549</v>
      </c>
      <c r="P1381" s="1951">
        <v>575</v>
      </c>
      <c r="Q1381" s="1960">
        <v>601</v>
      </c>
    </row>
    <row r="1382" spans="1:17" ht="12.75" customHeight="1">
      <c r="A1382" s="2332" t="s">
        <v>3543</v>
      </c>
      <c r="B1382" s="2185" t="s">
        <v>3658</v>
      </c>
      <c r="C1382" s="2296" t="s">
        <v>3453</v>
      </c>
      <c r="D1382" s="2296"/>
      <c r="E1382" s="2333" t="s">
        <v>3525</v>
      </c>
      <c r="F1382" s="2333" t="s">
        <v>3457</v>
      </c>
      <c r="G1382" s="2185" t="s">
        <v>3526</v>
      </c>
      <c r="H1382" s="2333"/>
      <c r="I1382" s="2334"/>
      <c r="J1382" s="2185"/>
      <c r="K1382" s="2336"/>
      <c r="L1382" s="2335"/>
      <c r="M1382" s="1951"/>
      <c r="N1382" s="1962"/>
      <c r="O1382" s="1961">
        <v>4203668</v>
      </c>
      <c r="P1382" s="1951">
        <v>4397037</v>
      </c>
      <c r="Q1382" s="1960">
        <v>4599301</v>
      </c>
    </row>
    <row r="1383" spans="1:17" ht="12.75" customHeight="1">
      <c r="A1383" s="2332" t="s">
        <v>3576</v>
      </c>
      <c r="B1383" s="2185" t="s">
        <v>3577</v>
      </c>
      <c r="C1383" s="2296" t="s">
        <v>3453</v>
      </c>
      <c r="D1383" s="2296"/>
      <c r="E1383" s="2333" t="s">
        <v>3525</v>
      </c>
      <c r="F1383" s="2333" t="s">
        <v>3457</v>
      </c>
      <c r="G1383" s="2185" t="s">
        <v>3526</v>
      </c>
      <c r="H1383" s="2333"/>
      <c r="I1383" s="2334"/>
      <c r="J1383" s="2185"/>
      <c r="K1383" s="2336"/>
      <c r="L1383" s="2335"/>
      <c r="M1383" s="1951"/>
      <c r="N1383" s="1962"/>
      <c r="O1383" s="1961">
        <v>43516</v>
      </c>
      <c r="P1383" s="1951">
        <v>45518</v>
      </c>
      <c r="Q1383" s="1960">
        <v>47612</v>
      </c>
    </row>
    <row r="1384" spans="1:17" ht="12.75" customHeight="1">
      <c r="A1384" s="2332" t="s">
        <v>3533</v>
      </c>
      <c r="B1384" s="2185" t="s">
        <v>3942</v>
      </c>
      <c r="C1384" s="2296" t="s">
        <v>3943</v>
      </c>
      <c r="D1384" s="2296"/>
      <c r="E1384" s="2333" t="s">
        <v>3525</v>
      </c>
      <c r="F1384" s="2333" t="s">
        <v>3457</v>
      </c>
      <c r="G1384" s="2185" t="s">
        <v>3526</v>
      </c>
      <c r="H1384" s="2333"/>
      <c r="I1384" s="2334"/>
      <c r="J1384" s="2185"/>
      <c r="K1384" s="2336"/>
      <c r="L1384" s="2335"/>
      <c r="M1384" s="1951"/>
      <c r="N1384" s="1962"/>
      <c r="O1384" s="1961">
        <v>399000</v>
      </c>
      <c r="P1384" s="1951">
        <v>417354</v>
      </c>
      <c r="Q1384" s="1960">
        <v>436553</v>
      </c>
    </row>
    <row r="1385" spans="1:17" ht="12.75" customHeight="1">
      <c r="A1385" s="2332" t="s">
        <v>3533</v>
      </c>
      <c r="B1385" s="2185" t="s">
        <v>3534</v>
      </c>
      <c r="C1385" s="2296" t="s">
        <v>3453</v>
      </c>
      <c r="D1385" s="2296"/>
      <c r="E1385" s="2333" t="s">
        <v>3525</v>
      </c>
      <c r="F1385" s="2333" t="s">
        <v>3457</v>
      </c>
      <c r="G1385" s="2185" t="s">
        <v>3526</v>
      </c>
      <c r="H1385" s="2333"/>
      <c r="I1385" s="2334"/>
      <c r="J1385" s="2185"/>
      <c r="K1385" s="2336"/>
      <c r="L1385" s="2335"/>
      <c r="M1385" s="1951"/>
      <c r="N1385" s="1962"/>
      <c r="O1385" s="1961">
        <v>627057</v>
      </c>
      <c r="P1385" s="1951">
        <v>655902</v>
      </c>
      <c r="Q1385" s="1960">
        <v>686074</v>
      </c>
    </row>
    <row r="1386" spans="1:17" ht="12.75" customHeight="1">
      <c r="A1386" s="2332" t="s">
        <v>3506</v>
      </c>
      <c r="B1386" s="2185" t="s">
        <v>3944</v>
      </c>
      <c r="C1386" s="2296" t="s">
        <v>3453</v>
      </c>
      <c r="D1386" s="2296"/>
      <c r="E1386" s="2333" t="s">
        <v>3525</v>
      </c>
      <c r="F1386" s="2333" t="s">
        <v>3457</v>
      </c>
      <c r="G1386" s="2185" t="s">
        <v>3526</v>
      </c>
      <c r="H1386" s="2333"/>
      <c r="I1386" s="2334"/>
      <c r="J1386" s="2185"/>
      <c r="K1386" s="2336"/>
      <c r="L1386" s="2335"/>
      <c r="M1386" s="1951"/>
      <c r="N1386" s="1962"/>
      <c r="O1386" s="1961">
        <v>7726</v>
      </c>
      <c r="P1386" s="1951">
        <v>8082</v>
      </c>
      <c r="Q1386" s="1960">
        <v>8454</v>
      </c>
    </row>
    <row r="1387" spans="1:17" ht="12.75" customHeight="1">
      <c r="A1387" s="2332" t="s">
        <v>3543</v>
      </c>
      <c r="B1387" s="2185" t="s">
        <v>3658</v>
      </c>
      <c r="C1387" s="2296" t="s">
        <v>3453</v>
      </c>
      <c r="D1387" s="2296"/>
      <c r="E1387" s="2333" t="s">
        <v>3525</v>
      </c>
      <c r="F1387" s="2333" t="s">
        <v>3457</v>
      </c>
      <c r="G1387" s="2185" t="s">
        <v>3526</v>
      </c>
      <c r="H1387" s="2333"/>
      <c r="I1387" s="2334"/>
      <c r="J1387" s="2185"/>
      <c r="K1387" s="2336"/>
      <c r="L1387" s="2335"/>
      <c r="M1387" s="1951"/>
      <c r="N1387" s="1962"/>
      <c r="O1387" s="1961">
        <v>13379</v>
      </c>
      <c r="P1387" s="1951">
        <v>13995</v>
      </c>
      <c r="Q1387" s="1960">
        <v>14639</v>
      </c>
    </row>
    <row r="1388" spans="1:17" ht="12.75" customHeight="1">
      <c r="A1388" s="2332" t="s">
        <v>3454</v>
      </c>
      <c r="B1388" s="2185" t="s">
        <v>3528</v>
      </c>
      <c r="C1388" s="2296" t="s">
        <v>3453</v>
      </c>
      <c r="D1388" s="2296"/>
      <c r="E1388" s="2333" t="s">
        <v>3525</v>
      </c>
      <c r="F1388" s="2333" t="s">
        <v>3457</v>
      </c>
      <c r="G1388" s="2185" t="s">
        <v>3526</v>
      </c>
      <c r="H1388" s="2333"/>
      <c r="I1388" s="2334"/>
      <c r="J1388" s="2185"/>
      <c r="K1388" s="2336"/>
      <c r="L1388" s="2335"/>
      <c r="M1388" s="1951"/>
      <c r="N1388" s="1962"/>
      <c r="O1388" s="1961">
        <v>0</v>
      </c>
      <c r="P1388" s="1951">
        <v>0</v>
      </c>
      <c r="Q1388" s="1960">
        <v>0</v>
      </c>
    </row>
    <row r="1389" spans="1:17" ht="12.75" customHeight="1">
      <c r="A1389" s="2332" t="s">
        <v>3531</v>
      </c>
      <c r="B1389" s="2185" t="s">
        <v>3532</v>
      </c>
      <c r="C1389" s="2296" t="s">
        <v>3453</v>
      </c>
      <c r="D1389" s="2296"/>
      <c r="E1389" s="2333" t="s">
        <v>3525</v>
      </c>
      <c r="F1389" s="2333" t="s">
        <v>3457</v>
      </c>
      <c r="G1389" s="2185" t="s">
        <v>3526</v>
      </c>
      <c r="H1389" s="2333"/>
      <c r="I1389" s="2334"/>
      <c r="J1389" s="2185"/>
      <c r="K1389" s="2336"/>
      <c r="L1389" s="2335"/>
      <c r="M1389" s="1951"/>
      <c r="N1389" s="1962"/>
      <c r="O1389" s="1961">
        <v>0</v>
      </c>
      <c r="P1389" s="1951">
        <v>0</v>
      </c>
      <c r="Q1389" s="1960">
        <v>0</v>
      </c>
    </row>
    <row r="1390" spans="1:17" ht="12.75" customHeight="1">
      <c r="A1390" s="2332" t="s">
        <v>3538</v>
      </c>
      <c r="B1390" s="2185" t="s">
        <v>3539</v>
      </c>
      <c r="C1390" s="2296" t="s">
        <v>3453</v>
      </c>
      <c r="D1390" s="2296"/>
      <c r="E1390" s="2333" t="s">
        <v>3525</v>
      </c>
      <c r="F1390" s="2333" t="s">
        <v>3457</v>
      </c>
      <c r="G1390" s="2185" t="s">
        <v>3526</v>
      </c>
      <c r="H1390" s="2333"/>
      <c r="I1390" s="2334"/>
      <c r="J1390" s="2185"/>
      <c r="K1390" s="2336"/>
      <c r="L1390" s="2335"/>
      <c r="M1390" s="1951"/>
      <c r="N1390" s="1962"/>
      <c r="O1390" s="1961">
        <v>124523</v>
      </c>
      <c r="P1390" s="1951">
        <v>130251</v>
      </c>
      <c r="Q1390" s="1960">
        <v>136243</v>
      </c>
    </row>
    <row r="1391" spans="1:17" ht="12.75" customHeight="1">
      <c r="A1391" s="2332" t="s">
        <v>3572</v>
      </c>
      <c r="B1391" s="2185" t="s">
        <v>3688</v>
      </c>
      <c r="C1391" s="2296" t="s">
        <v>3453</v>
      </c>
      <c r="D1391" s="2296"/>
      <c r="E1391" s="2333" t="s">
        <v>3525</v>
      </c>
      <c r="F1391" s="2333" t="s">
        <v>3457</v>
      </c>
      <c r="G1391" s="2185" t="s">
        <v>3526</v>
      </c>
      <c r="H1391" s="2333"/>
      <c r="I1391" s="2334"/>
      <c r="J1391" s="2185"/>
      <c r="K1391" s="2336"/>
      <c r="L1391" s="2335"/>
      <c r="M1391" s="1951"/>
      <c r="N1391" s="1962"/>
      <c r="O1391" s="1961">
        <v>39503</v>
      </c>
      <c r="P1391" s="1951">
        <v>41321</v>
      </c>
      <c r="Q1391" s="1960">
        <v>43221</v>
      </c>
    </row>
    <row r="1392" spans="1:17" ht="12.75" customHeight="1">
      <c r="A1392" s="2332" t="s">
        <v>3477</v>
      </c>
      <c r="B1392" s="2185" t="s">
        <v>3478</v>
      </c>
      <c r="C1392" s="2296" t="s">
        <v>3453</v>
      </c>
      <c r="D1392" s="2296"/>
      <c r="E1392" s="2333" t="s">
        <v>3525</v>
      </c>
      <c r="F1392" s="2333" t="s">
        <v>3457</v>
      </c>
      <c r="G1392" s="2185" t="s">
        <v>3526</v>
      </c>
      <c r="H1392" s="2333"/>
      <c r="I1392" s="2334"/>
      <c r="J1392" s="2185"/>
      <c r="K1392" s="2336"/>
      <c r="L1392" s="2335"/>
      <c r="M1392" s="1951"/>
      <c r="N1392" s="1962"/>
      <c r="O1392" s="1961">
        <v>43500</v>
      </c>
      <c r="P1392" s="1951">
        <v>45501</v>
      </c>
      <c r="Q1392" s="1960">
        <v>47595</v>
      </c>
    </row>
    <row r="1393" spans="1:17" ht="12.75" customHeight="1">
      <c r="A1393" s="2332" t="s">
        <v>3543</v>
      </c>
      <c r="B1393" s="2185" t="s">
        <v>3945</v>
      </c>
      <c r="C1393" s="2296" t="s">
        <v>3453</v>
      </c>
      <c r="D1393" s="2296"/>
      <c r="E1393" s="2333" t="s">
        <v>3525</v>
      </c>
      <c r="F1393" s="2333" t="s">
        <v>3457</v>
      </c>
      <c r="G1393" s="2185" t="s">
        <v>3526</v>
      </c>
      <c r="H1393" s="2333"/>
      <c r="I1393" s="2334"/>
      <c r="J1393" s="2185"/>
      <c r="K1393" s="2336"/>
      <c r="L1393" s="2335"/>
      <c r="M1393" s="1951"/>
      <c r="N1393" s="1962"/>
      <c r="O1393" s="1961">
        <v>130865</v>
      </c>
      <c r="P1393" s="1951">
        <v>130865</v>
      </c>
      <c r="Q1393" s="1960">
        <v>137147</v>
      </c>
    </row>
    <row r="1394" spans="1:17" ht="12.75" customHeight="1">
      <c r="A1394" s="2332" t="s">
        <v>3499</v>
      </c>
      <c r="B1394" s="2185" t="s">
        <v>3946</v>
      </c>
      <c r="C1394" s="2296" t="s">
        <v>3497</v>
      </c>
      <c r="D1394" s="2296"/>
      <c r="E1394" s="2333" t="s">
        <v>3525</v>
      </c>
      <c r="F1394" s="2333" t="s">
        <v>3457</v>
      </c>
      <c r="G1394" s="2185" t="s">
        <v>3526</v>
      </c>
      <c r="H1394" s="2333"/>
      <c r="I1394" s="2334"/>
      <c r="J1394" s="2185"/>
      <c r="K1394" s="2336"/>
      <c r="L1394" s="2335"/>
      <c r="M1394" s="1951"/>
      <c r="N1394" s="1962"/>
      <c r="O1394" s="1961">
        <v>304</v>
      </c>
      <c r="P1394" s="1951">
        <v>318</v>
      </c>
      <c r="Q1394" s="1960">
        <v>333</v>
      </c>
    </row>
    <row r="1395" spans="1:17" ht="12.75" customHeight="1">
      <c r="A1395" s="2332" t="s">
        <v>3531</v>
      </c>
      <c r="B1395" s="2185" t="s">
        <v>3532</v>
      </c>
      <c r="C1395" s="2296" t="s">
        <v>3453</v>
      </c>
      <c r="D1395" s="2296"/>
      <c r="E1395" s="2333" t="s">
        <v>3525</v>
      </c>
      <c r="F1395" s="2333" t="s">
        <v>3457</v>
      </c>
      <c r="G1395" s="2185" t="s">
        <v>3526</v>
      </c>
      <c r="H1395" s="2333"/>
      <c r="I1395" s="2334"/>
      <c r="J1395" s="2185"/>
      <c r="K1395" s="2336"/>
      <c r="L1395" s="2335"/>
      <c r="M1395" s="1951"/>
      <c r="N1395" s="1962"/>
      <c r="O1395" s="1961">
        <v>0</v>
      </c>
      <c r="P1395" s="1951">
        <v>0</v>
      </c>
      <c r="Q1395" s="1960">
        <v>0</v>
      </c>
    </row>
    <row r="1396" spans="1:17" ht="12.75" customHeight="1">
      <c r="A1396" s="2332" t="s">
        <v>3506</v>
      </c>
      <c r="B1396" s="2185" t="s">
        <v>3610</v>
      </c>
      <c r="C1396" s="2296" t="s">
        <v>3453</v>
      </c>
      <c r="D1396" s="2296"/>
      <c r="E1396" s="2333" t="s">
        <v>3525</v>
      </c>
      <c r="F1396" s="2333" t="s">
        <v>3457</v>
      </c>
      <c r="G1396" s="2185" t="s">
        <v>3526</v>
      </c>
      <c r="H1396" s="2333"/>
      <c r="I1396" s="2334"/>
      <c r="J1396" s="2185"/>
      <c r="K1396" s="2336"/>
      <c r="L1396" s="2335"/>
      <c r="M1396" s="1951"/>
      <c r="N1396" s="1962"/>
      <c r="O1396" s="1961">
        <v>168161</v>
      </c>
      <c r="P1396" s="1951">
        <v>175897</v>
      </c>
      <c r="Q1396" s="1960">
        <v>183988</v>
      </c>
    </row>
    <row r="1397" spans="1:17" ht="12.75" customHeight="1">
      <c r="A1397" s="2332" t="s">
        <v>3454</v>
      </c>
      <c r="B1397" s="2185" t="s">
        <v>3574</v>
      </c>
      <c r="C1397" s="2296" t="s">
        <v>3453</v>
      </c>
      <c r="D1397" s="2296"/>
      <c r="E1397" s="2333" t="s">
        <v>3525</v>
      </c>
      <c r="F1397" s="2333" t="s">
        <v>3457</v>
      </c>
      <c r="G1397" s="2185" t="s">
        <v>3526</v>
      </c>
      <c r="H1397" s="2333"/>
      <c r="I1397" s="2334"/>
      <c r="J1397" s="2185"/>
      <c r="K1397" s="2336"/>
      <c r="L1397" s="2335"/>
      <c r="M1397" s="1951"/>
      <c r="N1397" s="1962"/>
      <c r="O1397" s="1961">
        <v>0</v>
      </c>
      <c r="P1397" s="1951">
        <v>0</v>
      </c>
      <c r="Q1397" s="1960">
        <v>0</v>
      </c>
    </row>
    <row r="1398" spans="1:17" ht="12.75" customHeight="1">
      <c r="A1398" s="2332" t="s">
        <v>3490</v>
      </c>
      <c r="B1398" s="2185" t="s">
        <v>3947</v>
      </c>
      <c r="C1398" s="2296" t="s">
        <v>3562</v>
      </c>
      <c r="D1398" s="2296"/>
      <c r="E1398" s="2333" t="s">
        <v>3525</v>
      </c>
      <c r="F1398" s="2333" t="s">
        <v>3457</v>
      </c>
      <c r="G1398" s="2185" t="s">
        <v>3526</v>
      </c>
      <c r="H1398" s="2333"/>
      <c r="I1398" s="2334"/>
      <c r="J1398" s="2185"/>
      <c r="K1398" s="2336"/>
      <c r="L1398" s="2335"/>
      <c r="M1398" s="1951"/>
      <c r="N1398" s="1962"/>
      <c r="O1398" s="1961">
        <v>203697</v>
      </c>
      <c r="P1398" s="1951">
        <v>213068</v>
      </c>
      <c r="Q1398" s="1960">
        <v>222869</v>
      </c>
    </row>
    <row r="1399" spans="1:17" ht="12.75" customHeight="1">
      <c r="A1399" s="2332" t="s">
        <v>3531</v>
      </c>
      <c r="B1399" s="2185" t="s">
        <v>3532</v>
      </c>
      <c r="C1399" s="2296" t="s">
        <v>3453</v>
      </c>
      <c r="D1399" s="2296"/>
      <c r="E1399" s="2333" t="s">
        <v>3525</v>
      </c>
      <c r="F1399" s="2333" t="s">
        <v>3457</v>
      </c>
      <c r="G1399" s="2185" t="s">
        <v>3526</v>
      </c>
      <c r="H1399" s="2333"/>
      <c r="I1399" s="2334"/>
      <c r="J1399" s="2185"/>
      <c r="K1399" s="2336"/>
      <c r="L1399" s="2335"/>
      <c r="M1399" s="1951"/>
      <c r="N1399" s="1962"/>
      <c r="O1399" s="1961">
        <v>0</v>
      </c>
      <c r="P1399" s="1951">
        <v>0</v>
      </c>
      <c r="Q1399" s="1960">
        <v>0</v>
      </c>
    </row>
    <row r="1400" spans="1:17" ht="12.75" customHeight="1">
      <c r="A1400" s="2332" t="s">
        <v>3464</v>
      </c>
      <c r="B1400" s="2185" t="s">
        <v>3489</v>
      </c>
      <c r="C1400" s="2296" t="s">
        <v>3453</v>
      </c>
      <c r="D1400" s="2296"/>
      <c r="E1400" s="2333" t="s">
        <v>3525</v>
      </c>
      <c r="F1400" s="2333" t="s">
        <v>3457</v>
      </c>
      <c r="G1400" s="2185" t="s">
        <v>3526</v>
      </c>
      <c r="H1400" s="2333"/>
      <c r="I1400" s="2334"/>
      <c r="J1400" s="2185"/>
      <c r="K1400" s="2336"/>
      <c r="L1400" s="2335"/>
      <c r="M1400" s="1951"/>
      <c r="N1400" s="1962"/>
      <c r="O1400" s="1961">
        <v>19054</v>
      </c>
      <c r="P1400" s="1951">
        <v>19931</v>
      </c>
      <c r="Q1400" s="1960">
        <v>20848</v>
      </c>
    </row>
    <row r="1401" spans="1:17" ht="12.75" customHeight="1">
      <c r="A1401" s="2332" t="s">
        <v>3490</v>
      </c>
      <c r="B1401" s="2185" t="s">
        <v>3586</v>
      </c>
      <c r="C1401" s="2296" t="s">
        <v>3453</v>
      </c>
      <c r="D1401" s="2296"/>
      <c r="E1401" s="2333" t="s">
        <v>3525</v>
      </c>
      <c r="F1401" s="2333" t="s">
        <v>3457</v>
      </c>
      <c r="G1401" s="2185" t="s">
        <v>3526</v>
      </c>
      <c r="H1401" s="2333"/>
      <c r="I1401" s="2334"/>
      <c r="J1401" s="2185"/>
      <c r="K1401" s="2336"/>
      <c r="L1401" s="2335"/>
      <c r="M1401" s="1951"/>
      <c r="N1401" s="1962"/>
      <c r="O1401" s="1961">
        <v>39298</v>
      </c>
      <c r="P1401" s="1951">
        <v>41106</v>
      </c>
      <c r="Q1401" s="1960">
        <v>42997</v>
      </c>
    </row>
    <row r="1402" spans="1:17" ht="12.75" customHeight="1">
      <c r="A1402" s="2332" t="s">
        <v>3501</v>
      </c>
      <c r="B1402" s="2185" t="s">
        <v>3553</v>
      </c>
      <c r="C1402" s="2296" t="s">
        <v>3453</v>
      </c>
      <c r="D1402" s="2296"/>
      <c r="E1402" s="2333" t="s">
        <v>3525</v>
      </c>
      <c r="F1402" s="2333" t="s">
        <v>3457</v>
      </c>
      <c r="G1402" s="2185" t="s">
        <v>3526</v>
      </c>
      <c r="H1402" s="2333"/>
      <c r="I1402" s="2334"/>
      <c r="J1402" s="2185"/>
      <c r="K1402" s="2336"/>
      <c r="L1402" s="2335"/>
      <c r="M1402" s="1951"/>
      <c r="N1402" s="1962"/>
      <c r="O1402" s="1961">
        <v>73835</v>
      </c>
      <c r="P1402" s="1951">
        <v>77232</v>
      </c>
      <c r="Q1402" s="1960">
        <v>80785</v>
      </c>
    </row>
    <row r="1403" spans="1:17" ht="12.75" customHeight="1">
      <c r="A1403" s="2332" t="s">
        <v>3454</v>
      </c>
      <c r="B1403" s="2185" t="s">
        <v>3948</v>
      </c>
      <c r="C1403" s="2296" t="s">
        <v>3453</v>
      </c>
      <c r="D1403" s="2296"/>
      <c r="E1403" s="2333" t="s">
        <v>3525</v>
      </c>
      <c r="F1403" s="2333" t="s">
        <v>3457</v>
      </c>
      <c r="G1403" s="2185" t="s">
        <v>3526</v>
      </c>
      <c r="H1403" s="2333"/>
      <c r="I1403" s="2334"/>
      <c r="J1403" s="2185"/>
      <c r="K1403" s="2336"/>
      <c r="L1403" s="2335"/>
      <c r="M1403" s="1951"/>
      <c r="N1403" s="1962"/>
      <c r="O1403" s="1961">
        <v>17000</v>
      </c>
      <c r="P1403" s="1951">
        <v>17782</v>
      </c>
      <c r="Q1403" s="1960">
        <v>18600</v>
      </c>
    </row>
    <row r="1404" spans="1:17" ht="12.75" customHeight="1">
      <c r="A1404" s="2332" t="s">
        <v>3464</v>
      </c>
      <c r="B1404" s="2185" t="s">
        <v>3605</v>
      </c>
      <c r="C1404" s="2296" t="s">
        <v>3453</v>
      </c>
      <c r="D1404" s="2296"/>
      <c r="E1404" s="2333" t="s">
        <v>3525</v>
      </c>
      <c r="F1404" s="2333" t="s">
        <v>3457</v>
      </c>
      <c r="G1404" s="2185" t="s">
        <v>3526</v>
      </c>
      <c r="H1404" s="2333"/>
      <c r="I1404" s="2334"/>
      <c r="J1404" s="2185"/>
      <c r="K1404" s="2336"/>
      <c r="L1404" s="2335"/>
      <c r="M1404" s="1951"/>
      <c r="N1404" s="1962"/>
      <c r="O1404" s="1961">
        <v>6800</v>
      </c>
      <c r="P1404" s="1951">
        <v>7113</v>
      </c>
      <c r="Q1404" s="1960">
        <v>7440</v>
      </c>
    </row>
    <row r="1405" spans="1:17" ht="12.75" customHeight="1">
      <c r="A1405" s="2332" t="s">
        <v>3464</v>
      </c>
      <c r="B1405" s="2185" t="s">
        <v>3665</v>
      </c>
      <c r="C1405" s="2296" t="s">
        <v>3453</v>
      </c>
      <c r="D1405" s="2296"/>
      <c r="E1405" s="2333" t="s">
        <v>3525</v>
      </c>
      <c r="F1405" s="2333" t="s">
        <v>3457</v>
      </c>
      <c r="G1405" s="2185" t="s">
        <v>3526</v>
      </c>
      <c r="H1405" s="2333"/>
      <c r="I1405" s="2334"/>
      <c r="J1405" s="2185"/>
      <c r="K1405" s="2336"/>
      <c r="L1405" s="2335"/>
      <c r="M1405" s="1951"/>
      <c r="N1405" s="1962"/>
      <c r="O1405" s="1961">
        <v>16009</v>
      </c>
      <c r="P1405" s="1951">
        <v>16746</v>
      </c>
      <c r="Q1405" s="1960">
        <v>17516</v>
      </c>
    </row>
    <row r="1406" spans="1:17" ht="12.75" customHeight="1">
      <c r="A1406" s="2332" t="s">
        <v>3520</v>
      </c>
      <c r="B1406" s="2185" t="s">
        <v>3949</v>
      </c>
      <c r="C1406" s="2296" t="s">
        <v>3950</v>
      </c>
      <c r="D1406" s="2296"/>
      <c r="E1406" s="2333" t="s">
        <v>3525</v>
      </c>
      <c r="F1406" s="2333" t="s">
        <v>3457</v>
      </c>
      <c r="G1406" s="2185" t="s">
        <v>3526</v>
      </c>
      <c r="H1406" s="2333"/>
      <c r="I1406" s="2334"/>
      <c r="J1406" s="2185"/>
      <c r="K1406" s="2336"/>
      <c r="L1406" s="2335"/>
      <c r="M1406" s="1951"/>
      <c r="N1406" s="1962"/>
      <c r="O1406" s="1961">
        <v>250000</v>
      </c>
      <c r="P1406" s="1951">
        <v>261500</v>
      </c>
      <c r="Q1406" s="1960">
        <v>273529</v>
      </c>
    </row>
    <row r="1407" spans="1:17" ht="12.75" customHeight="1">
      <c r="A1407" s="2332" t="s">
        <v>3483</v>
      </c>
      <c r="B1407" s="2185" t="s">
        <v>3484</v>
      </c>
      <c r="C1407" s="2296" t="s">
        <v>3453</v>
      </c>
      <c r="D1407" s="2296"/>
      <c r="E1407" s="2333" t="s">
        <v>3525</v>
      </c>
      <c r="F1407" s="2333" t="s">
        <v>3457</v>
      </c>
      <c r="G1407" s="2185" t="s">
        <v>3526</v>
      </c>
      <c r="H1407" s="2333"/>
      <c r="I1407" s="2334"/>
      <c r="J1407" s="2185"/>
      <c r="K1407" s="2336"/>
      <c r="L1407" s="2335"/>
      <c r="M1407" s="1951"/>
      <c r="N1407" s="1962"/>
      <c r="O1407" s="1961">
        <v>39293</v>
      </c>
      <c r="P1407" s="1951">
        <v>41101</v>
      </c>
      <c r="Q1407" s="1960">
        <v>42992</v>
      </c>
    </row>
    <row r="1408" spans="1:17" ht="12.75" customHeight="1">
      <c r="A1408" s="2332" t="s">
        <v>3485</v>
      </c>
      <c r="B1408" s="2185" t="s">
        <v>3505</v>
      </c>
      <c r="C1408" s="2296" t="s">
        <v>3453</v>
      </c>
      <c r="D1408" s="2296"/>
      <c r="E1408" s="2333" t="s">
        <v>3525</v>
      </c>
      <c r="F1408" s="2333" t="s">
        <v>3457</v>
      </c>
      <c r="G1408" s="2185" t="s">
        <v>3526</v>
      </c>
      <c r="H1408" s="2333"/>
      <c r="I1408" s="2334"/>
      <c r="J1408" s="2185"/>
      <c r="K1408" s="2336"/>
      <c r="L1408" s="2335"/>
      <c r="M1408" s="1951"/>
      <c r="N1408" s="1962"/>
      <c r="O1408" s="1961">
        <v>91249</v>
      </c>
      <c r="P1408" s="1951">
        <v>95447</v>
      </c>
      <c r="Q1408" s="1960">
        <v>99837</v>
      </c>
    </row>
    <row r="1409" spans="1:17" ht="12.75" customHeight="1">
      <c r="A1409" s="2332" t="s">
        <v>3531</v>
      </c>
      <c r="B1409" s="2185" t="s">
        <v>3532</v>
      </c>
      <c r="C1409" s="2296" t="s">
        <v>3453</v>
      </c>
      <c r="D1409" s="2296"/>
      <c r="E1409" s="2333" t="s">
        <v>3525</v>
      </c>
      <c r="F1409" s="2333" t="s">
        <v>3457</v>
      </c>
      <c r="G1409" s="2185" t="s">
        <v>3526</v>
      </c>
      <c r="H1409" s="2333"/>
      <c r="I1409" s="2334"/>
      <c r="J1409" s="2185"/>
      <c r="K1409" s="2336"/>
      <c r="L1409" s="2335"/>
      <c r="M1409" s="1951"/>
      <c r="N1409" s="1962"/>
      <c r="O1409" s="1961">
        <v>0</v>
      </c>
      <c r="P1409" s="1951">
        <v>0</v>
      </c>
      <c r="Q1409" s="1960">
        <v>0</v>
      </c>
    </row>
    <row r="1410" spans="1:17" ht="12.75" customHeight="1">
      <c r="A1410" s="2332" t="s">
        <v>3485</v>
      </c>
      <c r="B1410" s="2185" t="s">
        <v>3951</v>
      </c>
      <c r="C1410" s="2296" t="s">
        <v>3453</v>
      </c>
      <c r="D1410" s="2296"/>
      <c r="E1410" s="2333" t="s">
        <v>3525</v>
      </c>
      <c r="F1410" s="2333" t="s">
        <v>3457</v>
      </c>
      <c r="G1410" s="2185" t="s">
        <v>3526</v>
      </c>
      <c r="H1410" s="2333"/>
      <c r="I1410" s="2334"/>
      <c r="J1410" s="2185"/>
      <c r="K1410" s="2336"/>
      <c r="L1410" s="2335"/>
      <c r="M1410" s="1951"/>
      <c r="N1410" s="1962"/>
      <c r="O1410" s="1961">
        <v>1669672</v>
      </c>
      <c r="P1410" s="1951">
        <v>1669672</v>
      </c>
      <c r="Q1410" s="1960">
        <v>1746477</v>
      </c>
    </row>
    <row r="1411" spans="1:17" ht="12.75" customHeight="1">
      <c r="A1411" s="2332" t="s">
        <v>3459</v>
      </c>
      <c r="B1411" s="2185" t="s">
        <v>3498</v>
      </c>
      <c r="C1411" s="2296" t="s">
        <v>3453</v>
      </c>
      <c r="D1411" s="2296"/>
      <c r="E1411" s="2333" t="s">
        <v>3525</v>
      </c>
      <c r="F1411" s="2333" t="s">
        <v>3457</v>
      </c>
      <c r="G1411" s="2185" t="s">
        <v>3526</v>
      </c>
      <c r="H1411" s="2333"/>
      <c r="I1411" s="2334"/>
      <c r="J1411" s="2185"/>
      <c r="K1411" s="2336"/>
      <c r="L1411" s="2335"/>
      <c r="M1411" s="1951"/>
      <c r="N1411" s="1962"/>
      <c r="O1411" s="1961">
        <v>154019</v>
      </c>
      <c r="P1411" s="1951">
        <v>161104</v>
      </c>
      <c r="Q1411" s="1960">
        <v>168515</v>
      </c>
    </row>
    <row r="1412" spans="1:17" ht="12.75" customHeight="1">
      <c r="A1412" s="2332" t="s">
        <v>3459</v>
      </c>
      <c r="B1412" s="2185" t="s">
        <v>3645</v>
      </c>
      <c r="C1412" s="2296" t="s">
        <v>3453</v>
      </c>
      <c r="D1412" s="2296"/>
      <c r="E1412" s="2333" t="s">
        <v>3525</v>
      </c>
      <c r="F1412" s="2333" t="s">
        <v>3457</v>
      </c>
      <c r="G1412" s="2185" t="s">
        <v>3526</v>
      </c>
      <c r="H1412" s="2333"/>
      <c r="I1412" s="2334"/>
      <c r="J1412" s="2185"/>
      <c r="K1412" s="2336"/>
      <c r="L1412" s="2335"/>
      <c r="M1412" s="1951"/>
      <c r="N1412" s="1962"/>
      <c r="O1412" s="1961">
        <v>630000</v>
      </c>
      <c r="P1412" s="1951">
        <v>658980</v>
      </c>
      <c r="Q1412" s="1960">
        <v>689294</v>
      </c>
    </row>
    <row r="1413" spans="1:17" ht="12.75" customHeight="1">
      <c r="A1413" s="2332" t="s">
        <v>3464</v>
      </c>
      <c r="B1413" s="2185" t="s">
        <v>3482</v>
      </c>
      <c r="C1413" s="2296" t="s">
        <v>3453</v>
      </c>
      <c r="D1413" s="2296"/>
      <c r="E1413" s="2333" t="s">
        <v>3525</v>
      </c>
      <c r="F1413" s="2333" t="s">
        <v>3457</v>
      </c>
      <c r="G1413" s="2185" t="s">
        <v>3526</v>
      </c>
      <c r="H1413" s="2333"/>
      <c r="I1413" s="2334"/>
      <c r="J1413" s="2185"/>
      <c r="K1413" s="2336"/>
      <c r="L1413" s="2335"/>
      <c r="M1413" s="1951"/>
      <c r="N1413" s="1962"/>
      <c r="O1413" s="1961">
        <v>570981</v>
      </c>
      <c r="P1413" s="1951">
        <v>597247</v>
      </c>
      <c r="Q1413" s="1960">
        <v>624720</v>
      </c>
    </row>
    <row r="1414" spans="1:17" ht="12.75" customHeight="1">
      <c r="A1414" s="2332" t="s">
        <v>3479</v>
      </c>
      <c r="B1414" s="2185" t="s">
        <v>3550</v>
      </c>
      <c r="C1414" s="2296" t="s">
        <v>3453</v>
      </c>
      <c r="D1414" s="2296"/>
      <c r="E1414" s="2333" t="s">
        <v>3525</v>
      </c>
      <c r="F1414" s="2333" t="s">
        <v>3457</v>
      </c>
      <c r="G1414" s="2185" t="s">
        <v>3526</v>
      </c>
      <c r="H1414" s="2333"/>
      <c r="I1414" s="2334"/>
      <c r="J1414" s="2185"/>
      <c r="K1414" s="2336"/>
      <c r="L1414" s="2335"/>
      <c r="M1414" s="1951"/>
      <c r="N1414" s="1962"/>
      <c r="O1414" s="1961">
        <v>446813</v>
      </c>
      <c r="P1414" s="1951">
        <v>467367</v>
      </c>
      <c r="Q1414" s="1960">
        <v>488866</v>
      </c>
    </row>
    <row r="1415" spans="1:17" ht="12.75" customHeight="1">
      <c r="A1415" s="2332" t="s">
        <v>3565</v>
      </c>
      <c r="B1415" s="2185" t="s">
        <v>3628</v>
      </c>
      <c r="C1415" s="2296" t="s">
        <v>3453</v>
      </c>
      <c r="D1415" s="2296"/>
      <c r="E1415" s="2333" t="s">
        <v>3525</v>
      </c>
      <c r="F1415" s="2333" t="s">
        <v>3457</v>
      </c>
      <c r="G1415" s="2185" t="s">
        <v>3526</v>
      </c>
      <c r="H1415" s="2333"/>
      <c r="I1415" s="2334"/>
      <c r="J1415" s="2185"/>
      <c r="K1415" s="2336"/>
      <c r="L1415" s="2335"/>
      <c r="M1415" s="1951"/>
      <c r="N1415" s="1962"/>
      <c r="O1415" s="1961">
        <v>168982</v>
      </c>
      <c r="P1415" s="1951">
        <v>176756</v>
      </c>
      <c r="Q1415" s="1960">
        <v>184886</v>
      </c>
    </row>
    <row r="1416" spans="1:17" ht="12.75" customHeight="1">
      <c r="A1416" s="2332" t="s">
        <v>3520</v>
      </c>
      <c r="B1416" s="2185" t="s">
        <v>3603</v>
      </c>
      <c r="C1416" s="2296" t="s">
        <v>3453</v>
      </c>
      <c r="D1416" s="2296"/>
      <c r="E1416" s="2333" t="s">
        <v>3525</v>
      </c>
      <c r="F1416" s="2333" t="s">
        <v>3457</v>
      </c>
      <c r="G1416" s="2185" t="s">
        <v>3526</v>
      </c>
      <c r="H1416" s="2333"/>
      <c r="I1416" s="2334"/>
      <c r="J1416" s="2185"/>
      <c r="K1416" s="2336"/>
      <c r="L1416" s="2335"/>
      <c r="M1416" s="1951"/>
      <c r="N1416" s="1962"/>
      <c r="O1416" s="1961">
        <v>11667</v>
      </c>
      <c r="P1416" s="1951">
        <v>12204</v>
      </c>
      <c r="Q1416" s="1960">
        <v>12766</v>
      </c>
    </row>
    <row r="1417" spans="1:17" ht="12.75" customHeight="1">
      <c r="A1417" s="2332" t="s">
        <v>3477</v>
      </c>
      <c r="B1417" s="2185" t="s">
        <v>3952</v>
      </c>
      <c r="C1417" s="2296" t="s">
        <v>3453</v>
      </c>
      <c r="D1417" s="2296"/>
      <c r="E1417" s="2333" t="s">
        <v>3525</v>
      </c>
      <c r="F1417" s="2333" t="s">
        <v>3457</v>
      </c>
      <c r="G1417" s="2185" t="s">
        <v>3526</v>
      </c>
      <c r="H1417" s="2333"/>
      <c r="I1417" s="2334"/>
      <c r="J1417" s="2185"/>
      <c r="K1417" s="2336"/>
      <c r="L1417" s="2335"/>
      <c r="M1417" s="1951"/>
      <c r="N1417" s="1962"/>
      <c r="O1417" s="1961">
        <v>376</v>
      </c>
      <c r="P1417" s="1951">
        <v>394</v>
      </c>
      <c r="Q1417" s="1960">
        <v>412</v>
      </c>
    </row>
    <row r="1418" spans="1:17" ht="12.75" customHeight="1">
      <c r="A1418" s="2332" t="s">
        <v>3459</v>
      </c>
      <c r="B1418" s="2185" t="s">
        <v>3616</v>
      </c>
      <c r="C1418" s="2296" t="s">
        <v>3453</v>
      </c>
      <c r="D1418" s="2296"/>
      <c r="E1418" s="2333" t="s">
        <v>3525</v>
      </c>
      <c r="F1418" s="2333" t="s">
        <v>3457</v>
      </c>
      <c r="G1418" s="2185" t="s">
        <v>3526</v>
      </c>
      <c r="H1418" s="2333"/>
      <c r="I1418" s="2334"/>
      <c r="J1418" s="2185"/>
      <c r="K1418" s="2336"/>
      <c r="L1418" s="2335"/>
      <c r="M1418" s="1951"/>
      <c r="N1418" s="1962"/>
      <c r="O1418" s="1961">
        <v>1105757</v>
      </c>
      <c r="P1418" s="1951">
        <v>1156622</v>
      </c>
      <c r="Q1418" s="1960">
        <v>1209827</v>
      </c>
    </row>
    <row r="1419" spans="1:17" ht="12.75" customHeight="1">
      <c r="A1419" s="2332" t="s">
        <v>3454</v>
      </c>
      <c r="B1419" s="2185" t="s">
        <v>3545</v>
      </c>
      <c r="C1419" s="2296" t="s">
        <v>3453</v>
      </c>
      <c r="D1419" s="2296"/>
      <c r="E1419" s="2333" t="s">
        <v>3525</v>
      </c>
      <c r="F1419" s="2333" t="s">
        <v>3457</v>
      </c>
      <c r="G1419" s="2185" t="s">
        <v>3526</v>
      </c>
      <c r="H1419" s="2333"/>
      <c r="I1419" s="2334"/>
      <c r="J1419" s="2185"/>
      <c r="K1419" s="2336"/>
      <c r="L1419" s="2335"/>
      <c r="M1419" s="1951"/>
      <c r="N1419" s="1962"/>
      <c r="O1419" s="1961">
        <v>0</v>
      </c>
      <c r="P1419" s="1951">
        <v>0</v>
      </c>
      <c r="Q1419" s="1960">
        <v>0</v>
      </c>
    </row>
    <row r="1420" spans="1:17" ht="12.75" customHeight="1">
      <c r="A1420" s="2332" t="s">
        <v>3558</v>
      </c>
      <c r="B1420" s="2185" t="s">
        <v>3953</v>
      </c>
      <c r="C1420" s="2296" t="s">
        <v>3463</v>
      </c>
      <c r="D1420" s="2296"/>
      <c r="E1420" s="2333" t="s">
        <v>3525</v>
      </c>
      <c r="F1420" s="2333" t="s">
        <v>3457</v>
      </c>
      <c r="G1420" s="2185" t="s">
        <v>3526</v>
      </c>
      <c r="H1420" s="2333"/>
      <c r="I1420" s="2334"/>
      <c r="J1420" s="2185"/>
      <c r="K1420" s="2336"/>
      <c r="L1420" s="2335"/>
      <c r="M1420" s="1951"/>
      <c r="N1420" s="1962"/>
      <c r="O1420" s="1961">
        <v>19020</v>
      </c>
      <c r="P1420" s="1951">
        <v>19895</v>
      </c>
      <c r="Q1420" s="1960">
        <v>20811</v>
      </c>
    </row>
    <row r="1421" spans="1:17" ht="12.75" customHeight="1">
      <c r="A1421" s="2332" t="s">
        <v>3531</v>
      </c>
      <c r="B1421" s="2185" t="s">
        <v>3532</v>
      </c>
      <c r="C1421" s="2296" t="s">
        <v>3453</v>
      </c>
      <c r="D1421" s="2296"/>
      <c r="E1421" s="2333" t="s">
        <v>3525</v>
      </c>
      <c r="F1421" s="2333" t="s">
        <v>3457</v>
      </c>
      <c r="G1421" s="2185" t="s">
        <v>3526</v>
      </c>
      <c r="H1421" s="2333"/>
      <c r="I1421" s="2334"/>
      <c r="J1421" s="2185"/>
      <c r="K1421" s="2336"/>
      <c r="L1421" s="2335"/>
      <c r="M1421" s="1951"/>
      <c r="N1421" s="1962"/>
      <c r="O1421" s="1961">
        <v>0</v>
      </c>
      <c r="P1421" s="1951">
        <v>0</v>
      </c>
      <c r="Q1421" s="1960">
        <v>0</v>
      </c>
    </row>
    <row r="1422" spans="1:17" ht="12.75" customHeight="1">
      <c r="A1422" s="2332" t="s">
        <v>3563</v>
      </c>
      <c r="B1422" s="2185" t="s">
        <v>3954</v>
      </c>
      <c r="C1422" s="2296" t="s">
        <v>3453</v>
      </c>
      <c r="D1422" s="2296"/>
      <c r="E1422" s="2333" t="s">
        <v>3525</v>
      </c>
      <c r="F1422" s="2333" t="s">
        <v>3457</v>
      </c>
      <c r="G1422" s="2185" t="s">
        <v>3526</v>
      </c>
      <c r="H1422" s="2333"/>
      <c r="I1422" s="2334"/>
      <c r="J1422" s="2185"/>
      <c r="K1422" s="2336"/>
      <c r="L1422" s="2335"/>
      <c r="M1422" s="1951"/>
      <c r="N1422" s="1962"/>
      <c r="O1422" s="1961">
        <v>27953</v>
      </c>
      <c r="P1422" s="1951">
        <v>29239</v>
      </c>
      <c r="Q1422" s="1960">
        <v>30584</v>
      </c>
    </row>
    <row r="1423" spans="1:17" ht="12.75" customHeight="1">
      <c r="A1423" s="2332" t="s">
        <v>3459</v>
      </c>
      <c r="B1423" s="2185" t="s">
        <v>3498</v>
      </c>
      <c r="C1423" s="2296" t="s">
        <v>3453</v>
      </c>
      <c r="D1423" s="2296"/>
      <c r="E1423" s="2333" t="s">
        <v>3525</v>
      </c>
      <c r="F1423" s="2333" t="s">
        <v>3457</v>
      </c>
      <c r="G1423" s="2185" t="s">
        <v>3526</v>
      </c>
      <c r="H1423" s="2333"/>
      <c r="I1423" s="2334"/>
      <c r="J1423" s="2185"/>
      <c r="K1423" s="2336"/>
      <c r="L1423" s="2335"/>
      <c r="M1423" s="1951"/>
      <c r="N1423" s="1962"/>
      <c r="O1423" s="1961">
        <v>12275036</v>
      </c>
      <c r="P1423" s="1951">
        <v>12839688</v>
      </c>
      <c r="Q1423" s="1960">
        <v>13430314</v>
      </c>
    </row>
    <row r="1424" spans="1:17" ht="12.75" customHeight="1">
      <c r="A1424" s="2332" t="s">
        <v>3536</v>
      </c>
      <c r="B1424" s="2185" t="s">
        <v>3955</v>
      </c>
      <c r="C1424" s="2296" t="s">
        <v>3453</v>
      </c>
      <c r="D1424" s="2296"/>
      <c r="E1424" s="2333" t="s">
        <v>3525</v>
      </c>
      <c r="F1424" s="2333" t="s">
        <v>3457</v>
      </c>
      <c r="G1424" s="2185" t="s">
        <v>3526</v>
      </c>
      <c r="H1424" s="2333"/>
      <c r="I1424" s="2334"/>
      <c r="J1424" s="2185"/>
      <c r="K1424" s="2336"/>
      <c r="L1424" s="2335"/>
      <c r="M1424" s="1951"/>
      <c r="N1424" s="1962"/>
      <c r="O1424" s="1961">
        <v>58990</v>
      </c>
      <c r="P1424" s="1951">
        <v>61704</v>
      </c>
      <c r="Q1424" s="1960">
        <v>64542</v>
      </c>
    </row>
    <row r="1425" spans="1:17" ht="12.75" customHeight="1">
      <c r="A1425" s="2332" t="s">
        <v>3584</v>
      </c>
      <c r="B1425" s="2185" t="s">
        <v>3608</v>
      </c>
      <c r="C1425" s="2296" t="s">
        <v>3453</v>
      </c>
      <c r="D1425" s="2296"/>
      <c r="E1425" s="2333" t="s">
        <v>3525</v>
      </c>
      <c r="F1425" s="2333" t="s">
        <v>3457</v>
      </c>
      <c r="G1425" s="2185" t="s">
        <v>3526</v>
      </c>
      <c r="H1425" s="2333"/>
      <c r="I1425" s="2334"/>
      <c r="J1425" s="2185"/>
      <c r="K1425" s="2336"/>
      <c r="L1425" s="2335"/>
      <c r="M1425" s="1951"/>
      <c r="N1425" s="1962"/>
      <c r="O1425" s="1961">
        <v>61000</v>
      </c>
      <c r="P1425" s="1951">
        <v>63806</v>
      </c>
      <c r="Q1425" s="1960">
        <v>66742</v>
      </c>
    </row>
    <row r="1426" spans="1:17" ht="12.75" customHeight="1">
      <c r="A1426" s="2332" t="s">
        <v>3464</v>
      </c>
      <c r="B1426" s="2185" t="s">
        <v>3632</v>
      </c>
      <c r="C1426" s="2296" t="s">
        <v>3453</v>
      </c>
      <c r="D1426" s="2296"/>
      <c r="E1426" s="2333" t="s">
        <v>3525</v>
      </c>
      <c r="F1426" s="2333" t="s">
        <v>3457</v>
      </c>
      <c r="G1426" s="2185" t="s">
        <v>3526</v>
      </c>
      <c r="H1426" s="2333"/>
      <c r="I1426" s="2334"/>
      <c r="J1426" s="2185"/>
      <c r="K1426" s="2336"/>
      <c r="L1426" s="2335"/>
      <c r="M1426" s="1951"/>
      <c r="N1426" s="1962"/>
      <c r="O1426" s="1961">
        <v>182090</v>
      </c>
      <c r="P1426" s="1951">
        <v>190467</v>
      </c>
      <c r="Q1426" s="1960">
        <v>199228</v>
      </c>
    </row>
    <row r="1427" spans="1:17" ht="12.75" customHeight="1">
      <c r="A1427" s="2332" t="s">
        <v>3520</v>
      </c>
      <c r="B1427" s="2185" t="s">
        <v>3603</v>
      </c>
      <c r="C1427" s="2296" t="s">
        <v>3453</v>
      </c>
      <c r="D1427" s="2296"/>
      <c r="E1427" s="2333" t="s">
        <v>3525</v>
      </c>
      <c r="F1427" s="2333" t="s">
        <v>3457</v>
      </c>
      <c r="G1427" s="2185" t="s">
        <v>3526</v>
      </c>
      <c r="H1427" s="2333"/>
      <c r="I1427" s="2334"/>
      <c r="J1427" s="2185"/>
      <c r="K1427" s="2336"/>
      <c r="L1427" s="2335"/>
      <c r="M1427" s="1951"/>
      <c r="N1427" s="1962"/>
      <c r="O1427" s="1961">
        <v>25945</v>
      </c>
      <c r="P1427" s="1951">
        <v>27139</v>
      </c>
      <c r="Q1427" s="1960">
        <v>28387</v>
      </c>
    </row>
    <row r="1428" spans="1:17" ht="12.75" customHeight="1">
      <c r="A1428" s="2332" t="s">
        <v>3531</v>
      </c>
      <c r="B1428" s="2185" t="s">
        <v>3532</v>
      </c>
      <c r="C1428" s="2296" t="s">
        <v>3453</v>
      </c>
      <c r="D1428" s="2296"/>
      <c r="E1428" s="2333" t="s">
        <v>3525</v>
      </c>
      <c r="F1428" s="2333" t="s">
        <v>3457</v>
      </c>
      <c r="G1428" s="2185" t="s">
        <v>3526</v>
      </c>
      <c r="H1428" s="2333"/>
      <c r="I1428" s="2334"/>
      <c r="J1428" s="2185"/>
      <c r="K1428" s="2336"/>
      <c r="L1428" s="2335"/>
      <c r="M1428" s="1951"/>
      <c r="N1428" s="1962"/>
      <c r="O1428" s="1961">
        <v>0</v>
      </c>
      <c r="P1428" s="1951">
        <v>0</v>
      </c>
      <c r="Q1428" s="1960">
        <v>0</v>
      </c>
    </row>
    <row r="1429" spans="1:17" ht="12.75" customHeight="1">
      <c r="A1429" s="2332" t="s">
        <v>3520</v>
      </c>
      <c r="B1429" s="2185" t="s">
        <v>3668</v>
      </c>
      <c r="C1429" s="2296" t="s">
        <v>3453</v>
      </c>
      <c r="D1429" s="2296"/>
      <c r="E1429" s="2333" t="s">
        <v>3525</v>
      </c>
      <c r="F1429" s="2333" t="s">
        <v>3457</v>
      </c>
      <c r="G1429" s="2185" t="s">
        <v>3526</v>
      </c>
      <c r="H1429" s="2333"/>
      <c r="I1429" s="2334"/>
      <c r="J1429" s="2185"/>
      <c r="K1429" s="2336"/>
      <c r="L1429" s="2335"/>
      <c r="M1429" s="1951"/>
      <c r="N1429" s="1962"/>
      <c r="O1429" s="1961">
        <v>863</v>
      </c>
      <c r="P1429" s="1951">
        <v>903</v>
      </c>
      <c r="Q1429" s="1960">
        <v>945</v>
      </c>
    </row>
    <row r="1430" spans="1:17" ht="12.75" customHeight="1">
      <c r="A1430" s="2332" t="s">
        <v>3454</v>
      </c>
      <c r="B1430" s="2185" t="s">
        <v>3956</v>
      </c>
      <c r="C1430" s="2296" t="s">
        <v>3453</v>
      </c>
      <c r="D1430" s="2296"/>
      <c r="E1430" s="2333" t="s">
        <v>3525</v>
      </c>
      <c r="F1430" s="2333" t="s">
        <v>3457</v>
      </c>
      <c r="G1430" s="2185" t="s">
        <v>3526</v>
      </c>
      <c r="H1430" s="2333"/>
      <c r="I1430" s="2334"/>
      <c r="J1430" s="2185"/>
      <c r="K1430" s="2336"/>
      <c r="L1430" s="2335"/>
      <c r="M1430" s="1951"/>
      <c r="N1430" s="1962"/>
      <c r="O1430" s="1961">
        <v>1880</v>
      </c>
      <c r="P1430" s="1951">
        <v>1880</v>
      </c>
      <c r="Q1430" s="1960">
        <v>1967</v>
      </c>
    </row>
    <row r="1431" spans="1:17" ht="12.75" customHeight="1">
      <c r="A1431" s="2332" t="s">
        <v>3479</v>
      </c>
      <c r="B1431" s="2185" t="s">
        <v>3480</v>
      </c>
      <c r="C1431" s="2296" t="s">
        <v>3453</v>
      </c>
      <c r="D1431" s="2296"/>
      <c r="E1431" s="2333" t="s">
        <v>3525</v>
      </c>
      <c r="F1431" s="2333" t="s">
        <v>3457</v>
      </c>
      <c r="G1431" s="2185" t="s">
        <v>3526</v>
      </c>
      <c r="H1431" s="2333"/>
      <c r="I1431" s="2334"/>
      <c r="J1431" s="2185"/>
      <c r="K1431" s="2336"/>
      <c r="L1431" s="2335"/>
      <c r="M1431" s="1951"/>
      <c r="N1431" s="1962"/>
      <c r="O1431" s="1961">
        <v>1378851</v>
      </c>
      <c r="P1431" s="1951">
        <v>1442279</v>
      </c>
      <c r="Q1431" s="1960">
        <v>1508623</v>
      </c>
    </row>
    <row r="1432" spans="1:17" ht="12.75" customHeight="1">
      <c r="A1432" s="2332" t="s">
        <v>3506</v>
      </c>
      <c r="B1432" s="2185" t="s">
        <v>3957</v>
      </c>
      <c r="C1432" s="2296" t="s">
        <v>3687</v>
      </c>
      <c r="D1432" s="2296"/>
      <c r="E1432" s="2333" t="s">
        <v>3525</v>
      </c>
      <c r="F1432" s="2333" t="s">
        <v>3457</v>
      </c>
      <c r="G1432" s="2185" t="s">
        <v>3526</v>
      </c>
      <c r="H1432" s="2333"/>
      <c r="I1432" s="2334"/>
      <c r="J1432" s="2185"/>
      <c r="K1432" s="2336"/>
      <c r="L1432" s="2335"/>
      <c r="M1432" s="1951"/>
      <c r="N1432" s="1962"/>
      <c r="O1432" s="1961">
        <v>245</v>
      </c>
      <c r="P1432" s="1951">
        <v>257</v>
      </c>
      <c r="Q1432" s="1960">
        <v>269</v>
      </c>
    </row>
    <row r="1433" spans="1:17" ht="12.75" customHeight="1">
      <c r="A1433" s="2332" t="s">
        <v>3454</v>
      </c>
      <c r="B1433" s="2185" t="s">
        <v>3545</v>
      </c>
      <c r="C1433" s="2296" t="s">
        <v>3453</v>
      </c>
      <c r="D1433" s="2296"/>
      <c r="E1433" s="2333" t="s">
        <v>3525</v>
      </c>
      <c r="F1433" s="2333" t="s">
        <v>3457</v>
      </c>
      <c r="G1433" s="2185" t="s">
        <v>3526</v>
      </c>
      <c r="H1433" s="2333"/>
      <c r="I1433" s="2334"/>
      <c r="J1433" s="2185"/>
      <c r="K1433" s="2336"/>
      <c r="L1433" s="2335"/>
      <c r="M1433" s="1951"/>
      <c r="N1433" s="1962"/>
      <c r="O1433" s="1961">
        <v>0</v>
      </c>
      <c r="P1433" s="1951">
        <v>0</v>
      </c>
      <c r="Q1433" s="1960">
        <v>0</v>
      </c>
    </row>
    <row r="1434" spans="1:17" ht="12.75" customHeight="1">
      <c r="A1434" s="2332" t="s">
        <v>3459</v>
      </c>
      <c r="B1434" s="2185" t="s">
        <v>3612</v>
      </c>
      <c r="C1434" s="2296" t="s">
        <v>3453</v>
      </c>
      <c r="D1434" s="2296"/>
      <c r="E1434" s="2333" t="s">
        <v>3525</v>
      </c>
      <c r="F1434" s="2333" t="s">
        <v>3457</v>
      </c>
      <c r="G1434" s="2185" t="s">
        <v>3526</v>
      </c>
      <c r="H1434" s="2333"/>
      <c r="I1434" s="2334"/>
      <c r="J1434" s="2185"/>
      <c r="K1434" s="2336"/>
      <c r="L1434" s="2335"/>
      <c r="M1434" s="1951"/>
      <c r="N1434" s="1962"/>
      <c r="O1434" s="1961">
        <v>0</v>
      </c>
      <c r="P1434" s="1951">
        <v>0</v>
      </c>
      <c r="Q1434" s="1960">
        <v>0</v>
      </c>
    </row>
    <row r="1435" spans="1:17" ht="12.75" customHeight="1">
      <c r="A1435" s="2332" t="s">
        <v>3470</v>
      </c>
      <c r="B1435" s="2185" t="s">
        <v>3554</v>
      </c>
      <c r="C1435" s="2296" t="s">
        <v>3453</v>
      </c>
      <c r="D1435" s="2296"/>
      <c r="E1435" s="2333" t="s">
        <v>3525</v>
      </c>
      <c r="F1435" s="2333" t="s">
        <v>3457</v>
      </c>
      <c r="G1435" s="2185" t="s">
        <v>3526</v>
      </c>
      <c r="H1435" s="2333"/>
      <c r="I1435" s="2334"/>
      <c r="J1435" s="2185"/>
      <c r="K1435" s="2336"/>
      <c r="L1435" s="2335"/>
      <c r="M1435" s="1951"/>
      <c r="N1435" s="1962"/>
      <c r="O1435" s="1961">
        <v>540863</v>
      </c>
      <c r="P1435" s="1951">
        <v>565743</v>
      </c>
      <c r="Q1435" s="1960">
        <v>591767</v>
      </c>
    </row>
    <row r="1436" spans="1:17" ht="12.75" customHeight="1">
      <c r="A1436" s="2332" t="s">
        <v>3464</v>
      </c>
      <c r="B1436" s="2185" t="s">
        <v>3632</v>
      </c>
      <c r="C1436" s="2296" t="s">
        <v>3453</v>
      </c>
      <c r="D1436" s="2296"/>
      <c r="E1436" s="2333" t="s">
        <v>3525</v>
      </c>
      <c r="F1436" s="2333" t="s">
        <v>3457</v>
      </c>
      <c r="G1436" s="2185" t="s">
        <v>3526</v>
      </c>
      <c r="H1436" s="2333"/>
      <c r="I1436" s="2334"/>
      <c r="J1436" s="2185"/>
      <c r="K1436" s="2336"/>
      <c r="L1436" s="2335"/>
      <c r="M1436" s="1951"/>
      <c r="N1436" s="1962"/>
      <c r="O1436" s="1961">
        <v>592370</v>
      </c>
      <c r="P1436" s="1951">
        <v>619620</v>
      </c>
      <c r="Q1436" s="1960">
        <v>648122</v>
      </c>
    </row>
    <row r="1437" spans="1:17" ht="12.75" customHeight="1">
      <c r="A1437" s="2332" t="s">
        <v>3543</v>
      </c>
      <c r="B1437" s="2185" t="s">
        <v>3958</v>
      </c>
      <c r="C1437" s="2296" t="s">
        <v>3453</v>
      </c>
      <c r="D1437" s="2296"/>
      <c r="E1437" s="2333" t="s">
        <v>3525</v>
      </c>
      <c r="F1437" s="2333" t="s">
        <v>3457</v>
      </c>
      <c r="G1437" s="2185" t="s">
        <v>3526</v>
      </c>
      <c r="H1437" s="2333"/>
      <c r="I1437" s="2334"/>
      <c r="J1437" s="2185"/>
      <c r="K1437" s="2336"/>
      <c r="L1437" s="2335"/>
      <c r="M1437" s="1951"/>
      <c r="N1437" s="1962"/>
      <c r="O1437" s="1961">
        <v>200000</v>
      </c>
      <c r="P1437" s="1951">
        <v>209200</v>
      </c>
      <c r="Q1437" s="1960">
        <v>218824</v>
      </c>
    </row>
    <row r="1438" spans="1:17" ht="12.75" customHeight="1">
      <c r="A1438" s="2332" t="s">
        <v>3543</v>
      </c>
      <c r="B1438" s="2185" t="s">
        <v>3959</v>
      </c>
      <c r="C1438" s="2296" t="s">
        <v>3453</v>
      </c>
      <c r="D1438" s="2296"/>
      <c r="E1438" s="2333" t="s">
        <v>3525</v>
      </c>
      <c r="F1438" s="2333" t="s">
        <v>3457</v>
      </c>
      <c r="G1438" s="2185" t="s">
        <v>3526</v>
      </c>
      <c r="H1438" s="2333"/>
      <c r="I1438" s="2334"/>
      <c r="J1438" s="2185"/>
      <c r="K1438" s="2336"/>
      <c r="L1438" s="2335"/>
      <c r="M1438" s="1951"/>
      <c r="N1438" s="1962"/>
      <c r="O1438" s="1961">
        <v>2774</v>
      </c>
      <c r="P1438" s="1951">
        <v>2902</v>
      </c>
      <c r="Q1438" s="1960">
        <v>3036</v>
      </c>
    </row>
    <row r="1439" spans="1:17" ht="12.75" customHeight="1">
      <c r="A1439" s="2332" t="s">
        <v>3490</v>
      </c>
      <c r="B1439" s="2185" t="s">
        <v>3960</v>
      </c>
      <c r="C1439" s="2296" t="s">
        <v>3453</v>
      </c>
      <c r="D1439" s="2296"/>
      <c r="E1439" s="2333" t="s">
        <v>3525</v>
      </c>
      <c r="F1439" s="2333" t="s">
        <v>3457</v>
      </c>
      <c r="G1439" s="2185" t="s">
        <v>3526</v>
      </c>
      <c r="H1439" s="2333"/>
      <c r="I1439" s="2334"/>
      <c r="J1439" s="2185"/>
      <c r="K1439" s="2336"/>
      <c r="L1439" s="2335"/>
      <c r="M1439" s="1951"/>
      <c r="N1439" s="1962"/>
      <c r="O1439" s="1961">
        <v>23461</v>
      </c>
      <c r="P1439" s="1951">
        <v>24540</v>
      </c>
      <c r="Q1439" s="1960">
        <v>25669</v>
      </c>
    </row>
    <row r="1440" spans="1:17" ht="12.75" customHeight="1">
      <c r="A1440" s="2332" t="s">
        <v>3459</v>
      </c>
      <c r="B1440" s="2185" t="s">
        <v>3961</v>
      </c>
      <c r="C1440" s="2296" t="s">
        <v>3497</v>
      </c>
      <c r="D1440" s="2296"/>
      <c r="E1440" s="2333" t="s">
        <v>3525</v>
      </c>
      <c r="F1440" s="2333" t="s">
        <v>3457</v>
      </c>
      <c r="G1440" s="2185" t="s">
        <v>3526</v>
      </c>
      <c r="H1440" s="2333"/>
      <c r="I1440" s="2334"/>
      <c r="J1440" s="2185"/>
      <c r="K1440" s="2336"/>
      <c r="L1440" s="2335"/>
      <c r="M1440" s="1951"/>
      <c r="N1440" s="1962"/>
      <c r="O1440" s="1961">
        <v>24</v>
      </c>
      <c r="P1440" s="1951">
        <v>26</v>
      </c>
      <c r="Q1440" s="1960">
        <v>27</v>
      </c>
    </row>
    <row r="1441" spans="1:17" ht="12.75" customHeight="1">
      <c r="A1441" s="2332" t="s">
        <v>3565</v>
      </c>
      <c r="B1441" s="2185" t="s">
        <v>3566</v>
      </c>
      <c r="C1441" s="2296" t="s">
        <v>3453</v>
      </c>
      <c r="D1441" s="2296"/>
      <c r="E1441" s="2333" t="s">
        <v>3525</v>
      </c>
      <c r="F1441" s="2333" t="s">
        <v>3457</v>
      </c>
      <c r="G1441" s="2185" t="s">
        <v>3526</v>
      </c>
      <c r="H1441" s="2333"/>
      <c r="I1441" s="2334"/>
      <c r="J1441" s="2185"/>
      <c r="K1441" s="2336"/>
      <c r="L1441" s="2335"/>
      <c r="M1441" s="1951"/>
      <c r="N1441" s="1962"/>
      <c r="O1441" s="1961">
        <v>60570</v>
      </c>
      <c r="P1441" s="1951">
        <v>63357</v>
      </c>
      <c r="Q1441" s="1960">
        <v>66271</v>
      </c>
    </row>
    <row r="1442" spans="1:17" ht="12.75" customHeight="1">
      <c r="A1442" s="2332" t="s">
        <v>3464</v>
      </c>
      <c r="B1442" s="2185" t="s">
        <v>3522</v>
      </c>
      <c r="C1442" s="2296" t="s">
        <v>3453</v>
      </c>
      <c r="D1442" s="2296"/>
      <c r="E1442" s="2333" t="s">
        <v>3525</v>
      </c>
      <c r="F1442" s="2333" t="s">
        <v>3457</v>
      </c>
      <c r="G1442" s="2185" t="s">
        <v>3526</v>
      </c>
      <c r="H1442" s="2333"/>
      <c r="I1442" s="2334"/>
      <c r="J1442" s="2185"/>
      <c r="K1442" s="2336"/>
      <c r="L1442" s="2335"/>
      <c r="M1442" s="1951"/>
      <c r="N1442" s="1962"/>
      <c r="O1442" s="1961">
        <v>0</v>
      </c>
      <c r="P1442" s="1951">
        <v>0</v>
      </c>
      <c r="Q1442" s="1960">
        <v>0</v>
      </c>
    </row>
    <row r="1443" spans="1:17" ht="12.75" customHeight="1">
      <c r="A1443" s="2332" t="s">
        <v>3543</v>
      </c>
      <c r="B1443" s="2185" t="s">
        <v>3962</v>
      </c>
      <c r="C1443" s="2296" t="s">
        <v>3453</v>
      </c>
      <c r="D1443" s="2296"/>
      <c r="E1443" s="2333" t="s">
        <v>3525</v>
      </c>
      <c r="F1443" s="2333" t="s">
        <v>3457</v>
      </c>
      <c r="G1443" s="2185" t="s">
        <v>3526</v>
      </c>
      <c r="H1443" s="2333"/>
      <c r="I1443" s="2334"/>
      <c r="J1443" s="2185"/>
      <c r="K1443" s="2336"/>
      <c r="L1443" s="2335"/>
      <c r="M1443" s="1951"/>
      <c r="N1443" s="1962"/>
      <c r="O1443" s="1961">
        <v>9000</v>
      </c>
      <c r="P1443" s="1951">
        <v>9414</v>
      </c>
      <c r="Q1443" s="1960">
        <v>9848</v>
      </c>
    </row>
    <row r="1444" spans="1:17" ht="12.75" customHeight="1">
      <c r="A1444" s="2332" t="s">
        <v>3501</v>
      </c>
      <c r="B1444" s="2185" t="s">
        <v>3502</v>
      </c>
      <c r="C1444" s="2296" t="s">
        <v>3453</v>
      </c>
      <c r="D1444" s="2296"/>
      <c r="E1444" s="2333" t="s">
        <v>3525</v>
      </c>
      <c r="F1444" s="2333" t="s">
        <v>3457</v>
      </c>
      <c r="G1444" s="2185" t="s">
        <v>3526</v>
      </c>
      <c r="H1444" s="2333"/>
      <c r="I1444" s="2334"/>
      <c r="J1444" s="2185"/>
      <c r="K1444" s="2336"/>
      <c r="L1444" s="2335"/>
      <c r="M1444" s="1951"/>
      <c r="N1444" s="1962"/>
      <c r="O1444" s="1961">
        <v>76454</v>
      </c>
      <c r="P1444" s="1951">
        <v>79971</v>
      </c>
      <c r="Q1444" s="1960">
        <v>83650</v>
      </c>
    </row>
    <row r="1445" spans="1:17" ht="12.75" customHeight="1">
      <c r="A1445" s="2332" t="s">
        <v>3563</v>
      </c>
      <c r="B1445" s="2185" t="s">
        <v>3564</v>
      </c>
      <c r="C1445" s="2296" t="s">
        <v>3453</v>
      </c>
      <c r="D1445" s="2296"/>
      <c r="E1445" s="2333" t="s">
        <v>3525</v>
      </c>
      <c r="F1445" s="2333" t="s">
        <v>3457</v>
      </c>
      <c r="G1445" s="2185" t="s">
        <v>3526</v>
      </c>
      <c r="H1445" s="2333"/>
      <c r="I1445" s="2334"/>
      <c r="J1445" s="2185"/>
      <c r="K1445" s="2336"/>
      <c r="L1445" s="2335"/>
      <c r="M1445" s="1951"/>
      <c r="N1445" s="1962"/>
      <c r="O1445" s="1961">
        <v>104612</v>
      </c>
      <c r="P1445" s="1951">
        <v>109425</v>
      </c>
      <c r="Q1445" s="1960">
        <v>114458</v>
      </c>
    </row>
    <row r="1446" spans="1:17" ht="12.75" customHeight="1">
      <c r="A1446" s="2332" t="s">
        <v>3479</v>
      </c>
      <c r="B1446" s="2185" t="s">
        <v>3963</v>
      </c>
      <c r="C1446" s="2296" t="s">
        <v>3453</v>
      </c>
      <c r="D1446" s="2296"/>
      <c r="E1446" s="2333" t="s">
        <v>3525</v>
      </c>
      <c r="F1446" s="2333" t="s">
        <v>3457</v>
      </c>
      <c r="G1446" s="2185" t="s">
        <v>3526</v>
      </c>
      <c r="H1446" s="2333"/>
      <c r="I1446" s="2334"/>
      <c r="J1446" s="2185"/>
      <c r="K1446" s="2336"/>
      <c r="L1446" s="2335"/>
      <c r="M1446" s="1951"/>
      <c r="N1446" s="1962"/>
      <c r="O1446" s="1961">
        <v>40000</v>
      </c>
      <c r="P1446" s="1951">
        <v>41840</v>
      </c>
      <c r="Q1446" s="1960">
        <v>43765</v>
      </c>
    </row>
    <row r="1447" spans="1:17" ht="12.75" customHeight="1">
      <c r="A1447" s="2332" t="s">
        <v>3464</v>
      </c>
      <c r="B1447" s="2185" t="s">
        <v>3556</v>
      </c>
      <c r="C1447" s="2296" t="s">
        <v>3453</v>
      </c>
      <c r="D1447" s="2296"/>
      <c r="E1447" s="2333" t="s">
        <v>3525</v>
      </c>
      <c r="F1447" s="2333" t="s">
        <v>3457</v>
      </c>
      <c r="G1447" s="2185" t="s">
        <v>3526</v>
      </c>
      <c r="H1447" s="2333"/>
      <c r="I1447" s="2334"/>
      <c r="J1447" s="2185"/>
      <c r="K1447" s="2336"/>
      <c r="L1447" s="2335"/>
      <c r="M1447" s="1951"/>
      <c r="N1447" s="1962"/>
      <c r="O1447" s="1961">
        <v>885307</v>
      </c>
      <c r="P1447" s="1951">
        <v>926032</v>
      </c>
      <c r="Q1447" s="1960">
        <v>968629</v>
      </c>
    </row>
    <row r="1448" spans="1:17" ht="12.75" customHeight="1">
      <c r="A1448" s="2332" t="s">
        <v>3487</v>
      </c>
      <c r="B1448" s="2185" t="s">
        <v>3964</v>
      </c>
      <c r="C1448" s="2296" t="s">
        <v>3453</v>
      </c>
      <c r="D1448" s="2296"/>
      <c r="E1448" s="2333" t="s">
        <v>3525</v>
      </c>
      <c r="F1448" s="2333" t="s">
        <v>3457</v>
      </c>
      <c r="G1448" s="2185" t="s">
        <v>3526</v>
      </c>
      <c r="H1448" s="2333"/>
      <c r="I1448" s="2334"/>
      <c r="J1448" s="2185"/>
      <c r="K1448" s="2336"/>
      <c r="L1448" s="2335"/>
      <c r="M1448" s="1951"/>
      <c r="N1448" s="1962"/>
      <c r="O1448" s="1961">
        <v>5216660</v>
      </c>
      <c r="P1448" s="1951">
        <v>5456627</v>
      </c>
      <c r="Q1448" s="1960">
        <v>5707632</v>
      </c>
    </row>
    <row r="1449" spans="1:17" ht="12.75" customHeight="1">
      <c r="A1449" s="2332" t="s">
        <v>3451</v>
      </c>
      <c r="B1449" s="2185" t="s">
        <v>3671</v>
      </c>
      <c r="C1449" s="2296" t="s">
        <v>3453</v>
      </c>
      <c r="D1449" s="2296"/>
      <c r="E1449" s="2333" t="s">
        <v>3525</v>
      </c>
      <c r="F1449" s="2333" t="s">
        <v>3457</v>
      </c>
      <c r="G1449" s="2185" t="s">
        <v>3526</v>
      </c>
      <c r="H1449" s="2333"/>
      <c r="I1449" s="2334"/>
      <c r="J1449" s="2185"/>
      <c r="K1449" s="2336"/>
      <c r="L1449" s="2335"/>
      <c r="M1449" s="1951"/>
      <c r="N1449" s="1962"/>
      <c r="O1449" s="1961">
        <v>7225</v>
      </c>
      <c r="P1449" s="1951">
        <v>7558</v>
      </c>
      <c r="Q1449" s="1960">
        <v>7905</v>
      </c>
    </row>
    <row r="1450" spans="1:17" ht="12.75" customHeight="1">
      <c r="A1450" s="2332" t="s">
        <v>3473</v>
      </c>
      <c r="B1450" s="2185" t="s">
        <v>3474</v>
      </c>
      <c r="C1450" s="2296" t="s">
        <v>3453</v>
      </c>
      <c r="D1450" s="2296"/>
      <c r="E1450" s="2333" t="s">
        <v>3525</v>
      </c>
      <c r="F1450" s="2333" t="s">
        <v>3457</v>
      </c>
      <c r="G1450" s="2185" t="s">
        <v>3526</v>
      </c>
      <c r="H1450" s="2333"/>
      <c r="I1450" s="2334"/>
      <c r="J1450" s="2185"/>
      <c r="K1450" s="2336"/>
      <c r="L1450" s="2335"/>
      <c r="M1450" s="1951"/>
      <c r="N1450" s="1962"/>
      <c r="O1450" s="1961">
        <v>10282</v>
      </c>
      <c r="P1450" s="1951">
        <v>10755</v>
      </c>
      <c r="Q1450" s="1960">
        <v>11250</v>
      </c>
    </row>
    <row r="1451" spans="1:17" ht="12.75" customHeight="1">
      <c r="A1451" s="2332" t="s">
        <v>3459</v>
      </c>
      <c r="B1451" s="2185" t="s">
        <v>3616</v>
      </c>
      <c r="C1451" s="2296" t="s">
        <v>3453</v>
      </c>
      <c r="D1451" s="2296"/>
      <c r="E1451" s="2333" t="s">
        <v>3525</v>
      </c>
      <c r="F1451" s="2333" t="s">
        <v>3457</v>
      </c>
      <c r="G1451" s="2185" t="s">
        <v>3526</v>
      </c>
      <c r="H1451" s="2333"/>
      <c r="I1451" s="2334"/>
      <c r="J1451" s="2185"/>
      <c r="K1451" s="2336"/>
      <c r="L1451" s="2335"/>
      <c r="M1451" s="1951"/>
      <c r="N1451" s="1962"/>
      <c r="O1451" s="1961">
        <v>1318</v>
      </c>
      <c r="P1451" s="1951">
        <v>1379</v>
      </c>
      <c r="Q1451" s="1960">
        <v>1443</v>
      </c>
    </row>
    <row r="1452" spans="1:17" ht="12.75" customHeight="1">
      <c r="A1452" s="2332" t="s">
        <v>3459</v>
      </c>
      <c r="B1452" s="2185" t="s">
        <v>3649</v>
      </c>
      <c r="C1452" s="2296" t="s">
        <v>3453</v>
      </c>
      <c r="D1452" s="2296"/>
      <c r="E1452" s="2333" t="s">
        <v>3525</v>
      </c>
      <c r="F1452" s="2333" t="s">
        <v>3457</v>
      </c>
      <c r="G1452" s="2185" t="s">
        <v>3526</v>
      </c>
      <c r="H1452" s="2333"/>
      <c r="I1452" s="2334"/>
      <c r="J1452" s="2185"/>
      <c r="K1452" s="2336"/>
      <c r="L1452" s="2335"/>
      <c r="M1452" s="1951"/>
      <c r="N1452" s="1962"/>
      <c r="O1452" s="1961">
        <v>0</v>
      </c>
      <c r="P1452" s="1951">
        <v>0</v>
      </c>
      <c r="Q1452" s="1960">
        <v>0</v>
      </c>
    </row>
    <row r="1453" spans="1:17" ht="12.75" customHeight="1">
      <c r="A1453" s="2332" t="s">
        <v>3536</v>
      </c>
      <c r="B1453" s="2185" t="s">
        <v>3548</v>
      </c>
      <c r="C1453" s="2296" t="s">
        <v>3453</v>
      </c>
      <c r="D1453" s="2296"/>
      <c r="E1453" s="2333" t="s">
        <v>3525</v>
      </c>
      <c r="F1453" s="2333" t="s">
        <v>3457</v>
      </c>
      <c r="G1453" s="2185" t="s">
        <v>3526</v>
      </c>
      <c r="H1453" s="2333"/>
      <c r="I1453" s="2334"/>
      <c r="J1453" s="2185"/>
      <c r="K1453" s="2336"/>
      <c r="L1453" s="2335"/>
      <c r="M1453" s="1951"/>
      <c r="N1453" s="1962"/>
      <c r="O1453" s="1961">
        <v>2000</v>
      </c>
      <c r="P1453" s="1951">
        <v>2000</v>
      </c>
      <c r="Q1453" s="1960">
        <v>2000</v>
      </c>
    </row>
    <row r="1454" spans="1:17" ht="12.75" customHeight="1">
      <c r="A1454" s="2332" t="s">
        <v>3520</v>
      </c>
      <c r="B1454" s="2185" t="s">
        <v>3668</v>
      </c>
      <c r="C1454" s="2296" t="s">
        <v>3453</v>
      </c>
      <c r="D1454" s="2296"/>
      <c r="E1454" s="2333" t="s">
        <v>3525</v>
      </c>
      <c r="F1454" s="2333" t="s">
        <v>3457</v>
      </c>
      <c r="G1454" s="2185" t="s">
        <v>3526</v>
      </c>
      <c r="H1454" s="2333"/>
      <c r="I1454" s="2334"/>
      <c r="J1454" s="2185"/>
      <c r="K1454" s="2336"/>
      <c r="L1454" s="2335"/>
      <c r="M1454" s="1951"/>
      <c r="N1454" s="1962"/>
      <c r="O1454" s="1961">
        <v>14316</v>
      </c>
      <c r="P1454" s="1951">
        <v>14975</v>
      </c>
      <c r="Q1454" s="1960">
        <v>15664</v>
      </c>
    </row>
    <row r="1455" spans="1:17" ht="12.75" customHeight="1">
      <c r="A1455" s="2332" t="s">
        <v>3572</v>
      </c>
      <c r="B1455" s="2185" t="s">
        <v>3688</v>
      </c>
      <c r="C1455" s="2296" t="s">
        <v>3453</v>
      </c>
      <c r="D1455" s="2296"/>
      <c r="E1455" s="2333" t="s">
        <v>3525</v>
      </c>
      <c r="F1455" s="2333" t="s">
        <v>3457</v>
      </c>
      <c r="G1455" s="2185" t="s">
        <v>3526</v>
      </c>
      <c r="H1455" s="2333"/>
      <c r="I1455" s="2334"/>
      <c r="J1455" s="2185"/>
      <c r="K1455" s="2336"/>
      <c r="L1455" s="2335"/>
      <c r="M1455" s="1951"/>
      <c r="N1455" s="1962"/>
      <c r="O1455" s="1961">
        <v>3549</v>
      </c>
      <c r="P1455" s="1951">
        <v>3713</v>
      </c>
      <c r="Q1455" s="1960">
        <v>3884</v>
      </c>
    </row>
    <row r="1456" spans="1:17" ht="12.75" customHeight="1">
      <c r="A1456" s="2332" t="s">
        <v>3473</v>
      </c>
      <c r="B1456" s="2185" t="s">
        <v>3552</v>
      </c>
      <c r="C1456" s="2296" t="s">
        <v>3453</v>
      </c>
      <c r="D1456" s="2296"/>
      <c r="E1456" s="2333" t="s">
        <v>3525</v>
      </c>
      <c r="F1456" s="2333" t="s">
        <v>3457</v>
      </c>
      <c r="G1456" s="2185" t="s">
        <v>3526</v>
      </c>
      <c r="H1456" s="2333"/>
      <c r="I1456" s="2334"/>
      <c r="J1456" s="2185"/>
      <c r="K1456" s="2336"/>
      <c r="L1456" s="2335"/>
      <c r="M1456" s="1951"/>
      <c r="N1456" s="1962"/>
      <c r="O1456" s="1961">
        <v>102943</v>
      </c>
      <c r="P1456" s="1951">
        <v>107679</v>
      </c>
      <c r="Q1456" s="1960">
        <v>112632</v>
      </c>
    </row>
    <row r="1457" spans="1:17" ht="12.75" customHeight="1">
      <c r="A1457" s="2332" t="s">
        <v>3454</v>
      </c>
      <c r="B1457" s="2185" t="s">
        <v>3574</v>
      </c>
      <c r="C1457" s="2296" t="s">
        <v>3453</v>
      </c>
      <c r="D1457" s="2296"/>
      <c r="E1457" s="2333" t="s">
        <v>3525</v>
      </c>
      <c r="F1457" s="2333" t="s">
        <v>3457</v>
      </c>
      <c r="G1457" s="2185" t="s">
        <v>3526</v>
      </c>
      <c r="H1457" s="2333"/>
      <c r="I1457" s="2334"/>
      <c r="J1457" s="2185"/>
      <c r="K1457" s="2336"/>
      <c r="L1457" s="2335"/>
      <c r="M1457" s="1951"/>
      <c r="N1457" s="1962"/>
      <c r="O1457" s="1961">
        <v>0</v>
      </c>
      <c r="P1457" s="1951">
        <v>0</v>
      </c>
      <c r="Q1457" s="1960">
        <v>0</v>
      </c>
    </row>
    <row r="1458" spans="1:17" ht="12.75" customHeight="1">
      <c r="A1458" s="2332" t="s">
        <v>3487</v>
      </c>
      <c r="B1458" s="2185" t="s">
        <v>3647</v>
      </c>
      <c r="C1458" s="2296" t="s">
        <v>3453</v>
      </c>
      <c r="D1458" s="2296"/>
      <c r="E1458" s="2333" t="s">
        <v>3525</v>
      </c>
      <c r="F1458" s="2333" t="s">
        <v>3457</v>
      </c>
      <c r="G1458" s="2185" t="s">
        <v>3526</v>
      </c>
      <c r="H1458" s="2333"/>
      <c r="I1458" s="2334"/>
      <c r="J1458" s="2185"/>
      <c r="K1458" s="2336"/>
      <c r="L1458" s="2335"/>
      <c r="M1458" s="1951"/>
      <c r="N1458" s="1962"/>
      <c r="O1458" s="1961">
        <v>763586</v>
      </c>
      <c r="P1458" s="1951">
        <v>798711</v>
      </c>
      <c r="Q1458" s="1960">
        <v>835452</v>
      </c>
    </row>
    <row r="1459" spans="1:17" ht="12.75" customHeight="1">
      <c r="A1459" s="2332" t="s">
        <v>3464</v>
      </c>
      <c r="B1459" s="2185" t="s">
        <v>3928</v>
      </c>
      <c r="C1459" s="2296" t="s">
        <v>3453</v>
      </c>
      <c r="D1459" s="2296"/>
      <c r="E1459" s="2333" t="s">
        <v>3525</v>
      </c>
      <c r="F1459" s="2333" t="s">
        <v>3457</v>
      </c>
      <c r="G1459" s="2185" t="s">
        <v>3526</v>
      </c>
      <c r="H1459" s="2333"/>
      <c r="I1459" s="2334"/>
      <c r="J1459" s="2185"/>
      <c r="K1459" s="2336"/>
      <c r="L1459" s="2335"/>
      <c r="M1459" s="1951"/>
      <c r="N1459" s="1962"/>
      <c r="O1459" s="1961">
        <v>42584</v>
      </c>
      <c r="P1459" s="1951">
        <v>44543</v>
      </c>
      <c r="Q1459" s="1960">
        <v>46592</v>
      </c>
    </row>
    <row r="1460" spans="1:17" ht="12.75" customHeight="1">
      <c r="A1460" s="2332" t="s">
        <v>3531</v>
      </c>
      <c r="B1460" s="2185" t="s">
        <v>3532</v>
      </c>
      <c r="C1460" s="2296" t="s">
        <v>3453</v>
      </c>
      <c r="D1460" s="2296"/>
      <c r="E1460" s="2333" t="s">
        <v>3525</v>
      </c>
      <c r="F1460" s="2333" t="s">
        <v>3457</v>
      </c>
      <c r="G1460" s="2185" t="s">
        <v>3526</v>
      </c>
      <c r="H1460" s="2333"/>
      <c r="I1460" s="2334"/>
      <c r="J1460" s="2185"/>
      <c r="K1460" s="2336"/>
      <c r="L1460" s="2335"/>
      <c r="M1460" s="1951"/>
      <c r="N1460" s="1962"/>
      <c r="O1460" s="1961">
        <v>0</v>
      </c>
      <c r="P1460" s="1951">
        <v>0</v>
      </c>
      <c r="Q1460" s="1960">
        <v>0</v>
      </c>
    </row>
    <row r="1461" spans="1:17" ht="12.75" customHeight="1">
      <c r="A1461" s="2332" t="s">
        <v>3479</v>
      </c>
      <c r="B1461" s="2185" t="s">
        <v>3480</v>
      </c>
      <c r="C1461" s="2296" t="s">
        <v>3453</v>
      </c>
      <c r="D1461" s="2296"/>
      <c r="E1461" s="2333" t="s">
        <v>3525</v>
      </c>
      <c r="F1461" s="2333" t="s">
        <v>3457</v>
      </c>
      <c r="G1461" s="2185" t="s">
        <v>3526</v>
      </c>
      <c r="H1461" s="2333"/>
      <c r="I1461" s="2334"/>
      <c r="J1461" s="2185"/>
      <c r="K1461" s="2336"/>
      <c r="L1461" s="2335"/>
      <c r="M1461" s="1951"/>
      <c r="N1461" s="1962"/>
      <c r="O1461" s="1961">
        <v>11667</v>
      </c>
      <c r="P1461" s="1951">
        <v>12204</v>
      </c>
      <c r="Q1461" s="1960">
        <v>12766</v>
      </c>
    </row>
    <row r="1462" spans="1:17" ht="12.75" customHeight="1">
      <c r="A1462" s="2332" t="s">
        <v>3499</v>
      </c>
      <c r="B1462" s="2185" t="s">
        <v>3589</v>
      </c>
      <c r="C1462" s="2296" t="s">
        <v>3453</v>
      </c>
      <c r="D1462" s="2296"/>
      <c r="E1462" s="2333" t="s">
        <v>3525</v>
      </c>
      <c r="F1462" s="2333" t="s">
        <v>3457</v>
      </c>
      <c r="G1462" s="2185" t="s">
        <v>3526</v>
      </c>
      <c r="H1462" s="2333"/>
      <c r="I1462" s="2334"/>
      <c r="J1462" s="2185"/>
      <c r="K1462" s="2336"/>
      <c r="L1462" s="2335"/>
      <c r="M1462" s="1951"/>
      <c r="N1462" s="1962"/>
      <c r="O1462" s="1961">
        <v>47784</v>
      </c>
      <c r="P1462" s="1951">
        <v>49983</v>
      </c>
      <c r="Q1462" s="1960">
        <v>52282</v>
      </c>
    </row>
    <row r="1463" spans="1:17" ht="12.75" customHeight="1">
      <c r="A1463" s="2332" t="s">
        <v>3454</v>
      </c>
      <c r="B1463" s="2185" t="s">
        <v>3574</v>
      </c>
      <c r="C1463" s="2296" t="s">
        <v>3453</v>
      </c>
      <c r="D1463" s="2296"/>
      <c r="E1463" s="2333" t="s">
        <v>3525</v>
      </c>
      <c r="F1463" s="2333" t="s">
        <v>3457</v>
      </c>
      <c r="G1463" s="2185" t="s">
        <v>3526</v>
      </c>
      <c r="H1463" s="2333"/>
      <c r="I1463" s="2334"/>
      <c r="J1463" s="2185"/>
      <c r="K1463" s="2336"/>
      <c r="L1463" s="2335"/>
      <c r="M1463" s="1951"/>
      <c r="N1463" s="1962"/>
      <c r="O1463" s="1961">
        <v>0</v>
      </c>
      <c r="P1463" s="1951">
        <v>0</v>
      </c>
      <c r="Q1463" s="1960">
        <v>0</v>
      </c>
    </row>
    <row r="1464" spans="1:17" ht="12.75" customHeight="1">
      <c r="A1464" s="2332" t="s">
        <v>3499</v>
      </c>
      <c r="B1464" s="2185" t="s">
        <v>3592</v>
      </c>
      <c r="C1464" s="2296" t="s">
        <v>3453</v>
      </c>
      <c r="D1464" s="2296"/>
      <c r="E1464" s="2333" t="s">
        <v>3525</v>
      </c>
      <c r="F1464" s="2333" t="s">
        <v>3457</v>
      </c>
      <c r="G1464" s="2185" t="s">
        <v>3526</v>
      </c>
      <c r="H1464" s="2333"/>
      <c r="I1464" s="2334"/>
      <c r="J1464" s="2185"/>
      <c r="K1464" s="2336"/>
      <c r="L1464" s="2335"/>
      <c r="M1464" s="1951"/>
      <c r="N1464" s="1962"/>
      <c r="O1464" s="1961">
        <v>2000</v>
      </c>
      <c r="P1464" s="1951">
        <v>2000</v>
      </c>
      <c r="Q1464" s="1960">
        <v>2000</v>
      </c>
    </row>
    <row r="1465" spans="1:17" ht="12.75" customHeight="1">
      <c r="A1465" s="2332" t="s">
        <v>3454</v>
      </c>
      <c r="B1465" s="2185" t="s">
        <v>3574</v>
      </c>
      <c r="C1465" s="2296" t="s">
        <v>3453</v>
      </c>
      <c r="D1465" s="2296"/>
      <c r="E1465" s="2333" t="s">
        <v>3525</v>
      </c>
      <c r="F1465" s="2333" t="s">
        <v>3457</v>
      </c>
      <c r="G1465" s="2185" t="s">
        <v>3526</v>
      </c>
      <c r="H1465" s="2333"/>
      <c r="I1465" s="2334"/>
      <c r="J1465" s="2185"/>
      <c r="K1465" s="2336"/>
      <c r="L1465" s="2335"/>
      <c r="M1465" s="1951"/>
      <c r="N1465" s="1962"/>
      <c r="O1465" s="1961">
        <v>0</v>
      </c>
      <c r="P1465" s="1951">
        <v>0</v>
      </c>
      <c r="Q1465" s="1960">
        <v>0</v>
      </c>
    </row>
    <row r="1466" spans="1:17" ht="12.75" customHeight="1">
      <c r="A1466" s="2332" t="s">
        <v>3454</v>
      </c>
      <c r="B1466" s="2185" t="s">
        <v>3662</v>
      </c>
      <c r="C1466" s="2296" t="s">
        <v>3453</v>
      </c>
      <c r="D1466" s="2296"/>
      <c r="E1466" s="2333" t="s">
        <v>3525</v>
      </c>
      <c r="F1466" s="2333" t="s">
        <v>3457</v>
      </c>
      <c r="G1466" s="2185" t="s">
        <v>3526</v>
      </c>
      <c r="H1466" s="2333"/>
      <c r="I1466" s="2334"/>
      <c r="J1466" s="2185"/>
      <c r="K1466" s="2336"/>
      <c r="L1466" s="2335"/>
      <c r="M1466" s="1951"/>
      <c r="N1466" s="1962"/>
      <c r="O1466" s="1961">
        <v>68343</v>
      </c>
      <c r="P1466" s="1951">
        <v>71487</v>
      </c>
      <c r="Q1466" s="1960">
        <v>74776</v>
      </c>
    </row>
    <row r="1467" spans="1:17" ht="12.75" customHeight="1">
      <c r="A1467" s="2332" t="s">
        <v>3459</v>
      </c>
      <c r="B1467" s="2185" t="s">
        <v>3742</v>
      </c>
      <c r="C1467" s="2296" t="s">
        <v>3453</v>
      </c>
      <c r="D1467" s="2296"/>
      <c r="E1467" s="2333" t="s">
        <v>3525</v>
      </c>
      <c r="F1467" s="2333" t="s">
        <v>3457</v>
      </c>
      <c r="G1467" s="2185" t="s">
        <v>3526</v>
      </c>
      <c r="H1467" s="2333"/>
      <c r="I1467" s="2334"/>
      <c r="J1467" s="2185"/>
      <c r="K1467" s="2336"/>
      <c r="L1467" s="2335"/>
      <c r="M1467" s="1951"/>
      <c r="N1467" s="1962"/>
      <c r="O1467" s="1961">
        <v>52304</v>
      </c>
      <c r="P1467" s="1951">
        <v>54710</v>
      </c>
      <c r="Q1467" s="1960">
        <v>57226</v>
      </c>
    </row>
    <row r="1468" spans="1:17" ht="12.75" customHeight="1">
      <c r="A1468" s="2332" t="s">
        <v>3459</v>
      </c>
      <c r="B1468" s="2185" t="s">
        <v>3965</v>
      </c>
      <c r="C1468" s="2296" t="s">
        <v>3463</v>
      </c>
      <c r="D1468" s="2296"/>
      <c r="E1468" s="2333" t="s">
        <v>3525</v>
      </c>
      <c r="F1468" s="2333" t="s">
        <v>3457</v>
      </c>
      <c r="G1468" s="2185" t="s">
        <v>3526</v>
      </c>
      <c r="H1468" s="2333"/>
      <c r="I1468" s="2334"/>
      <c r="J1468" s="2185"/>
      <c r="K1468" s="2336"/>
      <c r="L1468" s="2335"/>
      <c r="M1468" s="1951"/>
      <c r="N1468" s="1962"/>
      <c r="O1468" s="1961">
        <v>193</v>
      </c>
      <c r="P1468" s="1951">
        <v>202</v>
      </c>
      <c r="Q1468" s="1960">
        <v>212</v>
      </c>
    </row>
    <row r="1469" spans="1:17" ht="12.75" customHeight="1">
      <c r="A1469" s="2332" t="s">
        <v>3543</v>
      </c>
      <c r="B1469" s="2185" t="s">
        <v>3658</v>
      </c>
      <c r="C1469" s="2296" t="s">
        <v>3453</v>
      </c>
      <c r="D1469" s="2296"/>
      <c r="E1469" s="2333" t="s">
        <v>3525</v>
      </c>
      <c r="F1469" s="2333" t="s">
        <v>3457</v>
      </c>
      <c r="G1469" s="2185" t="s">
        <v>3526</v>
      </c>
      <c r="H1469" s="2333"/>
      <c r="I1469" s="2334"/>
      <c r="J1469" s="2185"/>
      <c r="K1469" s="2336"/>
      <c r="L1469" s="2335"/>
      <c r="M1469" s="1951"/>
      <c r="N1469" s="1962"/>
      <c r="O1469" s="1961">
        <v>559997</v>
      </c>
      <c r="P1469" s="1951">
        <v>585757</v>
      </c>
      <c r="Q1469" s="1960">
        <v>612702</v>
      </c>
    </row>
    <row r="1470" spans="1:17" ht="12.75" customHeight="1">
      <c r="A1470" s="2332" t="s">
        <v>3523</v>
      </c>
      <c r="B1470" s="2185" t="s">
        <v>3626</v>
      </c>
      <c r="C1470" s="2296" t="s">
        <v>3453</v>
      </c>
      <c r="D1470" s="2296"/>
      <c r="E1470" s="2333" t="s">
        <v>3525</v>
      </c>
      <c r="F1470" s="2333" t="s">
        <v>3457</v>
      </c>
      <c r="G1470" s="2185" t="s">
        <v>3526</v>
      </c>
      <c r="H1470" s="2333"/>
      <c r="I1470" s="2334"/>
      <c r="J1470" s="2185"/>
      <c r="K1470" s="2336"/>
      <c r="L1470" s="2335"/>
      <c r="M1470" s="1951"/>
      <c r="N1470" s="1962"/>
      <c r="O1470" s="1961">
        <v>518172</v>
      </c>
      <c r="P1470" s="1951">
        <v>542008</v>
      </c>
      <c r="Q1470" s="1960">
        <v>566941</v>
      </c>
    </row>
    <row r="1471" spans="1:17" ht="12.75" customHeight="1">
      <c r="A1471" s="2332" t="s">
        <v>3508</v>
      </c>
      <c r="B1471" s="2185" t="s">
        <v>3681</v>
      </c>
      <c r="C1471" s="2296" t="s">
        <v>3453</v>
      </c>
      <c r="D1471" s="2296"/>
      <c r="E1471" s="2333" t="s">
        <v>3525</v>
      </c>
      <c r="F1471" s="2333" t="s">
        <v>3457</v>
      </c>
      <c r="G1471" s="2185" t="s">
        <v>3526</v>
      </c>
      <c r="H1471" s="2333"/>
      <c r="I1471" s="2334"/>
      <c r="J1471" s="2185"/>
      <c r="K1471" s="2336"/>
      <c r="L1471" s="2335"/>
      <c r="M1471" s="1951"/>
      <c r="N1471" s="1962"/>
      <c r="O1471" s="1961">
        <v>304378</v>
      </c>
      <c r="P1471" s="1951">
        <v>318380</v>
      </c>
      <c r="Q1471" s="1960">
        <v>333025</v>
      </c>
    </row>
    <row r="1472" spans="1:17" ht="12.75" customHeight="1">
      <c r="A1472" s="2332" t="s">
        <v>3490</v>
      </c>
      <c r="B1472" s="2185" t="s">
        <v>3607</v>
      </c>
      <c r="C1472" s="2296" t="s">
        <v>3453</v>
      </c>
      <c r="D1472" s="2296"/>
      <c r="E1472" s="2333" t="s">
        <v>3525</v>
      </c>
      <c r="F1472" s="2333" t="s">
        <v>3457</v>
      </c>
      <c r="G1472" s="2185" t="s">
        <v>3526</v>
      </c>
      <c r="H1472" s="2333"/>
      <c r="I1472" s="2334"/>
      <c r="J1472" s="2185"/>
      <c r="K1472" s="2336"/>
      <c r="L1472" s="2335"/>
      <c r="M1472" s="1951"/>
      <c r="N1472" s="1962"/>
      <c r="O1472" s="1961">
        <v>60000</v>
      </c>
      <c r="P1472" s="1951">
        <v>62760</v>
      </c>
      <c r="Q1472" s="1960">
        <v>65647</v>
      </c>
    </row>
    <row r="1473" spans="1:17" ht="12.75" customHeight="1">
      <c r="A1473" s="2332" t="s">
        <v>3454</v>
      </c>
      <c r="B1473" s="2185" t="s">
        <v>3455</v>
      </c>
      <c r="C1473" s="2296" t="s">
        <v>3453</v>
      </c>
      <c r="D1473" s="2296"/>
      <c r="E1473" s="2333" t="s">
        <v>3525</v>
      </c>
      <c r="F1473" s="2333" t="s">
        <v>3457</v>
      </c>
      <c r="G1473" s="2185" t="s">
        <v>3526</v>
      </c>
      <c r="H1473" s="2333"/>
      <c r="I1473" s="2334"/>
      <c r="J1473" s="2185"/>
      <c r="K1473" s="2336"/>
      <c r="L1473" s="2335"/>
      <c r="M1473" s="1951"/>
      <c r="N1473" s="1962"/>
      <c r="O1473" s="1961">
        <v>181018</v>
      </c>
      <c r="P1473" s="1951">
        <v>189345</v>
      </c>
      <c r="Q1473" s="1960">
        <v>198055</v>
      </c>
    </row>
    <row r="1474" spans="1:17" ht="12.75" customHeight="1">
      <c r="A1474" s="2332" t="s">
        <v>3477</v>
      </c>
      <c r="B1474" s="2185" t="s">
        <v>3575</v>
      </c>
      <c r="C1474" s="2296" t="s">
        <v>3453</v>
      </c>
      <c r="D1474" s="2296"/>
      <c r="E1474" s="2333" t="s">
        <v>3525</v>
      </c>
      <c r="F1474" s="2333" t="s">
        <v>3457</v>
      </c>
      <c r="G1474" s="2185" t="s">
        <v>3526</v>
      </c>
      <c r="H1474" s="2333"/>
      <c r="I1474" s="2334"/>
      <c r="J1474" s="2185"/>
      <c r="K1474" s="2336"/>
      <c r="L1474" s="2335"/>
      <c r="M1474" s="1951"/>
      <c r="N1474" s="1962"/>
      <c r="O1474" s="1961">
        <v>240</v>
      </c>
      <c r="P1474" s="1951">
        <v>252</v>
      </c>
      <c r="Q1474" s="1960">
        <v>263</v>
      </c>
    </row>
    <row r="1475" spans="1:17" ht="12.75" customHeight="1">
      <c r="A1475" s="2332" t="s">
        <v>3531</v>
      </c>
      <c r="B1475" s="2185" t="s">
        <v>3593</v>
      </c>
      <c r="C1475" s="2296" t="s">
        <v>3453</v>
      </c>
      <c r="D1475" s="2296"/>
      <c r="E1475" s="2333" t="s">
        <v>3525</v>
      </c>
      <c r="F1475" s="2333" t="s">
        <v>3457</v>
      </c>
      <c r="G1475" s="2185" t="s">
        <v>3526</v>
      </c>
      <c r="H1475" s="2333"/>
      <c r="I1475" s="2334"/>
      <c r="J1475" s="2185"/>
      <c r="K1475" s="2336"/>
      <c r="L1475" s="2335"/>
      <c r="M1475" s="1951"/>
      <c r="N1475" s="1962"/>
      <c r="O1475" s="1961">
        <v>4327015</v>
      </c>
      <c r="P1475" s="1951">
        <v>4517177</v>
      </c>
      <c r="Q1475" s="1960">
        <v>4761105</v>
      </c>
    </row>
    <row r="1476" spans="1:17" ht="12.75" customHeight="1">
      <c r="A1476" s="2332" t="s">
        <v>3506</v>
      </c>
      <c r="B1476" s="2185" t="s">
        <v>3610</v>
      </c>
      <c r="C1476" s="2296" t="s">
        <v>3453</v>
      </c>
      <c r="D1476" s="2296"/>
      <c r="E1476" s="2333" t="s">
        <v>3525</v>
      </c>
      <c r="F1476" s="2333" t="s">
        <v>3457</v>
      </c>
      <c r="G1476" s="2185" t="s">
        <v>3526</v>
      </c>
      <c r="H1476" s="2333"/>
      <c r="I1476" s="2334"/>
      <c r="J1476" s="2185"/>
      <c r="K1476" s="2336"/>
      <c r="L1476" s="2335"/>
      <c r="M1476" s="1951"/>
      <c r="N1476" s="1962"/>
      <c r="O1476" s="1961">
        <v>7906</v>
      </c>
      <c r="P1476" s="1951">
        <v>8270</v>
      </c>
      <c r="Q1476" s="1960">
        <v>8651</v>
      </c>
    </row>
    <row r="1477" spans="1:17" ht="12.75" customHeight="1">
      <c r="A1477" s="2332" t="s">
        <v>3470</v>
      </c>
      <c r="B1477" s="2185" t="s">
        <v>3554</v>
      </c>
      <c r="C1477" s="2296" t="s">
        <v>3453</v>
      </c>
      <c r="D1477" s="2296"/>
      <c r="E1477" s="2333" t="s">
        <v>3525</v>
      </c>
      <c r="F1477" s="2333" t="s">
        <v>3457</v>
      </c>
      <c r="G1477" s="2185" t="s">
        <v>3526</v>
      </c>
      <c r="H1477" s="2333"/>
      <c r="I1477" s="2334"/>
      <c r="J1477" s="2185"/>
      <c r="K1477" s="2336"/>
      <c r="L1477" s="2335"/>
      <c r="M1477" s="1951"/>
      <c r="N1477" s="1962"/>
      <c r="O1477" s="1961">
        <v>45197</v>
      </c>
      <c r="P1477" s="1951">
        <v>47277</v>
      </c>
      <c r="Q1477" s="1960">
        <v>49451</v>
      </c>
    </row>
    <row r="1478" spans="1:17" ht="12.75" customHeight="1">
      <c r="A1478" s="2332" t="s">
        <v>3538</v>
      </c>
      <c r="B1478" s="2185" t="s">
        <v>3966</v>
      </c>
      <c r="C1478" s="2296" t="s">
        <v>3518</v>
      </c>
      <c r="D1478" s="2296"/>
      <c r="E1478" s="2333" t="s">
        <v>3525</v>
      </c>
      <c r="F1478" s="2333" t="s">
        <v>3457</v>
      </c>
      <c r="G1478" s="2185" t="s">
        <v>3526</v>
      </c>
      <c r="H1478" s="2333"/>
      <c r="I1478" s="2334"/>
      <c r="J1478" s="2185"/>
      <c r="K1478" s="2336"/>
      <c r="L1478" s="2335"/>
      <c r="M1478" s="1951"/>
      <c r="N1478" s="1962"/>
      <c r="O1478" s="1961">
        <v>159577</v>
      </c>
      <c r="P1478" s="1951">
        <v>166918</v>
      </c>
      <c r="Q1478" s="1960">
        <v>174596</v>
      </c>
    </row>
    <row r="1479" spans="1:17" ht="12.75" customHeight="1">
      <c r="A1479" s="2332" t="s">
        <v>3459</v>
      </c>
      <c r="B1479" s="2185" t="s">
        <v>3967</v>
      </c>
      <c r="C1479" s="2296" t="s">
        <v>3453</v>
      </c>
      <c r="D1479" s="2296"/>
      <c r="E1479" s="2333" t="s">
        <v>3525</v>
      </c>
      <c r="F1479" s="2333" t="s">
        <v>3457</v>
      </c>
      <c r="G1479" s="2185" t="s">
        <v>3526</v>
      </c>
      <c r="H1479" s="2333"/>
      <c r="I1479" s="2334"/>
      <c r="J1479" s="2185"/>
      <c r="K1479" s="2336"/>
      <c r="L1479" s="2335"/>
      <c r="M1479" s="1951"/>
      <c r="N1479" s="1962"/>
      <c r="O1479" s="1961">
        <v>96811</v>
      </c>
      <c r="P1479" s="1951">
        <v>96811</v>
      </c>
      <c r="Q1479" s="1960">
        <v>101265</v>
      </c>
    </row>
    <row r="1480" spans="1:17" ht="12.75" customHeight="1">
      <c r="A1480" s="2332" t="s">
        <v>3473</v>
      </c>
      <c r="B1480" s="2185" t="s">
        <v>3474</v>
      </c>
      <c r="C1480" s="2296" t="s">
        <v>3453</v>
      </c>
      <c r="D1480" s="2296"/>
      <c r="E1480" s="2333" t="s">
        <v>3525</v>
      </c>
      <c r="F1480" s="2333" t="s">
        <v>3457</v>
      </c>
      <c r="G1480" s="2185" t="s">
        <v>3526</v>
      </c>
      <c r="H1480" s="2333"/>
      <c r="I1480" s="2334"/>
      <c r="J1480" s="2185"/>
      <c r="K1480" s="2336"/>
      <c r="L1480" s="2335"/>
      <c r="M1480" s="1951"/>
      <c r="N1480" s="1962"/>
      <c r="O1480" s="1961">
        <v>2000</v>
      </c>
      <c r="P1480" s="1951">
        <v>2000</v>
      </c>
      <c r="Q1480" s="1960">
        <v>2000</v>
      </c>
    </row>
    <row r="1481" spans="1:17" ht="12.75" customHeight="1">
      <c r="A1481" s="2332" t="s">
        <v>3543</v>
      </c>
      <c r="B1481" s="2185" t="s">
        <v>3658</v>
      </c>
      <c r="C1481" s="2296" t="s">
        <v>3453</v>
      </c>
      <c r="D1481" s="2296"/>
      <c r="E1481" s="2333" t="s">
        <v>3525</v>
      </c>
      <c r="F1481" s="2333" t="s">
        <v>3457</v>
      </c>
      <c r="G1481" s="2185" t="s">
        <v>3526</v>
      </c>
      <c r="H1481" s="2333"/>
      <c r="I1481" s="2334"/>
      <c r="J1481" s="2185"/>
      <c r="K1481" s="2336"/>
      <c r="L1481" s="2335"/>
      <c r="M1481" s="1951"/>
      <c r="N1481" s="1962"/>
      <c r="O1481" s="1961">
        <v>212775</v>
      </c>
      <c r="P1481" s="1951">
        <v>222563</v>
      </c>
      <c r="Q1481" s="1960">
        <v>232801</v>
      </c>
    </row>
    <row r="1482" spans="1:17" ht="12.75" customHeight="1">
      <c r="A1482" s="2332" t="s">
        <v>3454</v>
      </c>
      <c r="B1482" s="2185" t="s">
        <v>3574</v>
      </c>
      <c r="C1482" s="2296" t="s">
        <v>3453</v>
      </c>
      <c r="D1482" s="2296"/>
      <c r="E1482" s="2333" t="s">
        <v>3525</v>
      </c>
      <c r="F1482" s="2333" t="s">
        <v>3457</v>
      </c>
      <c r="G1482" s="2185" t="s">
        <v>3526</v>
      </c>
      <c r="H1482" s="2333"/>
      <c r="I1482" s="2334"/>
      <c r="J1482" s="2185"/>
      <c r="K1482" s="2336"/>
      <c r="L1482" s="2335"/>
      <c r="M1482" s="1951"/>
      <c r="N1482" s="1962"/>
      <c r="O1482" s="1961">
        <v>0</v>
      </c>
      <c r="P1482" s="1951">
        <v>0</v>
      </c>
      <c r="Q1482" s="1960">
        <v>0</v>
      </c>
    </row>
    <row r="1483" spans="1:17" ht="12.75" customHeight="1">
      <c r="A1483" s="2332" t="s">
        <v>3501</v>
      </c>
      <c r="B1483" s="2185" t="s">
        <v>3502</v>
      </c>
      <c r="C1483" s="2296" t="s">
        <v>3453</v>
      </c>
      <c r="D1483" s="2296"/>
      <c r="E1483" s="2333" t="s">
        <v>3525</v>
      </c>
      <c r="F1483" s="2333" t="s">
        <v>3457</v>
      </c>
      <c r="G1483" s="2185" t="s">
        <v>3526</v>
      </c>
      <c r="H1483" s="2333"/>
      <c r="I1483" s="2334"/>
      <c r="J1483" s="2185"/>
      <c r="K1483" s="2336"/>
      <c r="L1483" s="2335"/>
      <c r="M1483" s="1951"/>
      <c r="N1483" s="1962"/>
      <c r="O1483" s="1961">
        <v>4791</v>
      </c>
      <c r="P1483" s="1951">
        <v>5012</v>
      </c>
      <c r="Q1483" s="1960">
        <v>5242</v>
      </c>
    </row>
    <row r="1484" spans="1:17" ht="12.75" customHeight="1">
      <c r="A1484" s="2332" t="s">
        <v>3459</v>
      </c>
      <c r="B1484" s="2185" t="s">
        <v>3968</v>
      </c>
      <c r="C1484" s="2296" t="s">
        <v>3453</v>
      </c>
      <c r="D1484" s="2296"/>
      <c r="E1484" s="2333" t="s">
        <v>3525</v>
      </c>
      <c r="F1484" s="2333" t="s">
        <v>3457</v>
      </c>
      <c r="G1484" s="2185" t="s">
        <v>3526</v>
      </c>
      <c r="H1484" s="2333"/>
      <c r="I1484" s="2334"/>
      <c r="J1484" s="2185"/>
      <c r="K1484" s="2336"/>
      <c r="L1484" s="2335"/>
      <c r="M1484" s="1951"/>
      <c r="N1484" s="1962"/>
      <c r="O1484" s="1961">
        <v>900000</v>
      </c>
      <c r="P1484" s="1951">
        <v>941400</v>
      </c>
      <c r="Q1484" s="1960">
        <v>984704</v>
      </c>
    </row>
    <row r="1485" spans="1:17" ht="12.75" customHeight="1">
      <c r="A1485" s="2332" t="s">
        <v>3584</v>
      </c>
      <c r="B1485" s="2185" t="s">
        <v>3585</v>
      </c>
      <c r="C1485" s="2296" t="s">
        <v>3453</v>
      </c>
      <c r="D1485" s="2296"/>
      <c r="E1485" s="2333" t="s">
        <v>3525</v>
      </c>
      <c r="F1485" s="2333" t="s">
        <v>3457</v>
      </c>
      <c r="G1485" s="2185" t="s">
        <v>3526</v>
      </c>
      <c r="H1485" s="2333"/>
      <c r="I1485" s="2334"/>
      <c r="J1485" s="2185"/>
      <c r="K1485" s="2336"/>
      <c r="L1485" s="2335"/>
      <c r="M1485" s="1951"/>
      <c r="N1485" s="1962"/>
      <c r="O1485" s="1961">
        <v>554142</v>
      </c>
      <c r="P1485" s="1951">
        <v>579633</v>
      </c>
      <c r="Q1485" s="1960">
        <v>606296</v>
      </c>
    </row>
    <row r="1486" spans="1:17" ht="12.75" customHeight="1">
      <c r="A1486" s="2332" t="s">
        <v>3501</v>
      </c>
      <c r="B1486" s="2185" t="s">
        <v>3502</v>
      </c>
      <c r="C1486" s="2296" t="s">
        <v>3453</v>
      </c>
      <c r="D1486" s="2296"/>
      <c r="E1486" s="2333" t="s">
        <v>3525</v>
      </c>
      <c r="F1486" s="2333" t="s">
        <v>3457</v>
      </c>
      <c r="G1486" s="2185" t="s">
        <v>3526</v>
      </c>
      <c r="H1486" s="2333"/>
      <c r="I1486" s="2334"/>
      <c r="J1486" s="2185"/>
      <c r="K1486" s="2336"/>
      <c r="L1486" s="2335"/>
      <c r="M1486" s="1951"/>
      <c r="N1486" s="1962"/>
      <c r="O1486" s="1961">
        <v>522981</v>
      </c>
      <c r="P1486" s="1951">
        <v>547039</v>
      </c>
      <c r="Q1486" s="1960">
        <v>572202</v>
      </c>
    </row>
    <row r="1487" spans="1:17" ht="12.75" customHeight="1">
      <c r="A1487" s="2332" t="s">
        <v>3520</v>
      </c>
      <c r="B1487" s="2185" t="s">
        <v>3668</v>
      </c>
      <c r="C1487" s="2296" t="s">
        <v>3453</v>
      </c>
      <c r="D1487" s="2296"/>
      <c r="E1487" s="2333" t="s">
        <v>3525</v>
      </c>
      <c r="F1487" s="2333" t="s">
        <v>3457</v>
      </c>
      <c r="G1487" s="2185" t="s">
        <v>3526</v>
      </c>
      <c r="H1487" s="2333"/>
      <c r="I1487" s="2334"/>
      <c r="J1487" s="2185"/>
      <c r="K1487" s="2336"/>
      <c r="L1487" s="2335"/>
      <c r="M1487" s="1951"/>
      <c r="N1487" s="1962"/>
      <c r="O1487" s="1961">
        <v>3921</v>
      </c>
      <c r="P1487" s="1951">
        <v>4101</v>
      </c>
      <c r="Q1487" s="1960">
        <v>4290</v>
      </c>
    </row>
    <row r="1488" spans="1:17" ht="12.75" customHeight="1">
      <c r="A1488" s="2332" t="s">
        <v>3520</v>
      </c>
      <c r="B1488" s="2185" t="s">
        <v>3668</v>
      </c>
      <c r="C1488" s="2296" t="s">
        <v>3453</v>
      </c>
      <c r="D1488" s="2296"/>
      <c r="E1488" s="2333" t="s">
        <v>3525</v>
      </c>
      <c r="F1488" s="2333" t="s">
        <v>3457</v>
      </c>
      <c r="G1488" s="2185" t="s">
        <v>3526</v>
      </c>
      <c r="H1488" s="2333"/>
      <c r="I1488" s="2334"/>
      <c r="J1488" s="2185"/>
      <c r="K1488" s="2336"/>
      <c r="L1488" s="2335"/>
      <c r="M1488" s="1951"/>
      <c r="N1488" s="1962"/>
      <c r="O1488" s="1961">
        <v>28255</v>
      </c>
      <c r="P1488" s="1951">
        <v>29555</v>
      </c>
      <c r="Q1488" s="1960">
        <v>30915</v>
      </c>
    </row>
    <row r="1489" spans="1:17" ht="12.75" customHeight="1">
      <c r="A1489" s="2332" t="s">
        <v>3479</v>
      </c>
      <c r="B1489" s="2185" t="s">
        <v>3579</v>
      </c>
      <c r="C1489" s="2296" t="s">
        <v>3453</v>
      </c>
      <c r="D1489" s="2296"/>
      <c r="E1489" s="2333" t="s">
        <v>3525</v>
      </c>
      <c r="F1489" s="2333" t="s">
        <v>3457</v>
      </c>
      <c r="G1489" s="2185" t="s">
        <v>3526</v>
      </c>
      <c r="H1489" s="2333"/>
      <c r="I1489" s="2334"/>
      <c r="J1489" s="2185"/>
      <c r="K1489" s="2336"/>
      <c r="L1489" s="2335"/>
      <c r="M1489" s="1951"/>
      <c r="N1489" s="1962"/>
      <c r="O1489" s="1961">
        <v>124707</v>
      </c>
      <c r="P1489" s="1951">
        <v>130444</v>
      </c>
      <c r="Q1489" s="1960">
        <v>136444</v>
      </c>
    </row>
    <row r="1490" spans="1:17" ht="12.75" customHeight="1">
      <c r="A1490" s="2332" t="s">
        <v>3459</v>
      </c>
      <c r="B1490" s="2185" t="s">
        <v>3654</v>
      </c>
      <c r="C1490" s="2296" t="s">
        <v>3453</v>
      </c>
      <c r="D1490" s="2296"/>
      <c r="E1490" s="2333" t="s">
        <v>3525</v>
      </c>
      <c r="F1490" s="2333" t="s">
        <v>3457</v>
      </c>
      <c r="G1490" s="2185" t="s">
        <v>3526</v>
      </c>
      <c r="H1490" s="2333"/>
      <c r="I1490" s="2334"/>
      <c r="J1490" s="2185"/>
      <c r="K1490" s="2336"/>
      <c r="L1490" s="2335"/>
      <c r="M1490" s="1951"/>
      <c r="N1490" s="1962"/>
      <c r="O1490" s="1961">
        <v>2500000</v>
      </c>
      <c r="P1490" s="1951">
        <v>2615000</v>
      </c>
      <c r="Q1490" s="1960">
        <v>2735290</v>
      </c>
    </row>
    <row r="1491" spans="1:17" ht="12.75" customHeight="1">
      <c r="A1491" s="2332" t="s">
        <v>3538</v>
      </c>
      <c r="B1491" s="2185" t="s">
        <v>3678</v>
      </c>
      <c r="C1491" s="2296" t="s">
        <v>3453</v>
      </c>
      <c r="D1491" s="2296"/>
      <c r="E1491" s="2333" t="s">
        <v>3525</v>
      </c>
      <c r="F1491" s="2333" t="s">
        <v>3457</v>
      </c>
      <c r="G1491" s="2185" t="s">
        <v>3526</v>
      </c>
      <c r="H1491" s="2333"/>
      <c r="I1491" s="2334"/>
      <c r="J1491" s="2185"/>
      <c r="K1491" s="2336"/>
      <c r="L1491" s="2335"/>
      <c r="M1491" s="1951"/>
      <c r="N1491" s="1962"/>
      <c r="O1491" s="1961">
        <v>30845</v>
      </c>
      <c r="P1491" s="1951">
        <v>32264</v>
      </c>
      <c r="Q1491" s="1960">
        <v>33749</v>
      </c>
    </row>
    <row r="1492" spans="1:17" ht="12.75" customHeight="1">
      <c r="A1492" s="2332" t="s">
        <v>3506</v>
      </c>
      <c r="B1492" s="2185" t="s">
        <v>3610</v>
      </c>
      <c r="C1492" s="2296" t="s">
        <v>3453</v>
      </c>
      <c r="D1492" s="2296"/>
      <c r="E1492" s="2333" t="s">
        <v>3525</v>
      </c>
      <c r="F1492" s="2333" t="s">
        <v>3457</v>
      </c>
      <c r="G1492" s="2185" t="s">
        <v>3526</v>
      </c>
      <c r="H1492" s="2333"/>
      <c r="I1492" s="2334"/>
      <c r="J1492" s="2185"/>
      <c r="K1492" s="2336"/>
      <c r="L1492" s="2335"/>
      <c r="M1492" s="1951"/>
      <c r="N1492" s="1962"/>
      <c r="O1492" s="1961">
        <v>712678</v>
      </c>
      <c r="P1492" s="1951">
        <v>745462</v>
      </c>
      <c r="Q1492" s="1960">
        <v>779753</v>
      </c>
    </row>
    <row r="1493" spans="1:17" ht="12.75" customHeight="1">
      <c r="A1493" s="2332" t="s">
        <v>3459</v>
      </c>
      <c r="B1493" s="2185" t="s">
        <v>3498</v>
      </c>
      <c r="C1493" s="2296" t="s">
        <v>3453</v>
      </c>
      <c r="D1493" s="2296"/>
      <c r="E1493" s="2333" t="s">
        <v>3525</v>
      </c>
      <c r="F1493" s="2333" t="s">
        <v>3457</v>
      </c>
      <c r="G1493" s="2185" t="s">
        <v>3526</v>
      </c>
      <c r="H1493" s="2333"/>
      <c r="I1493" s="2334"/>
      <c r="J1493" s="2185"/>
      <c r="K1493" s="2336"/>
      <c r="L1493" s="2335"/>
      <c r="M1493" s="1951"/>
      <c r="N1493" s="1962"/>
      <c r="O1493" s="1961">
        <v>2233475</v>
      </c>
      <c r="P1493" s="1951">
        <v>2336215</v>
      </c>
      <c r="Q1493" s="1960">
        <v>2443681</v>
      </c>
    </row>
    <row r="1494" spans="1:17" ht="12.75" customHeight="1">
      <c r="A1494" s="2332" t="s">
        <v>3459</v>
      </c>
      <c r="B1494" s="2185" t="s">
        <v>3742</v>
      </c>
      <c r="C1494" s="2296" t="s">
        <v>3453</v>
      </c>
      <c r="D1494" s="2296"/>
      <c r="E1494" s="2333" t="s">
        <v>3525</v>
      </c>
      <c r="F1494" s="2333" t="s">
        <v>3457</v>
      </c>
      <c r="G1494" s="2185" t="s">
        <v>3526</v>
      </c>
      <c r="H1494" s="2333"/>
      <c r="I1494" s="2334"/>
      <c r="J1494" s="2185"/>
      <c r="K1494" s="2336"/>
      <c r="L1494" s="2335"/>
      <c r="M1494" s="1951"/>
      <c r="N1494" s="1962"/>
      <c r="O1494" s="1961">
        <v>0</v>
      </c>
      <c r="P1494" s="1951">
        <v>0</v>
      </c>
      <c r="Q1494" s="1960">
        <v>0</v>
      </c>
    </row>
    <row r="1495" spans="1:17" ht="12.75" customHeight="1">
      <c r="A1495" s="2332" t="s">
        <v>3454</v>
      </c>
      <c r="B1495" s="2185" t="s">
        <v>3512</v>
      </c>
      <c r="C1495" s="2296" t="s">
        <v>3453</v>
      </c>
      <c r="D1495" s="2296"/>
      <c r="E1495" s="2333" t="s">
        <v>3525</v>
      </c>
      <c r="F1495" s="2333" t="s">
        <v>3457</v>
      </c>
      <c r="G1495" s="2185" t="s">
        <v>3526</v>
      </c>
      <c r="H1495" s="2333"/>
      <c r="I1495" s="2334"/>
      <c r="J1495" s="2185"/>
      <c r="K1495" s="2336"/>
      <c r="L1495" s="2335"/>
      <c r="M1495" s="1951"/>
      <c r="N1495" s="1962"/>
      <c r="O1495" s="1961">
        <v>0</v>
      </c>
      <c r="P1495" s="1951">
        <v>0</v>
      </c>
      <c r="Q1495" s="1960">
        <v>0</v>
      </c>
    </row>
    <row r="1496" spans="1:17" ht="12.75" customHeight="1">
      <c r="A1496" s="2332" t="s">
        <v>3523</v>
      </c>
      <c r="B1496" s="2185" t="s">
        <v>3969</v>
      </c>
      <c r="C1496" s="2296" t="s">
        <v>3453</v>
      </c>
      <c r="D1496" s="2296"/>
      <c r="E1496" s="2333" t="s">
        <v>3525</v>
      </c>
      <c r="F1496" s="2333" t="s">
        <v>3457</v>
      </c>
      <c r="G1496" s="2185" t="s">
        <v>3526</v>
      </c>
      <c r="H1496" s="2333"/>
      <c r="I1496" s="2334"/>
      <c r="J1496" s="2185"/>
      <c r="K1496" s="2336"/>
      <c r="L1496" s="2335"/>
      <c r="M1496" s="1951"/>
      <c r="N1496" s="1962"/>
      <c r="O1496" s="1961">
        <v>3000000</v>
      </c>
      <c r="P1496" s="1951">
        <v>3138000</v>
      </c>
      <c r="Q1496" s="1960">
        <v>3282348</v>
      </c>
    </row>
    <row r="1497" spans="1:17" ht="12.75" customHeight="1">
      <c r="A1497" s="2332" t="s">
        <v>3464</v>
      </c>
      <c r="B1497" s="2185" t="s">
        <v>3665</v>
      </c>
      <c r="C1497" s="2296" t="s">
        <v>3453</v>
      </c>
      <c r="D1497" s="2296"/>
      <c r="E1497" s="2333" t="s">
        <v>3525</v>
      </c>
      <c r="F1497" s="2333" t="s">
        <v>3457</v>
      </c>
      <c r="G1497" s="2185" t="s">
        <v>3526</v>
      </c>
      <c r="H1497" s="2333"/>
      <c r="I1497" s="2334"/>
      <c r="J1497" s="2185"/>
      <c r="K1497" s="2336"/>
      <c r="L1497" s="2335"/>
      <c r="M1497" s="1951"/>
      <c r="N1497" s="1962"/>
      <c r="O1497" s="1961">
        <v>173092</v>
      </c>
      <c r="P1497" s="1951">
        <v>181054</v>
      </c>
      <c r="Q1497" s="1960">
        <v>189383</v>
      </c>
    </row>
    <row r="1498" spans="1:17" ht="12.75" customHeight="1">
      <c r="A1498" s="2332" t="s">
        <v>3490</v>
      </c>
      <c r="B1498" s="2185" t="s">
        <v>3970</v>
      </c>
      <c r="C1498" s="2296" t="s">
        <v>3748</v>
      </c>
      <c r="D1498" s="2296"/>
      <c r="E1498" s="2333" t="s">
        <v>3525</v>
      </c>
      <c r="F1498" s="2333" t="s">
        <v>3457</v>
      </c>
      <c r="G1498" s="2185" t="s">
        <v>3526</v>
      </c>
      <c r="H1498" s="2333"/>
      <c r="I1498" s="2334"/>
      <c r="J1498" s="2185"/>
      <c r="K1498" s="2336"/>
      <c r="L1498" s="2335"/>
      <c r="M1498" s="1951"/>
      <c r="N1498" s="1962"/>
      <c r="O1498" s="1961">
        <v>257123</v>
      </c>
      <c r="P1498" s="1951">
        <v>268951</v>
      </c>
      <c r="Q1498" s="1960">
        <v>281323</v>
      </c>
    </row>
    <row r="1499" spans="1:17" ht="12.75" customHeight="1">
      <c r="A1499" s="2332" t="s">
        <v>3487</v>
      </c>
      <c r="B1499" s="2185" t="s">
        <v>3488</v>
      </c>
      <c r="C1499" s="2296" t="s">
        <v>3453</v>
      </c>
      <c r="D1499" s="2296"/>
      <c r="E1499" s="2333" t="s">
        <v>3525</v>
      </c>
      <c r="F1499" s="2333" t="s">
        <v>3457</v>
      </c>
      <c r="G1499" s="2185" t="s">
        <v>3526</v>
      </c>
      <c r="H1499" s="2333"/>
      <c r="I1499" s="2334"/>
      <c r="J1499" s="2185"/>
      <c r="K1499" s="2336"/>
      <c r="L1499" s="2335"/>
      <c r="M1499" s="1951"/>
      <c r="N1499" s="1962"/>
      <c r="O1499" s="1961">
        <v>98126</v>
      </c>
      <c r="P1499" s="1951">
        <v>102640</v>
      </c>
      <c r="Q1499" s="1960">
        <v>107362</v>
      </c>
    </row>
    <row r="1500" spans="1:17" ht="12.75" customHeight="1">
      <c r="A1500" s="2332" t="s">
        <v>3454</v>
      </c>
      <c r="B1500" s="2185" t="s">
        <v>3545</v>
      </c>
      <c r="C1500" s="2296" t="s">
        <v>3453</v>
      </c>
      <c r="D1500" s="2296"/>
      <c r="E1500" s="2333" t="s">
        <v>3525</v>
      </c>
      <c r="F1500" s="2333" t="s">
        <v>3457</v>
      </c>
      <c r="G1500" s="2185" t="s">
        <v>3526</v>
      </c>
      <c r="H1500" s="2333"/>
      <c r="I1500" s="2334"/>
      <c r="J1500" s="2185"/>
      <c r="K1500" s="2336"/>
      <c r="L1500" s="2335"/>
      <c r="M1500" s="1951"/>
      <c r="N1500" s="1962"/>
      <c r="O1500" s="1961">
        <v>0</v>
      </c>
      <c r="P1500" s="1951">
        <v>0</v>
      </c>
      <c r="Q1500" s="1960">
        <v>0</v>
      </c>
    </row>
    <row r="1501" spans="1:17" ht="12.75" customHeight="1">
      <c r="A1501" s="2332" t="s">
        <v>3520</v>
      </c>
      <c r="B1501" s="2185" t="s">
        <v>3971</v>
      </c>
      <c r="C1501" s="2296" t="s">
        <v>3453</v>
      </c>
      <c r="D1501" s="2296"/>
      <c r="E1501" s="2333" t="s">
        <v>3525</v>
      </c>
      <c r="F1501" s="2333" t="s">
        <v>3457</v>
      </c>
      <c r="G1501" s="2185" t="s">
        <v>3526</v>
      </c>
      <c r="H1501" s="2333"/>
      <c r="I1501" s="2334"/>
      <c r="J1501" s="2185"/>
      <c r="K1501" s="2336"/>
      <c r="L1501" s="2335"/>
      <c r="M1501" s="1951"/>
      <c r="N1501" s="1962"/>
      <c r="O1501" s="1961">
        <v>62158</v>
      </c>
      <c r="P1501" s="1951">
        <v>62158</v>
      </c>
      <c r="Q1501" s="1960">
        <v>65018</v>
      </c>
    </row>
    <row r="1502" spans="1:17" ht="12.75" customHeight="1">
      <c r="A1502" s="2332" t="s">
        <v>3479</v>
      </c>
      <c r="B1502" s="2185" t="s">
        <v>3480</v>
      </c>
      <c r="C1502" s="2296" t="s">
        <v>3453</v>
      </c>
      <c r="D1502" s="2296"/>
      <c r="E1502" s="2333" t="s">
        <v>3525</v>
      </c>
      <c r="F1502" s="2333" t="s">
        <v>3457</v>
      </c>
      <c r="G1502" s="2185" t="s">
        <v>3526</v>
      </c>
      <c r="H1502" s="2333"/>
      <c r="I1502" s="2334"/>
      <c r="J1502" s="2185"/>
      <c r="K1502" s="2336"/>
      <c r="L1502" s="2335"/>
      <c r="M1502" s="1951"/>
      <c r="N1502" s="1962"/>
      <c r="O1502" s="1961">
        <v>1677</v>
      </c>
      <c r="P1502" s="1951">
        <v>1755</v>
      </c>
      <c r="Q1502" s="1960">
        <v>1835</v>
      </c>
    </row>
    <row r="1503" spans="1:17" ht="12.75" customHeight="1">
      <c r="A1503" s="2332" t="s">
        <v>3479</v>
      </c>
      <c r="B1503" s="2185" t="s">
        <v>3550</v>
      </c>
      <c r="C1503" s="2296" t="s">
        <v>3453</v>
      </c>
      <c r="D1503" s="2296"/>
      <c r="E1503" s="2333" t="s">
        <v>3525</v>
      </c>
      <c r="F1503" s="2333" t="s">
        <v>3457</v>
      </c>
      <c r="G1503" s="2185" t="s">
        <v>3526</v>
      </c>
      <c r="H1503" s="2333"/>
      <c r="I1503" s="2334"/>
      <c r="J1503" s="2185"/>
      <c r="K1503" s="2336"/>
      <c r="L1503" s="2335"/>
      <c r="M1503" s="1951"/>
      <c r="N1503" s="1962"/>
      <c r="O1503" s="1961">
        <v>58614</v>
      </c>
      <c r="P1503" s="1951">
        <v>61311</v>
      </c>
      <c r="Q1503" s="1960">
        <v>64131</v>
      </c>
    </row>
    <row r="1504" spans="1:17" ht="12.75" customHeight="1">
      <c r="A1504" s="2332" t="s">
        <v>3470</v>
      </c>
      <c r="B1504" s="2185" t="s">
        <v>3554</v>
      </c>
      <c r="C1504" s="2296" t="s">
        <v>3453</v>
      </c>
      <c r="D1504" s="2296"/>
      <c r="E1504" s="2333" t="s">
        <v>3525</v>
      </c>
      <c r="F1504" s="2333" t="s">
        <v>3457</v>
      </c>
      <c r="G1504" s="2185" t="s">
        <v>3526</v>
      </c>
      <c r="H1504" s="2333"/>
      <c r="I1504" s="2334"/>
      <c r="J1504" s="2185"/>
      <c r="K1504" s="2336"/>
      <c r="L1504" s="2335"/>
      <c r="M1504" s="1951"/>
      <c r="N1504" s="1962"/>
      <c r="O1504" s="1961">
        <v>163368</v>
      </c>
      <c r="P1504" s="1951">
        <v>170883</v>
      </c>
      <c r="Q1504" s="1960">
        <v>178744</v>
      </c>
    </row>
    <row r="1505" spans="1:17" ht="12.75" customHeight="1">
      <c r="A1505" s="2332" t="s">
        <v>3508</v>
      </c>
      <c r="B1505" s="2185" t="s">
        <v>3555</v>
      </c>
      <c r="C1505" s="2296" t="s">
        <v>3453</v>
      </c>
      <c r="D1505" s="2296"/>
      <c r="E1505" s="2333" t="s">
        <v>3525</v>
      </c>
      <c r="F1505" s="2333" t="s">
        <v>3457</v>
      </c>
      <c r="G1505" s="2185" t="s">
        <v>3526</v>
      </c>
      <c r="H1505" s="2333"/>
      <c r="I1505" s="2334"/>
      <c r="J1505" s="2185"/>
      <c r="K1505" s="2336"/>
      <c r="L1505" s="2335"/>
      <c r="M1505" s="1951"/>
      <c r="N1505" s="1962"/>
      <c r="O1505" s="1961">
        <v>8161</v>
      </c>
      <c r="P1505" s="1951">
        <v>8537</v>
      </c>
      <c r="Q1505" s="1960">
        <v>8930</v>
      </c>
    </row>
    <row r="1506" spans="1:17" ht="12.75" customHeight="1">
      <c r="A1506" s="2332" t="s">
        <v>3464</v>
      </c>
      <c r="B1506" s="2185" t="s">
        <v>3632</v>
      </c>
      <c r="C1506" s="2296" t="s">
        <v>3453</v>
      </c>
      <c r="D1506" s="2296"/>
      <c r="E1506" s="2333" t="s">
        <v>3525</v>
      </c>
      <c r="F1506" s="2333" t="s">
        <v>3457</v>
      </c>
      <c r="G1506" s="2185" t="s">
        <v>3526</v>
      </c>
      <c r="H1506" s="2333"/>
      <c r="I1506" s="2334"/>
      <c r="J1506" s="2185"/>
      <c r="K1506" s="2336"/>
      <c r="L1506" s="2335"/>
      <c r="M1506" s="1951"/>
      <c r="N1506" s="1962"/>
      <c r="O1506" s="1961">
        <v>57820</v>
      </c>
      <c r="P1506" s="1951">
        <v>60480</v>
      </c>
      <c r="Q1506" s="1960">
        <v>63262</v>
      </c>
    </row>
    <row r="1507" spans="1:17" ht="12.75" customHeight="1">
      <c r="A1507" s="2332" t="s">
        <v>3454</v>
      </c>
      <c r="B1507" s="2185" t="s">
        <v>3455</v>
      </c>
      <c r="C1507" s="2296" t="s">
        <v>3453</v>
      </c>
      <c r="D1507" s="2296"/>
      <c r="E1507" s="2333" t="s">
        <v>3525</v>
      </c>
      <c r="F1507" s="2333" t="s">
        <v>3457</v>
      </c>
      <c r="G1507" s="2185" t="s">
        <v>3526</v>
      </c>
      <c r="H1507" s="2333"/>
      <c r="I1507" s="2334"/>
      <c r="J1507" s="2185"/>
      <c r="K1507" s="2336"/>
      <c r="L1507" s="2335"/>
      <c r="M1507" s="1951"/>
      <c r="N1507" s="1962"/>
      <c r="O1507" s="1961">
        <v>146702</v>
      </c>
      <c r="P1507" s="1951">
        <v>153451</v>
      </c>
      <c r="Q1507" s="1960">
        <v>160510</v>
      </c>
    </row>
    <row r="1508" spans="1:17" ht="12.75" customHeight="1">
      <c r="A1508" s="2332" t="s">
        <v>3506</v>
      </c>
      <c r="B1508" s="2185" t="s">
        <v>3507</v>
      </c>
      <c r="C1508" s="2296" t="s">
        <v>3453</v>
      </c>
      <c r="D1508" s="2296"/>
      <c r="E1508" s="2333" t="s">
        <v>3525</v>
      </c>
      <c r="F1508" s="2333" t="s">
        <v>3457</v>
      </c>
      <c r="G1508" s="2185" t="s">
        <v>3526</v>
      </c>
      <c r="H1508" s="2333"/>
      <c r="I1508" s="2334"/>
      <c r="J1508" s="2185"/>
      <c r="K1508" s="2336"/>
      <c r="L1508" s="2335"/>
      <c r="M1508" s="1951"/>
      <c r="N1508" s="1962"/>
      <c r="O1508" s="1961">
        <v>4000</v>
      </c>
      <c r="P1508" s="1951">
        <v>4184</v>
      </c>
      <c r="Q1508" s="1960">
        <v>4377</v>
      </c>
    </row>
    <row r="1509" spans="1:17" ht="12.75" customHeight="1">
      <c r="A1509" s="2332" t="s">
        <v>3565</v>
      </c>
      <c r="B1509" s="2185" t="s">
        <v>3972</v>
      </c>
      <c r="C1509" s="2296" t="s">
        <v>3453</v>
      </c>
      <c r="D1509" s="2296"/>
      <c r="E1509" s="2333" t="s">
        <v>3525</v>
      </c>
      <c r="F1509" s="2333" t="s">
        <v>3457</v>
      </c>
      <c r="G1509" s="2185" t="s">
        <v>3526</v>
      </c>
      <c r="H1509" s="2333"/>
      <c r="I1509" s="2334"/>
      <c r="J1509" s="2185"/>
      <c r="K1509" s="2336"/>
      <c r="L1509" s="2335"/>
      <c r="M1509" s="1951"/>
      <c r="N1509" s="1962"/>
      <c r="O1509" s="1961">
        <v>12750</v>
      </c>
      <c r="P1509" s="1951">
        <v>13337</v>
      </c>
      <c r="Q1509" s="1960">
        <v>13950</v>
      </c>
    </row>
    <row r="1510" spans="1:17" ht="12.75" customHeight="1">
      <c r="A1510" s="2332" t="s">
        <v>3464</v>
      </c>
      <c r="B1510" s="2185" t="s">
        <v>3630</v>
      </c>
      <c r="C1510" s="2296" t="s">
        <v>3453</v>
      </c>
      <c r="D1510" s="2296"/>
      <c r="E1510" s="2333" t="s">
        <v>3525</v>
      </c>
      <c r="F1510" s="2333" t="s">
        <v>3457</v>
      </c>
      <c r="G1510" s="2185" t="s">
        <v>3526</v>
      </c>
      <c r="H1510" s="2333"/>
      <c r="I1510" s="2334"/>
      <c r="J1510" s="2185"/>
      <c r="K1510" s="2336"/>
      <c r="L1510" s="2335"/>
      <c r="M1510" s="1951"/>
      <c r="N1510" s="1962"/>
      <c r="O1510" s="1961">
        <v>479</v>
      </c>
      <c r="P1510" s="1951">
        <v>502</v>
      </c>
      <c r="Q1510" s="1960">
        <v>525</v>
      </c>
    </row>
    <row r="1511" spans="1:17" ht="12.75" customHeight="1">
      <c r="A1511" s="2332" t="s">
        <v>3531</v>
      </c>
      <c r="B1511" s="2185" t="s">
        <v>3532</v>
      </c>
      <c r="C1511" s="2296" t="s">
        <v>3453</v>
      </c>
      <c r="D1511" s="2296"/>
      <c r="E1511" s="2333" t="s">
        <v>3525</v>
      </c>
      <c r="F1511" s="2333" t="s">
        <v>3457</v>
      </c>
      <c r="G1511" s="2185" t="s">
        <v>3526</v>
      </c>
      <c r="H1511" s="2333"/>
      <c r="I1511" s="2334"/>
      <c r="J1511" s="2185"/>
      <c r="K1511" s="2336"/>
      <c r="L1511" s="2335"/>
      <c r="M1511" s="1951"/>
      <c r="N1511" s="1962"/>
      <c r="O1511" s="1961">
        <v>0</v>
      </c>
      <c r="P1511" s="1951">
        <v>0</v>
      </c>
      <c r="Q1511" s="1960">
        <v>0</v>
      </c>
    </row>
    <row r="1512" spans="1:17" ht="12.75" customHeight="1">
      <c r="A1512" s="2332" t="s">
        <v>3485</v>
      </c>
      <c r="B1512" s="2185" t="s">
        <v>3973</v>
      </c>
      <c r="C1512" s="2296" t="s">
        <v>3453</v>
      </c>
      <c r="D1512" s="2296"/>
      <c r="E1512" s="2333" t="s">
        <v>3525</v>
      </c>
      <c r="F1512" s="2333" t="s">
        <v>3457</v>
      </c>
      <c r="G1512" s="2185" t="s">
        <v>3526</v>
      </c>
      <c r="H1512" s="2333"/>
      <c r="I1512" s="2334"/>
      <c r="J1512" s="2185"/>
      <c r="K1512" s="2336"/>
      <c r="L1512" s="2335"/>
      <c r="M1512" s="1951"/>
      <c r="N1512" s="1962"/>
      <c r="O1512" s="1961">
        <v>14537</v>
      </c>
      <c r="P1512" s="1951">
        <v>15206</v>
      </c>
      <c r="Q1512" s="1960">
        <v>15906</v>
      </c>
    </row>
    <row r="1513" spans="1:17" ht="12.75" customHeight="1">
      <c r="A1513" s="2332" t="s">
        <v>3490</v>
      </c>
      <c r="B1513" s="2185" t="s">
        <v>3974</v>
      </c>
      <c r="C1513" s="2296" t="s">
        <v>3453</v>
      </c>
      <c r="D1513" s="2296"/>
      <c r="E1513" s="2333" t="s">
        <v>3525</v>
      </c>
      <c r="F1513" s="2333" t="s">
        <v>3457</v>
      </c>
      <c r="G1513" s="2185" t="s">
        <v>3526</v>
      </c>
      <c r="H1513" s="2333"/>
      <c r="I1513" s="2334"/>
      <c r="J1513" s="2185"/>
      <c r="K1513" s="2336"/>
      <c r="L1513" s="2335"/>
      <c r="M1513" s="1951"/>
      <c r="N1513" s="1962"/>
      <c r="O1513" s="1961">
        <v>0</v>
      </c>
      <c r="P1513" s="1951">
        <v>0</v>
      </c>
      <c r="Q1513" s="1960">
        <v>0</v>
      </c>
    </row>
    <row r="1514" spans="1:17" ht="12.75" customHeight="1">
      <c r="A1514" s="2332" t="s">
        <v>3499</v>
      </c>
      <c r="B1514" s="2185" t="s">
        <v>3592</v>
      </c>
      <c r="C1514" s="2296" t="s">
        <v>3453</v>
      </c>
      <c r="D1514" s="2296"/>
      <c r="E1514" s="2333" t="s">
        <v>3525</v>
      </c>
      <c r="F1514" s="2333" t="s">
        <v>3457</v>
      </c>
      <c r="G1514" s="2185" t="s">
        <v>3526</v>
      </c>
      <c r="H1514" s="2333"/>
      <c r="I1514" s="2334"/>
      <c r="J1514" s="2185"/>
      <c r="K1514" s="2336"/>
      <c r="L1514" s="2335"/>
      <c r="M1514" s="1951"/>
      <c r="N1514" s="1962"/>
      <c r="O1514" s="1961">
        <v>30840</v>
      </c>
      <c r="P1514" s="1951">
        <v>32320</v>
      </c>
      <c r="Q1514" s="1960">
        <v>33807</v>
      </c>
    </row>
    <row r="1515" spans="1:17" ht="12.75" customHeight="1">
      <c r="A1515" s="2332" t="s">
        <v>3490</v>
      </c>
      <c r="B1515" s="2185" t="s">
        <v>3975</v>
      </c>
      <c r="C1515" s="2296" t="s">
        <v>3615</v>
      </c>
      <c r="D1515" s="2296"/>
      <c r="E1515" s="2333" t="s">
        <v>3525</v>
      </c>
      <c r="F1515" s="2333" t="s">
        <v>3457</v>
      </c>
      <c r="G1515" s="2185" t="s">
        <v>3526</v>
      </c>
      <c r="H1515" s="2333"/>
      <c r="I1515" s="2334"/>
      <c r="J1515" s="2185"/>
      <c r="K1515" s="2336"/>
      <c r="L1515" s="2335"/>
      <c r="M1515" s="1951"/>
      <c r="N1515" s="1962"/>
      <c r="O1515" s="1961">
        <v>15000000</v>
      </c>
      <c r="P1515" s="1951">
        <v>15000000</v>
      </c>
      <c r="Q1515" s="1960">
        <v>15000000</v>
      </c>
    </row>
    <row r="1516" spans="1:17" ht="12.75" customHeight="1">
      <c r="A1516" s="2332" t="s">
        <v>3531</v>
      </c>
      <c r="B1516" s="2185" t="s">
        <v>3532</v>
      </c>
      <c r="C1516" s="2296" t="s">
        <v>3453</v>
      </c>
      <c r="D1516" s="2296"/>
      <c r="E1516" s="2333" t="s">
        <v>3525</v>
      </c>
      <c r="F1516" s="2333" t="s">
        <v>3457</v>
      </c>
      <c r="G1516" s="2185" t="s">
        <v>3526</v>
      </c>
      <c r="H1516" s="2333"/>
      <c r="I1516" s="2334"/>
      <c r="J1516" s="2185"/>
      <c r="K1516" s="2336"/>
      <c r="L1516" s="2335"/>
      <c r="M1516" s="1951"/>
      <c r="N1516" s="1962"/>
      <c r="O1516" s="1961">
        <v>0</v>
      </c>
      <c r="P1516" s="1951">
        <v>0</v>
      </c>
      <c r="Q1516" s="1960">
        <v>0</v>
      </c>
    </row>
    <row r="1517" spans="1:17" ht="12.75" customHeight="1">
      <c r="A1517" s="2332" t="s">
        <v>3523</v>
      </c>
      <c r="B1517" s="2185" t="s">
        <v>3535</v>
      </c>
      <c r="C1517" s="2296" t="s">
        <v>3453</v>
      </c>
      <c r="D1517" s="2296"/>
      <c r="E1517" s="2333" t="s">
        <v>3525</v>
      </c>
      <c r="F1517" s="2333" t="s">
        <v>3457</v>
      </c>
      <c r="G1517" s="2185" t="s">
        <v>3526</v>
      </c>
      <c r="H1517" s="2333"/>
      <c r="I1517" s="2334"/>
      <c r="J1517" s="2185"/>
      <c r="K1517" s="2336"/>
      <c r="L1517" s="2335"/>
      <c r="M1517" s="1951"/>
      <c r="N1517" s="1962"/>
      <c r="O1517" s="1961">
        <v>0</v>
      </c>
      <c r="P1517" s="1951">
        <v>0</v>
      </c>
      <c r="Q1517" s="1960">
        <v>0</v>
      </c>
    </row>
    <row r="1518" spans="1:17" ht="12.75" customHeight="1">
      <c r="A1518" s="2332" t="s">
        <v>3454</v>
      </c>
      <c r="B1518" s="2185" t="s">
        <v>3545</v>
      </c>
      <c r="C1518" s="2296" t="s">
        <v>3453</v>
      </c>
      <c r="D1518" s="2296"/>
      <c r="E1518" s="2333" t="s">
        <v>3525</v>
      </c>
      <c r="F1518" s="2333" t="s">
        <v>3457</v>
      </c>
      <c r="G1518" s="2185" t="s">
        <v>3526</v>
      </c>
      <c r="H1518" s="2333"/>
      <c r="I1518" s="2334"/>
      <c r="J1518" s="2185"/>
      <c r="K1518" s="2336"/>
      <c r="L1518" s="2335"/>
      <c r="M1518" s="1951"/>
      <c r="N1518" s="1962"/>
      <c r="O1518" s="1961">
        <v>0</v>
      </c>
      <c r="P1518" s="1951">
        <v>0</v>
      </c>
      <c r="Q1518" s="1960">
        <v>1</v>
      </c>
    </row>
    <row r="1519" spans="1:17" ht="12.75" customHeight="1">
      <c r="A1519" s="2332" t="s">
        <v>3464</v>
      </c>
      <c r="B1519" s="2185" t="s">
        <v>3556</v>
      </c>
      <c r="C1519" s="2296" t="s">
        <v>3453</v>
      </c>
      <c r="D1519" s="2296"/>
      <c r="E1519" s="2333" t="s">
        <v>3525</v>
      </c>
      <c r="F1519" s="2333" t="s">
        <v>3457</v>
      </c>
      <c r="G1519" s="2185" t="s">
        <v>3526</v>
      </c>
      <c r="H1519" s="2333"/>
      <c r="I1519" s="2334"/>
      <c r="J1519" s="2185"/>
      <c r="K1519" s="2336"/>
      <c r="L1519" s="2335"/>
      <c r="M1519" s="1951"/>
      <c r="N1519" s="1962"/>
      <c r="O1519" s="1961">
        <v>13825690</v>
      </c>
      <c r="P1519" s="1951">
        <v>14461672</v>
      </c>
      <c r="Q1519" s="1960">
        <v>15126909</v>
      </c>
    </row>
    <row r="1520" spans="1:17" ht="12.75" customHeight="1">
      <c r="A1520" s="2332" t="s">
        <v>3454</v>
      </c>
      <c r="B1520" s="2185" t="s">
        <v>3662</v>
      </c>
      <c r="C1520" s="2296" t="s">
        <v>3453</v>
      </c>
      <c r="D1520" s="2296"/>
      <c r="E1520" s="2333" t="s">
        <v>3525</v>
      </c>
      <c r="F1520" s="2333" t="s">
        <v>3457</v>
      </c>
      <c r="G1520" s="2185" t="s">
        <v>3526</v>
      </c>
      <c r="H1520" s="2333"/>
      <c r="I1520" s="2334"/>
      <c r="J1520" s="2185"/>
      <c r="K1520" s="2336"/>
      <c r="L1520" s="2335"/>
      <c r="M1520" s="1951"/>
      <c r="N1520" s="1962"/>
      <c r="O1520" s="1961">
        <v>1646</v>
      </c>
      <c r="P1520" s="1951">
        <v>1722</v>
      </c>
      <c r="Q1520" s="1960">
        <v>1801</v>
      </c>
    </row>
    <row r="1521" spans="1:17" ht="12.75" customHeight="1">
      <c r="A1521" s="2332" t="s">
        <v>3490</v>
      </c>
      <c r="B1521" s="2185" t="s">
        <v>3976</v>
      </c>
      <c r="C1521" s="2296" t="s">
        <v>3615</v>
      </c>
      <c r="D1521" s="2296"/>
      <c r="E1521" s="2333" t="s">
        <v>3525</v>
      </c>
      <c r="F1521" s="2333" t="s">
        <v>3457</v>
      </c>
      <c r="G1521" s="2185" t="s">
        <v>3526</v>
      </c>
      <c r="H1521" s="2333"/>
      <c r="I1521" s="2334"/>
      <c r="J1521" s="2185"/>
      <c r="K1521" s="2336"/>
      <c r="L1521" s="2335"/>
      <c r="M1521" s="1951"/>
      <c r="N1521" s="1962"/>
      <c r="O1521" s="1961">
        <v>0</v>
      </c>
      <c r="P1521" s="1951">
        <v>0</v>
      </c>
      <c r="Q1521" s="1960">
        <v>1</v>
      </c>
    </row>
    <row r="1522" spans="1:17" ht="12.75" customHeight="1">
      <c r="A1522" s="2332" t="s">
        <v>3558</v>
      </c>
      <c r="B1522" s="2185" t="s">
        <v>3559</v>
      </c>
      <c r="C1522" s="2296" t="s">
        <v>3453</v>
      </c>
      <c r="D1522" s="2296"/>
      <c r="E1522" s="2333" t="s">
        <v>3525</v>
      </c>
      <c r="F1522" s="2333" t="s">
        <v>3457</v>
      </c>
      <c r="G1522" s="2185" t="s">
        <v>3526</v>
      </c>
      <c r="H1522" s="2333"/>
      <c r="I1522" s="2334"/>
      <c r="J1522" s="2185"/>
      <c r="K1522" s="2336"/>
      <c r="L1522" s="2335"/>
      <c r="M1522" s="1951"/>
      <c r="N1522" s="1962"/>
      <c r="O1522" s="1961">
        <v>2000</v>
      </c>
      <c r="P1522" s="1951">
        <v>2000</v>
      </c>
      <c r="Q1522" s="1960">
        <v>2000</v>
      </c>
    </row>
    <row r="1523" spans="1:17" ht="12.75" customHeight="1">
      <c r="A1523" s="2332" t="s">
        <v>3487</v>
      </c>
      <c r="B1523" s="2185" t="s">
        <v>3977</v>
      </c>
      <c r="C1523" s="2296" t="s">
        <v>3453</v>
      </c>
      <c r="D1523" s="2296"/>
      <c r="E1523" s="2333" t="s">
        <v>3525</v>
      </c>
      <c r="F1523" s="2333" t="s">
        <v>3457</v>
      </c>
      <c r="G1523" s="2185" t="s">
        <v>3526</v>
      </c>
      <c r="H1523" s="2333"/>
      <c r="I1523" s="2334"/>
      <c r="J1523" s="2185"/>
      <c r="K1523" s="2336"/>
      <c r="L1523" s="2335"/>
      <c r="M1523" s="1951"/>
      <c r="N1523" s="1962"/>
      <c r="O1523" s="1961">
        <v>2035457</v>
      </c>
      <c r="P1523" s="1951">
        <v>2129089</v>
      </c>
      <c r="Q1523" s="1960">
        <v>2227027</v>
      </c>
    </row>
    <row r="1524" spans="1:17" ht="12.75" customHeight="1">
      <c r="A1524" s="2332" t="s">
        <v>3459</v>
      </c>
      <c r="B1524" s="2185" t="s">
        <v>3709</v>
      </c>
      <c r="C1524" s="2296" t="s">
        <v>3453</v>
      </c>
      <c r="D1524" s="2296"/>
      <c r="E1524" s="2333" t="s">
        <v>3525</v>
      </c>
      <c r="F1524" s="2333" t="s">
        <v>3457</v>
      </c>
      <c r="G1524" s="2185" t="s">
        <v>3526</v>
      </c>
      <c r="H1524" s="2333"/>
      <c r="I1524" s="2334"/>
      <c r="J1524" s="2185"/>
      <c r="K1524" s="2336"/>
      <c r="L1524" s="2335"/>
      <c r="M1524" s="1951"/>
      <c r="N1524" s="1962"/>
      <c r="O1524" s="1961">
        <v>4500000</v>
      </c>
      <c r="P1524" s="1951">
        <v>4707000</v>
      </c>
      <c r="Q1524" s="1960">
        <v>4923522</v>
      </c>
    </row>
    <row r="1525" spans="1:17" ht="12.75" customHeight="1">
      <c r="A1525" s="2332" t="s">
        <v>3459</v>
      </c>
      <c r="B1525" s="2185" t="s">
        <v>3680</v>
      </c>
      <c r="C1525" s="2296" t="s">
        <v>3453</v>
      </c>
      <c r="D1525" s="2296"/>
      <c r="E1525" s="2333" t="s">
        <v>3525</v>
      </c>
      <c r="F1525" s="2333" t="s">
        <v>3457</v>
      </c>
      <c r="G1525" s="2185" t="s">
        <v>3526</v>
      </c>
      <c r="H1525" s="2333"/>
      <c r="I1525" s="2334"/>
      <c r="J1525" s="2185"/>
      <c r="K1525" s="2336"/>
      <c r="L1525" s="2335"/>
      <c r="M1525" s="1951"/>
      <c r="N1525" s="1962"/>
      <c r="O1525" s="1961">
        <v>1606</v>
      </c>
      <c r="P1525" s="1951">
        <v>1680</v>
      </c>
      <c r="Q1525" s="1960">
        <v>1758</v>
      </c>
    </row>
    <row r="1526" spans="1:17" ht="12.75" customHeight="1">
      <c r="A1526" s="2332" t="s">
        <v>3572</v>
      </c>
      <c r="B1526" s="2185" t="s">
        <v>3978</v>
      </c>
      <c r="C1526" s="2296" t="s">
        <v>3453</v>
      </c>
      <c r="D1526" s="2296"/>
      <c r="E1526" s="2333" t="s">
        <v>3525</v>
      </c>
      <c r="F1526" s="2333" t="s">
        <v>3457</v>
      </c>
      <c r="G1526" s="2185" t="s">
        <v>3526</v>
      </c>
      <c r="H1526" s="2333"/>
      <c r="I1526" s="2334"/>
      <c r="J1526" s="2185"/>
      <c r="K1526" s="2336"/>
      <c r="L1526" s="2335"/>
      <c r="M1526" s="1951"/>
      <c r="N1526" s="1962"/>
      <c r="O1526" s="1961">
        <v>51063</v>
      </c>
      <c r="P1526" s="1951">
        <v>53412</v>
      </c>
      <c r="Q1526" s="1960">
        <v>55869</v>
      </c>
    </row>
    <row r="1527" spans="1:17" ht="12.75" customHeight="1">
      <c r="A1527" s="2332" t="s">
        <v>3584</v>
      </c>
      <c r="B1527" s="2185" t="s">
        <v>3979</v>
      </c>
      <c r="C1527" s="2296" t="s">
        <v>3453</v>
      </c>
      <c r="D1527" s="2296"/>
      <c r="E1527" s="2333" t="s">
        <v>3525</v>
      </c>
      <c r="F1527" s="2333" t="s">
        <v>3457</v>
      </c>
      <c r="G1527" s="2185" t="s">
        <v>3526</v>
      </c>
      <c r="H1527" s="2333"/>
      <c r="I1527" s="2334"/>
      <c r="J1527" s="2185"/>
      <c r="K1527" s="2336"/>
      <c r="L1527" s="2335"/>
      <c r="M1527" s="1951"/>
      <c r="N1527" s="1962"/>
      <c r="O1527" s="1961">
        <v>1592</v>
      </c>
      <c r="P1527" s="1951">
        <v>1666</v>
      </c>
      <c r="Q1527" s="1960">
        <v>1742</v>
      </c>
    </row>
    <row r="1528" spans="1:17" ht="12.75" customHeight="1">
      <c r="A1528" s="2332" t="s">
        <v>3506</v>
      </c>
      <c r="B1528" s="2185" t="s">
        <v>3980</v>
      </c>
      <c r="C1528" s="2296" t="s">
        <v>3453</v>
      </c>
      <c r="D1528" s="2296"/>
      <c r="E1528" s="2333" t="s">
        <v>3525</v>
      </c>
      <c r="F1528" s="2333" t="s">
        <v>3457</v>
      </c>
      <c r="G1528" s="2185" t="s">
        <v>3526</v>
      </c>
      <c r="H1528" s="2333"/>
      <c r="I1528" s="2334"/>
      <c r="J1528" s="2185"/>
      <c r="K1528" s="2336"/>
      <c r="L1528" s="2335"/>
      <c r="M1528" s="1951"/>
      <c r="N1528" s="1962"/>
      <c r="O1528" s="1961">
        <v>107842</v>
      </c>
      <c r="P1528" s="1951">
        <v>112803</v>
      </c>
      <c r="Q1528" s="1960">
        <v>117992</v>
      </c>
    </row>
    <row r="1529" spans="1:17" ht="12.75" customHeight="1">
      <c r="A1529" s="2332" t="s">
        <v>3464</v>
      </c>
      <c r="B1529" s="2185" t="s">
        <v>3489</v>
      </c>
      <c r="C1529" s="2296" t="s">
        <v>3453</v>
      </c>
      <c r="D1529" s="2296"/>
      <c r="E1529" s="2333" t="s">
        <v>3525</v>
      </c>
      <c r="F1529" s="2333" t="s">
        <v>3457</v>
      </c>
      <c r="G1529" s="2185" t="s">
        <v>3526</v>
      </c>
      <c r="H1529" s="2333"/>
      <c r="I1529" s="2334"/>
      <c r="J1529" s="2185"/>
      <c r="K1529" s="2336"/>
      <c r="L1529" s="2335"/>
      <c r="M1529" s="1951"/>
      <c r="N1529" s="1962"/>
      <c r="O1529" s="1961">
        <v>24869</v>
      </c>
      <c r="P1529" s="1951">
        <v>26014</v>
      </c>
      <c r="Q1529" s="1960">
        <v>27210</v>
      </c>
    </row>
    <row r="1530" spans="1:17" ht="12.75" customHeight="1">
      <c r="A1530" s="2332" t="s">
        <v>3538</v>
      </c>
      <c r="B1530" s="2185" t="s">
        <v>3678</v>
      </c>
      <c r="C1530" s="2296" t="s">
        <v>3453</v>
      </c>
      <c r="D1530" s="2296"/>
      <c r="E1530" s="2333" t="s">
        <v>3525</v>
      </c>
      <c r="F1530" s="2333" t="s">
        <v>3457</v>
      </c>
      <c r="G1530" s="2185" t="s">
        <v>3526</v>
      </c>
      <c r="H1530" s="2333"/>
      <c r="I1530" s="2334"/>
      <c r="J1530" s="2185"/>
      <c r="K1530" s="2336"/>
      <c r="L1530" s="2335"/>
      <c r="M1530" s="1951"/>
      <c r="N1530" s="1962"/>
      <c r="O1530" s="1961">
        <v>135000</v>
      </c>
      <c r="P1530" s="1951">
        <v>141210</v>
      </c>
      <c r="Q1530" s="1960">
        <v>147706</v>
      </c>
    </row>
    <row r="1531" spans="1:17" ht="12.75" customHeight="1">
      <c r="A1531" s="2332" t="s">
        <v>3543</v>
      </c>
      <c r="B1531" s="2185" t="s">
        <v>3740</v>
      </c>
      <c r="C1531" s="2296" t="s">
        <v>3453</v>
      </c>
      <c r="D1531" s="2296"/>
      <c r="E1531" s="2333" t="s">
        <v>3525</v>
      </c>
      <c r="F1531" s="2333" t="s">
        <v>3457</v>
      </c>
      <c r="G1531" s="2185" t="s">
        <v>3526</v>
      </c>
      <c r="H1531" s="2333"/>
      <c r="I1531" s="2334"/>
      <c r="J1531" s="2185"/>
      <c r="K1531" s="2336"/>
      <c r="L1531" s="2335"/>
      <c r="M1531" s="1951"/>
      <c r="N1531" s="1962"/>
      <c r="O1531" s="1961">
        <v>9458</v>
      </c>
      <c r="P1531" s="1951">
        <v>9894</v>
      </c>
      <c r="Q1531" s="1960">
        <v>10349</v>
      </c>
    </row>
    <row r="1532" spans="1:17" ht="12.75" customHeight="1">
      <c r="A1532" s="2332" t="s">
        <v>3454</v>
      </c>
      <c r="B1532" s="2185" t="s">
        <v>3675</v>
      </c>
      <c r="C1532" s="2296" t="s">
        <v>3453</v>
      </c>
      <c r="D1532" s="2296"/>
      <c r="E1532" s="2333" t="s">
        <v>3525</v>
      </c>
      <c r="F1532" s="2333" t="s">
        <v>3457</v>
      </c>
      <c r="G1532" s="2185" t="s">
        <v>3526</v>
      </c>
      <c r="H1532" s="2333"/>
      <c r="I1532" s="2334"/>
      <c r="J1532" s="2185"/>
      <c r="K1532" s="2336"/>
      <c r="L1532" s="2335"/>
      <c r="M1532" s="1951"/>
      <c r="N1532" s="1962"/>
      <c r="O1532" s="1961">
        <v>2344</v>
      </c>
      <c r="P1532" s="1951">
        <v>2452</v>
      </c>
      <c r="Q1532" s="1960">
        <v>2565</v>
      </c>
    </row>
    <row r="1533" spans="1:17" ht="12.75" customHeight="1">
      <c r="A1533" s="2332" t="s">
        <v>3490</v>
      </c>
      <c r="B1533" s="2185" t="s">
        <v>3586</v>
      </c>
      <c r="C1533" s="2296" t="s">
        <v>3453</v>
      </c>
      <c r="D1533" s="2296"/>
      <c r="E1533" s="2333" t="s">
        <v>3525</v>
      </c>
      <c r="F1533" s="2333" t="s">
        <v>3457</v>
      </c>
      <c r="G1533" s="2185" t="s">
        <v>3526</v>
      </c>
      <c r="H1533" s="2333"/>
      <c r="I1533" s="2334"/>
      <c r="J1533" s="2185"/>
      <c r="K1533" s="2336"/>
      <c r="L1533" s="2335"/>
      <c r="M1533" s="1951"/>
      <c r="N1533" s="1962"/>
      <c r="O1533" s="1961">
        <v>641444</v>
      </c>
      <c r="P1533" s="1951">
        <v>670951</v>
      </c>
      <c r="Q1533" s="1960">
        <v>701815</v>
      </c>
    </row>
    <row r="1534" spans="1:17" ht="12.75" customHeight="1">
      <c r="A1534" s="2332" t="s">
        <v>3459</v>
      </c>
      <c r="B1534" s="2185" t="s">
        <v>3654</v>
      </c>
      <c r="C1534" s="2296" t="s">
        <v>3453</v>
      </c>
      <c r="D1534" s="2296"/>
      <c r="E1534" s="2333" t="s">
        <v>3525</v>
      </c>
      <c r="F1534" s="2333" t="s">
        <v>3457</v>
      </c>
      <c r="G1534" s="2185" t="s">
        <v>3526</v>
      </c>
      <c r="H1534" s="2333"/>
      <c r="I1534" s="2334"/>
      <c r="J1534" s="2185"/>
      <c r="K1534" s="2336"/>
      <c r="L1534" s="2335"/>
      <c r="M1534" s="1951"/>
      <c r="N1534" s="1962"/>
      <c r="O1534" s="1961">
        <v>800000</v>
      </c>
      <c r="P1534" s="1951">
        <v>836800</v>
      </c>
      <c r="Q1534" s="1960">
        <v>875293</v>
      </c>
    </row>
    <row r="1535" spans="1:17" ht="12.75" customHeight="1">
      <c r="A1535" s="2332" t="s">
        <v>3485</v>
      </c>
      <c r="B1535" s="2185" t="s">
        <v>3486</v>
      </c>
      <c r="C1535" s="2296" t="s">
        <v>3453</v>
      </c>
      <c r="D1535" s="2296"/>
      <c r="E1535" s="2333" t="s">
        <v>3525</v>
      </c>
      <c r="F1535" s="2333" t="s">
        <v>3457</v>
      </c>
      <c r="G1535" s="2185" t="s">
        <v>3526</v>
      </c>
      <c r="H1535" s="2333"/>
      <c r="I1535" s="2334"/>
      <c r="J1535" s="2185"/>
      <c r="K1535" s="2336"/>
      <c r="L1535" s="2335"/>
      <c r="M1535" s="1951"/>
      <c r="N1535" s="1962"/>
      <c r="O1535" s="1961">
        <v>821002</v>
      </c>
      <c r="P1535" s="1951">
        <v>858769</v>
      </c>
      <c r="Q1535" s="1960">
        <v>898272</v>
      </c>
    </row>
    <row r="1536" spans="1:17" ht="12.75" customHeight="1">
      <c r="A1536" s="2332" t="s">
        <v>3572</v>
      </c>
      <c r="B1536" s="2185" t="s">
        <v>3573</v>
      </c>
      <c r="C1536" s="2296" t="s">
        <v>3453</v>
      </c>
      <c r="D1536" s="2296"/>
      <c r="E1536" s="2333" t="s">
        <v>3525</v>
      </c>
      <c r="F1536" s="2333" t="s">
        <v>3457</v>
      </c>
      <c r="G1536" s="2185" t="s">
        <v>3526</v>
      </c>
      <c r="H1536" s="2333"/>
      <c r="I1536" s="2334"/>
      <c r="J1536" s="2185"/>
      <c r="K1536" s="2336"/>
      <c r="L1536" s="2335"/>
      <c r="M1536" s="1951"/>
      <c r="N1536" s="1962"/>
      <c r="O1536" s="1961">
        <v>371773</v>
      </c>
      <c r="P1536" s="1951">
        <v>388875</v>
      </c>
      <c r="Q1536" s="1960">
        <v>406763</v>
      </c>
    </row>
    <row r="1537" spans="1:17" ht="12.75" customHeight="1">
      <c r="A1537" s="2332" t="s">
        <v>3451</v>
      </c>
      <c r="B1537" s="2185" t="s">
        <v>3452</v>
      </c>
      <c r="C1537" s="2296" t="s">
        <v>3453</v>
      </c>
      <c r="D1537" s="2296"/>
      <c r="E1537" s="2333" t="s">
        <v>3525</v>
      </c>
      <c r="F1537" s="2333" t="s">
        <v>3457</v>
      </c>
      <c r="G1537" s="2185" t="s">
        <v>3526</v>
      </c>
      <c r="H1537" s="2333"/>
      <c r="I1537" s="2334"/>
      <c r="J1537" s="2185"/>
      <c r="K1537" s="2336"/>
      <c r="L1537" s="2335"/>
      <c r="M1537" s="1951"/>
      <c r="N1537" s="1962"/>
      <c r="O1537" s="1961">
        <v>88065</v>
      </c>
      <c r="P1537" s="1951">
        <v>92116</v>
      </c>
      <c r="Q1537" s="1960">
        <v>96354</v>
      </c>
    </row>
    <row r="1538" spans="1:17" ht="12.75" customHeight="1">
      <c r="A1538" s="2332" t="s">
        <v>3485</v>
      </c>
      <c r="B1538" s="2185" t="s">
        <v>3505</v>
      </c>
      <c r="C1538" s="2296" t="s">
        <v>3453</v>
      </c>
      <c r="D1538" s="2296"/>
      <c r="E1538" s="2333" t="s">
        <v>3525</v>
      </c>
      <c r="F1538" s="2333" t="s">
        <v>3457</v>
      </c>
      <c r="G1538" s="2185" t="s">
        <v>3526</v>
      </c>
      <c r="H1538" s="2333"/>
      <c r="I1538" s="2334"/>
      <c r="J1538" s="2185"/>
      <c r="K1538" s="2336"/>
      <c r="L1538" s="2335"/>
      <c r="M1538" s="1951"/>
      <c r="N1538" s="1962"/>
      <c r="O1538" s="1961">
        <v>11084</v>
      </c>
      <c r="P1538" s="1951">
        <v>11594</v>
      </c>
      <c r="Q1538" s="1960">
        <v>12128</v>
      </c>
    </row>
    <row r="1539" spans="1:17" ht="12.75" customHeight="1">
      <c r="A1539" s="2332" t="s">
        <v>3454</v>
      </c>
      <c r="B1539" s="2185" t="s">
        <v>3675</v>
      </c>
      <c r="C1539" s="2296" t="s">
        <v>3453</v>
      </c>
      <c r="D1539" s="2296"/>
      <c r="E1539" s="2333" t="s">
        <v>3525</v>
      </c>
      <c r="F1539" s="2333" t="s">
        <v>3457</v>
      </c>
      <c r="G1539" s="2185" t="s">
        <v>3526</v>
      </c>
      <c r="H1539" s="2333"/>
      <c r="I1539" s="2334"/>
      <c r="J1539" s="2185"/>
      <c r="K1539" s="2336"/>
      <c r="L1539" s="2335"/>
      <c r="M1539" s="1951"/>
      <c r="N1539" s="1962"/>
      <c r="O1539" s="1961">
        <v>2000</v>
      </c>
      <c r="P1539" s="1951">
        <v>2000</v>
      </c>
      <c r="Q1539" s="1960">
        <v>2000</v>
      </c>
    </row>
    <row r="1540" spans="1:17" ht="12.75" customHeight="1">
      <c r="A1540" s="2332" t="s">
        <v>3558</v>
      </c>
      <c r="B1540" s="2185" t="s">
        <v>3696</v>
      </c>
      <c r="C1540" s="2296" t="s">
        <v>3453</v>
      </c>
      <c r="D1540" s="2296"/>
      <c r="E1540" s="2333" t="s">
        <v>3525</v>
      </c>
      <c r="F1540" s="2333" t="s">
        <v>3457</v>
      </c>
      <c r="G1540" s="2185" t="s">
        <v>3526</v>
      </c>
      <c r="H1540" s="2333"/>
      <c r="I1540" s="2334"/>
      <c r="J1540" s="2185"/>
      <c r="K1540" s="2336"/>
      <c r="L1540" s="2335"/>
      <c r="M1540" s="1951"/>
      <c r="N1540" s="1962"/>
      <c r="O1540" s="1961">
        <v>1521848</v>
      </c>
      <c r="P1540" s="1951">
        <v>1591854</v>
      </c>
      <c r="Q1540" s="1960">
        <v>1665079</v>
      </c>
    </row>
    <row r="1541" spans="1:17" ht="12.75" customHeight="1">
      <c r="A1541" s="2332" t="s">
        <v>3459</v>
      </c>
      <c r="B1541" s="2185" t="s">
        <v>3619</v>
      </c>
      <c r="C1541" s="2296" t="s">
        <v>3453</v>
      </c>
      <c r="D1541" s="2296"/>
      <c r="E1541" s="2333" t="s">
        <v>3525</v>
      </c>
      <c r="F1541" s="2333" t="s">
        <v>3457</v>
      </c>
      <c r="G1541" s="2185" t="s">
        <v>3526</v>
      </c>
      <c r="H1541" s="2333"/>
      <c r="I1541" s="2334"/>
      <c r="J1541" s="2185"/>
      <c r="K1541" s="2336"/>
      <c r="L1541" s="2335"/>
      <c r="M1541" s="1951"/>
      <c r="N1541" s="1962"/>
      <c r="O1541" s="1961">
        <v>0</v>
      </c>
      <c r="P1541" s="1951">
        <v>0</v>
      </c>
      <c r="Q1541" s="1960">
        <v>0</v>
      </c>
    </row>
    <row r="1542" spans="1:17" ht="12.75" customHeight="1">
      <c r="A1542" s="2332" t="s">
        <v>3451</v>
      </c>
      <c r="B1542" s="2185" t="s">
        <v>3671</v>
      </c>
      <c r="C1542" s="2296" t="s">
        <v>3453</v>
      </c>
      <c r="D1542" s="2296"/>
      <c r="E1542" s="2333" t="s">
        <v>3525</v>
      </c>
      <c r="F1542" s="2333" t="s">
        <v>3457</v>
      </c>
      <c r="G1542" s="2185" t="s">
        <v>3526</v>
      </c>
      <c r="H1542" s="2333"/>
      <c r="I1542" s="2334"/>
      <c r="J1542" s="2185"/>
      <c r="K1542" s="2336"/>
      <c r="L1542" s="2335"/>
      <c r="M1542" s="1951"/>
      <c r="N1542" s="1962"/>
      <c r="O1542" s="1961">
        <v>0</v>
      </c>
      <c r="P1542" s="1951">
        <v>0</v>
      </c>
      <c r="Q1542" s="1960">
        <v>0</v>
      </c>
    </row>
    <row r="1543" spans="1:17" ht="12.75" customHeight="1">
      <c r="A1543" s="2332" t="s">
        <v>3501</v>
      </c>
      <c r="B1543" s="2185" t="s">
        <v>3502</v>
      </c>
      <c r="C1543" s="2296" t="s">
        <v>3453</v>
      </c>
      <c r="D1543" s="2296"/>
      <c r="E1543" s="2333" t="s">
        <v>3525</v>
      </c>
      <c r="F1543" s="2333" t="s">
        <v>3457</v>
      </c>
      <c r="G1543" s="2185" t="s">
        <v>3526</v>
      </c>
      <c r="H1543" s="2333"/>
      <c r="I1543" s="2334"/>
      <c r="J1543" s="2185"/>
      <c r="K1543" s="2336"/>
      <c r="L1543" s="2335"/>
      <c r="M1543" s="1951"/>
      <c r="N1543" s="1962"/>
      <c r="O1543" s="1961">
        <v>124437</v>
      </c>
      <c r="P1543" s="1951">
        <v>130162</v>
      </c>
      <c r="Q1543" s="1960">
        <v>136149</v>
      </c>
    </row>
    <row r="1544" spans="1:17" ht="12.75" customHeight="1">
      <c r="A1544" s="2332" t="s">
        <v>3501</v>
      </c>
      <c r="B1544" s="2185" t="s">
        <v>3553</v>
      </c>
      <c r="C1544" s="2296" t="s">
        <v>3453</v>
      </c>
      <c r="D1544" s="2296"/>
      <c r="E1544" s="2333" t="s">
        <v>3525</v>
      </c>
      <c r="F1544" s="2333" t="s">
        <v>3457</v>
      </c>
      <c r="G1544" s="2185" t="s">
        <v>3526</v>
      </c>
      <c r="H1544" s="2333"/>
      <c r="I1544" s="2334"/>
      <c r="J1544" s="2185"/>
      <c r="K1544" s="2336"/>
      <c r="L1544" s="2335"/>
      <c r="M1544" s="1951"/>
      <c r="N1544" s="1962"/>
      <c r="O1544" s="1961">
        <v>161279</v>
      </c>
      <c r="P1544" s="1951">
        <v>168698</v>
      </c>
      <c r="Q1544" s="1960">
        <v>176458</v>
      </c>
    </row>
    <row r="1545" spans="1:17" ht="12.75" customHeight="1">
      <c r="A1545" s="2332" t="s">
        <v>3531</v>
      </c>
      <c r="B1545" s="2185" t="s">
        <v>3532</v>
      </c>
      <c r="C1545" s="2296" t="s">
        <v>3453</v>
      </c>
      <c r="D1545" s="2296"/>
      <c r="E1545" s="2333" t="s">
        <v>3525</v>
      </c>
      <c r="F1545" s="2333" t="s">
        <v>3457</v>
      </c>
      <c r="G1545" s="2185" t="s">
        <v>3526</v>
      </c>
      <c r="H1545" s="2333"/>
      <c r="I1545" s="2334"/>
      <c r="J1545" s="2185"/>
      <c r="K1545" s="2336"/>
      <c r="L1545" s="2335"/>
      <c r="M1545" s="1951"/>
      <c r="N1545" s="1962"/>
      <c r="O1545" s="1961">
        <v>0</v>
      </c>
      <c r="P1545" s="1951">
        <v>0</v>
      </c>
      <c r="Q1545" s="1960">
        <v>0</v>
      </c>
    </row>
    <row r="1546" spans="1:17" ht="12.75" customHeight="1">
      <c r="A1546" s="2332" t="s">
        <v>3490</v>
      </c>
      <c r="B1546" s="2185" t="s">
        <v>3493</v>
      </c>
      <c r="C1546" s="2296" t="s">
        <v>3453</v>
      </c>
      <c r="D1546" s="2296"/>
      <c r="E1546" s="2333" t="s">
        <v>3525</v>
      </c>
      <c r="F1546" s="2333" t="s">
        <v>3457</v>
      </c>
      <c r="G1546" s="2185" t="s">
        <v>3526</v>
      </c>
      <c r="H1546" s="2333"/>
      <c r="I1546" s="2334"/>
      <c r="J1546" s="2185"/>
      <c r="K1546" s="2336"/>
      <c r="L1546" s="2335"/>
      <c r="M1546" s="1951"/>
      <c r="N1546" s="1962"/>
      <c r="O1546" s="1961">
        <v>98212</v>
      </c>
      <c r="P1546" s="1951">
        <v>102730</v>
      </c>
      <c r="Q1546" s="1960">
        <v>107456</v>
      </c>
    </row>
    <row r="1547" spans="1:17" ht="12.75" customHeight="1">
      <c r="A1547" s="2332" t="s">
        <v>3490</v>
      </c>
      <c r="B1547" s="2185" t="s">
        <v>3607</v>
      </c>
      <c r="C1547" s="2296" t="s">
        <v>3453</v>
      </c>
      <c r="D1547" s="2296"/>
      <c r="E1547" s="2333" t="s">
        <v>3525</v>
      </c>
      <c r="F1547" s="2333" t="s">
        <v>3457</v>
      </c>
      <c r="G1547" s="2185" t="s">
        <v>3526</v>
      </c>
      <c r="H1547" s="2333"/>
      <c r="I1547" s="2334"/>
      <c r="J1547" s="2185"/>
      <c r="K1547" s="2336"/>
      <c r="L1547" s="2335"/>
      <c r="M1547" s="1951"/>
      <c r="N1547" s="1962"/>
      <c r="O1547" s="1961">
        <v>1624000</v>
      </c>
      <c r="P1547" s="1951">
        <v>1698704</v>
      </c>
      <c r="Q1547" s="1960">
        <v>1776845</v>
      </c>
    </row>
    <row r="1548" spans="1:17" ht="12.75" customHeight="1">
      <c r="A1548" s="2332" t="s">
        <v>3506</v>
      </c>
      <c r="B1548" s="2185" t="s">
        <v>3981</v>
      </c>
      <c r="C1548" s="2296" t="s">
        <v>3453</v>
      </c>
      <c r="D1548" s="2296"/>
      <c r="E1548" s="2333" t="s">
        <v>3525</v>
      </c>
      <c r="F1548" s="2333" t="s">
        <v>3457</v>
      </c>
      <c r="G1548" s="2185" t="s">
        <v>3526</v>
      </c>
      <c r="H1548" s="2333"/>
      <c r="I1548" s="2334"/>
      <c r="J1548" s="2185"/>
      <c r="K1548" s="2336"/>
      <c r="L1548" s="2335"/>
      <c r="M1548" s="1951"/>
      <c r="N1548" s="1962"/>
      <c r="O1548" s="1961">
        <v>0</v>
      </c>
      <c r="P1548" s="1951">
        <v>0</v>
      </c>
      <c r="Q1548" s="1960">
        <v>0</v>
      </c>
    </row>
    <row r="1549" spans="1:17" ht="12.75" customHeight="1">
      <c r="A1549" s="2332" t="s">
        <v>3523</v>
      </c>
      <c r="B1549" s="2185" t="s">
        <v>3982</v>
      </c>
      <c r="C1549" s="2296" t="s">
        <v>3453</v>
      </c>
      <c r="D1549" s="2296"/>
      <c r="E1549" s="2333" t="s">
        <v>3525</v>
      </c>
      <c r="F1549" s="2333" t="s">
        <v>3457</v>
      </c>
      <c r="G1549" s="2185" t="s">
        <v>3526</v>
      </c>
      <c r="H1549" s="2333"/>
      <c r="I1549" s="2334"/>
      <c r="J1549" s="2185"/>
      <c r="K1549" s="2336"/>
      <c r="L1549" s="2335"/>
      <c r="M1549" s="1951"/>
      <c r="N1549" s="1962"/>
      <c r="O1549" s="1961">
        <v>730711</v>
      </c>
      <c r="P1549" s="1951">
        <v>730711</v>
      </c>
      <c r="Q1549" s="1960">
        <v>764324</v>
      </c>
    </row>
    <row r="1550" spans="1:17" ht="12.75" customHeight="1">
      <c r="A1550" s="2332" t="s">
        <v>3464</v>
      </c>
      <c r="B1550" s="2185" t="s">
        <v>3605</v>
      </c>
      <c r="C1550" s="2296" t="s">
        <v>3453</v>
      </c>
      <c r="D1550" s="2296"/>
      <c r="E1550" s="2333" t="s">
        <v>3525</v>
      </c>
      <c r="F1550" s="2333" t="s">
        <v>3457</v>
      </c>
      <c r="G1550" s="2185" t="s">
        <v>3526</v>
      </c>
      <c r="H1550" s="2333"/>
      <c r="I1550" s="2334"/>
      <c r="J1550" s="2185"/>
      <c r="K1550" s="2336"/>
      <c r="L1550" s="2335"/>
      <c r="M1550" s="1951"/>
      <c r="N1550" s="1962"/>
      <c r="O1550" s="1961">
        <v>25704</v>
      </c>
      <c r="P1550" s="1951">
        <v>26887</v>
      </c>
      <c r="Q1550" s="1960">
        <v>28124</v>
      </c>
    </row>
    <row r="1551" spans="1:17" ht="12.75" customHeight="1">
      <c r="A1551" s="2332" t="s">
        <v>3473</v>
      </c>
      <c r="B1551" s="2185" t="s">
        <v>3983</v>
      </c>
      <c r="C1551" s="2296" t="s">
        <v>3453</v>
      </c>
      <c r="D1551" s="2296"/>
      <c r="E1551" s="2333" t="s">
        <v>3525</v>
      </c>
      <c r="F1551" s="2333" t="s">
        <v>3457</v>
      </c>
      <c r="G1551" s="2185" t="s">
        <v>3526</v>
      </c>
      <c r="H1551" s="2333"/>
      <c r="I1551" s="2334"/>
      <c r="J1551" s="2185"/>
      <c r="K1551" s="2336"/>
      <c r="L1551" s="2335"/>
      <c r="M1551" s="1951"/>
      <c r="N1551" s="1962"/>
      <c r="O1551" s="1961">
        <v>59491</v>
      </c>
      <c r="P1551" s="1951">
        <v>59491</v>
      </c>
      <c r="Q1551" s="1960">
        <v>62228</v>
      </c>
    </row>
    <row r="1552" spans="1:17" ht="12.75" customHeight="1">
      <c r="A1552" s="2332" t="s">
        <v>3508</v>
      </c>
      <c r="B1552" s="2185" t="s">
        <v>3681</v>
      </c>
      <c r="C1552" s="2296" t="s">
        <v>3453</v>
      </c>
      <c r="D1552" s="2296"/>
      <c r="E1552" s="2333" t="s">
        <v>3525</v>
      </c>
      <c r="F1552" s="2333" t="s">
        <v>3457</v>
      </c>
      <c r="G1552" s="2185" t="s">
        <v>3526</v>
      </c>
      <c r="H1552" s="2333"/>
      <c r="I1552" s="2334"/>
      <c r="J1552" s="2185"/>
      <c r="K1552" s="2336"/>
      <c r="L1552" s="2335"/>
      <c r="M1552" s="1951"/>
      <c r="N1552" s="1962"/>
      <c r="O1552" s="1961">
        <v>72171</v>
      </c>
      <c r="P1552" s="1951">
        <v>75491</v>
      </c>
      <c r="Q1552" s="1960">
        <v>78964</v>
      </c>
    </row>
    <row r="1553" spans="1:17" ht="12.75" customHeight="1">
      <c r="A1553" s="2332" t="s">
        <v>3464</v>
      </c>
      <c r="B1553" s="2185" t="s">
        <v>3665</v>
      </c>
      <c r="C1553" s="2296" t="s">
        <v>3453</v>
      </c>
      <c r="D1553" s="2296"/>
      <c r="E1553" s="2333" t="s">
        <v>3525</v>
      </c>
      <c r="F1553" s="2333" t="s">
        <v>3457</v>
      </c>
      <c r="G1553" s="2185" t="s">
        <v>3526</v>
      </c>
      <c r="H1553" s="2333"/>
      <c r="I1553" s="2334"/>
      <c r="J1553" s="2185"/>
      <c r="K1553" s="2336"/>
      <c r="L1553" s="2335"/>
      <c r="M1553" s="1951"/>
      <c r="N1553" s="1962"/>
      <c r="O1553" s="1961">
        <v>2000</v>
      </c>
      <c r="P1553" s="1951">
        <v>2000</v>
      </c>
      <c r="Q1553" s="1960">
        <v>2000</v>
      </c>
    </row>
    <row r="1554" spans="1:17" ht="12.75" customHeight="1">
      <c r="A1554" s="2332" t="s">
        <v>3541</v>
      </c>
      <c r="B1554" s="2185" t="s">
        <v>3606</v>
      </c>
      <c r="C1554" s="2296" t="s">
        <v>3453</v>
      </c>
      <c r="D1554" s="2296"/>
      <c r="E1554" s="2333" t="s">
        <v>3525</v>
      </c>
      <c r="F1554" s="2333" t="s">
        <v>3457</v>
      </c>
      <c r="G1554" s="2185" t="s">
        <v>3526</v>
      </c>
      <c r="H1554" s="2333"/>
      <c r="I1554" s="2334"/>
      <c r="J1554" s="2185"/>
      <c r="K1554" s="2336"/>
      <c r="L1554" s="2335"/>
      <c r="M1554" s="1951"/>
      <c r="N1554" s="1962"/>
      <c r="O1554" s="1961">
        <v>48188</v>
      </c>
      <c r="P1554" s="1951">
        <v>50405</v>
      </c>
      <c r="Q1554" s="1960">
        <v>52724</v>
      </c>
    </row>
    <row r="1555" spans="1:17" ht="12.75" customHeight="1">
      <c r="A1555" s="2332" t="s">
        <v>3499</v>
      </c>
      <c r="B1555" s="2185" t="s">
        <v>3592</v>
      </c>
      <c r="C1555" s="2296" t="s">
        <v>3453</v>
      </c>
      <c r="D1555" s="2296"/>
      <c r="E1555" s="2333" t="s">
        <v>3525</v>
      </c>
      <c r="F1555" s="2333" t="s">
        <v>3457</v>
      </c>
      <c r="G1555" s="2185" t="s">
        <v>3526</v>
      </c>
      <c r="H1555" s="2333"/>
      <c r="I1555" s="2334"/>
      <c r="J1555" s="2185"/>
      <c r="K1555" s="2336"/>
      <c r="L1555" s="2335"/>
      <c r="M1555" s="1951"/>
      <c r="N1555" s="1962"/>
      <c r="O1555" s="1961">
        <v>387</v>
      </c>
      <c r="P1555" s="1951">
        <v>405</v>
      </c>
      <c r="Q1555" s="1960">
        <v>424</v>
      </c>
    </row>
    <row r="1556" spans="1:17" ht="12.75" customHeight="1">
      <c r="A1556" s="2332" t="s">
        <v>3470</v>
      </c>
      <c r="B1556" s="2185" t="s">
        <v>3984</v>
      </c>
      <c r="C1556" s="2296" t="s">
        <v>3453</v>
      </c>
      <c r="D1556" s="2296"/>
      <c r="E1556" s="2333" t="s">
        <v>3525</v>
      </c>
      <c r="F1556" s="2333" t="s">
        <v>3457</v>
      </c>
      <c r="G1556" s="2185" t="s">
        <v>3526</v>
      </c>
      <c r="H1556" s="2333"/>
      <c r="I1556" s="2334"/>
      <c r="J1556" s="2185"/>
      <c r="K1556" s="2336"/>
      <c r="L1556" s="2335"/>
      <c r="M1556" s="1951"/>
      <c r="N1556" s="1962"/>
      <c r="O1556" s="1961">
        <v>3500</v>
      </c>
      <c r="P1556" s="1951">
        <v>3661</v>
      </c>
      <c r="Q1556" s="1960">
        <v>3830</v>
      </c>
    </row>
    <row r="1557" spans="1:17" ht="12.75" customHeight="1">
      <c r="A1557" s="2332" t="s">
        <v>3531</v>
      </c>
      <c r="B1557" s="2185" t="s">
        <v>3532</v>
      </c>
      <c r="C1557" s="2296" t="s">
        <v>3453</v>
      </c>
      <c r="D1557" s="2296"/>
      <c r="E1557" s="2333" t="s">
        <v>3525</v>
      </c>
      <c r="F1557" s="2333" t="s">
        <v>3457</v>
      </c>
      <c r="G1557" s="2185" t="s">
        <v>3526</v>
      </c>
      <c r="H1557" s="2333"/>
      <c r="I1557" s="2334"/>
      <c r="J1557" s="2185"/>
      <c r="K1557" s="2336"/>
      <c r="L1557" s="2335"/>
      <c r="M1557" s="1951"/>
      <c r="N1557" s="1962"/>
      <c r="O1557" s="1961">
        <v>0</v>
      </c>
      <c r="P1557" s="1951">
        <v>0</v>
      </c>
      <c r="Q1557" s="1960">
        <v>0</v>
      </c>
    </row>
    <row r="1558" spans="1:17" ht="12.75" customHeight="1">
      <c r="A1558" s="2332" t="s">
        <v>3485</v>
      </c>
      <c r="B1558" s="2185" t="s">
        <v>3486</v>
      </c>
      <c r="C1558" s="2296" t="s">
        <v>3453</v>
      </c>
      <c r="D1558" s="2296"/>
      <c r="E1558" s="2333" t="s">
        <v>3525</v>
      </c>
      <c r="F1558" s="2333" t="s">
        <v>3457</v>
      </c>
      <c r="G1558" s="2185" t="s">
        <v>3526</v>
      </c>
      <c r="H1558" s="2333"/>
      <c r="I1558" s="2334"/>
      <c r="J1558" s="2185"/>
      <c r="K1558" s="2336"/>
      <c r="L1558" s="2335"/>
      <c r="M1558" s="1951"/>
      <c r="N1558" s="1962"/>
      <c r="O1558" s="1961">
        <v>730181</v>
      </c>
      <c r="P1558" s="1951">
        <v>763770</v>
      </c>
      <c r="Q1558" s="1960">
        <v>798903</v>
      </c>
    </row>
    <row r="1559" spans="1:17" ht="12.75" customHeight="1">
      <c r="A1559" s="2332" t="s">
        <v>3459</v>
      </c>
      <c r="B1559" s="2185" t="s">
        <v>3460</v>
      </c>
      <c r="C1559" s="2296" t="s">
        <v>3453</v>
      </c>
      <c r="D1559" s="2296"/>
      <c r="E1559" s="2333" t="s">
        <v>3525</v>
      </c>
      <c r="F1559" s="2333" t="s">
        <v>3457</v>
      </c>
      <c r="G1559" s="2185" t="s">
        <v>3526</v>
      </c>
      <c r="H1559" s="2333"/>
      <c r="I1559" s="2334"/>
      <c r="J1559" s="2185"/>
      <c r="K1559" s="2336"/>
      <c r="L1559" s="2335"/>
      <c r="M1559" s="1951"/>
      <c r="N1559" s="1962"/>
      <c r="O1559" s="1961">
        <v>11667</v>
      </c>
      <c r="P1559" s="1951">
        <v>12204</v>
      </c>
      <c r="Q1559" s="1960">
        <v>12766</v>
      </c>
    </row>
    <row r="1560" spans="1:17" ht="12.75" customHeight="1">
      <c r="A1560" s="2332" t="s">
        <v>3485</v>
      </c>
      <c r="B1560" s="2185" t="s">
        <v>3985</v>
      </c>
      <c r="C1560" s="2296" t="s">
        <v>3453</v>
      </c>
      <c r="D1560" s="2296"/>
      <c r="E1560" s="2333" t="s">
        <v>3525</v>
      </c>
      <c r="F1560" s="2333" t="s">
        <v>3457</v>
      </c>
      <c r="G1560" s="2185" t="s">
        <v>3526</v>
      </c>
      <c r="H1560" s="2333"/>
      <c r="I1560" s="2334"/>
      <c r="J1560" s="2185"/>
      <c r="K1560" s="2336"/>
      <c r="L1560" s="2335"/>
      <c r="M1560" s="1951"/>
      <c r="N1560" s="1962"/>
      <c r="O1560" s="1961">
        <v>20782</v>
      </c>
      <c r="P1560" s="1951">
        <v>21738</v>
      </c>
      <c r="Q1560" s="1960">
        <v>22738</v>
      </c>
    </row>
    <row r="1561" spans="1:17" ht="12.75" customHeight="1">
      <c r="A1561" s="2332" t="s">
        <v>3459</v>
      </c>
      <c r="B1561" s="2185" t="s">
        <v>3680</v>
      </c>
      <c r="C1561" s="2296" t="s">
        <v>3453</v>
      </c>
      <c r="D1561" s="2296"/>
      <c r="E1561" s="2333" t="s">
        <v>3525</v>
      </c>
      <c r="F1561" s="2333" t="s">
        <v>3457</v>
      </c>
      <c r="G1561" s="2185" t="s">
        <v>3526</v>
      </c>
      <c r="H1561" s="2333"/>
      <c r="I1561" s="2334"/>
      <c r="J1561" s="2185"/>
      <c r="K1561" s="2336"/>
      <c r="L1561" s="2335"/>
      <c r="M1561" s="1951"/>
      <c r="N1561" s="1962"/>
      <c r="O1561" s="1961">
        <v>30000</v>
      </c>
      <c r="P1561" s="1951">
        <v>31380</v>
      </c>
      <c r="Q1561" s="1960">
        <v>32824</v>
      </c>
    </row>
    <row r="1562" spans="1:17" ht="12.75" customHeight="1">
      <c r="A1562" s="2332" t="s">
        <v>3565</v>
      </c>
      <c r="B1562" s="2185" t="s">
        <v>3986</v>
      </c>
      <c r="C1562" s="2296" t="s">
        <v>3453</v>
      </c>
      <c r="D1562" s="2296"/>
      <c r="E1562" s="2333" t="s">
        <v>3525</v>
      </c>
      <c r="F1562" s="2333" t="s">
        <v>3457</v>
      </c>
      <c r="G1562" s="2185" t="s">
        <v>3526</v>
      </c>
      <c r="H1562" s="2333"/>
      <c r="I1562" s="2334"/>
      <c r="J1562" s="2185"/>
      <c r="K1562" s="2336"/>
      <c r="L1562" s="2335"/>
      <c r="M1562" s="1951"/>
      <c r="N1562" s="1962"/>
      <c r="O1562" s="1961">
        <v>27450</v>
      </c>
      <c r="P1562" s="1951">
        <v>28713</v>
      </c>
      <c r="Q1562" s="1960">
        <v>30034</v>
      </c>
    </row>
    <row r="1563" spans="1:17" ht="12.75" customHeight="1">
      <c r="A1563" s="2332" t="s">
        <v>3459</v>
      </c>
      <c r="B1563" s="2185" t="s">
        <v>3987</v>
      </c>
      <c r="C1563" s="2296" t="s">
        <v>3453</v>
      </c>
      <c r="D1563" s="2296"/>
      <c r="E1563" s="2333" t="s">
        <v>3525</v>
      </c>
      <c r="F1563" s="2333" t="s">
        <v>3457</v>
      </c>
      <c r="G1563" s="2185" t="s">
        <v>3526</v>
      </c>
      <c r="H1563" s="2333"/>
      <c r="I1563" s="2334"/>
      <c r="J1563" s="2185"/>
      <c r="K1563" s="2336"/>
      <c r="L1563" s="2335"/>
      <c r="M1563" s="1951"/>
      <c r="N1563" s="1962"/>
      <c r="O1563" s="1961">
        <v>20000</v>
      </c>
      <c r="P1563" s="1951">
        <v>20920</v>
      </c>
      <c r="Q1563" s="1960">
        <v>21883</v>
      </c>
    </row>
    <row r="1564" spans="1:17" ht="12.75" customHeight="1">
      <c r="A1564" s="2332" t="s">
        <v>3454</v>
      </c>
      <c r="B1564" s="2185" t="s">
        <v>3545</v>
      </c>
      <c r="C1564" s="2296" t="s">
        <v>3453</v>
      </c>
      <c r="D1564" s="2296"/>
      <c r="E1564" s="2333" t="s">
        <v>3525</v>
      </c>
      <c r="F1564" s="2333" t="s">
        <v>3457</v>
      </c>
      <c r="G1564" s="2185" t="s">
        <v>3526</v>
      </c>
      <c r="H1564" s="2333"/>
      <c r="I1564" s="2334"/>
      <c r="J1564" s="2185"/>
      <c r="K1564" s="2336"/>
      <c r="L1564" s="2335"/>
      <c r="M1564" s="1951"/>
      <c r="N1564" s="1962"/>
      <c r="O1564" s="1961">
        <v>0</v>
      </c>
      <c r="P1564" s="1951">
        <v>0</v>
      </c>
      <c r="Q1564" s="1960">
        <v>0</v>
      </c>
    </row>
    <row r="1565" spans="1:17" ht="12.75" customHeight="1">
      <c r="A1565" s="2332" t="s">
        <v>3543</v>
      </c>
      <c r="B1565" s="2185" t="s">
        <v>3988</v>
      </c>
      <c r="C1565" s="2296" t="s">
        <v>3453</v>
      </c>
      <c r="D1565" s="2296"/>
      <c r="E1565" s="2333" t="s">
        <v>3525</v>
      </c>
      <c r="F1565" s="2333" t="s">
        <v>3457</v>
      </c>
      <c r="G1565" s="2185" t="s">
        <v>3526</v>
      </c>
      <c r="H1565" s="2333"/>
      <c r="I1565" s="2334"/>
      <c r="J1565" s="2185"/>
      <c r="K1565" s="2336"/>
      <c r="L1565" s="2335"/>
      <c r="M1565" s="1951"/>
      <c r="N1565" s="1962"/>
      <c r="O1565" s="1961">
        <v>2579</v>
      </c>
      <c r="P1565" s="1951">
        <v>2698</v>
      </c>
      <c r="Q1565" s="1960">
        <v>2822</v>
      </c>
    </row>
    <row r="1566" spans="1:17" ht="12.75" customHeight="1">
      <c r="A1566" s="2332" t="s">
        <v>3490</v>
      </c>
      <c r="B1566" s="2185" t="s">
        <v>3989</v>
      </c>
      <c r="C1566" s="2296" t="s">
        <v>3453</v>
      </c>
      <c r="D1566" s="2296"/>
      <c r="E1566" s="2333" t="s">
        <v>3525</v>
      </c>
      <c r="F1566" s="2333" t="s">
        <v>3457</v>
      </c>
      <c r="G1566" s="2185" t="s">
        <v>3526</v>
      </c>
      <c r="H1566" s="2333"/>
      <c r="I1566" s="2334"/>
      <c r="J1566" s="2185"/>
      <c r="K1566" s="2336"/>
      <c r="L1566" s="2335"/>
      <c r="M1566" s="1951"/>
      <c r="N1566" s="1962"/>
      <c r="O1566" s="1961">
        <v>554120</v>
      </c>
      <c r="P1566" s="1951">
        <v>579610</v>
      </c>
      <c r="Q1566" s="1960">
        <v>606272</v>
      </c>
    </row>
    <row r="1567" spans="1:17" ht="12.75" customHeight="1">
      <c r="A1567" s="2332" t="s">
        <v>3483</v>
      </c>
      <c r="B1567" s="2185" t="s">
        <v>3583</v>
      </c>
      <c r="C1567" s="2296" t="s">
        <v>3453</v>
      </c>
      <c r="D1567" s="2296"/>
      <c r="E1567" s="2333" t="s">
        <v>3525</v>
      </c>
      <c r="F1567" s="2333" t="s">
        <v>3457</v>
      </c>
      <c r="G1567" s="2185" t="s">
        <v>3526</v>
      </c>
      <c r="H1567" s="2333"/>
      <c r="I1567" s="2334"/>
      <c r="J1567" s="2185"/>
      <c r="K1567" s="2336"/>
      <c r="L1567" s="2335"/>
      <c r="M1567" s="1951"/>
      <c r="N1567" s="1962"/>
      <c r="O1567" s="1961">
        <v>120000</v>
      </c>
      <c r="P1567" s="1951">
        <v>125520</v>
      </c>
      <c r="Q1567" s="1960">
        <v>131294</v>
      </c>
    </row>
    <row r="1568" spans="1:17" ht="12.75" customHeight="1">
      <c r="A1568" s="2332" t="s">
        <v>3479</v>
      </c>
      <c r="B1568" s="2185" t="s">
        <v>3516</v>
      </c>
      <c r="C1568" s="2296" t="s">
        <v>3453</v>
      </c>
      <c r="D1568" s="2296"/>
      <c r="E1568" s="2333" t="s">
        <v>3525</v>
      </c>
      <c r="F1568" s="2333" t="s">
        <v>3457</v>
      </c>
      <c r="G1568" s="2185" t="s">
        <v>3526</v>
      </c>
      <c r="H1568" s="2333"/>
      <c r="I1568" s="2334"/>
      <c r="J1568" s="2185"/>
      <c r="K1568" s="2336"/>
      <c r="L1568" s="2335"/>
      <c r="M1568" s="1951"/>
      <c r="N1568" s="1962"/>
      <c r="O1568" s="1961">
        <v>0</v>
      </c>
      <c r="P1568" s="1951">
        <v>0</v>
      </c>
      <c r="Q1568" s="1960">
        <v>0</v>
      </c>
    </row>
    <row r="1569" spans="1:17" ht="12.75" customHeight="1">
      <c r="A1569" s="2332" t="s">
        <v>3536</v>
      </c>
      <c r="B1569" s="2185" t="s">
        <v>3537</v>
      </c>
      <c r="C1569" s="2296" t="s">
        <v>3453</v>
      </c>
      <c r="D1569" s="2296"/>
      <c r="E1569" s="2333" t="s">
        <v>3525</v>
      </c>
      <c r="F1569" s="2333" t="s">
        <v>3457</v>
      </c>
      <c r="G1569" s="2185" t="s">
        <v>3526</v>
      </c>
      <c r="H1569" s="2333"/>
      <c r="I1569" s="2334"/>
      <c r="J1569" s="2185"/>
      <c r="K1569" s="2336"/>
      <c r="L1569" s="2335"/>
      <c r="M1569" s="1951"/>
      <c r="N1569" s="1962"/>
      <c r="O1569" s="1961">
        <v>212738</v>
      </c>
      <c r="P1569" s="1951">
        <v>222524</v>
      </c>
      <c r="Q1569" s="1960">
        <v>232761</v>
      </c>
    </row>
    <row r="1570" spans="1:17" ht="12.75" customHeight="1">
      <c r="A1570" s="2332" t="s">
        <v>3459</v>
      </c>
      <c r="B1570" s="2185" t="s">
        <v>3460</v>
      </c>
      <c r="C1570" s="2296" t="s">
        <v>3453</v>
      </c>
      <c r="D1570" s="2296"/>
      <c r="E1570" s="2333" t="s">
        <v>3525</v>
      </c>
      <c r="F1570" s="2333" t="s">
        <v>3457</v>
      </c>
      <c r="G1570" s="2185" t="s">
        <v>3526</v>
      </c>
      <c r="H1570" s="2333"/>
      <c r="I1570" s="2334"/>
      <c r="J1570" s="2185"/>
      <c r="K1570" s="2336"/>
      <c r="L1570" s="2335"/>
      <c r="M1570" s="1951"/>
      <c r="N1570" s="1962"/>
      <c r="O1570" s="1961">
        <v>141141</v>
      </c>
      <c r="P1570" s="1951">
        <v>147634</v>
      </c>
      <c r="Q1570" s="1960">
        <v>154425</v>
      </c>
    </row>
    <row r="1571" spans="1:17" ht="12.75" customHeight="1">
      <c r="A1571" s="2332" t="s">
        <v>3531</v>
      </c>
      <c r="B1571" s="2185" t="s">
        <v>3697</v>
      </c>
      <c r="C1571" s="2296" t="s">
        <v>3453</v>
      </c>
      <c r="D1571" s="2296"/>
      <c r="E1571" s="2333" t="s">
        <v>3525</v>
      </c>
      <c r="F1571" s="2333" t="s">
        <v>3457</v>
      </c>
      <c r="G1571" s="2185" t="s">
        <v>3526</v>
      </c>
      <c r="H1571" s="2333"/>
      <c r="I1571" s="2334"/>
      <c r="J1571" s="2185"/>
      <c r="K1571" s="2336"/>
      <c r="L1571" s="2335"/>
      <c r="M1571" s="1951"/>
      <c r="N1571" s="1962"/>
      <c r="O1571" s="1961">
        <v>3856</v>
      </c>
      <c r="P1571" s="1951">
        <v>4064</v>
      </c>
      <c r="Q1571" s="1960">
        <v>4283</v>
      </c>
    </row>
    <row r="1572" spans="1:17" ht="12.75" customHeight="1">
      <c r="A1572" s="2332" t="s">
        <v>3490</v>
      </c>
      <c r="B1572" s="2185" t="s">
        <v>3586</v>
      </c>
      <c r="C1572" s="2296" t="s">
        <v>3453</v>
      </c>
      <c r="D1572" s="2296"/>
      <c r="E1572" s="2333" t="s">
        <v>3525</v>
      </c>
      <c r="F1572" s="2333" t="s">
        <v>3457</v>
      </c>
      <c r="G1572" s="2185" t="s">
        <v>3526</v>
      </c>
      <c r="H1572" s="2333"/>
      <c r="I1572" s="2334"/>
      <c r="J1572" s="2185"/>
      <c r="K1572" s="2336"/>
      <c r="L1572" s="2335"/>
      <c r="M1572" s="1951"/>
      <c r="N1572" s="1962"/>
      <c r="O1572" s="1961">
        <v>1397779</v>
      </c>
      <c r="P1572" s="1951">
        <v>1462078</v>
      </c>
      <c r="Q1572" s="1960">
        <v>1529333</v>
      </c>
    </row>
    <row r="1573" spans="1:17" ht="12.75" customHeight="1">
      <c r="A1573" s="2332" t="s">
        <v>3499</v>
      </c>
      <c r="B1573" s="2185" t="s">
        <v>3592</v>
      </c>
      <c r="C1573" s="2296" t="s">
        <v>3453</v>
      </c>
      <c r="D1573" s="2296"/>
      <c r="E1573" s="2333" t="s">
        <v>3525</v>
      </c>
      <c r="F1573" s="2333" t="s">
        <v>3457</v>
      </c>
      <c r="G1573" s="2185" t="s">
        <v>3526</v>
      </c>
      <c r="H1573" s="2333"/>
      <c r="I1573" s="2334"/>
      <c r="J1573" s="2185"/>
      <c r="K1573" s="2336"/>
      <c r="L1573" s="2335"/>
      <c r="M1573" s="1951"/>
      <c r="N1573" s="1962"/>
      <c r="O1573" s="1961">
        <v>3919</v>
      </c>
      <c r="P1573" s="1951">
        <v>4100</v>
      </c>
      <c r="Q1573" s="1960">
        <v>4288</v>
      </c>
    </row>
    <row r="1574" spans="1:17" ht="12.75" customHeight="1">
      <c r="A1574" s="2332" t="s">
        <v>3464</v>
      </c>
      <c r="B1574" s="2185" t="s">
        <v>3690</v>
      </c>
      <c r="C1574" s="2296" t="s">
        <v>3453</v>
      </c>
      <c r="D1574" s="2296"/>
      <c r="E1574" s="2333" t="s">
        <v>3525</v>
      </c>
      <c r="F1574" s="2333" t="s">
        <v>3457</v>
      </c>
      <c r="G1574" s="2185" t="s">
        <v>3526</v>
      </c>
      <c r="H1574" s="2333"/>
      <c r="I1574" s="2334"/>
      <c r="J1574" s="2185"/>
      <c r="K1574" s="2336"/>
      <c r="L1574" s="2335"/>
      <c r="M1574" s="1951"/>
      <c r="N1574" s="1962"/>
      <c r="O1574" s="1961">
        <v>0</v>
      </c>
      <c r="P1574" s="1951">
        <v>0</v>
      </c>
      <c r="Q1574" s="1960">
        <v>0</v>
      </c>
    </row>
    <row r="1575" spans="1:17" ht="12.75" customHeight="1">
      <c r="A1575" s="2332" t="s">
        <v>3459</v>
      </c>
      <c r="B1575" s="2185" t="s">
        <v>3669</v>
      </c>
      <c r="C1575" s="2296" t="s">
        <v>3453</v>
      </c>
      <c r="D1575" s="2296"/>
      <c r="E1575" s="2333" t="s">
        <v>3525</v>
      </c>
      <c r="F1575" s="2333" t="s">
        <v>3457</v>
      </c>
      <c r="G1575" s="2185" t="s">
        <v>3526</v>
      </c>
      <c r="H1575" s="2333"/>
      <c r="I1575" s="2334"/>
      <c r="J1575" s="2185"/>
      <c r="K1575" s="2336"/>
      <c r="L1575" s="2335"/>
      <c r="M1575" s="1951"/>
      <c r="N1575" s="1962"/>
      <c r="O1575" s="1961">
        <v>2539323</v>
      </c>
      <c r="P1575" s="1951">
        <v>2656132</v>
      </c>
      <c r="Q1575" s="1960">
        <v>2778314</v>
      </c>
    </row>
    <row r="1576" spans="1:17" ht="12.75" customHeight="1">
      <c r="A1576" s="2332" t="s">
        <v>3464</v>
      </c>
      <c r="B1576" s="2185" t="s">
        <v>3990</v>
      </c>
      <c r="C1576" s="2296" t="s">
        <v>3472</v>
      </c>
      <c r="D1576" s="2296"/>
      <c r="E1576" s="2333" t="s">
        <v>3525</v>
      </c>
      <c r="F1576" s="2333" t="s">
        <v>3457</v>
      </c>
      <c r="G1576" s="2185" t="s">
        <v>3526</v>
      </c>
      <c r="H1576" s="2333"/>
      <c r="I1576" s="2334"/>
      <c r="J1576" s="2185"/>
      <c r="K1576" s="2336"/>
      <c r="L1576" s="2335"/>
      <c r="M1576" s="1951"/>
      <c r="N1576" s="1962"/>
      <c r="O1576" s="1961">
        <v>16666</v>
      </c>
      <c r="P1576" s="1951">
        <v>17433</v>
      </c>
      <c r="Q1576" s="1960">
        <v>18235</v>
      </c>
    </row>
    <row r="1577" spans="1:17" ht="12.75" customHeight="1">
      <c r="A1577" s="2332" t="s">
        <v>3523</v>
      </c>
      <c r="B1577" s="2185" t="s">
        <v>3626</v>
      </c>
      <c r="C1577" s="2296" t="s">
        <v>3453</v>
      </c>
      <c r="D1577" s="2296"/>
      <c r="E1577" s="2333" t="s">
        <v>3525</v>
      </c>
      <c r="F1577" s="2333" t="s">
        <v>3457</v>
      </c>
      <c r="G1577" s="2185" t="s">
        <v>3526</v>
      </c>
      <c r="H1577" s="2333"/>
      <c r="I1577" s="2334"/>
      <c r="J1577" s="2185"/>
      <c r="K1577" s="2336"/>
      <c r="L1577" s="2335"/>
      <c r="M1577" s="1951"/>
      <c r="N1577" s="1962"/>
      <c r="O1577" s="1961">
        <v>11466379</v>
      </c>
      <c r="P1577" s="1951">
        <v>11993833</v>
      </c>
      <c r="Q1577" s="1960">
        <v>12545549</v>
      </c>
    </row>
    <row r="1578" spans="1:17" ht="12.75" customHeight="1">
      <c r="A1578" s="2332" t="s">
        <v>3454</v>
      </c>
      <c r="B1578" s="2185" t="s">
        <v>3545</v>
      </c>
      <c r="C1578" s="2296" t="s">
        <v>3453</v>
      </c>
      <c r="D1578" s="2296"/>
      <c r="E1578" s="2333" t="s">
        <v>3525</v>
      </c>
      <c r="F1578" s="2333" t="s">
        <v>3457</v>
      </c>
      <c r="G1578" s="2185" t="s">
        <v>3526</v>
      </c>
      <c r="H1578" s="2333"/>
      <c r="I1578" s="2334"/>
      <c r="J1578" s="2185"/>
      <c r="K1578" s="2336"/>
      <c r="L1578" s="2335"/>
      <c r="M1578" s="1951"/>
      <c r="N1578" s="1962"/>
      <c r="O1578" s="1961">
        <v>0</v>
      </c>
      <c r="P1578" s="1951">
        <v>0</v>
      </c>
      <c r="Q1578" s="1960">
        <v>0</v>
      </c>
    </row>
    <row r="1579" spans="1:17" ht="12.75" customHeight="1">
      <c r="A1579" s="2332" t="s">
        <v>3470</v>
      </c>
      <c r="B1579" s="2185" t="s">
        <v>3600</v>
      </c>
      <c r="C1579" s="2296" t="s">
        <v>3453</v>
      </c>
      <c r="D1579" s="2296"/>
      <c r="E1579" s="2333" t="s">
        <v>3525</v>
      </c>
      <c r="F1579" s="2333" t="s">
        <v>3457</v>
      </c>
      <c r="G1579" s="2185" t="s">
        <v>3526</v>
      </c>
      <c r="H1579" s="2333"/>
      <c r="I1579" s="2334"/>
      <c r="J1579" s="2185"/>
      <c r="K1579" s="2336"/>
      <c r="L1579" s="2335"/>
      <c r="M1579" s="1951"/>
      <c r="N1579" s="1962"/>
      <c r="O1579" s="1961">
        <v>0</v>
      </c>
      <c r="P1579" s="1951">
        <v>0</v>
      </c>
      <c r="Q1579" s="1960">
        <v>0</v>
      </c>
    </row>
    <row r="1580" spans="1:17" ht="12.75" customHeight="1">
      <c r="A1580" s="2332" t="s">
        <v>3520</v>
      </c>
      <c r="B1580" s="2185" t="s">
        <v>3603</v>
      </c>
      <c r="C1580" s="2296" t="s">
        <v>3453</v>
      </c>
      <c r="D1580" s="2296"/>
      <c r="E1580" s="2333" t="s">
        <v>3525</v>
      </c>
      <c r="F1580" s="2333" t="s">
        <v>3457</v>
      </c>
      <c r="G1580" s="2185" t="s">
        <v>3526</v>
      </c>
      <c r="H1580" s="2333"/>
      <c r="I1580" s="2334"/>
      <c r="J1580" s="2185"/>
      <c r="K1580" s="2336"/>
      <c r="L1580" s="2335"/>
      <c r="M1580" s="1951"/>
      <c r="N1580" s="1962"/>
      <c r="O1580" s="1961">
        <v>165128</v>
      </c>
      <c r="P1580" s="1951">
        <v>172724</v>
      </c>
      <c r="Q1580" s="1960">
        <v>180670</v>
      </c>
    </row>
    <row r="1581" spans="1:17" ht="12.75" customHeight="1">
      <c r="A1581" s="2332" t="s">
        <v>3454</v>
      </c>
      <c r="B1581" s="2185" t="s">
        <v>3695</v>
      </c>
      <c r="C1581" s="2296" t="s">
        <v>3453</v>
      </c>
      <c r="D1581" s="2296"/>
      <c r="E1581" s="2333" t="s">
        <v>3525</v>
      </c>
      <c r="F1581" s="2333" t="s">
        <v>3457</v>
      </c>
      <c r="G1581" s="2185" t="s">
        <v>3526</v>
      </c>
      <c r="H1581" s="2333"/>
      <c r="I1581" s="2334"/>
      <c r="J1581" s="2185"/>
      <c r="K1581" s="2336"/>
      <c r="L1581" s="2335"/>
      <c r="M1581" s="1951"/>
      <c r="N1581" s="1962"/>
      <c r="O1581" s="1961">
        <v>3201960</v>
      </c>
      <c r="P1581" s="1951">
        <v>3349251</v>
      </c>
      <c r="Q1581" s="1960">
        <v>3503316</v>
      </c>
    </row>
    <row r="1582" spans="1:17" ht="12.75" customHeight="1">
      <c r="A1582" s="2332" t="s">
        <v>3490</v>
      </c>
      <c r="B1582" s="2185" t="s">
        <v>3586</v>
      </c>
      <c r="C1582" s="2296" t="s">
        <v>3453</v>
      </c>
      <c r="D1582" s="2296"/>
      <c r="E1582" s="2333" t="s">
        <v>3525</v>
      </c>
      <c r="F1582" s="2333" t="s">
        <v>3457</v>
      </c>
      <c r="G1582" s="2185" t="s">
        <v>3526</v>
      </c>
      <c r="H1582" s="2333"/>
      <c r="I1582" s="2334"/>
      <c r="J1582" s="2185"/>
      <c r="K1582" s="2336"/>
      <c r="L1582" s="2335"/>
      <c r="M1582" s="1951"/>
      <c r="N1582" s="1962"/>
      <c r="O1582" s="1961">
        <v>250000</v>
      </c>
      <c r="P1582" s="1951">
        <v>261500</v>
      </c>
      <c r="Q1582" s="1960">
        <v>273529</v>
      </c>
    </row>
    <row r="1583" spans="1:17" ht="12.75" customHeight="1">
      <c r="A1583" s="2332" t="s">
        <v>3490</v>
      </c>
      <c r="B1583" s="2185" t="s">
        <v>3494</v>
      </c>
      <c r="C1583" s="2296" t="s">
        <v>3453</v>
      </c>
      <c r="D1583" s="2296"/>
      <c r="E1583" s="2333" t="s">
        <v>3525</v>
      </c>
      <c r="F1583" s="2333" t="s">
        <v>3457</v>
      </c>
      <c r="G1583" s="2185" t="s">
        <v>3526</v>
      </c>
      <c r="H1583" s="2333"/>
      <c r="I1583" s="2334"/>
      <c r="J1583" s="2185"/>
      <c r="K1583" s="2336"/>
      <c r="L1583" s="2335"/>
      <c r="M1583" s="1951"/>
      <c r="N1583" s="1962"/>
      <c r="O1583" s="1961">
        <v>1759969</v>
      </c>
      <c r="P1583" s="1951">
        <v>1840928</v>
      </c>
      <c r="Q1583" s="1960">
        <v>1925611</v>
      </c>
    </row>
    <row r="1584" spans="1:17" ht="12.75" customHeight="1">
      <c r="A1584" s="2332" t="s">
        <v>3490</v>
      </c>
      <c r="B1584" s="2185" t="s">
        <v>3991</v>
      </c>
      <c r="C1584" s="2296" t="s">
        <v>3463</v>
      </c>
      <c r="D1584" s="2296"/>
      <c r="E1584" s="2333" t="s">
        <v>3525</v>
      </c>
      <c r="F1584" s="2333" t="s">
        <v>3457</v>
      </c>
      <c r="G1584" s="2185" t="s">
        <v>3526</v>
      </c>
      <c r="H1584" s="2333"/>
      <c r="I1584" s="2334"/>
      <c r="J1584" s="2185"/>
      <c r="K1584" s="2336"/>
      <c r="L1584" s="2335"/>
      <c r="M1584" s="1951"/>
      <c r="N1584" s="1962"/>
      <c r="O1584" s="1961">
        <v>1737</v>
      </c>
      <c r="P1584" s="1951">
        <v>1817</v>
      </c>
      <c r="Q1584" s="1960">
        <v>1901</v>
      </c>
    </row>
    <row r="1585" spans="1:17" ht="12.75" customHeight="1">
      <c r="A1585" s="2332" t="s">
        <v>3473</v>
      </c>
      <c r="B1585" s="2185" t="s">
        <v>3992</v>
      </c>
      <c r="C1585" s="2296" t="s">
        <v>3993</v>
      </c>
      <c r="D1585" s="2296"/>
      <c r="E1585" s="2333" t="s">
        <v>3525</v>
      </c>
      <c r="F1585" s="2333" t="s">
        <v>3457</v>
      </c>
      <c r="G1585" s="2185" t="s">
        <v>3526</v>
      </c>
      <c r="H1585" s="2333"/>
      <c r="I1585" s="2334"/>
      <c r="J1585" s="2185"/>
      <c r="K1585" s="2336"/>
      <c r="L1585" s="2335"/>
      <c r="M1585" s="1951"/>
      <c r="N1585" s="1962"/>
      <c r="O1585" s="1961">
        <v>670000</v>
      </c>
      <c r="P1585" s="1951">
        <v>700820</v>
      </c>
      <c r="Q1585" s="1960">
        <v>733058</v>
      </c>
    </row>
    <row r="1586" spans="1:17" ht="12.75" customHeight="1">
      <c r="A1586" s="2332" t="s">
        <v>3541</v>
      </c>
      <c r="B1586" s="2185" t="s">
        <v>3606</v>
      </c>
      <c r="C1586" s="2296" t="s">
        <v>3453</v>
      </c>
      <c r="D1586" s="2296"/>
      <c r="E1586" s="2333" t="s">
        <v>3525</v>
      </c>
      <c r="F1586" s="2333" t="s">
        <v>3457</v>
      </c>
      <c r="G1586" s="2185" t="s">
        <v>3526</v>
      </c>
      <c r="H1586" s="2333"/>
      <c r="I1586" s="2334"/>
      <c r="J1586" s="2185"/>
      <c r="K1586" s="2336"/>
      <c r="L1586" s="2335"/>
      <c r="M1586" s="1951"/>
      <c r="N1586" s="1962"/>
      <c r="O1586" s="1961">
        <v>142731</v>
      </c>
      <c r="P1586" s="1951">
        <v>149297</v>
      </c>
      <c r="Q1586" s="1960">
        <v>156165</v>
      </c>
    </row>
    <row r="1587" spans="1:17" ht="12.75" customHeight="1">
      <c r="A1587" s="2332" t="s">
        <v>3464</v>
      </c>
      <c r="B1587" s="2185" t="s">
        <v>3630</v>
      </c>
      <c r="C1587" s="2296" t="s">
        <v>3453</v>
      </c>
      <c r="D1587" s="2296"/>
      <c r="E1587" s="2333" t="s">
        <v>3525</v>
      </c>
      <c r="F1587" s="2333" t="s">
        <v>3457</v>
      </c>
      <c r="G1587" s="2185" t="s">
        <v>3526</v>
      </c>
      <c r="H1587" s="2333"/>
      <c r="I1587" s="2334"/>
      <c r="J1587" s="2185"/>
      <c r="K1587" s="2336"/>
      <c r="L1587" s="2335"/>
      <c r="M1587" s="1951"/>
      <c r="N1587" s="1962"/>
      <c r="O1587" s="1961">
        <v>227271</v>
      </c>
      <c r="P1587" s="1951">
        <v>237726</v>
      </c>
      <c r="Q1587" s="1960">
        <v>248661</v>
      </c>
    </row>
    <row r="1588" spans="1:17" ht="12.75" customHeight="1">
      <c r="A1588" s="2332" t="s">
        <v>3470</v>
      </c>
      <c r="B1588" s="2185" t="s">
        <v>3554</v>
      </c>
      <c r="C1588" s="2296" t="s">
        <v>3453</v>
      </c>
      <c r="D1588" s="2296"/>
      <c r="E1588" s="2333" t="s">
        <v>3525</v>
      </c>
      <c r="F1588" s="2333" t="s">
        <v>3457</v>
      </c>
      <c r="G1588" s="2185" t="s">
        <v>3526</v>
      </c>
      <c r="H1588" s="2333"/>
      <c r="I1588" s="2334"/>
      <c r="J1588" s="2185"/>
      <c r="K1588" s="2336"/>
      <c r="L1588" s="2335"/>
      <c r="M1588" s="1951"/>
      <c r="N1588" s="1962"/>
      <c r="O1588" s="1961">
        <v>46150</v>
      </c>
      <c r="P1588" s="1951">
        <v>48273</v>
      </c>
      <c r="Q1588" s="1960">
        <v>50494</v>
      </c>
    </row>
    <row r="1589" spans="1:17" ht="12.75" customHeight="1">
      <c r="A1589" s="2332" t="s">
        <v>3543</v>
      </c>
      <c r="B1589" s="2185" t="s">
        <v>3994</v>
      </c>
      <c r="C1589" s="2296" t="s">
        <v>3453</v>
      </c>
      <c r="D1589" s="2296"/>
      <c r="E1589" s="2333" t="s">
        <v>3525</v>
      </c>
      <c r="F1589" s="2333" t="s">
        <v>3457</v>
      </c>
      <c r="G1589" s="2185" t="s">
        <v>3526</v>
      </c>
      <c r="H1589" s="2333"/>
      <c r="I1589" s="2334"/>
      <c r="J1589" s="2185"/>
      <c r="K1589" s="2336"/>
      <c r="L1589" s="2335"/>
      <c r="M1589" s="1951"/>
      <c r="N1589" s="1962"/>
      <c r="O1589" s="1961">
        <v>6000</v>
      </c>
      <c r="P1589" s="1951">
        <v>6276</v>
      </c>
      <c r="Q1589" s="1960">
        <v>6565</v>
      </c>
    </row>
    <row r="1590" spans="1:17" ht="12.75" customHeight="1">
      <c r="A1590" s="2332" t="s">
        <v>3506</v>
      </c>
      <c r="B1590" s="2185" t="s">
        <v>3507</v>
      </c>
      <c r="C1590" s="2296" t="s">
        <v>3453</v>
      </c>
      <c r="D1590" s="2296"/>
      <c r="E1590" s="2333" t="s">
        <v>3525</v>
      </c>
      <c r="F1590" s="2333" t="s">
        <v>3457</v>
      </c>
      <c r="G1590" s="2185" t="s">
        <v>3526</v>
      </c>
      <c r="H1590" s="2333"/>
      <c r="I1590" s="2334"/>
      <c r="J1590" s="2185"/>
      <c r="K1590" s="2336"/>
      <c r="L1590" s="2335"/>
      <c r="M1590" s="1951"/>
      <c r="N1590" s="1962"/>
      <c r="O1590" s="1961">
        <v>183281</v>
      </c>
      <c r="P1590" s="1951">
        <v>191712</v>
      </c>
      <c r="Q1590" s="1960">
        <v>200531</v>
      </c>
    </row>
    <row r="1591" spans="1:17" ht="12.75" customHeight="1">
      <c r="A1591" s="2332" t="s">
        <v>3477</v>
      </c>
      <c r="B1591" s="2185" t="s">
        <v>3575</v>
      </c>
      <c r="C1591" s="2296" t="s">
        <v>3453</v>
      </c>
      <c r="D1591" s="2296"/>
      <c r="E1591" s="2333" t="s">
        <v>3525</v>
      </c>
      <c r="F1591" s="2333" t="s">
        <v>3457</v>
      </c>
      <c r="G1591" s="2185" t="s">
        <v>3526</v>
      </c>
      <c r="H1591" s="2333"/>
      <c r="I1591" s="2334"/>
      <c r="J1591" s="2185"/>
      <c r="K1591" s="2336"/>
      <c r="L1591" s="2335"/>
      <c r="M1591" s="1951"/>
      <c r="N1591" s="1962"/>
      <c r="O1591" s="1961">
        <v>3823</v>
      </c>
      <c r="P1591" s="1951">
        <v>3999</v>
      </c>
      <c r="Q1591" s="1960">
        <v>4183</v>
      </c>
    </row>
    <row r="1592" spans="1:17" ht="12.75" customHeight="1">
      <c r="A1592" s="2332" t="s">
        <v>3464</v>
      </c>
      <c r="B1592" s="2185" t="s">
        <v>3489</v>
      </c>
      <c r="C1592" s="2296" t="s">
        <v>3453</v>
      </c>
      <c r="D1592" s="2296"/>
      <c r="E1592" s="2333" t="s">
        <v>3525</v>
      </c>
      <c r="F1592" s="2333" t="s">
        <v>3457</v>
      </c>
      <c r="G1592" s="2185" t="s">
        <v>3526</v>
      </c>
      <c r="H1592" s="2333"/>
      <c r="I1592" s="2334"/>
      <c r="J1592" s="2185"/>
      <c r="K1592" s="2336"/>
      <c r="L1592" s="2335"/>
      <c r="M1592" s="1951"/>
      <c r="N1592" s="1962"/>
      <c r="O1592" s="1961">
        <v>187497</v>
      </c>
      <c r="P1592" s="1951">
        <v>196122</v>
      </c>
      <c r="Q1592" s="1960">
        <v>205144</v>
      </c>
    </row>
    <row r="1593" spans="1:17" ht="12.75" customHeight="1">
      <c r="A1593" s="2332" t="s">
        <v>3506</v>
      </c>
      <c r="B1593" s="2185" t="s">
        <v>3610</v>
      </c>
      <c r="C1593" s="2296" t="s">
        <v>3453</v>
      </c>
      <c r="D1593" s="2296"/>
      <c r="E1593" s="2333" t="s">
        <v>3525</v>
      </c>
      <c r="F1593" s="2333" t="s">
        <v>3457</v>
      </c>
      <c r="G1593" s="2185" t="s">
        <v>3526</v>
      </c>
      <c r="H1593" s="2333"/>
      <c r="I1593" s="2334"/>
      <c r="J1593" s="2185"/>
      <c r="K1593" s="2336"/>
      <c r="L1593" s="2335"/>
      <c r="M1593" s="1951"/>
      <c r="N1593" s="1962"/>
      <c r="O1593" s="1961">
        <v>757839</v>
      </c>
      <c r="P1593" s="1951">
        <v>792700</v>
      </c>
      <c r="Q1593" s="1960">
        <v>829164</v>
      </c>
    </row>
    <row r="1594" spans="1:17" ht="12.75" customHeight="1">
      <c r="A1594" s="2332" t="s">
        <v>3531</v>
      </c>
      <c r="B1594" s="2185" t="s">
        <v>3532</v>
      </c>
      <c r="C1594" s="2296" t="s">
        <v>3453</v>
      </c>
      <c r="D1594" s="2296"/>
      <c r="E1594" s="2333" t="s">
        <v>3525</v>
      </c>
      <c r="F1594" s="2333" t="s">
        <v>3457</v>
      </c>
      <c r="G1594" s="2185" t="s">
        <v>3526</v>
      </c>
      <c r="H1594" s="2333"/>
      <c r="I1594" s="2334"/>
      <c r="J1594" s="2185"/>
      <c r="K1594" s="2336"/>
      <c r="L1594" s="2335"/>
      <c r="M1594" s="1951"/>
      <c r="N1594" s="1962"/>
      <c r="O1594" s="1961">
        <v>0</v>
      </c>
      <c r="P1594" s="1951">
        <v>0</v>
      </c>
      <c r="Q1594" s="1960">
        <v>0</v>
      </c>
    </row>
    <row r="1595" spans="1:17" ht="12.75" customHeight="1">
      <c r="A1595" s="2332" t="s">
        <v>3477</v>
      </c>
      <c r="B1595" s="2185" t="s">
        <v>3478</v>
      </c>
      <c r="C1595" s="2296" t="s">
        <v>3453</v>
      </c>
      <c r="D1595" s="2296"/>
      <c r="E1595" s="2333" t="s">
        <v>3525</v>
      </c>
      <c r="F1595" s="2333" t="s">
        <v>3457</v>
      </c>
      <c r="G1595" s="2185" t="s">
        <v>3526</v>
      </c>
      <c r="H1595" s="2333"/>
      <c r="I1595" s="2334"/>
      <c r="J1595" s="2185"/>
      <c r="K1595" s="2336"/>
      <c r="L1595" s="2335"/>
      <c r="M1595" s="1951"/>
      <c r="N1595" s="1962"/>
      <c r="O1595" s="1961">
        <v>243392</v>
      </c>
      <c r="P1595" s="1951">
        <v>254589</v>
      </c>
      <c r="Q1595" s="1960">
        <v>266300</v>
      </c>
    </row>
    <row r="1596" spans="1:17" ht="12.75" customHeight="1">
      <c r="A1596" s="2332" t="s">
        <v>3464</v>
      </c>
      <c r="B1596" s="2185" t="s">
        <v>3995</v>
      </c>
      <c r="C1596" s="2296" t="s">
        <v>3497</v>
      </c>
      <c r="D1596" s="2296"/>
      <c r="E1596" s="2333" t="s">
        <v>3525</v>
      </c>
      <c r="F1596" s="2333" t="s">
        <v>3457</v>
      </c>
      <c r="G1596" s="2185" t="s">
        <v>3526</v>
      </c>
      <c r="H1596" s="2333"/>
      <c r="I1596" s="2334"/>
      <c r="J1596" s="2185"/>
      <c r="K1596" s="2336"/>
      <c r="L1596" s="2335"/>
      <c r="M1596" s="1951"/>
      <c r="N1596" s="1962"/>
      <c r="O1596" s="1961">
        <v>1056</v>
      </c>
      <c r="P1596" s="1951">
        <v>1105</v>
      </c>
      <c r="Q1596" s="1960">
        <v>1156</v>
      </c>
    </row>
    <row r="1597" spans="1:17" ht="12.75" customHeight="1">
      <c r="A1597" s="2332" t="s">
        <v>3520</v>
      </c>
      <c r="B1597" s="2185" t="s">
        <v>3996</v>
      </c>
      <c r="C1597" s="2296" t="s">
        <v>3453</v>
      </c>
      <c r="D1597" s="2296"/>
      <c r="E1597" s="2333" t="s">
        <v>3525</v>
      </c>
      <c r="F1597" s="2333" t="s">
        <v>3457</v>
      </c>
      <c r="G1597" s="2185" t="s">
        <v>3526</v>
      </c>
      <c r="H1597" s="2333"/>
      <c r="I1597" s="2334"/>
      <c r="J1597" s="2185"/>
      <c r="K1597" s="2336"/>
      <c r="L1597" s="2335"/>
      <c r="M1597" s="1951"/>
      <c r="N1597" s="1962"/>
      <c r="O1597" s="1961">
        <v>4866</v>
      </c>
      <c r="P1597" s="1951">
        <v>5090</v>
      </c>
      <c r="Q1597" s="1960">
        <v>5324</v>
      </c>
    </row>
    <row r="1598" spans="1:17" ht="12.75" customHeight="1">
      <c r="A1598" s="2332" t="s">
        <v>3464</v>
      </c>
      <c r="B1598" s="2185" t="s">
        <v>3482</v>
      </c>
      <c r="C1598" s="2296" t="s">
        <v>3453</v>
      </c>
      <c r="D1598" s="2296"/>
      <c r="E1598" s="2333" t="s">
        <v>3525</v>
      </c>
      <c r="F1598" s="2333" t="s">
        <v>3457</v>
      </c>
      <c r="G1598" s="2185" t="s">
        <v>3526</v>
      </c>
      <c r="H1598" s="2333"/>
      <c r="I1598" s="2334"/>
      <c r="J1598" s="2185"/>
      <c r="K1598" s="2336"/>
      <c r="L1598" s="2335"/>
      <c r="M1598" s="1951"/>
      <c r="N1598" s="1962"/>
      <c r="O1598" s="1961">
        <v>10996628</v>
      </c>
      <c r="P1598" s="1951">
        <v>11502473</v>
      </c>
      <c r="Q1598" s="1960">
        <v>12031587</v>
      </c>
    </row>
    <row r="1599" spans="1:17" ht="12.75" customHeight="1">
      <c r="A1599" s="2332" t="s">
        <v>3533</v>
      </c>
      <c r="B1599" s="2185" t="s">
        <v>3997</v>
      </c>
      <c r="C1599" s="2296" t="s">
        <v>3453</v>
      </c>
      <c r="D1599" s="2296"/>
      <c r="E1599" s="2333" t="s">
        <v>3525</v>
      </c>
      <c r="F1599" s="2333" t="s">
        <v>3457</v>
      </c>
      <c r="G1599" s="2185" t="s">
        <v>3526</v>
      </c>
      <c r="H1599" s="2333"/>
      <c r="I1599" s="2334"/>
      <c r="J1599" s="2185"/>
      <c r="K1599" s="2336"/>
      <c r="L1599" s="2335"/>
      <c r="M1599" s="1951"/>
      <c r="N1599" s="1962"/>
      <c r="O1599" s="1961">
        <v>0</v>
      </c>
      <c r="P1599" s="1951">
        <v>0</v>
      </c>
      <c r="Q1599" s="1960">
        <v>0</v>
      </c>
    </row>
    <row r="1600" spans="1:17" ht="12.75" customHeight="1">
      <c r="A1600" s="2332" t="s">
        <v>3454</v>
      </c>
      <c r="B1600" s="2185" t="s">
        <v>3512</v>
      </c>
      <c r="C1600" s="2296" t="s">
        <v>3453</v>
      </c>
      <c r="D1600" s="2296"/>
      <c r="E1600" s="2333" t="s">
        <v>3525</v>
      </c>
      <c r="F1600" s="2333" t="s">
        <v>3457</v>
      </c>
      <c r="G1600" s="2185" t="s">
        <v>3526</v>
      </c>
      <c r="H1600" s="2333"/>
      <c r="I1600" s="2334"/>
      <c r="J1600" s="2185"/>
      <c r="K1600" s="2336"/>
      <c r="L1600" s="2335"/>
      <c r="M1600" s="1951"/>
      <c r="N1600" s="1962"/>
      <c r="O1600" s="1961">
        <v>0</v>
      </c>
      <c r="P1600" s="1951">
        <v>0</v>
      </c>
      <c r="Q1600" s="1960">
        <v>0</v>
      </c>
    </row>
    <row r="1601" spans="1:17" ht="12.75" customHeight="1">
      <c r="A1601" s="2332" t="s">
        <v>3454</v>
      </c>
      <c r="B1601" s="2185" t="s">
        <v>3695</v>
      </c>
      <c r="C1601" s="2296" t="s">
        <v>3453</v>
      </c>
      <c r="D1601" s="2296"/>
      <c r="E1601" s="2333" t="s">
        <v>3525</v>
      </c>
      <c r="F1601" s="2333" t="s">
        <v>3457</v>
      </c>
      <c r="G1601" s="2185" t="s">
        <v>3526</v>
      </c>
      <c r="H1601" s="2333"/>
      <c r="I1601" s="2334"/>
      <c r="J1601" s="2185"/>
      <c r="K1601" s="2336"/>
      <c r="L1601" s="2335"/>
      <c r="M1601" s="1951"/>
      <c r="N1601" s="1962"/>
      <c r="O1601" s="1961">
        <v>599</v>
      </c>
      <c r="P1601" s="1951">
        <v>627</v>
      </c>
      <c r="Q1601" s="1960">
        <v>656</v>
      </c>
    </row>
    <row r="1602" spans="1:17" ht="12.75" customHeight="1">
      <c r="A1602" s="2332" t="s">
        <v>3483</v>
      </c>
      <c r="B1602" s="2185" t="s">
        <v>3676</v>
      </c>
      <c r="C1602" s="2296" t="s">
        <v>3453</v>
      </c>
      <c r="D1602" s="2296"/>
      <c r="E1602" s="2333" t="s">
        <v>3525</v>
      </c>
      <c r="F1602" s="2333" t="s">
        <v>3457</v>
      </c>
      <c r="G1602" s="2185" t="s">
        <v>3526</v>
      </c>
      <c r="H1602" s="2333"/>
      <c r="I1602" s="2334"/>
      <c r="J1602" s="2185"/>
      <c r="K1602" s="2336"/>
      <c r="L1602" s="2335"/>
      <c r="M1602" s="1951"/>
      <c r="N1602" s="1962"/>
      <c r="O1602" s="1961">
        <v>240</v>
      </c>
      <c r="P1602" s="1951">
        <v>252</v>
      </c>
      <c r="Q1602" s="1960">
        <v>263</v>
      </c>
    </row>
    <row r="1603" spans="1:17" ht="12.75" customHeight="1">
      <c r="A1603" s="2332" t="s">
        <v>3490</v>
      </c>
      <c r="B1603" s="2185" t="s">
        <v>3493</v>
      </c>
      <c r="C1603" s="2296" t="s">
        <v>3453</v>
      </c>
      <c r="D1603" s="2296"/>
      <c r="E1603" s="2333" t="s">
        <v>3525</v>
      </c>
      <c r="F1603" s="2333" t="s">
        <v>3457</v>
      </c>
      <c r="G1603" s="2185" t="s">
        <v>3526</v>
      </c>
      <c r="H1603" s="2333"/>
      <c r="I1603" s="2334"/>
      <c r="J1603" s="2185"/>
      <c r="K1603" s="2336"/>
      <c r="L1603" s="2335"/>
      <c r="M1603" s="1951"/>
      <c r="N1603" s="1962"/>
      <c r="O1603" s="1961">
        <v>1773371</v>
      </c>
      <c r="P1603" s="1951">
        <v>1854947</v>
      </c>
      <c r="Q1603" s="1960">
        <v>1940274</v>
      </c>
    </row>
    <row r="1604" spans="1:17" ht="12.75" customHeight="1">
      <c r="A1604" s="2332" t="s">
        <v>3459</v>
      </c>
      <c r="B1604" s="2185" t="s">
        <v>3669</v>
      </c>
      <c r="C1604" s="2296" t="s">
        <v>3453</v>
      </c>
      <c r="D1604" s="2296"/>
      <c r="E1604" s="2333" t="s">
        <v>3525</v>
      </c>
      <c r="F1604" s="2333" t="s">
        <v>3457</v>
      </c>
      <c r="G1604" s="2185" t="s">
        <v>3526</v>
      </c>
      <c r="H1604" s="2333"/>
      <c r="I1604" s="2334"/>
      <c r="J1604" s="2185"/>
      <c r="K1604" s="2336"/>
      <c r="L1604" s="2335"/>
      <c r="M1604" s="1951"/>
      <c r="N1604" s="1962"/>
      <c r="O1604" s="1961">
        <v>11667</v>
      </c>
      <c r="P1604" s="1951">
        <v>12204</v>
      </c>
      <c r="Q1604" s="1960">
        <v>12766</v>
      </c>
    </row>
    <row r="1605" spans="1:17" ht="12.75" customHeight="1">
      <c r="A1605" s="2332" t="s">
        <v>3531</v>
      </c>
      <c r="B1605" s="2185" t="s">
        <v>3532</v>
      </c>
      <c r="C1605" s="2296" t="s">
        <v>3453</v>
      </c>
      <c r="D1605" s="2296"/>
      <c r="E1605" s="2333" t="s">
        <v>3525</v>
      </c>
      <c r="F1605" s="2333" t="s">
        <v>3457</v>
      </c>
      <c r="G1605" s="2185" t="s">
        <v>3526</v>
      </c>
      <c r="H1605" s="2333"/>
      <c r="I1605" s="2334"/>
      <c r="J1605" s="2185"/>
      <c r="K1605" s="2336"/>
      <c r="L1605" s="2335"/>
      <c r="M1605" s="1951"/>
      <c r="N1605" s="1962"/>
      <c r="O1605" s="1961">
        <v>0</v>
      </c>
      <c r="P1605" s="1951">
        <v>0</v>
      </c>
      <c r="Q1605" s="1960">
        <v>0</v>
      </c>
    </row>
    <row r="1606" spans="1:17" ht="12.75" customHeight="1">
      <c r="A1606" s="2332" t="s">
        <v>3543</v>
      </c>
      <c r="B1606" s="2185" t="s">
        <v>3860</v>
      </c>
      <c r="C1606" s="2296" t="s">
        <v>3453</v>
      </c>
      <c r="D1606" s="2296"/>
      <c r="E1606" s="2333" t="s">
        <v>3525</v>
      </c>
      <c r="F1606" s="2333" t="s">
        <v>3457</v>
      </c>
      <c r="G1606" s="2185" t="s">
        <v>3526</v>
      </c>
      <c r="H1606" s="2333"/>
      <c r="I1606" s="2334"/>
      <c r="J1606" s="2185"/>
      <c r="K1606" s="2336"/>
      <c r="L1606" s="2335"/>
      <c r="M1606" s="1951"/>
      <c r="N1606" s="1962"/>
      <c r="O1606" s="1961">
        <v>0</v>
      </c>
      <c r="P1606" s="1951">
        <v>0</v>
      </c>
      <c r="Q1606" s="1960">
        <v>0</v>
      </c>
    </row>
    <row r="1607" spans="1:17" ht="12.75" customHeight="1">
      <c r="A1607" s="2332" t="s">
        <v>3533</v>
      </c>
      <c r="B1607" s="2185" t="s">
        <v>3534</v>
      </c>
      <c r="C1607" s="2296" t="s">
        <v>3453</v>
      </c>
      <c r="D1607" s="2296"/>
      <c r="E1607" s="2333" t="s">
        <v>3525</v>
      </c>
      <c r="F1607" s="2333" t="s">
        <v>3457</v>
      </c>
      <c r="G1607" s="2185" t="s">
        <v>3526</v>
      </c>
      <c r="H1607" s="2333"/>
      <c r="I1607" s="2334"/>
      <c r="J1607" s="2185"/>
      <c r="K1607" s="2336"/>
      <c r="L1607" s="2335"/>
      <c r="M1607" s="1951"/>
      <c r="N1607" s="1962"/>
      <c r="O1607" s="1961">
        <v>868503</v>
      </c>
      <c r="P1607" s="1951">
        <v>908455</v>
      </c>
      <c r="Q1607" s="1960">
        <v>950244</v>
      </c>
    </row>
    <row r="1608" spans="1:17" ht="12.75" customHeight="1">
      <c r="A1608" s="2332" t="s">
        <v>3543</v>
      </c>
      <c r="B1608" s="2185" t="s">
        <v>3623</v>
      </c>
      <c r="C1608" s="2296" t="s">
        <v>3453</v>
      </c>
      <c r="D1608" s="2296"/>
      <c r="E1608" s="2333" t="s">
        <v>3525</v>
      </c>
      <c r="F1608" s="2333" t="s">
        <v>3457</v>
      </c>
      <c r="G1608" s="2185" t="s">
        <v>3526</v>
      </c>
      <c r="H1608" s="2333"/>
      <c r="I1608" s="2334"/>
      <c r="J1608" s="2185"/>
      <c r="K1608" s="2336"/>
      <c r="L1608" s="2335"/>
      <c r="M1608" s="1951"/>
      <c r="N1608" s="1962"/>
      <c r="O1608" s="1961">
        <v>0</v>
      </c>
      <c r="P1608" s="1951">
        <v>0</v>
      </c>
      <c r="Q1608" s="1960">
        <v>0</v>
      </c>
    </row>
    <row r="1609" spans="1:17" ht="12.75" customHeight="1">
      <c r="A1609" s="2332" t="s">
        <v>3454</v>
      </c>
      <c r="B1609" s="2185" t="s">
        <v>3545</v>
      </c>
      <c r="C1609" s="2296" t="s">
        <v>3453</v>
      </c>
      <c r="D1609" s="2296"/>
      <c r="E1609" s="2333" t="s">
        <v>3525</v>
      </c>
      <c r="F1609" s="2333" t="s">
        <v>3457</v>
      </c>
      <c r="G1609" s="2185" t="s">
        <v>3526</v>
      </c>
      <c r="H1609" s="2333"/>
      <c r="I1609" s="2334"/>
      <c r="J1609" s="2185"/>
      <c r="K1609" s="2336"/>
      <c r="L1609" s="2335"/>
      <c r="M1609" s="1951"/>
      <c r="N1609" s="1962"/>
      <c r="O1609" s="1961">
        <v>0</v>
      </c>
      <c r="P1609" s="1951">
        <v>0</v>
      </c>
      <c r="Q1609" s="1960">
        <v>0</v>
      </c>
    </row>
    <row r="1610" spans="1:17" ht="12.75" customHeight="1">
      <c r="A1610" s="2332" t="s">
        <v>3479</v>
      </c>
      <c r="B1610" s="2185" t="s">
        <v>3664</v>
      </c>
      <c r="C1610" s="2296" t="s">
        <v>3453</v>
      </c>
      <c r="D1610" s="2296"/>
      <c r="E1610" s="2333" t="s">
        <v>3525</v>
      </c>
      <c r="F1610" s="2333" t="s">
        <v>3457</v>
      </c>
      <c r="G1610" s="2185" t="s">
        <v>3526</v>
      </c>
      <c r="H1610" s="2333"/>
      <c r="I1610" s="2334"/>
      <c r="J1610" s="2185"/>
      <c r="K1610" s="2336"/>
      <c r="L1610" s="2335"/>
      <c r="M1610" s="1951"/>
      <c r="N1610" s="1962"/>
      <c r="O1610" s="1961">
        <v>0</v>
      </c>
      <c r="P1610" s="1951">
        <v>0</v>
      </c>
      <c r="Q1610" s="1960">
        <v>0</v>
      </c>
    </row>
    <row r="1611" spans="1:17" ht="12.75" customHeight="1">
      <c r="A1611" s="2332" t="s">
        <v>3490</v>
      </c>
      <c r="B1611" s="2185" t="s">
        <v>3586</v>
      </c>
      <c r="C1611" s="2296" t="s">
        <v>3453</v>
      </c>
      <c r="D1611" s="2296"/>
      <c r="E1611" s="2333" t="s">
        <v>3525</v>
      </c>
      <c r="F1611" s="2333" t="s">
        <v>3457</v>
      </c>
      <c r="G1611" s="2185" t="s">
        <v>3526</v>
      </c>
      <c r="H1611" s="2333"/>
      <c r="I1611" s="2334"/>
      <c r="J1611" s="2185"/>
      <c r="K1611" s="2336"/>
      <c r="L1611" s="2335"/>
      <c r="M1611" s="1951"/>
      <c r="N1611" s="1962"/>
      <c r="O1611" s="1961">
        <v>213607</v>
      </c>
      <c r="P1611" s="1951">
        <v>223433</v>
      </c>
      <c r="Q1611" s="1960">
        <v>233711</v>
      </c>
    </row>
    <row r="1612" spans="1:17" ht="12.75" customHeight="1">
      <c r="A1612" s="2332" t="s">
        <v>3508</v>
      </c>
      <c r="B1612" s="2185" t="s">
        <v>3681</v>
      </c>
      <c r="C1612" s="2296" t="s">
        <v>3453</v>
      </c>
      <c r="D1612" s="2296"/>
      <c r="E1612" s="2333" t="s">
        <v>3525</v>
      </c>
      <c r="F1612" s="2333" t="s">
        <v>3457</v>
      </c>
      <c r="G1612" s="2185" t="s">
        <v>3526</v>
      </c>
      <c r="H1612" s="2333"/>
      <c r="I1612" s="2334"/>
      <c r="J1612" s="2185"/>
      <c r="K1612" s="2336"/>
      <c r="L1612" s="2335"/>
      <c r="M1612" s="1951"/>
      <c r="N1612" s="1962"/>
      <c r="O1612" s="1961">
        <v>6900303</v>
      </c>
      <c r="P1612" s="1951">
        <v>7217717</v>
      </c>
      <c r="Q1612" s="1960">
        <v>7549732</v>
      </c>
    </row>
    <row r="1613" spans="1:17" ht="12.75" customHeight="1">
      <c r="A1613" s="2332" t="s">
        <v>3459</v>
      </c>
      <c r="B1613" s="2185" t="s">
        <v>3742</v>
      </c>
      <c r="C1613" s="2296" t="s">
        <v>3453</v>
      </c>
      <c r="D1613" s="2296"/>
      <c r="E1613" s="2333" t="s">
        <v>3525</v>
      </c>
      <c r="F1613" s="2333" t="s">
        <v>3457</v>
      </c>
      <c r="G1613" s="2185" t="s">
        <v>3526</v>
      </c>
      <c r="H1613" s="2333"/>
      <c r="I1613" s="2334"/>
      <c r="J1613" s="2185"/>
      <c r="K1613" s="2336"/>
      <c r="L1613" s="2335"/>
      <c r="M1613" s="1951"/>
      <c r="N1613" s="1962"/>
      <c r="O1613" s="1961">
        <v>1775</v>
      </c>
      <c r="P1613" s="1951">
        <v>1857</v>
      </c>
      <c r="Q1613" s="1960">
        <v>1943</v>
      </c>
    </row>
    <row r="1614" spans="1:17" ht="12.75" customHeight="1">
      <c r="A1614" s="2332" t="s">
        <v>3499</v>
      </c>
      <c r="B1614" s="2185" t="s">
        <v>3500</v>
      </c>
      <c r="C1614" s="2296" t="s">
        <v>3453</v>
      </c>
      <c r="D1614" s="2296"/>
      <c r="E1614" s="2333" t="s">
        <v>3525</v>
      </c>
      <c r="F1614" s="2333" t="s">
        <v>3457</v>
      </c>
      <c r="G1614" s="2185" t="s">
        <v>3526</v>
      </c>
      <c r="H1614" s="2333"/>
      <c r="I1614" s="2334"/>
      <c r="J1614" s="2185"/>
      <c r="K1614" s="2336"/>
      <c r="L1614" s="2335"/>
      <c r="M1614" s="1951"/>
      <c r="N1614" s="1962"/>
      <c r="O1614" s="1961">
        <v>0</v>
      </c>
      <c r="P1614" s="1951">
        <v>0</v>
      </c>
      <c r="Q1614" s="1960">
        <v>1</v>
      </c>
    </row>
    <row r="1615" spans="1:17" ht="12.75" customHeight="1">
      <c r="A1615" s="2332" t="s">
        <v>3464</v>
      </c>
      <c r="B1615" s="2185" t="s">
        <v>3632</v>
      </c>
      <c r="C1615" s="2296" t="s">
        <v>3453</v>
      </c>
      <c r="D1615" s="2296"/>
      <c r="E1615" s="2333" t="s">
        <v>3525</v>
      </c>
      <c r="F1615" s="2333" t="s">
        <v>3457</v>
      </c>
      <c r="G1615" s="2185" t="s">
        <v>3526</v>
      </c>
      <c r="H1615" s="2333"/>
      <c r="I1615" s="2334"/>
      <c r="J1615" s="2185"/>
      <c r="K1615" s="2336"/>
      <c r="L1615" s="2335"/>
      <c r="M1615" s="1951"/>
      <c r="N1615" s="1962"/>
      <c r="O1615" s="1961">
        <v>193352</v>
      </c>
      <c r="P1615" s="1951">
        <v>202247</v>
      </c>
      <c r="Q1615" s="1960">
        <v>211550</v>
      </c>
    </row>
    <row r="1616" spans="1:17" ht="12.75" customHeight="1">
      <c r="A1616" s="2332" t="s">
        <v>3454</v>
      </c>
      <c r="B1616" s="2185" t="s">
        <v>3512</v>
      </c>
      <c r="C1616" s="2296" t="s">
        <v>3453</v>
      </c>
      <c r="D1616" s="2296"/>
      <c r="E1616" s="2333" t="s">
        <v>3525</v>
      </c>
      <c r="F1616" s="2333" t="s">
        <v>3457</v>
      </c>
      <c r="G1616" s="2185" t="s">
        <v>3526</v>
      </c>
      <c r="H1616" s="2333"/>
      <c r="I1616" s="2334"/>
      <c r="J1616" s="2185"/>
      <c r="K1616" s="2336"/>
      <c r="L1616" s="2335"/>
      <c r="M1616" s="1951"/>
      <c r="N1616" s="1962"/>
      <c r="O1616" s="1961">
        <v>0</v>
      </c>
      <c r="P1616" s="1951">
        <v>0</v>
      </c>
      <c r="Q1616" s="1960">
        <v>0</v>
      </c>
    </row>
    <row r="1617" spans="1:17" ht="12.75" customHeight="1">
      <c r="A1617" s="2332" t="s">
        <v>3464</v>
      </c>
      <c r="B1617" s="2185" t="s">
        <v>3665</v>
      </c>
      <c r="C1617" s="2296" t="s">
        <v>3453</v>
      </c>
      <c r="D1617" s="2296"/>
      <c r="E1617" s="2333" t="s">
        <v>3525</v>
      </c>
      <c r="F1617" s="2333" t="s">
        <v>3457</v>
      </c>
      <c r="G1617" s="2185" t="s">
        <v>3526</v>
      </c>
      <c r="H1617" s="2333"/>
      <c r="I1617" s="2334"/>
      <c r="J1617" s="2185"/>
      <c r="K1617" s="2336"/>
      <c r="L1617" s="2335"/>
      <c r="M1617" s="1951"/>
      <c r="N1617" s="1962"/>
      <c r="O1617" s="1961">
        <v>48938</v>
      </c>
      <c r="P1617" s="1951">
        <v>51190</v>
      </c>
      <c r="Q1617" s="1960">
        <v>53544</v>
      </c>
    </row>
    <row r="1618" spans="1:17" ht="12.75" customHeight="1">
      <c r="A1618" s="2332" t="s">
        <v>3520</v>
      </c>
      <c r="B1618" s="2185" t="s">
        <v>3780</v>
      </c>
      <c r="C1618" s="2296" t="s">
        <v>3453</v>
      </c>
      <c r="D1618" s="2296"/>
      <c r="E1618" s="2333" t="s">
        <v>3525</v>
      </c>
      <c r="F1618" s="2333" t="s">
        <v>3457</v>
      </c>
      <c r="G1618" s="2185" t="s">
        <v>3526</v>
      </c>
      <c r="H1618" s="2333"/>
      <c r="I1618" s="2334"/>
      <c r="J1618" s="2185"/>
      <c r="K1618" s="2336"/>
      <c r="L1618" s="2335"/>
      <c r="M1618" s="1951"/>
      <c r="N1618" s="1962"/>
      <c r="O1618" s="1961">
        <v>13014</v>
      </c>
      <c r="P1618" s="1951">
        <v>13612</v>
      </c>
      <c r="Q1618" s="1960">
        <v>14239</v>
      </c>
    </row>
    <row r="1619" spans="1:17" ht="12.75" customHeight="1">
      <c r="A1619" s="2332" t="s">
        <v>3479</v>
      </c>
      <c r="B1619" s="2185" t="s">
        <v>3998</v>
      </c>
      <c r="C1619" s="2296" t="s">
        <v>3999</v>
      </c>
      <c r="D1619" s="2296"/>
      <c r="E1619" s="2333" t="s">
        <v>3525</v>
      </c>
      <c r="F1619" s="2333" t="s">
        <v>3457</v>
      </c>
      <c r="G1619" s="2185" t="s">
        <v>3526</v>
      </c>
      <c r="H1619" s="2333"/>
      <c r="I1619" s="2334"/>
      <c r="J1619" s="2185"/>
      <c r="K1619" s="2336"/>
      <c r="L1619" s="2335"/>
      <c r="M1619" s="1951"/>
      <c r="N1619" s="1962"/>
      <c r="O1619" s="1961">
        <v>241000</v>
      </c>
      <c r="P1619" s="1951">
        <v>252086</v>
      </c>
      <c r="Q1619" s="1960">
        <v>263682</v>
      </c>
    </row>
    <row r="1620" spans="1:17" ht="12.75" customHeight="1">
      <c r="A1620" s="2332" t="s">
        <v>3459</v>
      </c>
      <c r="B1620" s="2185" t="s">
        <v>3616</v>
      </c>
      <c r="C1620" s="2296" t="s">
        <v>3453</v>
      </c>
      <c r="D1620" s="2296"/>
      <c r="E1620" s="2333" t="s">
        <v>3525</v>
      </c>
      <c r="F1620" s="2333" t="s">
        <v>3457</v>
      </c>
      <c r="G1620" s="2185" t="s">
        <v>3526</v>
      </c>
      <c r="H1620" s="2333"/>
      <c r="I1620" s="2334"/>
      <c r="J1620" s="2185"/>
      <c r="K1620" s="2336"/>
      <c r="L1620" s="2335"/>
      <c r="M1620" s="1951"/>
      <c r="N1620" s="1962"/>
      <c r="O1620" s="1961">
        <v>59147</v>
      </c>
      <c r="P1620" s="1951">
        <v>61868</v>
      </c>
      <c r="Q1620" s="1960">
        <v>64714</v>
      </c>
    </row>
    <row r="1621" spans="1:17" ht="12.75" customHeight="1">
      <c r="A1621" s="2332" t="s">
        <v>3558</v>
      </c>
      <c r="B1621" s="2185" t="s">
        <v>3696</v>
      </c>
      <c r="C1621" s="2296" t="s">
        <v>3453</v>
      </c>
      <c r="D1621" s="2296"/>
      <c r="E1621" s="2333" t="s">
        <v>3525</v>
      </c>
      <c r="F1621" s="2333" t="s">
        <v>3457</v>
      </c>
      <c r="G1621" s="2185" t="s">
        <v>3526</v>
      </c>
      <c r="H1621" s="2333"/>
      <c r="I1621" s="2334"/>
      <c r="J1621" s="2185"/>
      <c r="K1621" s="2336"/>
      <c r="L1621" s="2335"/>
      <c r="M1621" s="1951"/>
      <c r="N1621" s="1962"/>
      <c r="O1621" s="1961">
        <v>285012</v>
      </c>
      <c r="P1621" s="1951">
        <v>298123</v>
      </c>
      <c r="Q1621" s="1960">
        <v>311837</v>
      </c>
    </row>
    <row r="1622" spans="1:17" ht="12.75" customHeight="1">
      <c r="A1622" s="2332" t="s">
        <v>3459</v>
      </c>
      <c r="B1622" s="2185" t="s">
        <v>4000</v>
      </c>
      <c r="C1622" s="2296" t="s">
        <v>3453</v>
      </c>
      <c r="D1622" s="2296"/>
      <c r="E1622" s="2333" t="s">
        <v>3525</v>
      </c>
      <c r="F1622" s="2333" t="s">
        <v>3457</v>
      </c>
      <c r="G1622" s="2185" t="s">
        <v>3526</v>
      </c>
      <c r="H1622" s="2333"/>
      <c r="I1622" s="2334"/>
      <c r="J1622" s="2185"/>
      <c r="K1622" s="2336"/>
      <c r="L1622" s="2335"/>
      <c r="M1622" s="1951"/>
      <c r="N1622" s="1962"/>
      <c r="O1622" s="1961">
        <v>592</v>
      </c>
      <c r="P1622" s="1951">
        <v>620</v>
      </c>
      <c r="Q1622" s="1960">
        <v>648</v>
      </c>
    </row>
    <row r="1623" spans="1:17" ht="12.75" customHeight="1">
      <c r="A1623" s="2332" t="s">
        <v>3459</v>
      </c>
      <c r="B1623" s="2185" t="s">
        <v>3645</v>
      </c>
      <c r="C1623" s="2296" t="s">
        <v>3453</v>
      </c>
      <c r="D1623" s="2296"/>
      <c r="E1623" s="2333" t="s">
        <v>3525</v>
      </c>
      <c r="F1623" s="2333" t="s">
        <v>3457</v>
      </c>
      <c r="G1623" s="2185" t="s">
        <v>3526</v>
      </c>
      <c r="H1623" s="2333"/>
      <c r="I1623" s="2334"/>
      <c r="J1623" s="2185"/>
      <c r="K1623" s="2336"/>
      <c r="L1623" s="2335"/>
      <c r="M1623" s="1951"/>
      <c r="N1623" s="1962"/>
      <c r="O1623" s="1961">
        <v>3150</v>
      </c>
      <c r="P1623" s="1951">
        <v>3295</v>
      </c>
      <c r="Q1623" s="1960">
        <v>3447</v>
      </c>
    </row>
    <row r="1624" spans="1:17" ht="12.75" customHeight="1">
      <c r="A1624" s="2332" t="s">
        <v>3531</v>
      </c>
      <c r="B1624" s="2185" t="s">
        <v>3532</v>
      </c>
      <c r="C1624" s="2296" t="s">
        <v>3453</v>
      </c>
      <c r="D1624" s="2296"/>
      <c r="E1624" s="2333" t="s">
        <v>3525</v>
      </c>
      <c r="F1624" s="2333" t="s">
        <v>3457</v>
      </c>
      <c r="G1624" s="2185" t="s">
        <v>3526</v>
      </c>
      <c r="H1624" s="2333"/>
      <c r="I1624" s="2334"/>
      <c r="J1624" s="2185"/>
      <c r="K1624" s="2336"/>
      <c r="L1624" s="2335"/>
      <c r="M1624" s="1951"/>
      <c r="N1624" s="1962"/>
      <c r="O1624" s="1961">
        <v>0</v>
      </c>
      <c r="P1624" s="1951">
        <v>0</v>
      </c>
      <c r="Q1624" s="1960">
        <v>0</v>
      </c>
    </row>
    <row r="1625" spans="1:17" ht="12.75" customHeight="1">
      <c r="A1625" s="2332" t="s">
        <v>3520</v>
      </c>
      <c r="B1625" s="2185" t="s">
        <v>3668</v>
      </c>
      <c r="C1625" s="2296" t="s">
        <v>3453</v>
      </c>
      <c r="D1625" s="2296"/>
      <c r="E1625" s="2333" t="s">
        <v>3525</v>
      </c>
      <c r="F1625" s="2333" t="s">
        <v>3457</v>
      </c>
      <c r="G1625" s="2185" t="s">
        <v>3526</v>
      </c>
      <c r="H1625" s="2333"/>
      <c r="I1625" s="2334"/>
      <c r="J1625" s="2185"/>
      <c r="K1625" s="2336"/>
      <c r="L1625" s="2335"/>
      <c r="M1625" s="1951"/>
      <c r="N1625" s="1962"/>
      <c r="O1625" s="1961">
        <v>724165</v>
      </c>
      <c r="P1625" s="1951">
        <v>757477</v>
      </c>
      <c r="Q1625" s="1960">
        <v>792321</v>
      </c>
    </row>
    <row r="1626" spans="1:17" ht="12.75" customHeight="1">
      <c r="A1626" s="2332" t="s">
        <v>3459</v>
      </c>
      <c r="B1626" s="2185" t="s">
        <v>3460</v>
      </c>
      <c r="C1626" s="2296" t="s">
        <v>3453</v>
      </c>
      <c r="D1626" s="2296"/>
      <c r="E1626" s="2333" t="s">
        <v>3525</v>
      </c>
      <c r="F1626" s="2333" t="s">
        <v>3457</v>
      </c>
      <c r="G1626" s="2185" t="s">
        <v>3526</v>
      </c>
      <c r="H1626" s="2333"/>
      <c r="I1626" s="2334"/>
      <c r="J1626" s="2185"/>
      <c r="K1626" s="2336"/>
      <c r="L1626" s="2335"/>
      <c r="M1626" s="1951"/>
      <c r="N1626" s="1962"/>
      <c r="O1626" s="1961">
        <v>8006</v>
      </c>
      <c r="P1626" s="1951">
        <v>8375</v>
      </c>
      <c r="Q1626" s="1960">
        <v>8760</v>
      </c>
    </row>
    <row r="1627" spans="1:17" ht="12.75" customHeight="1">
      <c r="A1627" s="2332" t="s">
        <v>3510</v>
      </c>
      <c r="B1627" s="2185" t="s">
        <v>3511</v>
      </c>
      <c r="C1627" s="2296" t="s">
        <v>3453</v>
      </c>
      <c r="D1627" s="2296"/>
      <c r="E1627" s="2333" t="s">
        <v>3525</v>
      </c>
      <c r="F1627" s="2333" t="s">
        <v>3457</v>
      </c>
      <c r="G1627" s="2185" t="s">
        <v>3526</v>
      </c>
      <c r="H1627" s="2333"/>
      <c r="I1627" s="2334"/>
      <c r="J1627" s="2185"/>
      <c r="K1627" s="2336"/>
      <c r="L1627" s="2335"/>
      <c r="M1627" s="1951"/>
      <c r="N1627" s="1962"/>
      <c r="O1627" s="1961">
        <v>178</v>
      </c>
      <c r="P1627" s="1951">
        <v>187</v>
      </c>
      <c r="Q1627" s="1960">
        <v>195</v>
      </c>
    </row>
    <row r="1628" spans="1:17" ht="12.75" customHeight="1">
      <c r="A1628" s="2332" t="s">
        <v>3531</v>
      </c>
      <c r="B1628" s="2185" t="s">
        <v>3532</v>
      </c>
      <c r="C1628" s="2296" t="s">
        <v>3453</v>
      </c>
      <c r="D1628" s="2296"/>
      <c r="E1628" s="2333" t="s">
        <v>3525</v>
      </c>
      <c r="F1628" s="2333" t="s">
        <v>3457</v>
      </c>
      <c r="G1628" s="2185" t="s">
        <v>3526</v>
      </c>
      <c r="H1628" s="2333"/>
      <c r="I1628" s="2334"/>
      <c r="J1628" s="2185"/>
      <c r="K1628" s="2336"/>
      <c r="L1628" s="2335"/>
      <c r="M1628" s="1951"/>
      <c r="N1628" s="1962"/>
      <c r="O1628" s="1961">
        <v>0</v>
      </c>
      <c r="P1628" s="1951">
        <v>0</v>
      </c>
      <c r="Q1628" s="1960">
        <v>0</v>
      </c>
    </row>
    <row r="1629" spans="1:17" ht="12.75" customHeight="1">
      <c r="A1629" s="2332" t="s">
        <v>3454</v>
      </c>
      <c r="B1629" s="2185" t="s">
        <v>3574</v>
      </c>
      <c r="C1629" s="2296" t="s">
        <v>3453</v>
      </c>
      <c r="D1629" s="2296"/>
      <c r="E1629" s="2333" t="s">
        <v>3525</v>
      </c>
      <c r="F1629" s="2333" t="s">
        <v>3457</v>
      </c>
      <c r="G1629" s="2185" t="s">
        <v>3526</v>
      </c>
      <c r="H1629" s="2333"/>
      <c r="I1629" s="2334"/>
      <c r="J1629" s="2185"/>
      <c r="K1629" s="2336"/>
      <c r="L1629" s="2335"/>
      <c r="M1629" s="1951"/>
      <c r="N1629" s="1962"/>
      <c r="O1629" s="1961">
        <v>0</v>
      </c>
      <c r="P1629" s="1951">
        <v>0</v>
      </c>
      <c r="Q1629" s="1960">
        <v>0</v>
      </c>
    </row>
    <row r="1630" spans="1:17" ht="12.75" customHeight="1">
      <c r="A1630" s="2332" t="s">
        <v>3459</v>
      </c>
      <c r="B1630" s="2185" t="s">
        <v>3460</v>
      </c>
      <c r="C1630" s="2296" t="s">
        <v>3453</v>
      </c>
      <c r="D1630" s="2296"/>
      <c r="E1630" s="2333" t="s">
        <v>3525</v>
      </c>
      <c r="F1630" s="2333" t="s">
        <v>3457</v>
      </c>
      <c r="G1630" s="2185" t="s">
        <v>3526</v>
      </c>
      <c r="H1630" s="2333"/>
      <c r="I1630" s="2334"/>
      <c r="J1630" s="2185"/>
      <c r="K1630" s="2336"/>
      <c r="L1630" s="2335"/>
      <c r="M1630" s="1951"/>
      <c r="N1630" s="1962"/>
      <c r="O1630" s="1961">
        <v>359</v>
      </c>
      <c r="P1630" s="1951">
        <v>376</v>
      </c>
      <c r="Q1630" s="1960">
        <v>393</v>
      </c>
    </row>
    <row r="1631" spans="1:17" ht="12.75" customHeight="1">
      <c r="A1631" s="2332" t="s">
        <v>3531</v>
      </c>
      <c r="B1631" s="2185" t="s">
        <v>3593</v>
      </c>
      <c r="C1631" s="2296" t="s">
        <v>3453</v>
      </c>
      <c r="D1631" s="2296"/>
      <c r="E1631" s="2333" t="s">
        <v>3525</v>
      </c>
      <c r="F1631" s="2333" t="s">
        <v>3457</v>
      </c>
      <c r="G1631" s="2185" t="s">
        <v>3526</v>
      </c>
      <c r="H1631" s="2333"/>
      <c r="I1631" s="2334"/>
      <c r="J1631" s="2185"/>
      <c r="K1631" s="2336"/>
      <c r="L1631" s="2335"/>
      <c r="M1631" s="1951"/>
      <c r="N1631" s="1962"/>
      <c r="O1631" s="1961">
        <v>393271</v>
      </c>
      <c r="P1631" s="1951">
        <v>414508</v>
      </c>
      <c r="Q1631" s="1960">
        <v>436891</v>
      </c>
    </row>
    <row r="1632" spans="1:17" ht="12.75" customHeight="1">
      <c r="A1632" s="2332" t="s">
        <v>3499</v>
      </c>
      <c r="B1632" s="2185" t="s">
        <v>4001</v>
      </c>
      <c r="C1632" s="2296" t="s">
        <v>3453</v>
      </c>
      <c r="D1632" s="2296"/>
      <c r="E1632" s="2333" t="s">
        <v>3525</v>
      </c>
      <c r="F1632" s="2333" t="s">
        <v>3457</v>
      </c>
      <c r="G1632" s="2185" t="s">
        <v>3526</v>
      </c>
      <c r="H1632" s="2333"/>
      <c r="I1632" s="2334"/>
      <c r="J1632" s="2185"/>
      <c r="K1632" s="2336"/>
      <c r="L1632" s="2335"/>
      <c r="M1632" s="1951"/>
      <c r="N1632" s="1962"/>
      <c r="O1632" s="1961">
        <v>434110</v>
      </c>
      <c r="P1632" s="1951">
        <v>434110</v>
      </c>
      <c r="Q1632" s="1960">
        <v>454080</v>
      </c>
    </row>
    <row r="1633" spans="1:17" ht="12.75" customHeight="1">
      <c r="A1633" s="2332" t="s">
        <v>3454</v>
      </c>
      <c r="B1633" s="2185" t="s">
        <v>3512</v>
      </c>
      <c r="C1633" s="2296" t="s">
        <v>3453</v>
      </c>
      <c r="D1633" s="2296"/>
      <c r="E1633" s="2333" t="s">
        <v>3525</v>
      </c>
      <c r="F1633" s="2333" t="s">
        <v>3457</v>
      </c>
      <c r="G1633" s="2185" t="s">
        <v>3526</v>
      </c>
      <c r="H1633" s="2333"/>
      <c r="I1633" s="2334"/>
      <c r="J1633" s="2185"/>
      <c r="K1633" s="2336"/>
      <c r="L1633" s="2335"/>
      <c r="M1633" s="1951"/>
      <c r="N1633" s="1962"/>
      <c r="O1633" s="1961">
        <v>0</v>
      </c>
      <c r="P1633" s="1951">
        <v>0</v>
      </c>
      <c r="Q1633" s="1960">
        <v>0</v>
      </c>
    </row>
    <row r="1634" spans="1:17" ht="12.75" customHeight="1">
      <c r="A1634" s="2332" t="s">
        <v>3487</v>
      </c>
      <c r="B1634" s="2185" t="s">
        <v>4002</v>
      </c>
      <c r="C1634" s="2296" t="s">
        <v>3735</v>
      </c>
      <c r="D1634" s="2296"/>
      <c r="E1634" s="2333" t="s">
        <v>3525</v>
      </c>
      <c r="F1634" s="2333" t="s">
        <v>3457</v>
      </c>
      <c r="G1634" s="2185" t="s">
        <v>3526</v>
      </c>
      <c r="H1634" s="2333"/>
      <c r="I1634" s="2334"/>
      <c r="J1634" s="2185"/>
      <c r="K1634" s="2336"/>
      <c r="L1634" s="2335"/>
      <c r="M1634" s="1951"/>
      <c r="N1634" s="1962"/>
      <c r="O1634" s="1961">
        <v>36440</v>
      </c>
      <c r="P1634" s="1951">
        <v>38117</v>
      </c>
      <c r="Q1634" s="1960">
        <v>39870</v>
      </c>
    </row>
    <row r="1635" spans="1:17" ht="12.75" customHeight="1">
      <c r="A1635" s="2332" t="s">
        <v>3576</v>
      </c>
      <c r="B1635" s="2185" t="s">
        <v>3577</v>
      </c>
      <c r="C1635" s="2296" t="s">
        <v>3453</v>
      </c>
      <c r="D1635" s="2296"/>
      <c r="E1635" s="2333" t="s">
        <v>3525</v>
      </c>
      <c r="F1635" s="2333" t="s">
        <v>3457</v>
      </c>
      <c r="G1635" s="2185" t="s">
        <v>3526</v>
      </c>
      <c r="H1635" s="2333"/>
      <c r="I1635" s="2334"/>
      <c r="J1635" s="2185"/>
      <c r="K1635" s="2336"/>
      <c r="L1635" s="2335"/>
      <c r="M1635" s="1951"/>
      <c r="N1635" s="1962"/>
      <c r="O1635" s="1961">
        <v>1500</v>
      </c>
      <c r="P1635" s="1951">
        <v>1569</v>
      </c>
      <c r="Q1635" s="1960">
        <v>1642</v>
      </c>
    </row>
    <row r="1636" spans="1:17" ht="12.75" customHeight="1">
      <c r="A1636" s="2332" t="s">
        <v>3543</v>
      </c>
      <c r="B1636" s="2185" t="s">
        <v>3587</v>
      </c>
      <c r="C1636" s="2296" t="s">
        <v>3453</v>
      </c>
      <c r="D1636" s="2296"/>
      <c r="E1636" s="2333" t="s">
        <v>3525</v>
      </c>
      <c r="F1636" s="2333" t="s">
        <v>3457</v>
      </c>
      <c r="G1636" s="2185" t="s">
        <v>3526</v>
      </c>
      <c r="H1636" s="2333"/>
      <c r="I1636" s="2334"/>
      <c r="J1636" s="2185"/>
      <c r="K1636" s="2336"/>
      <c r="L1636" s="2335"/>
      <c r="M1636" s="1951"/>
      <c r="N1636" s="1962"/>
      <c r="O1636" s="1961">
        <v>0</v>
      </c>
      <c r="P1636" s="1951">
        <v>0</v>
      </c>
      <c r="Q1636" s="1960">
        <v>0</v>
      </c>
    </row>
    <row r="1637" spans="1:17" ht="12.75" customHeight="1">
      <c r="A1637" s="2332" t="s">
        <v>3459</v>
      </c>
      <c r="B1637" s="2185" t="s">
        <v>4003</v>
      </c>
      <c r="C1637" s="2296" t="s">
        <v>3453</v>
      </c>
      <c r="D1637" s="2296"/>
      <c r="E1637" s="2333" t="s">
        <v>3525</v>
      </c>
      <c r="F1637" s="2333" t="s">
        <v>3457</v>
      </c>
      <c r="G1637" s="2185" t="s">
        <v>3526</v>
      </c>
      <c r="H1637" s="2333"/>
      <c r="I1637" s="2334"/>
      <c r="J1637" s="2185"/>
      <c r="K1637" s="2336"/>
      <c r="L1637" s="2335"/>
      <c r="M1637" s="1951"/>
      <c r="N1637" s="1962"/>
      <c r="O1637" s="1961">
        <v>31931</v>
      </c>
      <c r="P1637" s="1951">
        <v>33400</v>
      </c>
      <c r="Q1637" s="1960">
        <v>34937</v>
      </c>
    </row>
    <row r="1638" spans="1:17" ht="12.75" customHeight="1">
      <c r="A1638" s="2332" t="s">
        <v>3479</v>
      </c>
      <c r="B1638" s="2185" t="s">
        <v>3550</v>
      </c>
      <c r="C1638" s="2296" t="s">
        <v>3453</v>
      </c>
      <c r="D1638" s="2296"/>
      <c r="E1638" s="2333" t="s">
        <v>3525</v>
      </c>
      <c r="F1638" s="2333" t="s">
        <v>3457</v>
      </c>
      <c r="G1638" s="2185" t="s">
        <v>3526</v>
      </c>
      <c r="H1638" s="2333"/>
      <c r="I1638" s="2334"/>
      <c r="J1638" s="2185"/>
      <c r="K1638" s="2336"/>
      <c r="L1638" s="2335"/>
      <c r="M1638" s="1951"/>
      <c r="N1638" s="1962"/>
      <c r="O1638" s="1961">
        <v>1797</v>
      </c>
      <c r="P1638" s="1951">
        <v>1880</v>
      </c>
      <c r="Q1638" s="1960">
        <v>1967</v>
      </c>
    </row>
    <row r="1639" spans="1:17" ht="12.75" customHeight="1">
      <c r="A1639" s="2332" t="s">
        <v>3459</v>
      </c>
      <c r="B1639" s="2185" t="s">
        <v>4004</v>
      </c>
      <c r="C1639" s="2296" t="s">
        <v>3453</v>
      </c>
      <c r="D1639" s="2296"/>
      <c r="E1639" s="2333" t="s">
        <v>3525</v>
      </c>
      <c r="F1639" s="2333" t="s">
        <v>3457</v>
      </c>
      <c r="G1639" s="2185" t="s">
        <v>3526</v>
      </c>
      <c r="H1639" s="2333"/>
      <c r="I1639" s="2334"/>
      <c r="J1639" s="2185"/>
      <c r="K1639" s="2336"/>
      <c r="L1639" s="2335"/>
      <c r="M1639" s="1951"/>
      <c r="N1639" s="1962"/>
      <c r="O1639" s="1961">
        <v>0</v>
      </c>
      <c r="P1639" s="1951">
        <v>0</v>
      </c>
      <c r="Q1639" s="1960">
        <v>0</v>
      </c>
    </row>
    <row r="1640" spans="1:17" ht="12.75" customHeight="1">
      <c r="A1640" s="2332" t="s">
        <v>3451</v>
      </c>
      <c r="B1640" s="2185" t="s">
        <v>3452</v>
      </c>
      <c r="C1640" s="2296" t="s">
        <v>3453</v>
      </c>
      <c r="D1640" s="2296"/>
      <c r="E1640" s="2333" t="s">
        <v>3525</v>
      </c>
      <c r="F1640" s="2333" t="s">
        <v>3457</v>
      </c>
      <c r="G1640" s="2185" t="s">
        <v>3526</v>
      </c>
      <c r="H1640" s="2333"/>
      <c r="I1640" s="2334"/>
      <c r="J1640" s="2185"/>
      <c r="K1640" s="2336"/>
      <c r="L1640" s="2335"/>
      <c r="M1640" s="1951"/>
      <c r="N1640" s="1962"/>
      <c r="O1640" s="1961">
        <v>24351</v>
      </c>
      <c r="P1640" s="1951">
        <v>25472</v>
      </c>
      <c r="Q1640" s="1960">
        <v>26644</v>
      </c>
    </row>
    <row r="1641" spans="1:17" ht="12.75" customHeight="1">
      <c r="A1641" s="2332" t="s">
        <v>3483</v>
      </c>
      <c r="B1641" s="2185" t="s">
        <v>3484</v>
      </c>
      <c r="C1641" s="2296" t="s">
        <v>3453</v>
      </c>
      <c r="D1641" s="2296"/>
      <c r="E1641" s="2333" t="s">
        <v>3525</v>
      </c>
      <c r="F1641" s="2333" t="s">
        <v>3457</v>
      </c>
      <c r="G1641" s="2185" t="s">
        <v>3526</v>
      </c>
      <c r="H1641" s="2333"/>
      <c r="I1641" s="2334"/>
      <c r="J1641" s="2185"/>
      <c r="K1641" s="2336"/>
      <c r="L1641" s="2335"/>
      <c r="M1641" s="1951"/>
      <c r="N1641" s="1962"/>
      <c r="O1641" s="1961">
        <v>77403</v>
      </c>
      <c r="P1641" s="1951">
        <v>80964</v>
      </c>
      <c r="Q1641" s="1960">
        <v>84688</v>
      </c>
    </row>
    <row r="1642" spans="1:17" ht="12.75" customHeight="1">
      <c r="A1642" s="2332" t="s">
        <v>3520</v>
      </c>
      <c r="B1642" s="2185" t="s">
        <v>3603</v>
      </c>
      <c r="C1642" s="2296" t="s">
        <v>3453</v>
      </c>
      <c r="D1642" s="2296"/>
      <c r="E1642" s="2333" t="s">
        <v>3525</v>
      </c>
      <c r="F1642" s="2333" t="s">
        <v>3457</v>
      </c>
      <c r="G1642" s="2185" t="s">
        <v>3526</v>
      </c>
      <c r="H1642" s="2333"/>
      <c r="I1642" s="2334"/>
      <c r="J1642" s="2185"/>
      <c r="K1642" s="2336"/>
      <c r="L1642" s="2335"/>
      <c r="M1642" s="1951"/>
      <c r="N1642" s="1962"/>
      <c r="O1642" s="1961">
        <v>16384</v>
      </c>
      <c r="P1642" s="1951">
        <v>17138</v>
      </c>
      <c r="Q1642" s="1960">
        <v>17926</v>
      </c>
    </row>
    <row r="1643" spans="1:17" ht="12.75" customHeight="1">
      <c r="A1643" s="2332" t="s">
        <v>3584</v>
      </c>
      <c r="B1643" s="2185" t="s">
        <v>4005</v>
      </c>
      <c r="C1643" s="2296" t="s">
        <v>3453</v>
      </c>
      <c r="D1643" s="2296"/>
      <c r="E1643" s="2333" t="s">
        <v>3525</v>
      </c>
      <c r="F1643" s="2333" t="s">
        <v>3457</v>
      </c>
      <c r="G1643" s="2185" t="s">
        <v>3526</v>
      </c>
      <c r="H1643" s="2333"/>
      <c r="I1643" s="2334"/>
      <c r="J1643" s="2185"/>
      <c r="K1643" s="2336"/>
      <c r="L1643" s="2335"/>
      <c r="M1643" s="1951"/>
      <c r="N1643" s="1962"/>
      <c r="O1643" s="1961">
        <v>3000</v>
      </c>
      <c r="P1643" s="1951">
        <v>3138</v>
      </c>
      <c r="Q1643" s="1960">
        <v>3283</v>
      </c>
    </row>
    <row r="1644" spans="1:17" ht="12.75" customHeight="1">
      <c r="A1644" s="2332" t="s">
        <v>3538</v>
      </c>
      <c r="B1644" s="2185" t="s">
        <v>3678</v>
      </c>
      <c r="C1644" s="2296" t="s">
        <v>3453</v>
      </c>
      <c r="D1644" s="2296"/>
      <c r="E1644" s="2333" t="s">
        <v>3525</v>
      </c>
      <c r="F1644" s="2333" t="s">
        <v>3457</v>
      </c>
      <c r="G1644" s="2185" t="s">
        <v>3526</v>
      </c>
      <c r="H1644" s="2333"/>
      <c r="I1644" s="2334"/>
      <c r="J1644" s="2185"/>
      <c r="K1644" s="2336"/>
      <c r="L1644" s="2335"/>
      <c r="M1644" s="1951"/>
      <c r="N1644" s="1962"/>
      <c r="O1644" s="1961">
        <v>0</v>
      </c>
      <c r="P1644" s="1951">
        <v>0</v>
      </c>
      <c r="Q1644" s="1960">
        <v>0</v>
      </c>
    </row>
    <row r="1645" spans="1:17" ht="12.75" customHeight="1">
      <c r="A1645" s="2332" t="s">
        <v>3464</v>
      </c>
      <c r="B1645" s="2185" t="s">
        <v>4006</v>
      </c>
      <c r="C1645" s="2296" t="s">
        <v>3453</v>
      </c>
      <c r="D1645" s="2296"/>
      <c r="E1645" s="2333" t="s">
        <v>3525</v>
      </c>
      <c r="F1645" s="2333" t="s">
        <v>3457</v>
      </c>
      <c r="G1645" s="2185" t="s">
        <v>3526</v>
      </c>
      <c r="H1645" s="2333"/>
      <c r="I1645" s="2334"/>
      <c r="J1645" s="2185"/>
      <c r="K1645" s="2336"/>
      <c r="L1645" s="2335"/>
      <c r="M1645" s="1951"/>
      <c r="N1645" s="1962"/>
      <c r="O1645" s="1961">
        <v>148730</v>
      </c>
      <c r="P1645" s="1951">
        <v>155572</v>
      </c>
      <c r="Q1645" s="1960">
        <v>162728</v>
      </c>
    </row>
    <row r="1646" spans="1:17" ht="12.75" customHeight="1">
      <c r="A1646" s="2332" t="s">
        <v>3576</v>
      </c>
      <c r="B1646" s="2185" t="s">
        <v>4007</v>
      </c>
      <c r="C1646" s="2296" t="s">
        <v>4008</v>
      </c>
      <c r="D1646" s="2296"/>
      <c r="E1646" s="2333" t="s">
        <v>3525</v>
      </c>
      <c r="F1646" s="2333" t="s">
        <v>3457</v>
      </c>
      <c r="G1646" s="2185" t="s">
        <v>3526</v>
      </c>
      <c r="H1646" s="2333"/>
      <c r="I1646" s="2334"/>
      <c r="J1646" s="2185"/>
      <c r="K1646" s="2336"/>
      <c r="L1646" s="2335"/>
      <c r="M1646" s="1951"/>
      <c r="N1646" s="1962"/>
      <c r="O1646" s="1961">
        <v>45000</v>
      </c>
      <c r="P1646" s="1951">
        <v>47070</v>
      </c>
      <c r="Q1646" s="1960">
        <v>49236</v>
      </c>
    </row>
    <row r="1647" spans="1:17" ht="12.75" customHeight="1">
      <c r="A1647" s="2332" t="s">
        <v>3565</v>
      </c>
      <c r="B1647" s="2185" t="s">
        <v>4009</v>
      </c>
      <c r="C1647" s="2296" t="s">
        <v>3472</v>
      </c>
      <c r="D1647" s="2296"/>
      <c r="E1647" s="2333" t="s">
        <v>3525</v>
      </c>
      <c r="F1647" s="2333" t="s">
        <v>3457</v>
      </c>
      <c r="G1647" s="2185" t="s">
        <v>3526</v>
      </c>
      <c r="H1647" s="2333"/>
      <c r="I1647" s="2334"/>
      <c r="J1647" s="2185"/>
      <c r="K1647" s="2336"/>
      <c r="L1647" s="2335"/>
      <c r="M1647" s="1951"/>
      <c r="N1647" s="1962"/>
      <c r="O1647" s="1961">
        <v>699</v>
      </c>
      <c r="P1647" s="1951">
        <v>732</v>
      </c>
      <c r="Q1647" s="1960">
        <v>765</v>
      </c>
    </row>
    <row r="1648" spans="1:17" ht="12.75" customHeight="1">
      <c r="A1648" s="2332" t="s">
        <v>3572</v>
      </c>
      <c r="B1648" s="2185" t="s">
        <v>3688</v>
      </c>
      <c r="C1648" s="2296" t="s">
        <v>3453</v>
      </c>
      <c r="D1648" s="2296"/>
      <c r="E1648" s="2333" t="s">
        <v>3525</v>
      </c>
      <c r="F1648" s="2333" t="s">
        <v>3457</v>
      </c>
      <c r="G1648" s="2185" t="s">
        <v>3526</v>
      </c>
      <c r="H1648" s="2333"/>
      <c r="I1648" s="2334"/>
      <c r="J1648" s="2185"/>
      <c r="K1648" s="2336"/>
      <c r="L1648" s="2335"/>
      <c r="M1648" s="1951"/>
      <c r="N1648" s="1962"/>
      <c r="O1648" s="1961">
        <v>90000</v>
      </c>
      <c r="P1648" s="1951">
        <v>94140</v>
      </c>
      <c r="Q1648" s="1960">
        <v>98471</v>
      </c>
    </row>
    <row r="1649" spans="1:17" ht="12.75" customHeight="1">
      <c r="A1649" s="2332" t="s">
        <v>3454</v>
      </c>
      <c r="B1649" s="2185" t="s">
        <v>3675</v>
      </c>
      <c r="C1649" s="2296" t="s">
        <v>3453</v>
      </c>
      <c r="D1649" s="2296"/>
      <c r="E1649" s="2333" t="s">
        <v>3525</v>
      </c>
      <c r="F1649" s="2333" t="s">
        <v>3457</v>
      </c>
      <c r="G1649" s="2185" t="s">
        <v>3526</v>
      </c>
      <c r="H1649" s="2333"/>
      <c r="I1649" s="2334"/>
      <c r="J1649" s="2185"/>
      <c r="K1649" s="2336"/>
      <c r="L1649" s="2335"/>
      <c r="M1649" s="1951"/>
      <c r="N1649" s="1962"/>
      <c r="O1649" s="1961">
        <v>211000</v>
      </c>
      <c r="P1649" s="1951">
        <v>220706</v>
      </c>
      <c r="Q1649" s="1960">
        <v>230859</v>
      </c>
    </row>
    <row r="1650" spans="1:17" ht="12.75" customHeight="1">
      <c r="A1650" s="2332" t="s">
        <v>3459</v>
      </c>
      <c r="B1650" s="2185" t="s">
        <v>3709</v>
      </c>
      <c r="C1650" s="2296" t="s">
        <v>3453</v>
      </c>
      <c r="D1650" s="2296"/>
      <c r="E1650" s="2333" t="s">
        <v>3525</v>
      </c>
      <c r="F1650" s="2333" t="s">
        <v>3457</v>
      </c>
      <c r="G1650" s="2185" t="s">
        <v>3526</v>
      </c>
      <c r="H1650" s="2333"/>
      <c r="I1650" s="2334"/>
      <c r="J1650" s="2185"/>
      <c r="K1650" s="2336"/>
      <c r="L1650" s="2335"/>
      <c r="M1650" s="1951"/>
      <c r="N1650" s="1962"/>
      <c r="O1650" s="1961">
        <v>0</v>
      </c>
      <c r="P1650" s="1951">
        <v>0</v>
      </c>
      <c r="Q1650" s="1960">
        <v>0</v>
      </c>
    </row>
    <row r="1651" spans="1:17" ht="12.75" customHeight="1">
      <c r="A1651" s="2332" t="s">
        <v>3572</v>
      </c>
      <c r="B1651" s="2185" t="s">
        <v>3573</v>
      </c>
      <c r="C1651" s="2296" t="s">
        <v>3453</v>
      </c>
      <c r="D1651" s="2296"/>
      <c r="E1651" s="2333" t="s">
        <v>3525</v>
      </c>
      <c r="F1651" s="2333" t="s">
        <v>3457</v>
      </c>
      <c r="G1651" s="2185" t="s">
        <v>3526</v>
      </c>
      <c r="H1651" s="2333"/>
      <c r="I1651" s="2334"/>
      <c r="J1651" s="2185"/>
      <c r="K1651" s="2336"/>
      <c r="L1651" s="2335"/>
      <c r="M1651" s="1951"/>
      <c r="N1651" s="1962"/>
      <c r="O1651" s="1961">
        <v>111839</v>
      </c>
      <c r="P1651" s="1951">
        <v>116984</v>
      </c>
      <c r="Q1651" s="1960">
        <v>122365</v>
      </c>
    </row>
    <row r="1652" spans="1:17" ht="12.75" customHeight="1">
      <c r="A1652" s="2332" t="s">
        <v>3464</v>
      </c>
      <c r="B1652" s="2185" t="s">
        <v>4010</v>
      </c>
      <c r="C1652" s="2296" t="s">
        <v>3453</v>
      </c>
      <c r="D1652" s="2296"/>
      <c r="E1652" s="2333" t="s">
        <v>3525</v>
      </c>
      <c r="F1652" s="2333" t="s">
        <v>3457</v>
      </c>
      <c r="G1652" s="2185" t="s">
        <v>3526</v>
      </c>
      <c r="H1652" s="2333"/>
      <c r="I1652" s="2334"/>
      <c r="J1652" s="2185"/>
      <c r="K1652" s="2336"/>
      <c r="L1652" s="2335"/>
      <c r="M1652" s="1951"/>
      <c r="N1652" s="1962"/>
      <c r="O1652" s="1961">
        <v>53000</v>
      </c>
      <c r="P1652" s="1951">
        <v>55438</v>
      </c>
      <c r="Q1652" s="1960">
        <v>57989</v>
      </c>
    </row>
    <row r="1653" spans="1:17" ht="12.75" customHeight="1">
      <c r="A1653" s="2332" t="s">
        <v>3523</v>
      </c>
      <c r="B1653" s="2185" t="s">
        <v>3535</v>
      </c>
      <c r="C1653" s="2296" t="s">
        <v>3453</v>
      </c>
      <c r="D1653" s="2296"/>
      <c r="E1653" s="2333" t="s">
        <v>3525</v>
      </c>
      <c r="F1653" s="2333" t="s">
        <v>3457</v>
      </c>
      <c r="G1653" s="2185" t="s">
        <v>3526</v>
      </c>
      <c r="H1653" s="2333"/>
      <c r="I1653" s="2334"/>
      <c r="J1653" s="2185"/>
      <c r="K1653" s="2336"/>
      <c r="L1653" s="2335"/>
      <c r="M1653" s="1951"/>
      <c r="N1653" s="1962"/>
      <c r="O1653" s="1961">
        <v>28822</v>
      </c>
      <c r="P1653" s="1951">
        <v>30148</v>
      </c>
      <c r="Q1653" s="1960">
        <v>31535</v>
      </c>
    </row>
    <row r="1654" spans="1:17" ht="12.75" customHeight="1">
      <c r="A1654" s="2332" t="s">
        <v>3490</v>
      </c>
      <c r="B1654" s="2185" t="s">
        <v>4011</v>
      </c>
      <c r="C1654" s="2296" t="s">
        <v>3637</v>
      </c>
      <c r="D1654" s="2296"/>
      <c r="E1654" s="2333" t="s">
        <v>3525</v>
      </c>
      <c r="F1654" s="2333" t="s">
        <v>3457</v>
      </c>
      <c r="G1654" s="2185" t="s">
        <v>3526</v>
      </c>
      <c r="H1654" s="2333"/>
      <c r="I1654" s="2334"/>
      <c r="J1654" s="2185"/>
      <c r="K1654" s="2336"/>
      <c r="L1654" s="2335"/>
      <c r="M1654" s="1951"/>
      <c r="N1654" s="1962"/>
      <c r="O1654" s="1961">
        <v>829000</v>
      </c>
      <c r="P1654" s="1951">
        <v>867134</v>
      </c>
      <c r="Q1654" s="1960">
        <v>907023</v>
      </c>
    </row>
    <row r="1655" spans="1:17" ht="12.75" customHeight="1">
      <c r="A1655" s="2332" t="s">
        <v>3459</v>
      </c>
      <c r="B1655" s="2185" t="s">
        <v>3649</v>
      </c>
      <c r="C1655" s="2296" t="s">
        <v>3453</v>
      </c>
      <c r="D1655" s="2296"/>
      <c r="E1655" s="2333" t="s">
        <v>3525</v>
      </c>
      <c r="F1655" s="2333" t="s">
        <v>3457</v>
      </c>
      <c r="G1655" s="2185" t="s">
        <v>3526</v>
      </c>
      <c r="H1655" s="2333"/>
      <c r="I1655" s="2334"/>
      <c r="J1655" s="2185"/>
      <c r="K1655" s="2336"/>
      <c r="L1655" s="2335"/>
      <c r="M1655" s="1951"/>
      <c r="N1655" s="1962"/>
      <c r="O1655" s="1961">
        <v>0</v>
      </c>
      <c r="P1655" s="1951">
        <v>0</v>
      </c>
      <c r="Q1655" s="1960">
        <v>0</v>
      </c>
    </row>
    <row r="1656" spans="1:17" ht="12.75" customHeight="1">
      <c r="A1656" s="2332" t="s">
        <v>3541</v>
      </c>
      <c r="B1656" s="2185" t="s">
        <v>3606</v>
      </c>
      <c r="C1656" s="2296" t="s">
        <v>3453</v>
      </c>
      <c r="D1656" s="2296"/>
      <c r="E1656" s="2333" t="s">
        <v>3525</v>
      </c>
      <c r="F1656" s="2333" t="s">
        <v>3457</v>
      </c>
      <c r="G1656" s="2185" t="s">
        <v>3526</v>
      </c>
      <c r="H1656" s="2333"/>
      <c r="I1656" s="2334"/>
      <c r="J1656" s="2185"/>
      <c r="K1656" s="2336"/>
      <c r="L1656" s="2335"/>
      <c r="M1656" s="1951"/>
      <c r="N1656" s="1962"/>
      <c r="O1656" s="1961">
        <v>35000</v>
      </c>
      <c r="P1656" s="1951">
        <v>36610</v>
      </c>
      <c r="Q1656" s="1960">
        <v>38295</v>
      </c>
    </row>
    <row r="1657" spans="1:17" ht="12.75" customHeight="1">
      <c r="A1657" s="2332" t="s">
        <v>3454</v>
      </c>
      <c r="B1657" s="2185" t="s">
        <v>3749</v>
      </c>
      <c r="C1657" s="2296" t="s">
        <v>3453</v>
      </c>
      <c r="D1657" s="2296"/>
      <c r="E1657" s="2333" t="s">
        <v>3525</v>
      </c>
      <c r="F1657" s="2333" t="s">
        <v>3457</v>
      </c>
      <c r="G1657" s="2185" t="s">
        <v>3526</v>
      </c>
      <c r="H1657" s="2333"/>
      <c r="I1657" s="2334"/>
      <c r="J1657" s="2185"/>
      <c r="K1657" s="2336"/>
      <c r="L1657" s="2335"/>
      <c r="M1657" s="1951"/>
      <c r="N1657" s="1962"/>
      <c r="O1657" s="1961">
        <v>29560</v>
      </c>
      <c r="P1657" s="1951">
        <v>30920</v>
      </c>
      <c r="Q1657" s="1960">
        <v>32343</v>
      </c>
    </row>
    <row r="1658" spans="1:17" ht="12.75" customHeight="1">
      <c r="A1658" s="2332" t="s">
        <v>3454</v>
      </c>
      <c r="B1658" s="2185" t="s">
        <v>3512</v>
      </c>
      <c r="C1658" s="2296" t="s">
        <v>3453</v>
      </c>
      <c r="D1658" s="2296"/>
      <c r="E1658" s="2333" t="s">
        <v>3525</v>
      </c>
      <c r="F1658" s="2333" t="s">
        <v>3457</v>
      </c>
      <c r="G1658" s="2185" t="s">
        <v>3526</v>
      </c>
      <c r="H1658" s="2333"/>
      <c r="I1658" s="2334"/>
      <c r="J1658" s="2185"/>
      <c r="K1658" s="2336"/>
      <c r="L1658" s="2335"/>
      <c r="M1658" s="1951"/>
      <c r="N1658" s="1962"/>
      <c r="O1658" s="1961">
        <v>0</v>
      </c>
      <c r="P1658" s="1951">
        <v>0</v>
      </c>
      <c r="Q1658" s="1960">
        <v>0</v>
      </c>
    </row>
    <row r="1659" spans="1:17" ht="12.75" customHeight="1">
      <c r="A1659" s="2332" t="s">
        <v>3459</v>
      </c>
      <c r="B1659" s="2185" t="s">
        <v>3816</v>
      </c>
      <c r="C1659" s="2296" t="s">
        <v>3453</v>
      </c>
      <c r="D1659" s="2296"/>
      <c r="E1659" s="2333" t="s">
        <v>3525</v>
      </c>
      <c r="F1659" s="2333" t="s">
        <v>3457</v>
      </c>
      <c r="G1659" s="2185" t="s">
        <v>3526</v>
      </c>
      <c r="H1659" s="2333"/>
      <c r="I1659" s="2334"/>
      <c r="J1659" s="2185"/>
      <c r="K1659" s="2336"/>
      <c r="L1659" s="2335"/>
      <c r="M1659" s="1951"/>
      <c r="N1659" s="1962"/>
      <c r="O1659" s="1961">
        <v>0</v>
      </c>
      <c r="P1659" s="1951">
        <v>0</v>
      </c>
      <c r="Q1659" s="1960">
        <v>0</v>
      </c>
    </row>
    <row r="1660" spans="1:17" ht="12.75" customHeight="1">
      <c r="A1660" s="2332" t="s">
        <v>3531</v>
      </c>
      <c r="B1660" s="2185" t="s">
        <v>3532</v>
      </c>
      <c r="C1660" s="2296" t="s">
        <v>3453</v>
      </c>
      <c r="D1660" s="2296"/>
      <c r="E1660" s="2333" t="s">
        <v>3525</v>
      </c>
      <c r="F1660" s="2333" t="s">
        <v>3457</v>
      </c>
      <c r="G1660" s="2185" t="s">
        <v>3526</v>
      </c>
      <c r="H1660" s="2333"/>
      <c r="I1660" s="2334"/>
      <c r="J1660" s="2185"/>
      <c r="K1660" s="2336"/>
      <c r="L1660" s="2335"/>
      <c r="M1660" s="1951"/>
      <c r="N1660" s="1962"/>
      <c r="O1660" s="1961">
        <v>0</v>
      </c>
      <c r="P1660" s="1951">
        <v>0</v>
      </c>
      <c r="Q1660" s="1960">
        <v>0</v>
      </c>
    </row>
    <row r="1661" spans="1:17" ht="12.75" customHeight="1">
      <c r="A1661" s="2332" t="s">
        <v>3479</v>
      </c>
      <c r="B1661" s="2185" t="s">
        <v>4012</v>
      </c>
      <c r="C1661" s="2296" t="s">
        <v>3453</v>
      </c>
      <c r="D1661" s="2296"/>
      <c r="E1661" s="2333" t="s">
        <v>3525</v>
      </c>
      <c r="F1661" s="2333" t="s">
        <v>3457</v>
      </c>
      <c r="G1661" s="2185" t="s">
        <v>3526</v>
      </c>
      <c r="H1661" s="2333"/>
      <c r="I1661" s="2334"/>
      <c r="J1661" s="2185"/>
      <c r="K1661" s="2336"/>
      <c r="L1661" s="2335"/>
      <c r="M1661" s="1951"/>
      <c r="N1661" s="1962"/>
      <c r="O1661" s="1961">
        <v>50000</v>
      </c>
      <c r="P1661" s="1951">
        <v>52300</v>
      </c>
      <c r="Q1661" s="1960">
        <v>54706</v>
      </c>
    </row>
    <row r="1662" spans="1:17" ht="12.75" customHeight="1">
      <c r="A1662" s="2332" t="s">
        <v>3584</v>
      </c>
      <c r="B1662" s="2185" t="s">
        <v>3585</v>
      </c>
      <c r="C1662" s="2296" t="s">
        <v>3453</v>
      </c>
      <c r="D1662" s="2296"/>
      <c r="E1662" s="2333" t="s">
        <v>3525</v>
      </c>
      <c r="F1662" s="2333" t="s">
        <v>3457</v>
      </c>
      <c r="G1662" s="2185" t="s">
        <v>3526</v>
      </c>
      <c r="H1662" s="2333"/>
      <c r="I1662" s="2334"/>
      <c r="J1662" s="2185"/>
      <c r="K1662" s="2336"/>
      <c r="L1662" s="2335"/>
      <c r="M1662" s="1951"/>
      <c r="N1662" s="1962"/>
      <c r="O1662" s="1961">
        <v>224440</v>
      </c>
      <c r="P1662" s="1951">
        <v>234765</v>
      </c>
      <c r="Q1662" s="1960">
        <v>245564</v>
      </c>
    </row>
    <row r="1663" spans="1:17" ht="12.75" customHeight="1">
      <c r="A1663" s="2332" t="s">
        <v>3520</v>
      </c>
      <c r="B1663" s="2185" t="s">
        <v>3851</v>
      </c>
      <c r="C1663" s="2296" t="s">
        <v>3453</v>
      </c>
      <c r="D1663" s="2296"/>
      <c r="E1663" s="2333" t="s">
        <v>3525</v>
      </c>
      <c r="F1663" s="2333" t="s">
        <v>3457</v>
      </c>
      <c r="G1663" s="2185" t="s">
        <v>3526</v>
      </c>
      <c r="H1663" s="2333"/>
      <c r="I1663" s="2334"/>
      <c r="J1663" s="2185"/>
      <c r="K1663" s="2336"/>
      <c r="L1663" s="2335"/>
      <c r="M1663" s="1951"/>
      <c r="N1663" s="1962"/>
      <c r="O1663" s="1961">
        <v>150000</v>
      </c>
      <c r="P1663" s="1951">
        <v>156900</v>
      </c>
      <c r="Q1663" s="1960">
        <v>164118</v>
      </c>
    </row>
    <row r="1664" spans="1:17" ht="12.75" customHeight="1">
      <c r="A1664" s="2332" t="s">
        <v>3487</v>
      </c>
      <c r="B1664" s="2185" t="s">
        <v>3488</v>
      </c>
      <c r="C1664" s="2296" t="s">
        <v>3453</v>
      </c>
      <c r="D1664" s="2296"/>
      <c r="E1664" s="2333" t="s">
        <v>3525</v>
      </c>
      <c r="F1664" s="2333" t="s">
        <v>3457</v>
      </c>
      <c r="G1664" s="2185" t="s">
        <v>3526</v>
      </c>
      <c r="H1664" s="2333"/>
      <c r="I1664" s="2334"/>
      <c r="J1664" s="2185"/>
      <c r="K1664" s="2336"/>
      <c r="L1664" s="2335"/>
      <c r="M1664" s="1951"/>
      <c r="N1664" s="1962"/>
      <c r="O1664" s="1961">
        <v>2130</v>
      </c>
      <c r="P1664" s="1951">
        <v>2228</v>
      </c>
      <c r="Q1664" s="1960">
        <v>2331</v>
      </c>
    </row>
    <row r="1665" spans="1:17" ht="12.75" customHeight="1">
      <c r="A1665" s="2332" t="s">
        <v>3470</v>
      </c>
      <c r="B1665" s="2185" t="s">
        <v>3554</v>
      </c>
      <c r="C1665" s="2296" t="s">
        <v>3453</v>
      </c>
      <c r="D1665" s="2296"/>
      <c r="E1665" s="2333" t="s">
        <v>3525</v>
      </c>
      <c r="F1665" s="2333" t="s">
        <v>3457</v>
      </c>
      <c r="G1665" s="2185" t="s">
        <v>3526</v>
      </c>
      <c r="H1665" s="2333"/>
      <c r="I1665" s="2334"/>
      <c r="J1665" s="2185"/>
      <c r="K1665" s="2336"/>
      <c r="L1665" s="2335"/>
      <c r="M1665" s="1951"/>
      <c r="N1665" s="1962"/>
      <c r="O1665" s="1961">
        <v>121335</v>
      </c>
      <c r="P1665" s="1951">
        <v>126917</v>
      </c>
      <c r="Q1665" s="1960">
        <v>132755</v>
      </c>
    </row>
    <row r="1666" spans="1:17" ht="12.75" customHeight="1">
      <c r="A1666" s="2332" t="s">
        <v>3479</v>
      </c>
      <c r="B1666" s="2185" t="s">
        <v>3480</v>
      </c>
      <c r="C1666" s="2296" t="s">
        <v>3453</v>
      </c>
      <c r="D1666" s="2296"/>
      <c r="E1666" s="2333" t="s">
        <v>3525</v>
      </c>
      <c r="F1666" s="2333" t="s">
        <v>3457</v>
      </c>
      <c r="G1666" s="2185" t="s">
        <v>3526</v>
      </c>
      <c r="H1666" s="2333"/>
      <c r="I1666" s="2334"/>
      <c r="J1666" s="2185"/>
      <c r="K1666" s="2336"/>
      <c r="L1666" s="2335"/>
      <c r="M1666" s="1951"/>
      <c r="N1666" s="1962"/>
      <c r="O1666" s="1961">
        <v>66869</v>
      </c>
      <c r="P1666" s="1951">
        <v>69945</v>
      </c>
      <c r="Q1666" s="1960">
        <v>73163</v>
      </c>
    </row>
    <row r="1667" spans="1:17" ht="12.75" customHeight="1">
      <c r="A1667" s="2332" t="s">
        <v>3464</v>
      </c>
      <c r="B1667" s="2185" t="s">
        <v>4013</v>
      </c>
      <c r="C1667" s="2296" t="s">
        <v>3504</v>
      </c>
      <c r="D1667" s="2296"/>
      <c r="E1667" s="2333" t="s">
        <v>3525</v>
      </c>
      <c r="F1667" s="2333" t="s">
        <v>3457</v>
      </c>
      <c r="G1667" s="2185" t="s">
        <v>3526</v>
      </c>
      <c r="H1667" s="2333"/>
      <c r="I1667" s="2334"/>
      <c r="J1667" s="2185"/>
      <c r="K1667" s="2336"/>
      <c r="L1667" s="2335"/>
      <c r="M1667" s="1951"/>
      <c r="N1667" s="1962"/>
      <c r="O1667" s="1961">
        <v>6675000</v>
      </c>
      <c r="P1667" s="1951">
        <v>6982050</v>
      </c>
      <c r="Q1667" s="1960">
        <v>7303225</v>
      </c>
    </row>
    <row r="1668" spans="1:17" ht="12.75" customHeight="1">
      <c r="A1668" s="2332" t="s">
        <v>3483</v>
      </c>
      <c r="B1668" s="2185" t="s">
        <v>3484</v>
      </c>
      <c r="C1668" s="2296" t="s">
        <v>3453</v>
      </c>
      <c r="D1668" s="2296"/>
      <c r="E1668" s="2333" t="s">
        <v>3525</v>
      </c>
      <c r="F1668" s="2333" t="s">
        <v>3457</v>
      </c>
      <c r="G1668" s="2185" t="s">
        <v>3526</v>
      </c>
      <c r="H1668" s="2333"/>
      <c r="I1668" s="2334"/>
      <c r="J1668" s="2185"/>
      <c r="K1668" s="2336"/>
      <c r="L1668" s="2335"/>
      <c r="M1668" s="1951"/>
      <c r="N1668" s="1962"/>
      <c r="O1668" s="1961">
        <v>305321</v>
      </c>
      <c r="P1668" s="1951">
        <v>319366</v>
      </c>
      <c r="Q1668" s="1960">
        <v>334057</v>
      </c>
    </row>
    <row r="1669" spans="1:17" ht="12.75" customHeight="1">
      <c r="A1669" s="2332" t="s">
        <v>3499</v>
      </c>
      <c r="B1669" s="2185" t="s">
        <v>3589</v>
      </c>
      <c r="C1669" s="2296" t="s">
        <v>3453</v>
      </c>
      <c r="D1669" s="2296"/>
      <c r="E1669" s="2333" t="s">
        <v>3525</v>
      </c>
      <c r="F1669" s="2333" t="s">
        <v>3457</v>
      </c>
      <c r="G1669" s="2185" t="s">
        <v>3526</v>
      </c>
      <c r="H1669" s="2333"/>
      <c r="I1669" s="2334"/>
      <c r="J1669" s="2185"/>
      <c r="K1669" s="2336"/>
      <c r="L1669" s="2335"/>
      <c r="M1669" s="1951"/>
      <c r="N1669" s="1962"/>
      <c r="O1669" s="1961">
        <v>2995</v>
      </c>
      <c r="P1669" s="1951">
        <v>3133</v>
      </c>
      <c r="Q1669" s="1960">
        <v>3277</v>
      </c>
    </row>
    <row r="1670" spans="1:17" ht="12.75" customHeight="1">
      <c r="A1670" s="2332" t="s">
        <v>3490</v>
      </c>
      <c r="B1670" s="2185" t="s">
        <v>3493</v>
      </c>
      <c r="C1670" s="2296" t="s">
        <v>3453</v>
      </c>
      <c r="D1670" s="2296"/>
      <c r="E1670" s="2333" t="s">
        <v>3525</v>
      </c>
      <c r="F1670" s="2333" t="s">
        <v>3457</v>
      </c>
      <c r="G1670" s="2185" t="s">
        <v>3526</v>
      </c>
      <c r="H1670" s="2333"/>
      <c r="I1670" s="2334"/>
      <c r="J1670" s="2185"/>
      <c r="K1670" s="2336"/>
      <c r="L1670" s="2335"/>
      <c r="M1670" s="1951"/>
      <c r="N1670" s="1962"/>
      <c r="O1670" s="1961">
        <v>164506</v>
      </c>
      <c r="P1670" s="1951">
        <v>172074</v>
      </c>
      <c r="Q1670" s="1960">
        <v>179989</v>
      </c>
    </row>
    <row r="1671" spans="1:17" ht="12.75" customHeight="1">
      <c r="A1671" s="2332" t="s">
        <v>3506</v>
      </c>
      <c r="B1671" s="2185" t="s">
        <v>3507</v>
      </c>
      <c r="C1671" s="2296" t="s">
        <v>3453</v>
      </c>
      <c r="D1671" s="2296"/>
      <c r="E1671" s="2333" t="s">
        <v>3525</v>
      </c>
      <c r="F1671" s="2333" t="s">
        <v>3457</v>
      </c>
      <c r="G1671" s="2185" t="s">
        <v>3526</v>
      </c>
      <c r="H1671" s="2333"/>
      <c r="I1671" s="2334"/>
      <c r="J1671" s="2185"/>
      <c r="K1671" s="2336"/>
      <c r="L1671" s="2335"/>
      <c r="M1671" s="1951"/>
      <c r="N1671" s="1962"/>
      <c r="O1671" s="1961">
        <v>39841</v>
      </c>
      <c r="P1671" s="1951">
        <v>41674</v>
      </c>
      <c r="Q1671" s="1960">
        <v>43591</v>
      </c>
    </row>
    <row r="1672" spans="1:17" ht="12.75" customHeight="1">
      <c r="A1672" s="2332" t="s">
        <v>3490</v>
      </c>
      <c r="B1672" s="2185" t="s">
        <v>3586</v>
      </c>
      <c r="C1672" s="2296" t="s">
        <v>3453</v>
      </c>
      <c r="D1672" s="2296"/>
      <c r="E1672" s="2333" t="s">
        <v>3525</v>
      </c>
      <c r="F1672" s="2333" t="s">
        <v>3457</v>
      </c>
      <c r="G1672" s="2185" t="s">
        <v>3526</v>
      </c>
      <c r="H1672" s="2333"/>
      <c r="I1672" s="2334"/>
      <c r="J1672" s="2185"/>
      <c r="K1672" s="2336"/>
      <c r="L1672" s="2335"/>
      <c r="M1672" s="1951"/>
      <c r="N1672" s="1962"/>
      <c r="O1672" s="1961">
        <v>408647</v>
      </c>
      <c r="P1672" s="1951">
        <v>427445</v>
      </c>
      <c r="Q1672" s="1960">
        <v>447108</v>
      </c>
    </row>
    <row r="1673" spans="1:17" ht="12.75" customHeight="1">
      <c r="A1673" s="2332" t="s">
        <v>3464</v>
      </c>
      <c r="B1673" s="2185" t="s">
        <v>3690</v>
      </c>
      <c r="C1673" s="2296" t="s">
        <v>3453</v>
      </c>
      <c r="D1673" s="2296"/>
      <c r="E1673" s="2333" t="s">
        <v>3525</v>
      </c>
      <c r="F1673" s="2333" t="s">
        <v>3457</v>
      </c>
      <c r="G1673" s="2185" t="s">
        <v>3526</v>
      </c>
      <c r="H1673" s="2333"/>
      <c r="I1673" s="2334"/>
      <c r="J1673" s="2185"/>
      <c r="K1673" s="2336"/>
      <c r="L1673" s="2335"/>
      <c r="M1673" s="1951"/>
      <c r="N1673" s="1962"/>
      <c r="O1673" s="1961">
        <v>871</v>
      </c>
      <c r="P1673" s="1951">
        <v>912</v>
      </c>
      <c r="Q1673" s="1960">
        <v>953</v>
      </c>
    </row>
    <row r="1674" spans="1:17" ht="12.75" customHeight="1">
      <c r="A1674" s="2332"/>
      <c r="B1674" s="2185"/>
      <c r="C1674" s="2296"/>
      <c r="D1674" s="2296"/>
      <c r="E1674" s="2333"/>
      <c r="F1674" s="2333"/>
      <c r="G1674" s="2185"/>
      <c r="H1674" s="2333"/>
      <c r="I1674" s="2334"/>
      <c r="J1674" s="2185"/>
      <c r="K1674" s="2336"/>
      <c r="L1674" s="2335"/>
      <c r="M1674" s="1951"/>
      <c r="N1674" s="1962"/>
      <c r="O1674" s="1961"/>
      <c r="P1674" s="1951"/>
      <c r="Q1674" s="1960"/>
    </row>
    <row r="1675" spans="1:17" ht="12.75" customHeight="1">
      <c r="A1675" s="2265"/>
      <c r="B1675" s="2336"/>
      <c r="C1675" s="2294"/>
      <c r="D1675" s="2296"/>
      <c r="E1675" s="2333"/>
      <c r="F1675" s="2333"/>
      <c r="G1675" s="2185"/>
      <c r="H1675" s="2333"/>
      <c r="I1675" s="2334"/>
      <c r="J1675" s="2185"/>
      <c r="K1675" s="2336"/>
      <c r="L1675" s="2335"/>
      <c r="M1675" s="1951"/>
      <c r="N1675" s="1962"/>
      <c r="O1675" s="1961"/>
      <c r="P1675" s="1951"/>
      <c r="Q1675" s="1960"/>
    </row>
    <row r="1676" spans="1:17" ht="12.75" customHeight="1">
      <c r="A1676" s="2265"/>
      <c r="B1676" s="2336"/>
      <c r="C1676" s="2294"/>
      <c r="D1676" s="2296"/>
      <c r="E1676" s="2333"/>
      <c r="F1676" s="2333"/>
      <c r="G1676" s="2185"/>
      <c r="H1676" s="2333"/>
      <c r="I1676" s="2334"/>
      <c r="J1676" s="2185"/>
      <c r="K1676" s="2336"/>
      <c r="L1676" s="2335"/>
      <c r="M1676" s="1951"/>
      <c r="N1676" s="1962"/>
      <c r="O1676" s="1961"/>
      <c r="P1676" s="1951"/>
      <c r="Q1676" s="1960"/>
    </row>
    <row r="1677" spans="1:17" ht="12.75" customHeight="1">
      <c r="A1677" s="2337"/>
      <c r="B1677" s="2336"/>
      <c r="C1677" s="2294"/>
      <c r="D1677" s="2296"/>
      <c r="E1677" s="2333"/>
      <c r="F1677" s="2333"/>
      <c r="G1677" s="2185"/>
      <c r="H1677" s="2333"/>
      <c r="I1677" s="2334"/>
      <c r="J1677" s="2185"/>
      <c r="K1677" s="2336"/>
      <c r="L1677" s="2335"/>
      <c r="M1677" s="1951"/>
      <c r="N1677" s="1962"/>
      <c r="O1677" s="1961"/>
      <c r="P1677" s="1951"/>
      <c r="Q1677" s="1960"/>
    </row>
    <row r="1678" spans="1:17" ht="12.75" customHeight="1">
      <c r="A1678" s="2338"/>
      <c r="B1678" s="2336"/>
      <c r="C1678" s="2294"/>
      <c r="D1678" s="2296"/>
      <c r="E1678" s="2333"/>
      <c r="F1678" s="2333"/>
      <c r="G1678" s="2185"/>
      <c r="H1678" s="2333"/>
      <c r="I1678" s="2334"/>
      <c r="J1678" s="2185"/>
      <c r="K1678" s="2336"/>
      <c r="L1678" s="2335"/>
      <c r="M1678" s="1951"/>
      <c r="N1678" s="1962"/>
      <c r="O1678" s="1961"/>
      <c r="P1678" s="1951"/>
      <c r="Q1678" s="1960"/>
    </row>
    <row r="1679" spans="1:17" ht="12.75" customHeight="1">
      <c r="A1679" s="2265"/>
      <c r="B1679" s="2336"/>
      <c r="C1679" s="2294"/>
      <c r="D1679" s="2296"/>
      <c r="E1679" s="2333"/>
      <c r="F1679" s="2333"/>
      <c r="G1679" s="2185"/>
      <c r="H1679" s="2333"/>
      <c r="I1679" s="2334"/>
      <c r="J1679" s="2185"/>
      <c r="K1679" s="2336"/>
      <c r="L1679" s="2335"/>
      <c r="M1679" s="1951"/>
      <c r="N1679" s="1962"/>
      <c r="O1679" s="1961"/>
      <c r="P1679" s="1951"/>
      <c r="Q1679" s="1960"/>
    </row>
    <row r="1680" spans="1:17" ht="12.75" customHeight="1">
      <c r="A1680" s="2337"/>
      <c r="B1680" s="2336"/>
      <c r="C1680" s="2294"/>
      <c r="D1680" s="2296"/>
      <c r="E1680" s="2333"/>
      <c r="F1680" s="2333"/>
      <c r="G1680" s="2185"/>
      <c r="H1680" s="2333"/>
      <c r="I1680" s="2334"/>
      <c r="J1680" s="2185"/>
      <c r="K1680" s="2336"/>
      <c r="L1680" s="2335"/>
      <c r="M1680" s="1951"/>
      <c r="N1680" s="1962"/>
      <c r="O1680" s="1961"/>
      <c r="P1680" s="1951"/>
      <c r="Q1680" s="1960"/>
    </row>
    <row r="1681" spans="1:17" ht="12.75" customHeight="1">
      <c r="A1681" s="2338"/>
      <c r="B1681" s="2336"/>
      <c r="C1681" s="2294"/>
      <c r="D1681" s="2296"/>
      <c r="E1681" s="2333"/>
      <c r="F1681" s="2333"/>
      <c r="G1681" s="2185"/>
      <c r="H1681" s="2333"/>
      <c r="I1681" s="2334"/>
      <c r="J1681" s="2185"/>
      <c r="K1681" s="2336"/>
      <c r="L1681" s="2335"/>
      <c r="M1681" s="1951"/>
      <c r="N1681" s="1962"/>
      <c r="O1681" s="1961"/>
      <c r="P1681" s="1951"/>
      <c r="Q1681" s="1960"/>
    </row>
    <row r="1682" spans="1:17" ht="12.75" customHeight="1">
      <c r="A1682" s="2265"/>
      <c r="B1682" s="2336"/>
      <c r="C1682" s="2294"/>
      <c r="D1682" s="2296"/>
      <c r="E1682" s="2333"/>
      <c r="F1682" s="2333"/>
      <c r="G1682" s="2185"/>
      <c r="H1682" s="2333"/>
      <c r="I1682" s="2334"/>
      <c r="J1682" s="2185"/>
      <c r="K1682" s="2336"/>
      <c r="L1682" s="2335"/>
      <c r="M1682" s="1951"/>
      <c r="N1682" s="1962"/>
      <c r="O1682" s="1961"/>
      <c r="P1682" s="1951"/>
      <c r="Q1682" s="1960"/>
    </row>
    <row r="1683" spans="1:17" ht="12.75" customHeight="1">
      <c r="A1683" s="2337"/>
      <c r="B1683" s="2336"/>
      <c r="C1683" s="2294"/>
      <c r="D1683" s="2296"/>
      <c r="E1683" s="2333"/>
      <c r="F1683" s="2333"/>
      <c r="G1683" s="2185"/>
      <c r="H1683" s="2333"/>
      <c r="I1683" s="2334"/>
      <c r="J1683" s="2185"/>
      <c r="K1683" s="2336"/>
      <c r="L1683" s="2335"/>
      <c r="M1683" s="1951"/>
      <c r="N1683" s="1962"/>
      <c r="O1683" s="1961"/>
      <c r="P1683" s="1951"/>
      <c r="Q1683" s="1960"/>
    </row>
    <row r="1684" spans="1:17" ht="12.75" customHeight="1">
      <c r="A1684" s="2337"/>
      <c r="B1684" s="2336"/>
      <c r="C1684" s="1406"/>
      <c r="D1684" s="2296"/>
      <c r="E1684" s="2333"/>
      <c r="F1684" s="2333"/>
      <c r="G1684" s="2185"/>
      <c r="H1684" s="2333"/>
      <c r="I1684" s="2334"/>
      <c r="J1684" s="2185"/>
      <c r="K1684" s="2336"/>
      <c r="L1684" s="2335"/>
      <c r="M1684" s="1951"/>
      <c r="N1684" s="1962"/>
      <c r="O1684" s="1961"/>
      <c r="P1684" s="1951"/>
      <c r="Q1684" s="1960"/>
    </row>
    <row r="1685" spans="1:17">
      <c r="A1685" s="659" t="s">
        <v>2522</v>
      </c>
      <c r="B1685" s="1571"/>
      <c r="C1685" s="1572"/>
      <c r="D1685" s="1572"/>
      <c r="E1685" s="1572"/>
      <c r="F1685" s="1572"/>
      <c r="G1685" s="1572"/>
      <c r="H1685" s="1573"/>
      <c r="I1685" s="1574"/>
      <c r="J1685" s="1574"/>
      <c r="K1685" s="1581"/>
      <c r="L1685" s="2569"/>
      <c r="M1685" s="150">
        <f>SUM(M7:M1684)</f>
        <v>0</v>
      </c>
      <c r="N1685" s="149">
        <f>SUM(N7:N1684)</f>
        <v>0</v>
      </c>
      <c r="O1685" s="153">
        <f>SUM(O7:O1684)</f>
        <v>1287355229</v>
      </c>
      <c r="P1685" s="150">
        <f>SUM(P7:P1684)</f>
        <v>1330222578</v>
      </c>
      <c r="Q1685" s="671">
        <f>SUM(Q7:Q1684)</f>
        <v>1389067455</v>
      </c>
    </row>
    <row r="1686" spans="1:17">
      <c r="A1686" s="815"/>
      <c r="B1686" s="463"/>
      <c r="C1686" s="812"/>
      <c r="D1686" s="812"/>
      <c r="E1686" s="812"/>
      <c r="F1686" s="812"/>
      <c r="G1686" s="812"/>
      <c r="H1686" s="813"/>
      <c r="I1686" s="814"/>
      <c r="J1686" s="2572"/>
      <c r="K1686" s="2568"/>
      <c r="L1686" s="1655"/>
      <c r="M1686" s="80"/>
      <c r="N1686" s="79"/>
      <c r="O1686" s="82"/>
      <c r="P1686" s="80"/>
      <c r="Q1686" s="81"/>
    </row>
    <row r="1687" spans="1:17">
      <c r="A1687" s="517" t="s">
        <v>16</v>
      </c>
      <c r="B1687" s="463"/>
      <c r="C1687" s="812"/>
      <c r="D1687" s="812"/>
      <c r="E1687" s="812"/>
      <c r="F1687" s="812"/>
      <c r="G1687" s="812"/>
      <c r="H1687" s="813"/>
      <c r="I1687" s="814"/>
      <c r="J1687" s="813"/>
      <c r="K1687" s="2568"/>
      <c r="L1687" s="1655"/>
      <c r="M1687" s="80"/>
      <c r="N1687" s="79"/>
      <c r="O1687" s="82"/>
      <c r="P1687" s="80"/>
      <c r="Q1687" s="81"/>
    </row>
    <row r="1688" spans="1:17" ht="11.25" customHeight="1">
      <c r="A1688" s="241" t="s">
        <v>2523</v>
      </c>
      <c r="B1688" s="463"/>
      <c r="C1688" s="812"/>
      <c r="D1688" s="812"/>
      <c r="E1688" s="812"/>
      <c r="F1688" s="812"/>
      <c r="G1688" s="812"/>
      <c r="H1688" s="813"/>
      <c r="I1688" s="814"/>
      <c r="J1688" s="813"/>
      <c r="K1688" s="2568"/>
      <c r="L1688" s="1655"/>
      <c r="M1688" s="188"/>
      <c r="N1688" s="189"/>
      <c r="O1688" s="190"/>
      <c r="P1688" s="188"/>
      <c r="Q1688" s="191"/>
    </row>
    <row r="1689" spans="1:17" ht="4.9000000000000004" customHeight="1">
      <c r="A1689" s="815"/>
      <c r="B1689" s="463"/>
      <c r="C1689" s="812"/>
      <c r="D1689" s="812"/>
      <c r="E1689" s="812"/>
      <c r="F1689" s="812"/>
      <c r="G1689" s="812"/>
      <c r="H1689" s="813"/>
      <c r="I1689" s="814"/>
      <c r="J1689" s="813"/>
      <c r="K1689" s="2568"/>
      <c r="L1689" s="1655"/>
      <c r="M1689" s="80"/>
      <c r="N1689" s="79"/>
      <c r="O1689" s="82"/>
      <c r="P1689" s="80"/>
      <c r="Q1689" s="81"/>
    </row>
    <row r="1690" spans="1:17" ht="11.25" customHeight="1">
      <c r="A1690" s="2338" t="s">
        <v>1308</v>
      </c>
      <c r="B1690" s="2185"/>
      <c r="C1690" s="2296"/>
      <c r="D1690" s="2296"/>
      <c r="E1690" s="2333"/>
      <c r="F1690" s="2333"/>
      <c r="G1690" s="2185"/>
      <c r="H1690" s="2333"/>
      <c r="I1690" s="2334"/>
      <c r="J1690" s="2185"/>
      <c r="K1690" s="2336"/>
      <c r="L1690" s="2335"/>
      <c r="M1690" s="1951"/>
      <c r="N1690" s="1962"/>
      <c r="O1690" s="1961"/>
      <c r="P1690" s="1951"/>
      <c r="Q1690" s="1960"/>
    </row>
    <row r="1691" spans="1:17" ht="11.25" customHeight="1">
      <c r="A1691" s="2265" t="s">
        <v>1309</v>
      </c>
      <c r="B1691" s="2336"/>
      <c r="C1691" s="2294"/>
      <c r="D1691" s="2296"/>
      <c r="E1691" s="2333"/>
      <c r="F1691" s="2333"/>
      <c r="G1691" s="2185"/>
      <c r="H1691" s="2333"/>
      <c r="I1691" s="2334"/>
      <c r="J1691" s="2185"/>
      <c r="K1691" s="2336"/>
      <c r="L1691" s="2335"/>
      <c r="M1691" s="1951"/>
      <c r="N1691" s="1962"/>
      <c r="O1691" s="1961"/>
      <c r="P1691" s="1951"/>
      <c r="Q1691" s="1960"/>
    </row>
    <row r="1692" spans="1:17" ht="4.9000000000000004" customHeight="1">
      <c r="A1692" s="2337"/>
      <c r="B1692" s="2336"/>
      <c r="C1692" s="2294"/>
      <c r="D1692" s="2296"/>
      <c r="E1692" s="2333"/>
      <c r="F1692" s="2333"/>
      <c r="G1692" s="2185"/>
      <c r="H1692" s="2333"/>
      <c r="I1692" s="2334"/>
      <c r="J1692" s="2185"/>
      <c r="K1692" s="2336"/>
      <c r="L1692" s="2335"/>
      <c r="M1692" s="1951"/>
      <c r="N1692" s="1962"/>
      <c r="O1692" s="1961"/>
      <c r="P1692" s="1951"/>
      <c r="Q1692" s="1960"/>
    </row>
    <row r="1693" spans="1:17" ht="11.25" customHeight="1">
      <c r="A1693" s="2338" t="s">
        <v>1310</v>
      </c>
      <c r="B1693" s="2336"/>
      <c r="C1693" s="2294"/>
      <c r="D1693" s="2296"/>
      <c r="E1693" s="2333"/>
      <c r="F1693" s="2333"/>
      <c r="G1693" s="2185"/>
      <c r="H1693" s="2333"/>
      <c r="I1693" s="2334"/>
      <c r="J1693" s="2185"/>
      <c r="K1693" s="2336"/>
      <c r="L1693" s="2335"/>
      <c r="M1693" s="1951"/>
      <c r="N1693" s="1962"/>
      <c r="O1693" s="1961"/>
      <c r="P1693" s="1951"/>
      <c r="Q1693" s="1960"/>
    </row>
    <row r="1694" spans="1:17" ht="11.25" customHeight="1">
      <c r="A1694" s="2265" t="s">
        <v>1311</v>
      </c>
      <c r="B1694" s="2336"/>
      <c r="C1694" s="2294"/>
      <c r="D1694" s="2296"/>
      <c r="E1694" s="2333"/>
      <c r="F1694" s="2333"/>
      <c r="G1694" s="2185"/>
      <c r="H1694" s="2333"/>
      <c r="I1694" s="2334"/>
      <c r="J1694" s="2185"/>
      <c r="K1694" s="2336"/>
      <c r="L1694" s="2335"/>
      <c r="M1694" s="1951"/>
      <c r="N1694" s="1962"/>
      <c r="O1694" s="1961"/>
      <c r="P1694" s="1951"/>
      <c r="Q1694" s="1960"/>
    </row>
    <row r="1695" spans="1:17" ht="11.25" customHeight="1">
      <c r="A1695" s="2265"/>
      <c r="B1695" s="2336"/>
      <c r="C1695" s="2294"/>
      <c r="D1695" s="2296"/>
      <c r="E1695" s="2333"/>
      <c r="F1695" s="2333"/>
      <c r="G1695" s="2185"/>
      <c r="H1695" s="2333"/>
      <c r="I1695" s="2334"/>
      <c r="J1695" s="2185"/>
      <c r="K1695" s="2336"/>
      <c r="L1695" s="2335"/>
      <c r="M1695" s="1951"/>
      <c r="N1695" s="1962"/>
      <c r="O1695" s="1961"/>
      <c r="P1695" s="1951"/>
      <c r="Q1695" s="1960"/>
    </row>
    <row r="1696" spans="1:17" ht="11.25" customHeight="1">
      <c r="A1696" s="2265"/>
      <c r="B1696" s="2336"/>
      <c r="C1696" s="1406"/>
      <c r="D1696" s="2296"/>
      <c r="E1696" s="2333"/>
      <c r="F1696" s="2333"/>
      <c r="G1696" s="2185"/>
      <c r="H1696" s="2333"/>
      <c r="I1696" s="2334"/>
      <c r="J1696" s="2185"/>
      <c r="K1696" s="2336"/>
      <c r="L1696" s="2335"/>
      <c r="M1696" s="1951"/>
      <c r="N1696" s="1962"/>
      <c r="O1696" s="1961"/>
      <c r="P1696" s="1951"/>
      <c r="Q1696" s="1960"/>
    </row>
    <row r="1697" spans="1:17" ht="11.25" customHeight="1">
      <c r="A1697" s="2337"/>
      <c r="B1697" s="2336"/>
      <c r="C1697" s="1406"/>
      <c r="D1697" s="2296"/>
      <c r="E1697" s="2333"/>
      <c r="F1697" s="2333"/>
      <c r="G1697" s="2185"/>
      <c r="H1697" s="2333"/>
      <c r="I1697" s="2334"/>
      <c r="J1697" s="2185"/>
      <c r="K1697" s="2336"/>
      <c r="L1697" s="2335"/>
      <c r="M1697" s="1951"/>
      <c r="N1697" s="1962"/>
      <c r="O1697" s="1961"/>
      <c r="P1697" s="1951"/>
      <c r="Q1697" s="1960"/>
    </row>
    <row r="1698" spans="1:17">
      <c r="A1698" s="1573" t="s">
        <v>2473</v>
      </c>
      <c r="B1698" s="1579"/>
      <c r="C1698" s="1581"/>
      <c r="D1698" s="1581"/>
      <c r="E1698" s="1581"/>
      <c r="F1698" s="1581"/>
      <c r="G1698" s="1581"/>
      <c r="H1698" s="1581"/>
      <c r="I1698" s="1581"/>
      <c r="J1698" s="1581"/>
      <c r="K1698" s="1581"/>
      <c r="L1698" s="1575"/>
      <c r="M1698" s="150">
        <f>SUM(M1690:M1697)</f>
        <v>0</v>
      </c>
      <c r="N1698" s="671">
        <f>SUM(N1690:N1697)</f>
        <v>0</v>
      </c>
      <c r="O1698" s="153">
        <f>SUM(O1690:O1697)</f>
        <v>0</v>
      </c>
      <c r="P1698" s="150">
        <f>SUM(P1690:P1697)</f>
        <v>0</v>
      </c>
      <c r="Q1698" s="671">
        <f>SUM(Q1690:Q1697)</f>
        <v>0</v>
      </c>
    </row>
    <row r="1699" spans="1:17">
      <c r="A1699" s="1573" t="s">
        <v>2474</v>
      </c>
      <c r="B1699" s="1579"/>
      <c r="C1699" s="1581"/>
      <c r="D1699" s="1581"/>
      <c r="E1699" s="1581"/>
      <c r="F1699" s="1581"/>
      <c r="G1699" s="1581"/>
      <c r="H1699" s="1581"/>
      <c r="I1699" s="1581"/>
      <c r="J1699" s="1581"/>
      <c r="K1699" s="1581"/>
      <c r="L1699" s="1575"/>
      <c r="M1699" s="107">
        <f>SUM(M7:M1684)+SUM(M1690:M1697)</f>
        <v>0</v>
      </c>
      <c r="N1699" s="1580">
        <f>SUM(N7:N1684)+SUM(N1690:N1697)</f>
        <v>0</v>
      </c>
      <c r="O1699" s="109">
        <f>SUM(O7:O1684)+SUM(O1690:O1697)</f>
        <v>1287355229</v>
      </c>
      <c r="P1699" s="107">
        <f>SUM(P7:P1684)+SUM(P1690:P1697)</f>
        <v>1330222578</v>
      </c>
      <c r="Q1699" s="1580">
        <f>SUM(Q7:Q1684)+SUM(Q1690:Q1697)</f>
        <v>1389067455</v>
      </c>
    </row>
    <row r="1700" spans="1:17" s="576" customFormat="1" ht="11.25" customHeight="1">
      <c r="A1700" s="1063" t="str">
        <f>head27a</f>
        <v>References</v>
      </c>
      <c r="B1700" s="898"/>
    </row>
    <row r="1701" spans="1:17" s="576" customFormat="1" ht="11.25" customHeight="1">
      <c r="A1701" s="1025" t="s">
        <v>2528</v>
      </c>
      <c r="B1701" s="898"/>
    </row>
    <row r="1702" spans="1:17" s="576" customFormat="1" ht="11.25" customHeight="1">
      <c r="A1702" s="26" t="s">
        <v>2524</v>
      </c>
    </row>
    <row r="1703" spans="1:17" s="576" customFormat="1" ht="11.25" customHeight="1">
      <c r="A1703" s="26" t="s">
        <v>2500</v>
      </c>
    </row>
    <row r="1704" spans="1:17" ht="11.25" customHeight="1">
      <c r="A1704" s="26" t="s">
        <v>2527</v>
      </c>
      <c r="L1704" s="26" t="s">
        <v>1338</v>
      </c>
      <c r="M1704" s="235">
        <f>+'A4-FinPerf RE'!E35-'SA38'!M1699</f>
        <v>1208828630.0600002</v>
      </c>
      <c r="N1704" s="235">
        <f>+'A4-FinPerf RE'!H35-'SA38'!N1699</f>
        <v>1275164972.3099999</v>
      </c>
      <c r="O1704" s="235">
        <f>+'A4-FinPerf RE'!J35-'SA38'!O1699</f>
        <v>-188.9300000667572</v>
      </c>
      <c r="P1704" s="235">
        <f>+'A4-FinPerf RE'!K35-'SA38'!P1699</f>
        <v>-211.71953988075256</v>
      </c>
      <c r="Q1704" s="235">
        <f>+'A4-FinPerf RE'!L35-'SA38'!Q1699</f>
        <v>-123.05459856987</v>
      </c>
    </row>
    <row r="1705" spans="1:17">
      <c r="J1705" s="235"/>
    </row>
    <row r="1707" spans="1:17" ht="11.25" customHeight="1"/>
    <row r="1708" spans="1:17" ht="11.25" customHeight="1"/>
    <row r="1709" spans="1:17" ht="11.25" customHeight="1"/>
    <row r="1710" spans="1:17" ht="11.25" customHeight="1"/>
    <row r="1711" spans="1:17" ht="11.25" customHeight="1"/>
    <row r="1712" spans="1:17" ht="11.25" customHeight="1"/>
    <row r="1713" ht="11.25" customHeight="1"/>
    <row r="1714" ht="11.25" customHeight="1"/>
    <row r="1715" ht="11.25" customHeight="1"/>
    <row r="1716" ht="11.25" customHeight="1"/>
    <row r="1717" ht="11.25" customHeight="1"/>
    <row r="1718" ht="11.25" customHeight="1"/>
    <row r="1719" ht="11.25" customHeight="1"/>
    <row r="1720" ht="11.25" customHeight="1"/>
    <row r="1721" ht="11.25" customHeight="1"/>
    <row r="1722" ht="11.25" customHeight="1"/>
    <row r="1723" ht="11.25" customHeight="1"/>
    <row r="1724" ht="11.25" customHeight="1"/>
    <row r="1725" ht="11.25" customHeight="1"/>
    <row r="1726" ht="11.25" customHeight="1"/>
    <row r="1727" ht="11.25" customHeight="1"/>
    <row r="1728" ht="11.25" customHeight="1"/>
    <row r="1729" ht="11.25" customHeight="1"/>
    <row r="1732" ht="11.25" customHeight="1"/>
    <row r="1733" ht="22.5" customHeight="1"/>
    <row r="1736" ht="11.25" customHeight="1"/>
    <row r="1737" ht="11.25" customHeight="1"/>
    <row r="1738" ht="11.25" customHeight="1"/>
    <row r="1739" ht="11.25" customHeight="1"/>
    <row r="1740" ht="11.25" customHeight="1"/>
    <row r="1741" ht="11.25" customHeight="1"/>
    <row r="1742" ht="11.25" customHeight="1"/>
    <row r="1743" ht="11.25" customHeight="1"/>
    <row r="1744" ht="11.25" customHeight="1"/>
    <row r="1745" ht="11.25" customHeight="1"/>
    <row r="1746" ht="11.25" customHeight="1"/>
    <row r="1747" ht="11.25" customHeight="1"/>
    <row r="1748" ht="11.25" customHeight="1"/>
    <row r="1749" ht="11.25" customHeight="1"/>
    <row r="1750" ht="11.25" customHeight="1"/>
    <row r="1751" ht="11.25" customHeight="1"/>
    <row r="1752" ht="11.25" customHeight="1"/>
    <row r="1753" ht="11.25" customHeight="1"/>
    <row r="1754" ht="11.25" customHeight="1"/>
    <row r="1755" ht="11.25" customHeight="1"/>
    <row r="1756" ht="11.25" customHeight="1"/>
    <row r="1757" ht="11.25" customHeight="1"/>
    <row r="1758" ht="11.25" customHeight="1"/>
    <row r="1759" ht="11.25" customHeight="1"/>
    <row r="1760" ht="11.25" customHeight="1"/>
    <row r="1761" ht="11.25" customHeight="1"/>
    <row r="1762" ht="11.25" customHeight="1"/>
    <row r="1763" ht="11.25" customHeight="1"/>
    <row r="1764" ht="11.25" customHeight="1"/>
    <row r="1765" ht="11.25" customHeight="1"/>
    <row r="1766" ht="11.25" customHeight="1"/>
    <row r="1767" ht="11.25" customHeight="1"/>
    <row r="1768" ht="11.25" customHeight="1"/>
    <row r="1769" ht="11.25" customHeight="1"/>
    <row r="1770" ht="11.25" customHeight="1"/>
    <row r="1771" ht="11.25" customHeight="1"/>
    <row r="1772" ht="11.25" customHeight="1"/>
  </sheetData>
  <mergeCells count="2">
    <mergeCell ref="M2:N2"/>
    <mergeCell ref="O2:Q2"/>
  </mergeCells>
  <dataValidations count="5">
    <dataValidation type="list" allowBlank="1" showInputMessage="1" showErrorMessage="1" promptTitle="Select Asset Class" prompt="Select asset class from list" sqref="H1690:H1697 H7:H1684">
      <formula1>asset_class1</formula1>
    </dataValidation>
    <dataValidation type="list" allowBlank="1" showInputMessage="1" showErrorMessage="1" promptTitle="Select Asset Sub-Class" prompt="Select asset sub class from list" sqref="I1690:I1697 I7:I1684">
      <formula1>asset_subclass1</formula1>
    </dataValidation>
    <dataValidation type="list" allowBlank="1" showInputMessage="1" showErrorMessage="1" promptTitle="Select MTSF Service Outcome" prompt="Select MTSF from list" sqref="E1690:E1697 E7:E1684">
      <formula1>MTSF</formula1>
    </dataValidation>
    <dataValidation type="list" allowBlank="1" showInputMessage="1" showErrorMessage="1" promptTitle="Select IUDF" prompt="Select IUDF from list" sqref="F1690:F1697 F7:F1684">
      <formula1>IUDF</formula1>
    </dataValidation>
    <dataValidation type="list" allowBlank="1" showInputMessage="1" showErrorMessage="1" sqref="D1690:D1697 D7:D1684">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2843" zoomScale="90" zoomScaleNormal="100" zoomScaleSheetLayoutView="90" workbookViewId="0">
      <selection activeCell="G2875" sqref="G2875"/>
    </sheetView>
  </sheetViews>
  <sheetFormatPr defaultColWidth="8.7109375" defaultRowHeight="12.75"/>
  <cols>
    <col min="1" max="5" width="8.7109375" customWidth="1"/>
    <col min="6" max="6" width="62.28515625" customWidth="1"/>
    <col min="7" max="22" width="13.7109375" customWidth="1"/>
  </cols>
  <sheetData>
    <row r="1" spans="1:23">
      <c r="A1" s="2" t="s">
        <v>2222</v>
      </c>
      <c r="B1" s="2" t="s">
        <v>2223</v>
      </c>
      <c r="C1" s="2" t="s">
        <v>2224</v>
      </c>
      <c r="D1" s="2" t="s">
        <v>2225</v>
      </c>
      <c r="E1" s="2" t="s">
        <v>2226</v>
      </c>
      <c r="F1" s="2" t="s">
        <v>2227</v>
      </c>
      <c r="G1" s="2"/>
      <c r="H1" s="2"/>
      <c r="I1" s="2"/>
      <c r="J1" s="2"/>
      <c r="K1" s="2"/>
      <c r="L1" s="2"/>
      <c r="M1" s="2"/>
      <c r="N1" s="2"/>
      <c r="O1" s="2"/>
      <c r="P1" s="2"/>
      <c r="Q1" s="2"/>
      <c r="R1" s="2"/>
      <c r="S1" s="2"/>
      <c r="T1" s="2"/>
      <c r="U1" s="2"/>
      <c r="V1" s="2"/>
      <c r="W1" t="s">
        <v>2062</v>
      </c>
    </row>
    <row r="2" spans="1:23" ht="13.15" customHeight="1">
      <c r="A2" s="2" t="s">
        <v>2060</v>
      </c>
      <c r="B2" s="2">
        <f t="shared" ref="B2:B65" si="0">+MTREF</f>
        <v>2020</v>
      </c>
      <c r="C2" s="2" t="str">
        <f t="shared" ref="C2:C65" si="1">LEFT(muni,(FIND(" ",muni,1)-1))</f>
        <v>LIM333</v>
      </c>
      <c r="D2" s="2414" t="s">
        <v>2061</v>
      </c>
      <c r="E2" s="2">
        <v>1</v>
      </c>
      <c r="F2" s="2" t="s">
        <v>172</v>
      </c>
      <c r="G2" s="2415"/>
      <c r="H2" s="2415"/>
      <c r="I2" s="2415"/>
      <c r="J2" s="2415"/>
      <c r="K2" s="2415"/>
      <c r="L2" s="2415"/>
      <c r="M2" s="2415"/>
      <c r="N2" s="2415"/>
      <c r="O2" s="2415"/>
      <c r="P2" s="2"/>
      <c r="W2" t="s">
        <v>2062</v>
      </c>
    </row>
    <row r="3" spans="1:23" ht="13.15" customHeight="1">
      <c r="A3" s="2" t="s">
        <v>2060</v>
      </c>
      <c r="B3" s="2">
        <f t="shared" si="0"/>
        <v>2020</v>
      </c>
      <c r="C3" s="2" t="str">
        <f t="shared" si="1"/>
        <v>LIM333</v>
      </c>
      <c r="D3" s="2414" t="s">
        <v>2063</v>
      </c>
      <c r="E3" s="2">
        <v>2</v>
      </c>
      <c r="F3" s="2" t="s">
        <v>1615</v>
      </c>
      <c r="G3" s="2415"/>
      <c r="H3" s="2415"/>
      <c r="I3" s="2415"/>
      <c r="J3" s="2415"/>
      <c r="K3" s="2415"/>
      <c r="L3" s="2415"/>
      <c r="M3" s="2415"/>
      <c r="N3" s="2415"/>
      <c r="O3" s="2415"/>
      <c r="P3" s="2"/>
      <c r="W3" t="s">
        <v>2062</v>
      </c>
    </row>
    <row r="4" spans="1:23" ht="13.15" customHeight="1">
      <c r="A4" s="2" t="s">
        <v>2060</v>
      </c>
      <c r="B4" s="2">
        <f t="shared" si="0"/>
        <v>2020</v>
      </c>
      <c r="C4" s="2" t="str">
        <f t="shared" si="1"/>
        <v>LIM333</v>
      </c>
      <c r="D4" s="2414" t="s">
        <v>2064</v>
      </c>
      <c r="E4" s="2">
        <v>3</v>
      </c>
      <c r="F4" s="2" t="s">
        <v>1448</v>
      </c>
      <c r="G4" s="2415"/>
      <c r="H4" s="2415"/>
      <c r="I4" s="2415"/>
      <c r="J4" s="2415"/>
      <c r="K4" s="2415"/>
      <c r="L4" s="2415"/>
      <c r="M4" s="2415"/>
      <c r="N4" s="2415"/>
      <c r="O4" s="2415"/>
      <c r="P4" s="2"/>
      <c r="W4" t="s">
        <v>2062</v>
      </c>
    </row>
    <row r="5" spans="1:23" ht="13.15" customHeight="1">
      <c r="A5" s="2" t="s">
        <v>2060</v>
      </c>
      <c r="B5" s="2">
        <f t="shared" si="0"/>
        <v>2020</v>
      </c>
      <c r="C5" s="2" t="str">
        <f t="shared" si="1"/>
        <v>LIM333</v>
      </c>
      <c r="D5" s="2414" t="s">
        <v>2065</v>
      </c>
      <c r="E5" s="2">
        <v>4</v>
      </c>
      <c r="F5" s="2" t="s">
        <v>1614</v>
      </c>
      <c r="G5" s="2415"/>
      <c r="H5" s="2415"/>
      <c r="I5" s="2415"/>
      <c r="J5" s="2415"/>
      <c r="K5" s="2415"/>
      <c r="L5" s="2415"/>
      <c r="M5" s="2415"/>
      <c r="N5" s="2415"/>
      <c r="O5" s="2415"/>
      <c r="P5" s="2"/>
      <c r="W5" t="s">
        <v>2062</v>
      </c>
    </row>
    <row r="6" spans="1:23" ht="13.15" customHeight="1">
      <c r="A6" s="2" t="s">
        <v>2060</v>
      </c>
      <c r="B6" s="2">
        <f t="shared" si="0"/>
        <v>2020</v>
      </c>
      <c r="C6" s="2" t="str">
        <f t="shared" si="1"/>
        <v>LIM333</v>
      </c>
      <c r="D6" s="2414" t="s">
        <v>2066</v>
      </c>
      <c r="E6" s="2">
        <v>5</v>
      </c>
      <c r="F6" s="2" t="s">
        <v>111</v>
      </c>
      <c r="G6" s="2415"/>
      <c r="H6" s="2415"/>
      <c r="I6" s="2415"/>
      <c r="J6" s="2415"/>
      <c r="K6" s="2415"/>
      <c r="L6" s="2415"/>
      <c r="M6" s="2415"/>
      <c r="N6" s="2415"/>
      <c r="O6" s="2415"/>
      <c r="P6" s="2"/>
      <c r="W6" t="s">
        <v>2062</v>
      </c>
    </row>
    <row r="7" spans="1:23" ht="13.15" customHeight="1">
      <c r="A7" s="2" t="s">
        <v>2060</v>
      </c>
      <c r="B7" s="2">
        <f t="shared" si="0"/>
        <v>2020</v>
      </c>
      <c r="C7" s="2" t="str">
        <f t="shared" si="1"/>
        <v>LIM333</v>
      </c>
      <c r="D7" s="2414" t="s">
        <v>2067</v>
      </c>
      <c r="E7" s="2">
        <v>6</v>
      </c>
      <c r="F7" s="2" t="s">
        <v>112</v>
      </c>
      <c r="G7" s="2415"/>
      <c r="H7" s="2415"/>
      <c r="I7" s="2415"/>
      <c r="J7" s="2415"/>
      <c r="K7" s="2415"/>
      <c r="L7" s="2415"/>
      <c r="M7" s="2415"/>
      <c r="N7" s="2415"/>
      <c r="O7" s="2415"/>
      <c r="P7" s="2"/>
      <c r="W7" t="s">
        <v>2062</v>
      </c>
    </row>
    <row r="8" spans="1:23" ht="13.15" customHeight="1">
      <c r="A8" s="2" t="s">
        <v>2060</v>
      </c>
      <c r="B8" s="2">
        <f t="shared" si="0"/>
        <v>2020</v>
      </c>
      <c r="C8" s="2" t="str">
        <f t="shared" si="1"/>
        <v>LIM333</v>
      </c>
      <c r="D8" s="2414" t="s">
        <v>2068</v>
      </c>
      <c r="E8" s="2">
        <v>7</v>
      </c>
      <c r="F8" s="2" t="s">
        <v>323</v>
      </c>
      <c r="G8" s="2415"/>
      <c r="H8" s="2415"/>
      <c r="I8" s="2415"/>
      <c r="J8" s="2415"/>
      <c r="K8" s="2415"/>
      <c r="L8" s="2415"/>
      <c r="M8" s="2415"/>
      <c r="N8" s="2415"/>
      <c r="O8" s="2415"/>
      <c r="P8" s="2"/>
      <c r="W8" t="s">
        <v>2062</v>
      </c>
    </row>
    <row r="9" spans="1:23" ht="13.15" customHeight="1">
      <c r="A9" s="2" t="s">
        <v>2060</v>
      </c>
      <c r="B9" s="2">
        <f t="shared" si="0"/>
        <v>2020</v>
      </c>
      <c r="C9" s="2" t="str">
        <f t="shared" si="1"/>
        <v>LIM333</v>
      </c>
      <c r="D9" s="2414" t="s">
        <v>2069</v>
      </c>
      <c r="E9" s="2">
        <v>8</v>
      </c>
      <c r="F9" s="2" t="s">
        <v>435</v>
      </c>
      <c r="G9" s="2415"/>
      <c r="H9" s="2415"/>
      <c r="I9" s="2415"/>
      <c r="J9" s="2415"/>
      <c r="K9" s="2415"/>
      <c r="L9" s="2415"/>
      <c r="M9" s="2415"/>
      <c r="N9" s="2415"/>
      <c r="O9" s="2415"/>
      <c r="P9" s="2"/>
      <c r="W9" t="s">
        <v>2062</v>
      </c>
    </row>
    <row r="10" spans="1:23" ht="13.15" customHeight="1">
      <c r="A10" s="2" t="s">
        <v>2060</v>
      </c>
      <c r="B10" s="2">
        <f t="shared" si="0"/>
        <v>2020</v>
      </c>
      <c r="C10" s="2" t="str">
        <f t="shared" si="1"/>
        <v>LIM333</v>
      </c>
      <c r="D10" s="2414" t="s">
        <v>2070</v>
      </c>
      <c r="E10" s="2">
        <v>9</v>
      </c>
      <c r="F10" s="2" t="s">
        <v>436</v>
      </c>
      <c r="G10" s="2415"/>
      <c r="H10" s="2415"/>
      <c r="I10" s="2415"/>
      <c r="J10" s="2415"/>
      <c r="K10" s="2415"/>
      <c r="L10" s="2415"/>
      <c r="M10" s="2415"/>
      <c r="N10" s="2415"/>
      <c r="O10" s="2415"/>
      <c r="P10" s="2"/>
      <c r="W10" t="s">
        <v>2062</v>
      </c>
    </row>
    <row r="11" spans="1:23" ht="13.15" customHeight="1">
      <c r="A11" s="2" t="s">
        <v>2060</v>
      </c>
      <c r="B11" s="2">
        <f t="shared" si="0"/>
        <v>2020</v>
      </c>
      <c r="C11" s="2" t="str">
        <f t="shared" si="1"/>
        <v>LIM333</v>
      </c>
      <c r="D11" s="2414" t="s">
        <v>2071</v>
      </c>
      <c r="E11" s="2">
        <v>10</v>
      </c>
      <c r="F11" s="2" t="s">
        <v>842</v>
      </c>
      <c r="G11" s="2415"/>
      <c r="H11" s="2415"/>
      <c r="I11" s="2415"/>
      <c r="J11" s="2415"/>
      <c r="K11" s="2415"/>
      <c r="L11" s="2415"/>
      <c r="M11" s="2415"/>
      <c r="N11" s="2415"/>
      <c r="O11" s="2415"/>
      <c r="P11" s="2"/>
      <c r="W11" t="s">
        <v>2062</v>
      </c>
    </row>
    <row r="12" spans="1:23" ht="13.15" customHeight="1">
      <c r="A12" s="2" t="s">
        <v>2060</v>
      </c>
      <c r="B12" s="2">
        <f t="shared" si="0"/>
        <v>2020</v>
      </c>
      <c r="C12" s="2" t="str">
        <f t="shared" si="1"/>
        <v>LIM333</v>
      </c>
      <c r="D12" s="2414" t="s">
        <v>2072</v>
      </c>
      <c r="E12" s="2">
        <v>11</v>
      </c>
      <c r="F12" s="2" t="s">
        <v>1131</v>
      </c>
      <c r="G12" s="2415"/>
      <c r="H12" s="2415"/>
      <c r="I12" s="2415"/>
      <c r="J12" s="2415"/>
      <c r="K12" s="2415"/>
      <c r="L12" s="2415"/>
      <c r="M12" s="2415"/>
      <c r="N12" s="2415"/>
      <c r="O12" s="2415"/>
      <c r="P12" s="2"/>
      <c r="W12" t="s">
        <v>2062</v>
      </c>
    </row>
    <row r="13" spans="1:23" ht="13.15" customHeight="1">
      <c r="A13" s="2" t="s">
        <v>2060</v>
      </c>
      <c r="B13" s="2">
        <f t="shared" si="0"/>
        <v>2020</v>
      </c>
      <c r="C13" s="2" t="str">
        <f t="shared" si="1"/>
        <v>LIM333</v>
      </c>
      <c r="D13" s="2414" t="s">
        <v>2073</v>
      </c>
      <c r="E13" s="2">
        <v>12</v>
      </c>
      <c r="F13" s="2" t="s">
        <v>1167</v>
      </c>
      <c r="G13" s="2415"/>
      <c r="H13" s="2415"/>
      <c r="I13" s="2415"/>
      <c r="J13" s="2415"/>
      <c r="K13" s="2415"/>
      <c r="L13" s="2415"/>
      <c r="M13" s="2415"/>
      <c r="N13" s="2415"/>
      <c r="O13" s="2415"/>
      <c r="P13" s="2"/>
      <c r="W13" t="s">
        <v>2062</v>
      </c>
    </row>
    <row r="14" spans="1:23" ht="13.15" customHeight="1">
      <c r="A14" s="2" t="s">
        <v>2060</v>
      </c>
      <c r="B14" s="2">
        <f t="shared" si="0"/>
        <v>2020</v>
      </c>
      <c r="C14" s="2" t="str">
        <f t="shared" si="1"/>
        <v>LIM333</v>
      </c>
      <c r="D14" s="2414" t="s">
        <v>2074</v>
      </c>
      <c r="E14" s="2">
        <v>13</v>
      </c>
      <c r="F14" s="2" t="s">
        <v>1168</v>
      </c>
      <c r="G14" s="2415"/>
      <c r="H14" s="2415"/>
      <c r="I14" s="2415"/>
      <c r="J14" s="2415"/>
      <c r="K14" s="2415"/>
      <c r="L14" s="2415"/>
      <c r="M14" s="2415"/>
      <c r="N14" s="2415"/>
      <c r="O14" s="2415"/>
      <c r="P14" s="2"/>
      <c r="W14" t="s">
        <v>2062</v>
      </c>
    </row>
    <row r="15" spans="1:23" ht="13.15" customHeight="1">
      <c r="A15" s="2" t="s">
        <v>2060</v>
      </c>
      <c r="B15" s="2">
        <f t="shared" si="0"/>
        <v>2020</v>
      </c>
      <c r="C15" s="2" t="str">
        <f t="shared" si="1"/>
        <v>LIM333</v>
      </c>
      <c r="D15" s="2414" t="s">
        <v>2075</v>
      </c>
      <c r="E15" s="2">
        <v>14</v>
      </c>
      <c r="F15" s="2" t="s">
        <v>1169</v>
      </c>
      <c r="G15" s="2415"/>
      <c r="H15" s="2415"/>
      <c r="I15" s="2415"/>
      <c r="J15" s="2415"/>
      <c r="K15" s="2415"/>
      <c r="L15" s="2415"/>
      <c r="M15" s="2415"/>
      <c r="N15" s="2415"/>
      <c r="O15" s="2415"/>
      <c r="P15" s="2"/>
      <c r="W15" t="s">
        <v>2062</v>
      </c>
    </row>
    <row r="16" spans="1:23" ht="13.15" customHeight="1">
      <c r="A16" s="2" t="s">
        <v>2060</v>
      </c>
      <c r="B16" s="2">
        <f t="shared" si="0"/>
        <v>2020</v>
      </c>
      <c r="C16" s="2" t="str">
        <f t="shared" si="1"/>
        <v>LIM333</v>
      </c>
      <c r="D16" s="2414" t="s">
        <v>2076</v>
      </c>
      <c r="E16" s="2">
        <v>15</v>
      </c>
      <c r="F16" s="2" t="s">
        <v>1170</v>
      </c>
      <c r="G16" s="2415"/>
      <c r="H16" s="2415"/>
      <c r="I16" s="2415"/>
      <c r="J16" s="2415"/>
      <c r="K16" s="2415"/>
      <c r="L16" s="2415"/>
      <c r="M16" s="2415"/>
      <c r="N16" s="2415"/>
      <c r="O16" s="2415"/>
      <c r="P16" s="2"/>
      <c r="W16" t="s">
        <v>2062</v>
      </c>
    </row>
    <row r="17" spans="1:23" ht="13.15" customHeight="1">
      <c r="A17" s="2" t="s">
        <v>2060</v>
      </c>
      <c r="B17" s="2">
        <f t="shared" si="0"/>
        <v>2020</v>
      </c>
      <c r="C17" s="2" t="str">
        <f t="shared" si="1"/>
        <v>LIM333</v>
      </c>
      <c r="D17" s="2414" t="s">
        <v>2077</v>
      </c>
      <c r="E17" s="2">
        <v>16</v>
      </c>
      <c r="F17" s="2" t="s">
        <v>1235</v>
      </c>
      <c r="G17" s="2415"/>
      <c r="H17" s="2415"/>
      <c r="I17" s="2415"/>
      <c r="J17" s="2415"/>
      <c r="K17" s="2415"/>
      <c r="L17" s="2415"/>
      <c r="M17" s="2415"/>
      <c r="N17" s="2415"/>
      <c r="O17" s="2415"/>
      <c r="P17" s="2"/>
      <c r="W17" t="s">
        <v>2062</v>
      </c>
    </row>
    <row r="18" spans="1:23" ht="13.15" customHeight="1">
      <c r="A18" s="2" t="s">
        <v>2060</v>
      </c>
      <c r="B18" s="2">
        <f t="shared" si="0"/>
        <v>2020</v>
      </c>
      <c r="C18" s="2" t="str">
        <f t="shared" si="1"/>
        <v>LIM333</v>
      </c>
      <c r="D18" s="2414" t="s">
        <v>2078</v>
      </c>
      <c r="E18" s="2">
        <v>17</v>
      </c>
      <c r="F18" s="2" t="s">
        <v>211</v>
      </c>
      <c r="G18" s="2415"/>
      <c r="H18" s="2415"/>
      <c r="I18" s="2415"/>
      <c r="J18" s="2415"/>
      <c r="K18" s="2415"/>
      <c r="L18" s="2415"/>
      <c r="M18" s="2415"/>
      <c r="N18" s="2415"/>
      <c r="O18" s="2415"/>
      <c r="P18" s="2"/>
      <c r="W18" t="s">
        <v>2062</v>
      </c>
    </row>
    <row r="19" spans="1:23" ht="13.15" customHeight="1">
      <c r="A19" s="2" t="s">
        <v>2060</v>
      </c>
      <c r="B19" s="2">
        <f t="shared" si="0"/>
        <v>2020</v>
      </c>
      <c r="C19" s="2" t="str">
        <f t="shared" si="1"/>
        <v>LIM333</v>
      </c>
      <c r="D19" s="2414" t="s">
        <v>2079</v>
      </c>
      <c r="E19" s="2">
        <v>18</v>
      </c>
      <c r="F19" s="2" t="s">
        <v>213</v>
      </c>
      <c r="G19" s="2415"/>
      <c r="H19" s="2415"/>
      <c r="I19" s="2415"/>
      <c r="J19" s="2415"/>
      <c r="K19" s="2415"/>
      <c r="L19" s="2415"/>
      <c r="M19" s="2415"/>
      <c r="N19" s="2415"/>
      <c r="O19" s="2415"/>
      <c r="P19" s="2"/>
      <c r="W19" t="s">
        <v>2062</v>
      </c>
    </row>
    <row r="20" spans="1:23" ht="13.15" customHeight="1">
      <c r="A20" s="2" t="s">
        <v>2060</v>
      </c>
      <c r="B20" s="2">
        <f t="shared" si="0"/>
        <v>2020</v>
      </c>
      <c r="C20" s="2" t="str">
        <f t="shared" si="1"/>
        <v>LIM333</v>
      </c>
      <c r="D20" s="2414" t="s">
        <v>2080</v>
      </c>
      <c r="E20" s="2">
        <v>19</v>
      </c>
      <c r="F20" s="2" t="s">
        <v>323</v>
      </c>
      <c r="G20" s="2415"/>
      <c r="H20" s="2415"/>
      <c r="I20" s="2415"/>
      <c r="J20" s="2415"/>
      <c r="K20" s="2415"/>
      <c r="L20" s="2415"/>
      <c r="M20" s="2415"/>
      <c r="N20" s="2415"/>
      <c r="O20" s="2415"/>
      <c r="P20" s="2"/>
      <c r="W20" t="s">
        <v>2062</v>
      </c>
    </row>
    <row r="21" spans="1:23" ht="13.15" customHeight="1">
      <c r="A21" s="2" t="s">
        <v>2060</v>
      </c>
      <c r="B21" s="2">
        <f t="shared" si="0"/>
        <v>2020</v>
      </c>
      <c r="C21" s="2" t="str">
        <f t="shared" si="1"/>
        <v>LIM333</v>
      </c>
      <c r="D21" s="2414" t="s">
        <v>2081</v>
      </c>
      <c r="E21" s="2">
        <v>20</v>
      </c>
      <c r="F21" s="2" t="s">
        <v>212</v>
      </c>
      <c r="G21" s="2415"/>
      <c r="H21" s="2415"/>
      <c r="I21" s="2415"/>
      <c r="J21" s="2415"/>
      <c r="K21" s="2415"/>
      <c r="L21" s="2415"/>
      <c r="M21" s="2415"/>
      <c r="N21" s="2415"/>
      <c r="O21" s="2415"/>
      <c r="P21" s="2"/>
      <c r="W21" t="s">
        <v>2062</v>
      </c>
    </row>
    <row r="22" spans="1:23" ht="13.15" customHeight="1">
      <c r="A22" s="2" t="s">
        <v>2060</v>
      </c>
      <c r="B22" s="2">
        <f t="shared" si="0"/>
        <v>2020</v>
      </c>
      <c r="C22" s="2" t="str">
        <f t="shared" si="1"/>
        <v>LIM333</v>
      </c>
      <c r="D22" s="2414" t="s">
        <v>2082</v>
      </c>
      <c r="E22" s="2">
        <v>21</v>
      </c>
      <c r="F22" s="2" t="s">
        <v>1079</v>
      </c>
      <c r="G22" s="2415"/>
      <c r="H22" s="2415"/>
      <c r="I22" s="2415"/>
      <c r="J22" s="2415"/>
      <c r="K22" s="2415"/>
      <c r="L22" s="2415"/>
      <c r="M22" s="2415"/>
      <c r="N22" s="2415"/>
      <c r="O22" s="2415"/>
      <c r="P22" s="2"/>
      <c r="W22" t="s">
        <v>2062</v>
      </c>
    </row>
    <row r="23" spans="1:23" ht="13.15" customHeight="1">
      <c r="A23" s="2" t="s">
        <v>2060</v>
      </c>
      <c r="B23" s="2">
        <f t="shared" si="0"/>
        <v>2020</v>
      </c>
      <c r="C23" s="2" t="str">
        <f t="shared" si="1"/>
        <v>LIM333</v>
      </c>
      <c r="D23" s="2414" t="s">
        <v>2083</v>
      </c>
      <c r="E23" s="2">
        <v>22</v>
      </c>
      <c r="F23" s="2" t="s">
        <v>1237</v>
      </c>
      <c r="G23" s="2415"/>
      <c r="H23" s="2415"/>
      <c r="I23" s="2415"/>
      <c r="J23" s="2415"/>
      <c r="K23" s="2415"/>
      <c r="L23" s="2415"/>
      <c r="M23" s="2415"/>
      <c r="N23" s="2415"/>
      <c r="O23" s="2415"/>
      <c r="P23" s="2"/>
      <c r="W23" t="s">
        <v>2062</v>
      </c>
    </row>
    <row r="24" spans="1:23" ht="13.15" customHeight="1">
      <c r="A24" s="2" t="s">
        <v>2060</v>
      </c>
      <c r="B24" s="2">
        <f t="shared" si="0"/>
        <v>2020</v>
      </c>
      <c r="C24" s="2" t="str">
        <f t="shared" si="1"/>
        <v>LIM333</v>
      </c>
      <c r="D24" s="2414" t="s">
        <v>2084</v>
      </c>
      <c r="E24" s="2">
        <v>23</v>
      </c>
      <c r="F24" s="2" t="s">
        <v>1131</v>
      </c>
      <c r="G24" s="2415"/>
      <c r="H24" s="2415"/>
      <c r="I24" s="2415"/>
      <c r="J24" s="2415"/>
      <c r="K24" s="2415"/>
      <c r="L24" s="2415"/>
      <c r="M24" s="2415"/>
      <c r="N24" s="2415"/>
      <c r="O24" s="2415"/>
      <c r="P24" s="2"/>
      <c r="W24" t="s">
        <v>2062</v>
      </c>
    </row>
    <row r="25" spans="1:23" ht="13.15" customHeight="1">
      <c r="A25" s="2" t="s">
        <v>2060</v>
      </c>
      <c r="B25" s="2">
        <f t="shared" si="0"/>
        <v>2020</v>
      </c>
      <c r="C25" s="2" t="str">
        <f t="shared" si="1"/>
        <v>LIM333</v>
      </c>
      <c r="D25" s="2414" t="s">
        <v>2085</v>
      </c>
      <c r="E25" s="2">
        <v>24</v>
      </c>
      <c r="F25" s="2" t="s">
        <v>1167</v>
      </c>
      <c r="G25" s="2415"/>
      <c r="H25" s="2415"/>
      <c r="I25" s="2415"/>
      <c r="J25" s="2415"/>
      <c r="K25" s="2415"/>
      <c r="L25" s="2415"/>
      <c r="M25" s="2415"/>
      <c r="N25" s="2415"/>
      <c r="O25" s="2415"/>
      <c r="P25" s="2"/>
      <c r="W25" t="s">
        <v>2062</v>
      </c>
    </row>
    <row r="26" spans="1:23" ht="13.15" customHeight="1">
      <c r="A26" s="2" t="s">
        <v>2060</v>
      </c>
      <c r="B26" s="2">
        <f t="shared" si="0"/>
        <v>2020</v>
      </c>
      <c r="C26" s="2" t="str">
        <f t="shared" si="1"/>
        <v>LIM333</v>
      </c>
      <c r="D26" s="2414" t="s">
        <v>2086</v>
      </c>
      <c r="E26" s="2">
        <v>25</v>
      </c>
      <c r="F26" s="2" t="s">
        <v>590</v>
      </c>
      <c r="G26" s="2415"/>
      <c r="H26" s="2415"/>
      <c r="I26" s="2415"/>
      <c r="J26" s="2415"/>
      <c r="K26" s="2415"/>
      <c r="L26" s="2415"/>
      <c r="M26" s="2415"/>
      <c r="N26" s="2415"/>
      <c r="O26" s="2415"/>
      <c r="P26" s="2"/>
      <c r="W26" t="s">
        <v>2062</v>
      </c>
    </row>
    <row r="27" spans="1:23" ht="13.15" customHeight="1">
      <c r="A27" s="2" t="s">
        <v>2060</v>
      </c>
      <c r="B27" s="2">
        <f t="shared" si="0"/>
        <v>2020</v>
      </c>
      <c r="C27" s="2" t="str">
        <f t="shared" si="1"/>
        <v>LIM333</v>
      </c>
      <c r="D27" s="2414" t="s">
        <v>2087</v>
      </c>
      <c r="E27" s="2">
        <v>26</v>
      </c>
      <c r="F27" s="2" t="s">
        <v>1080</v>
      </c>
      <c r="G27" s="2415"/>
      <c r="H27" s="2415"/>
      <c r="I27" s="2415"/>
      <c r="J27" s="2415"/>
      <c r="K27" s="2415"/>
      <c r="L27" s="2415"/>
      <c r="M27" s="2415"/>
      <c r="N27" s="2415"/>
      <c r="O27" s="2415"/>
      <c r="P27" s="2"/>
      <c r="W27" t="s">
        <v>2062</v>
      </c>
    </row>
    <row r="28" spans="1:23" ht="13.15" customHeight="1">
      <c r="A28" s="2" t="s">
        <v>2060</v>
      </c>
      <c r="B28" s="2">
        <f t="shared" si="0"/>
        <v>2020</v>
      </c>
      <c r="C28" s="2" t="str">
        <f t="shared" si="1"/>
        <v>LIM333</v>
      </c>
      <c r="D28" s="2414" t="s">
        <v>2088</v>
      </c>
      <c r="E28" s="2">
        <v>27</v>
      </c>
      <c r="F28" s="2" t="s">
        <v>437</v>
      </c>
      <c r="G28" s="2415"/>
      <c r="H28" s="2415"/>
      <c r="I28" s="2415"/>
      <c r="J28" s="2415"/>
      <c r="K28" s="2415"/>
      <c r="L28" s="2415"/>
      <c r="M28" s="2415"/>
      <c r="N28" s="2415"/>
      <c r="O28" s="2415"/>
      <c r="P28" s="2"/>
      <c r="W28" t="s">
        <v>2062</v>
      </c>
    </row>
    <row r="29" spans="1:23" ht="13.15" customHeight="1">
      <c r="A29" s="2" t="s">
        <v>2060</v>
      </c>
      <c r="B29" s="2">
        <f t="shared" si="0"/>
        <v>2020</v>
      </c>
      <c r="C29" s="2" t="str">
        <f t="shared" si="1"/>
        <v>LIM333</v>
      </c>
      <c r="D29" s="2414" t="s">
        <v>2089</v>
      </c>
      <c r="E29" s="2">
        <v>28</v>
      </c>
      <c r="F29" s="2" t="s">
        <v>323</v>
      </c>
      <c r="G29" s="2415"/>
      <c r="H29" s="2415"/>
      <c r="I29" s="2415"/>
      <c r="J29" s="2415"/>
      <c r="K29" s="2415"/>
      <c r="L29" s="2415"/>
      <c r="M29" s="2415"/>
      <c r="N29" s="2415"/>
      <c r="O29" s="2415"/>
      <c r="P29" s="2"/>
      <c r="W29" t="s">
        <v>2062</v>
      </c>
    </row>
    <row r="30" spans="1:23" ht="13.15" customHeight="1">
      <c r="A30" s="2" t="s">
        <v>2060</v>
      </c>
      <c r="B30" s="2">
        <f t="shared" si="0"/>
        <v>2020</v>
      </c>
      <c r="C30" s="2" t="str">
        <f t="shared" si="1"/>
        <v>LIM333</v>
      </c>
      <c r="D30" s="2414" t="s">
        <v>2090</v>
      </c>
      <c r="E30" s="2">
        <v>29</v>
      </c>
      <c r="F30" s="2" t="s">
        <v>438</v>
      </c>
      <c r="G30" s="2415"/>
      <c r="H30" s="2415"/>
      <c r="I30" s="2415"/>
      <c r="J30" s="2415"/>
      <c r="K30" s="2415"/>
      <c r="L30" s="2415"/>
      <c r="M30" s="2415"/>
      <c r="N30" s="2415"/>
      <c r="O30" s="2415"/>
      <c r="P30" s="2"/>
      <c r="W30" t="s">
        <v>2062</v>
      </c>
    </row>
    <row r="31" spans="1:23" ht="13.15" customHeight="1">
      <c r="A31" s="2" t="s">
        <v>2060</v>
      </c>
      <c r="B31" s="2">
        <f t="shared" si="0"/>
        <v>2020</v>
      </c>
      <c r="C31" s="2" t="str">
        <f t="shared" si="1"/>
        <v>LIM333</v>
      </c>
      <c r="D31" s="2414" t="s">
        <v>2091</v>
      </c>
      <c r="E31" s="2">
        <v>30</v>
      </c>
      <c r="F31" s="2" t="s">
        <v>439</v>
      </c>
      <c r="G31" s="2415"/>
      <c r="H31" s="2415"/>
      <c r="I31" s="2415"/>
      <c r="J31" s="2415"/>
      <c r="K31" s="2415"/>
      <c r="L31" s="2415"/>
      <c r="M31" s="2415"/>
      <c r="N31" s="2415"/>
      <c r="O31" s="2415"/>
      <c r="P31" s="2"/>
      <c r="W31" t="s">
        <v>2062</v>
      </c>
    </row>
    <row r="32" spans="1:23" ht="13.15" customHeight="1">
      <c r="A32" s="2" t="s">
        <v>2060</v>
      </c>
      <c r="B32" s="2">
        <f t="shared" si="0"/>
        <v>2020</v>
      </c>
      <c r="C32" s="2" t="str">
        <f t="shared" si="1"/>
        <v>LIM333</v>
      </c>
      <c r="D32" s="2414" t="s">
        <v>2092</v>
      </c>
      <c r="E32" s="2">
        <v>31</v>
      </c>
      <c r="F32" s="2" t="s">
        <v>591</v>
      </c>
      <c r="G32" s="2415"/>
      <c r="H32" s="2415"/>
      <c r="I32" s="2415"/>
      <c r="J32" s="2415"/>
      <c r="K32" s="2415"/>
      <c r="L32" s="2415"/>
      <c r="M32" s="2415"/>
      <c r="N32" s="2415"/>
      <c r="O32" s="2415"/>
      <c r="P32" s="2"/>
      <c r="W32" t="s">
        <v>2062</v>
      </c>
    </row>
    <row r="33" spans="1:23" ht="13.15" customHeight="1">
      <c r="A33" s="2" t="s">
        <v>2060</v>
      </c>
      <c r="B33" s="2">
        <f t="shared" si="0"/>
        <v>2020</v>
      </c>
      <c r="C33" s="2" t="str">
        <f t="shared" si="1"/>
        <v>LIM333</v>
      </c>
      <c r="D33" s="2414" t="s">
        <v>2093</v>
      </c>
      <c r="E33" s="2">
        <v>32</v>
      </c>
      <c r="F33" s="2" t="s">
        <v>1131</v>
      </c>
      <c r="G33" s="2415"/>
      <c r="H33" s="2415"/>
      <c r="I33" s="2415"/>
      <c r="J33" s="2415"/>
      <c r="K33" s="2415"/>
      <c r="L33" s="2415"/>
      <c r="M33" s="2415"/>
      <c r="N33" s="2415"/>
      <c r="O33" s="2415"/>
      <c r="P33" s="2"/>
      <c r="W33" t="s">
        <v>2062</v>
      </c>
    </row>
    <row r="34" spans="1:23" ht="13.15" customHeight="1">
      <c r="A34" s="2" t="s">
        <v>2060</v>
      </c>
      <c r="B34" s="2">
        <f t="shared" si="0"/>
        <v>2020</v>
      </c>
      <c r="C34" s="2" t="str">
        <f t="shared" si="1"/>
        <v>LIM333</v>
      </c>
      <c r="D34" s="2414" t="s">
        <v>2094</v>
      </c>
      <c r="E34" s="2">
        <v>33</v>
      </c>
      <c r="F34" s="2" t="s">
        <v>1167</v>
      </c>
      <c r="G34" s="2415"/>
      <c r="H34" s="2415"/>
      <c r="I34" s="2415"/>
      <c r="J34" s="2415"/>
      <c r="K34" s="2415"/>
      <c r="L34" s="2415"/>
      <c r="M34" s="2415"/>
      <c r="N34" s="2415"/>
      <c r="O34" s="2415"/>
      <c r="P34" s="2"/>
      <c r="W34" t="s">
        <v>2062</v>
      </c>
    </row>
    <row r="35" spans="1:23" ht="13.15" customHeight="1">
      <c r="A35" s="2" t="s">
        <v>2060</v>
      </c>
      <c r="B35" s="2">
        <f t="shared" si="0"/>
        <v>2020</v>
      </c>
      <c r="C35" s="2" t="str">
        <f t="shared" si="1"/>
        <v>LIM333</v>
      </c>
      <c r="D35" s="2414" t="s">
        <v>2095</v>
      </c>
      <c r="E35" s="2">
        <v>34</v>
      </c>
      <c r="F35" s="2" t="s">
        <v>593</v>
      </c>
      <c r="G35" s="2415"/>
      <c r="H35" s="2415"/>
      <c r="I35" s="2415"/>
      <c r="J35" s="2415"/>
      <c r="K35" s="2415"/>
      <c r="L35" s="2415"/>
      <c r="M35" s="2415"/>
      <c r="N35" s="2415"/>
      <c r="O35" s="2415"/>
      <c r="P35" s="2"/>
      <c r="W35" t="s">
        <v>2062</v>
      </c>
    </row>
    <row r="36" spans="1:23" ht="13.15" customHeight="1">
      <c r="A36" s="2" t="s">
        <v>2060</v>
      </c>
      <c r="B36" s="2">
        <f t="shared" si="0"/>
        <v>2020</v>
      </c>
      <c r="C36" s="2" t="str">
        <f t="shared" si="1"/>
        <v>LIM333</v>
      </c>
      <c r="D36" s="2414" t="s">
        <v>2096</v>
      </c>
      <c r="E36" s="2">
        <v>35</v>
      </c>
      <c r="F36" s="2" t="s">
        <v>636</v>
      </c>
      <c r="G36" s="2415"/>
      <c r="H36" s="2415"/>
      <c r="I36" s="2415"/>
      <c r="J36" s="2415"/>
      <c r="K36" s="2415"/>
      <c r="L36" s="2415"/>
      <c r="M36" s="2415"/>
      <c r="N36" s="2415"/>
      <c r="O36" s="2415"/>
      <c r="P36" s="2"/>
      <c r="W36" t="s">
        <v>2062</v>
      </c>
    </row>
    <row r="37" spans="1:23" ht="13.15" customHeight="1">
      <c r="A37" s="2" t="s">
        <v>2060</v>
      </c>
      <c r="B37" s="2">
        <f t="shared" si="0"/>
        <v>2020</v>
      </c>
      <c r="C37" s="2" t="str">
        <f t="shared" si="1"/>
        <v>LIM333</v>
      </c>
      <c r="D37" s="2414" t="s">
        <v>2097</v>
      </c>
      <c r="E37" s="2">
        <v>36</v>
      </c>
      <c r="F37" s="2" t="s">
        <v>323</v>
      </c>
      <c r="G37" s="2415"/>
      <c r="H37" s="2415"/>
      <c r="I37" s="2415"/>
      <c r="J37" s="2415"/>
      <c r="K37" s="2415"/>
      <c r="L37" s="2415"/>
      <c r="M37" s="2415"/>
      <c r="N37" s="2415"/>
      <c r="O37" s="2415"/>
      <c r="P37" s="2"/>
      <c r="W37" t="s">
        <v>2062</v>
      </c>
    </row>
    <row r="38" spans="1:23" ht="13.15" customHeight="1">
      <c r="A38" s="2" t="s">
        <v>2060</v>
      </c>
      <c r="B38" s="2">
        <f t="shared" si="0"/>
        <v>2020</v>
      </c>
      <c r="C38" s="2" t="str">
        <f t="shared" si="1"/>
        <v>LIM333</v>
      </c>
      <c r="D38" s="2414" t="s">
        <v>2098</v>
      </c>
      <c r="E38" s="2">
        <v>37</v>
      </c>
      <c r="F38" s="2" t="s">
        <v>594</v>
      </c>
      <c r="G38" s="2415"/>
      <c r="H38" s="2415"/>
      <c r="I38" s="2415"/>
      <c r="J38" s="2415"/>
      <c r="K38" s="2415"/>
      <c r="L38" s="2415"/>
      <c r="M38" s="2415"/>
      <c r="N38" s="2415"/>
      <c r="O38" s="2415"/>
      <c r="P38" s="2"/>
      <c r="W38" t="s">
        <v>2062</v>
      </c>
    </row>
    <row r="39" spans="1:23" ht="13.15" customHeight="1">
      <c r="A39" s="2" t="s">
        <v>2060</v>
      </c>
      <c r="B39" s="2">
        <f t="shared" si="0"/>
        <v>2020</v>
      </c>
      <c r="C39" s="2" t="str">
        <f t="shared" si="1"/>
        <v>LIM333</v>
      </c>
      <c r="D39" s="2414" t="s">
        <v>2099</v>
      </c>
      <c r="E39" s="2">
        <v>38</v>
      </c>
      <c r="F39" s="2" t="s">
        <v>595</v>
      </c>
      <c r="G39" s="2415"/>
      <c r="H39" s="2415"/>
      <c r="I39" s="2415"/>
      <c r="J39" s="2415"/>
      <c r="K39" s="2415"/>
      <c r="L39" s="2415"/>
      <c r="M39" s="2415"/>
      <c r="N39" s="2415"/>
      <c r="O39" s="2415"/>
      <c r="P39" s="2"/>
      <c r="W39" t="s">
        <v>2062</v>
      </c>
    </row>
    <row r="40" spans="1:23" ht="13.15" customHeight="1">
      <c r="A40" s="2" t="s">
        <v>2060</v>
      </c>
      <c r="B40" s="2">
        <f t="shared" si="0"/>
        <v>2020</v>
      </c>
      <c r="C40" s="2" t="str">
        <f t="shared" si="1"/>
        <v>LIM333</v>
      </c>
      <c r="D40" s="2414" t="s">
        <v>2100</v>
      </c>
      <c r="E40" s="2">
        <v>39</v>
      </c>
      <c r="F40" s="2" t="s">
        <v>758</v>
      </c>
      <c r="G40" s="2415"/>
      <c r="H40" s="2415"/>
      <c r="I40" s="2415"/>
      <c r="J40" s="2415"/>
      <c r="K40" s="2415"/>
      <c r="L40" s="2415"/>
      <c r="M40" s="2415"/>
      <c r="N40" s="2415"/>
      <c r="O40" s="2415"/>
      <c r="P40" s="2"/>
      <c r="W40" t="s">
        <v>2062</v>
      </c>
    </row>
    <row r="41" spans="1:23" ht="13.15" customHeight="1">
      <c r="A41" s="2" t="s">
        <v>2060</v>
      </c>
      <c r="B41" s="2">
        <f t="shared" si="0"/>
        <v>2020</v>
      </c>
      <c r="C41" s="2" t="str">
        <f t="shared" si="1"/>
        <v>LIM333</v>
      </c>
      <c r="D41" s="2414" t="s">
        <v>2101</v>
      </c>
      <c r="E41" s="2">
        <v>40</v>
      </c>
      <c r="F41" s="2" t="s">
        <v>759</v>
      </c>
      <c r="G41" s="2415"/>
      <c r="H41" s="2415"/>
      <c r="I41" s="2415"/>
      <c r="J41" s="2415"/>
      <c r="K41" s="2415"/>
      <c r="L41" s="2415"/>
      <c r="M41" s="2415"/>
      <c r="N41" s="2415"/>
      <c r="O41" s="2415"/>
      <c r="P41" s="2"/>
      <c r="W41" t="s">
        <v>2062</v>
      </c>
    </row>
    <row r="42" spans="1:23" ht="13.15" customHeight="1">
      <c r="A42" s="2" t="s">
        <v>2060</v>
      </c>
      <c r="B42" s="2">
        <f t="shared" si="0"/>
        <v>2020</v>
      </c>
      <c r="C42" s="2" t="str">
        <f t="shared" si="1"/>
        <v>LIM333</v>
      </c>
      <c r="D42" s="2414" t="s">
        <v>2102</v>
      </c>
      <c r="E42" s="2">
        <v>41</v>
      </c>
      <c r="F42" s="2" t="s">
        <v>170</v>
      </c>
      <c r="G42" s="2415"/>
      <c r="H42" s="2415"/>
      <c r="I42" s="2415"/>
      <c r="J42" s="2415"/>
      <c r="K42" s="2415"/>
      <c r="L42" s="2415"/>
      <c r="M42" s="2415"/>
      <c r="N42" s="2415"/>
      <c r="O42" s="2415"/>
      <c r="P42" s="2"/>
      <c r="W42" t="s">
        <v>2062</v>
      </c>
    </row>
    <row r="43" spans="1:23" ht="13.15" customHeight="1">
      <c r="A43" s="2" t="s">
        <v>2060</v>
      </c>
      <c r="B43" s="2">
        <f t="shared" si="0"/>
        <v>2020</v>
      </c>
      <c r="C43" s="2" t="str">
        <f t="shared" si="1"/>
        <v>LIM333</v>
      </c>
      <c r="D43" s="2414" t="s">
        <v>2103</v>
      </c>
      <c r="E43" s="2">
        <v>42</v>
      </c>
      <c r="F43" s="2" t="s">
        <v>1131</v>
      </c>
      <c r="G43" s="2415"/>
      <c r="H43" s="2415"/>
      <c r="I43" s="2415"/>
      <c r="J43" s="2415"/>
      <c r="K43" s="2415"/>
      <c r="L43" s="2415"/>
      <c r="M43" s="2415"/>
      <c r="N43" s="2415"/>
      <c r="O43" s="2415"/>
      <c r="P43" s="2"/>
      <c r="W43" t="s">
        <v>2062</v>
      </c>
    </row>
    <row r="44" spans="1:23" ht="13.15" customHeight="1">
      <c r="A44" s="2" t="s">
        <v>2060</v>
      </c>
      <c r="B44" s="2">
        <f t="shared" si="0"/>
        <v>2020</v>
      </c>
      <c r="C44" s="2" t="str">
        <f t="shared" si="1"/>
        <v>LIM333</v>
      </c>
      <c r="D44" s="2414" t="s">
        <v>2104</v>
      </c>
      <c r="E44" s="2">
        <v>43</v>
      </c>
      <c r="F44" s="2" t="s">
        <v>1167</v>
      </c>
      <c r="G44" s="2415"/>
      <c r="H44" s="2415"/>
      <c r="I44" s="2415"/>
      <c r="J44" s="2415"/>
      <c r="K44" s="2415"/>
      <c r="L44" s="2415"/>
      <c r="M44" s="2415"/>
      <c r="N44" s="2415"/>
      <c r="O44" s="2415"/>
      <c r="P44" s="2"/>
      <c r="W44" t="s">
        <v>2062</v>
      </c>
    </row>
    <row r="45" spans="1:23" ht="13.15" customHeight="1">
      <c r="A45" s="2" t="s">
        <v>2060</v>
      </c>
      <c r="B45" s="2">
        <f t="shared" si="0"/>
        <v>2020</v>
      </c>
      <c r="C45" s="2" t="str">
        <f t="shared" si="1"/>
        <v>LIM333</v>
      </c>
      <c r="D45" s="2414"/>
      <c r="E45" s="2"/>
      <c r="F45" s="2"/>
      <c r="G45" s="2415"/>
      <c r="H45" s="2415"/>
      <c r="I45" s="2415"/>
      <c r="J45" s="2415"/>
      <c r="K45" s="2415"/>
      <c r="L45" s="2415"/>
      <c r="M45" s="2415"/>
      <c r="N45" s="2415"/>
      <c r="O45" s="2415"/>
      <c r="P45" s="2"/>
      <c r="W45" t="s">
        <v>2062</v>
      </c>
    </row>
    <row r="46" spans="1:23" ht="13.15" customHeight="1">
      <c r="A46" s="2" t="s">
        <v>2060</v>
      </c>
      <c r="B46" s="2">
        <f t="shared" si="0"/>
        <v>2020</v>
      </c>
      <c r="C46" s="2" t="str">
        <f t="shared" si="1"/>
        <v>LIM333</v>
      </c>
      <c r="D46" s="2414" t="s">
        <v>2105</v>
      </c>
      <c r="E46" s="2">
        <v>45</v>
      </c>
      <c r="F46" s="2" t="s">
        <v>171</v>
      </c>
      <c r="G46" s="2415"/>
      <c r="H46" s="2415"/>
      <c r="I46" s="2415"/>
      <c r="J46" s="2415"/>
      <c r="K46" s="2415"/>
      <c r="L46" s="2415"/>
      <c r="M46" s="2415"/>
      <c r="N46" s="2415"/>
      <c r="O46" s="2415"/>
      <c r="P46" s="2"/>
      <c r="W46" t="s">
        <v>2062</v>
      </c>
    </row>
    <row r="47" spans="1:23" ht="13.15" customHeight="1">
      <c r="A47" s="2" t="s">
        <v>2060</v>
      </c>
      <c r="B47" s="2">
        <f t="shared" si="0"/>
        <v>2020</v>
      </c>
      <c r="C47" s="2" t="str">
        <f t="shared" si="1"/>
        <v>LIM333</v>
      </c>
      <c r="D47" s="2414" t="s">
        <v>2106</v>
      </c>
      <c r="E47" s="2">
        <v>46</v>
      </c>
      <c r="F47" s="2" t="s">
        <v>1152</v>
      </c>
      <c r="G47" s="2415"/>
      <c r="H47" s="2415"/>
      <c r="I47" s="2415"/>
      <c r="J47" s="2415"/>
      <c r="K47" s="2415"/>
      <c r="L47" s="2415"/>
      <c r="M47" s="2415"/>
      <c r="N47" s="2415"/>
      <c r="O47" s="2415"/>
      <c r="P47" s="2"/>
      <c r="W47" t="s">
        <v>2062</v>
      </c>
    </row>
    <row r="48" spans="1:23" ht="13.15" customHeight="1">
      <c r="A48" s="2" t="s">
        <v>2060</v>
      </c>
      <c r="B48" s="2">
        <f t="shared" si="0"/>
        <v>2020</v>
      </c>
      <c r="C48" s="2" t="str">
        <f t="shared" si="1"/>
        <v>LIM333</v>
      </c>
      <c r="D48" s="2414" t="s">
        <v>2107</v>
      </c>
      <c r="E48" s="2">
        <v>47</v>
      </c>
      <c r="F48" s="2" t="s">
        <v>324</v>
      </c>
      <c r="G48" s="2415"/>
      <c r="H48" s="2415"/>
      <c r="I48" s="2415"/>
      <c r="J48" s="2415"/>
      <c r="K48" s="2415"/>
      <c r="L48" s="2415"/>
      <c r="M48" s="2415"/>
      <c r="N48" s="2415"/>
      <c r="O48" s="2415"/>
      <c r="P48" s="2"/>
      <c r="W48" t="s">
        <v>2062</v>
      </c>
    </row>
    <row r="49" spans="1:23" ht="13.15" customHeight="1">
      <c r="A49" s="2" t="s">
        <v>2060</v>
      </c>
      <c r="B49" s="2">
        <f t="shared" si="0"/>
        <v>2020</v>
      </c>
      <c r="C49" s="2" t="str">
        <f t="shared" si="1"/>
        <v>LIM333</v>
      </c>
      <c r="D49" s="2414" t="s">
        <v>2108</v>
      </c>
      <c r="E49" s="2">
        <v>48</v>
      </c>
      <c r="F49" s="2" t="s">
        <v>1153</v>
      </c>
      <c r="G49" s="2415"/>
      <c r="H49" s="2415"/>
      <c r="I49" s="2415"/>
      <c r="J49" s="2415"/>
      <c r="K49" s="2415"/>
      <c r="L49" s="2415"/>
      <c r="M49" s="2415"/>
      <c r="N49" s="2415"/>
      <c r="O49" s="2415"/>
      <c r="P49" s="2"/>
      <c r="W49" t="s">
        <v>2062</v>
      </c>
    </row>
    <row r="50" spans="1:23" ht="13.15" customHeight="1">
      <c r="A50" s="2" t="s">
        <v>2060</v>
      </c>
      <c r="B50" s="2">
        <f t="shared" si="0"/>
        <v>2020</v>
      </c>
      <c r="C50" s="2" t="str">
        <f t="shared" si="1"/>
        <v>LIM333</v>
      </c>
      <c r="D50" s="2414" t="s">
        <v>2109</v>
      </c>
      <c r="E50" s="2">
        <v>49</v>
      </c>
      <c r="F50" s="2" t="s">
        <v>325</v>
      </c>
      <c r="G50" s="2415"/>
      <c r="H50" s="2415"/>
      <c r="I50" s="2415"/>
      <c r="J50" s="2415"/>
      <c r="K50" s="2415"/>
      <c r="L50" s="2415"/>
      <c r="M50" s="2415"/>
      <c r="N50" s="2415"/>
      <c r="O50" s="2415"/>
      <c r="P50" s="2"/>
      <c r="W50" t="s">
        <v>2062</v>
      </c>
    </row>
    <row r="51" spans="1:23" ht="13.15" customHeight="1">
      <c r="A51" s="2" t="s">
        <v>2060</v>
      </c>
      <c r="B51" s="2">
        <f t="shared" si="0"/>
        <v>2020</v>
      </c>
      <c r="C51" s="2" t="str">
        <f t="shared" si="1"/>
        <v>LIM333</v>
      </c>
      <c r="D51" s="2414"/>
      <c r="E51" s="2"/>
      <c r="F51" s="2"/>
      <c r="G51" s="2415"/>
      <c r="H51" s="2415"/>
      <c r="I51" s="2415"/>
      <c r="J51" s="2415"/>
      <c r="K51" s="2415"/>
      <c r="L51" s="2415"/>
      <c r="M51" s="2415"/>
      <c r="N51" s="2415"/>
      <c r="O51" s="2415"/>
      <c r="P51" s="2"/>
      <c r="W51" t="s">
        <v>2062</v>
      </c>
    </row>
    <row r="52" spans="1:23" ht="13.15" customHeight="1">
      <c r="A52" s="2" t="s">
        <v>2060</v>
      </c>
      <c r="B52" s="2">
        <f t="shared" si="0"/>
        <v>2020</v>
      </c>
      <c r="C52" s="2" t="str">
        <f t="shared" si="1"/>
        <v>LIM333</v>
      </c>
      <c r="D52" s="2414" t="s">
        <v>2110</v>
      </c>
      <c r="E52" s="2">
        <v>51</v>
      </c>
      <c r="F52" s="2" t="s">
        <v>2041</v>
      </c>
      <c r="G52" s="2415"/>
      <c r="H52" s="2415"/>
      <c r="I52" s="2415"/>
      <c r="J52" s="2415"/>
      <c r="K52" s="2415"/>
      <c r="L52" s="2415"/>
      <c r="M52" s="2415"/>
      <c r="N52" s="2415"/>
      <c r="O52" s="2415"/>
      <c r="P52" s="2"/>
      <c r="W52" t="s">
        <v>2062</v>
      </c>
    </row>
    <row r="53" spans="1:23" ht="13.15" customHeight="1">
      <c r="A53" s="2" t="s">
        <v>2060</v>
      </c>
      <c r="B53" s="2">
        <f t="shared" si="0"/>
        <v>2020</v>
      </c>
      <c r="C53" s="2" t="str">
        <f t="shared" si="1"/>
        <v>LIM333</v>
      </c>
      <c r="D53" s="2414" t="s">
        <v>2111</v>
      </c>
      <c r="E53" s="2">
        <v>52</v>
      </c>
      <c r="F53" s="2" t="s">
        <v>2112</v>
      </c>
      <c r="G53" s="2415"/>
      <c r="H53" s="2415"/>
      <c r="I53" s="2415"/>
      <c r="J53" s="2415"/>
      <c r="K53" s="2415"/>
      <c r="L53" s="2415"/>
      <c r="M53" s="2415"/>
      <c r="N53" s="2415"/>
      <c r="O53" s="2415"/>
      <c r="P53" s="2"/>
      <c r="W53" t="s">
        <v>2062</v>
      </c>
    </row>
    <row r="54" spans="1:23" ht="13.15" customHeight="1">
      <c r="A54" s="2" t="s">
        <v>2060</v>
      </c>
      <c r="B54" s="2">
        <f t="shared" si="0"/>
        <v>2020</v>
      </c>
      <c r="C54" s="2" t="str">
        <f t="shared" si="1"/>
        <v>LIM333</v>
      </c>
      <c r="D54" s="2414" t="s">
        <v>2113</v>
      </c>
      <c r="E54" s="2">
        <v>53</v>
      </c>
      <c r="F54" s="2" t="s">
        <v>2114</v>
      </c>
      <c r="G54" s="2415"/>
      <c r="H54" s="2415"/>
      <c r="I54" s="2415"/>
      <c r="J54" s="2415"/>
      <c r="K54" s="2415"/>
      <c r="L54" s="2415"/>
      <c r="M54" s="2415"/>
      <c r="N54" s="2415"/>
      <c r="O54" s="2415"/>
      <c r="P54" s="2"/>
      <c r="W54" t="s">
        <v>2062</v>
      </c>
    </row>
    <row r="55" spans="1:23" ht="13.15" customHeight="1">
      <c r="A55" s="2" t="s">
        <v>2060</v>
      </c>
      <c r="B55" s="2">
        <f t="shared" si="0"/>
        <v>2020</v>
      </c>
      <c r="C55" s="2" t="str">
        <f t="shared" si="1"/>
        <v>LIM333</v>
      </c>
      <c r="D55" s="2414" t="s">
        <v>2115</v>
      </c>
      <c r="E55" s="2">
        <v>54</v>
      </c>
      <c r="F55" s="2" t="s">
        <v>2116</v>
      </c>
      <c r="G55" s="2415"/>
      <c r="H55" s="2415"/>
      <c r="I55" s="2415"/>
      <c r="J55" s="2415"/>
      <c r="K55" s="2415"/>
      <c r="L55" s="2415"/>
      <c r="M55" s="2415"/>
      <c r="N55" s="2415"/>
      <c r="O55" s="2415"/>
      <c r="P55" s="2"/>
      <c r="W55" t="s">
        <v>2062</v>
      </c>
    </row>
    <row r="56" spans="1:23" ht="13.15" customHeight="1">
      <c r="A56" s="2" t="s">
        <v>2060</v>
      </c>
      <c r="B56" s="2">
        <f t="shared" si="0"/>
        <v>2020</v>
      </c>
      <c r="C56" s="2" t="str">
        <f t="shared" si="1"/>
        <v>LIM333</v>
      </c>
      <c r="D56" s="2414" t="s">
        <v>2117</v>
      </c>
      <c r="E56" s="2">
        <v>55</v>
      </c>
      <c r="F56" s="2" t="s">
        <v>2118</v>
      </c>
      <c r="G56" s="2415"/>
      <c r="H56" s="2415"/>
      <c r="I56" s="2415"/>
      <c r="J56" s="2415"/>
      <c r="K56" s="2415"/>
      <c r="L56" s="2415"/>
      <c r="M56" s="2415"/>
      <c r="N56" s="2415"/>
      <c r="O56" s="2415"/>
      <c r="P56" s="2"/>
      <c r="W56" t="s">
        <v>2062</v>
      </c>
    </row>
    <row r="57" spans="1:23" ht="13.15" customHeight="1">
      <c r="A57" s="2" t="s">
        <v>2060</v>
      </c>
      <c r="B57" s="2">
        <f t="shared" si="0"/>
        <v>2020</v>
      </c>
      <c r="C57" s="2" t="str">
        <f t="shared" si="1"/>
        <v>LIM333</v>
      </c>
      <c r="D57" s="2414">
        <v>1606</v>
      </c>
      <c r="E57" s="2">
        <v>56</v>
      </c>
      <c r="F57" s="2" t="s">
        <v>2028</v>
      </c>
      <c r="G57" s="2415"/>
      <c r="H57" s="2415"/>
      <c r="I57" s="2415"/>
      <c r="J57" s="2415"/>
      <c r="K57" s="2415"/>
      <c r="L57" s="2415"/>
      <c r="M57" s="2415"/>
      <c r="N57" s="2415"/>
      <c r="O57" s="2415"/>
      <c r="P57" s="2"/>
      <c r="W57" t="s">
        <v>2062</v>
      </c>
    </row>
    <row r="58" spans="1:23" ht="13.15" customHeight="1">
      <c r="A58" s="2" t="s">
        <v>2060</v>
      </c>
      <c r="B58" s="2">
        <f t="shared" si="0"/>
        <v>2020</v>
      </c>
      <c r="C58" s="2" t="str">
        <f t="shared" si="1"/>
        <v>LIM333</v>
      </c>
      <c r="D58" s="2414">
        <v>1607</v>
      </c>
      <c r="E58" s="2">
        <v>57</v>
      </c>
      <c r="F58" s="2" t="s">
        <v>2119</v>
      </c>
      <c r="G58" s="2415"/>
      <c r="H58" s="2415"/>
      <c r="I58" s="2415"/>
      <c r="J58" s="2415"/>
      <c r="K58" s="2415"/>
      <c r="L58" s="2415"/>
      <c r="M58" s="2415"/>
      <c r="N58" s="2415"/>
      <c r="O58" s="2415"/>
      <c r="P58" s="2"/>
      <c r="W58" t="s">
        <v>2062</v>
      </c>
    </row>
    <row r="59" spans="1:23" ht="13.15" customHeight="1">
      <c r="A59" s="2" t="s">
        <v>2060</v>
      </c>
      <c r="B59" s="2">
        <f t="shared" si="0"/>
        <v>2020</v>
      </c>
      <c r="C59" s="2" t="str">
        <f t="shared" si="1"/>
        <v>LIM333</v>
      </c>
      <c r="D59" s="2414"/>
      <c r="E59" s="2"/>
      <c r="F59" s="2"/>
      <c r="G59" s="2415"/>
      <c r="H59" s="2415"/>
      <c r="I59" s="2415"/>
      <c r="J59" s="2415"/>
      <c r="K59" s="2415"/>
      <c r="L59" s="2415"/>
      <c r="M59" s="2415"/>
      <c r="N59" s="2415"/>
      <c r="O59" s="2415"/>
      <c r="P59" s="2"/>
      <c r="W59" t="s">
        <v>2062</v>
      </c>
    </row>
    <row r="60" spans="1:23" ht="13.15" customHeight="1">
      <c r="A60" s="2" t="s">
        <v>2060</v>
      </c>
      <c r="B60" s="2">
        <f t="shared" si="0"/>
        <v>2020</v>
      </c>
      <c r="C60" s="2" t="str">
        <f t="shared" si="1"/>
        <v>LIM333</v>
      </c>
      <c r="D60" s="2414" t="s">
        <v>2120</v>
      </c>
      <c r="E60" s="2">
        <v>58</v>
      </c>
      <c r="F60" s="2" t="s">
        <v>2040</v>
      </c>
      <c r="G60" s="2415"/>
      <c r="H60" s="2415"/>
      <c r="I60" s="2415"/>
      <c r="J60" s="2415"/>
      <c r="K60" s="2415"/>
      <c r="L60" s="2415"/>
      <c r="M60" s="2415"/>
      <c r="N60" s="2415"/>
      <c r="O60" s="2415"/>
      <c r="P60" s="2"/>
      <c r="W60" t="s">
        <v>2062</v>
      </c>
    </row>
    <row r="61" spans="1:23" ht="13.15" customHeight="1">
      <c r="A61" s="2" t="s">
        <v>2060</v>
      </c>
      <c r="B61" s="2">
        <f t="shared" si="0"/>
        <v>2020</v>
      </c>
      <c r="C61" s="2" t="str">
        <f t="shared" si="1"/>
        <v>LIM333</v>
      </c>
      <c r="D61" s="2414" t="s">
        <v>2121</v>
      </c>
      <c r="E61" s="2">
        <v>59</v>
      </c>
      <c r="F61" s="2" t="s">
        <v>1663</v>
      </c>
      <c r="G61" s="2415"/>
      <c r="H61" s="2415"/>
      <c r="I61" s="2415"/>
      <c r="J61" s="2415"/>
      <c r="K61" s="2415"/>
      <c r="L61" s="2415"/>
      <c r="M61" s="2415"/>
      <c r="N61" s="2415"/>
      <c r="O61" s="2415"/>
      <c r="P61" s="2"/>
      <c r="W61" t="s">
        <v>2062</v>
      </c>
    </row>
    <row r="62" spans="1:23" ht="13.15" customHeight="1">
      <c r="A62" s="2" t="s">
        <v>2060</v>
      </c>
      <c r="B62" s="2">
        <f t="shared" si="0"/>
        <v>2020</v>
      </c>
      <c r="C62" s="2" t="str">
        <f t="shared" si="1"/>
        <v>LIM333</v>
      </c>
      <c r="D62" s="2414" t="s">
        <v>2122</v>
      </c>
      <c r="E62" s="2">
        <v>60</v>
      </c>
      <c r="F62" s="2" t="s">
        <v>1238</v>
      </c>
      <c r="G62" s="2415"/>
      <c r="H62" s="2415"/>
      <c r="I62" s="2415"/>
      <c r="J62" s="2415"/>
      <c r="K62" s="2415"/>
      <c r="L62" s="2415"/>
      <c r="M62" s="2415"/>
      <c r="N62" s="2415"/>
      <c r="O62" s="2415"/>
      <c r="P62" s="2"/>
      <c r="W62" t="s">
        <v>2062</v>
      </c>
    </row>
    <row r="63" spans="1:23" ht="13.15" customHeight="1">
      <c r="A63" s="2" t="s">
        <v>2060</v>
      </c>
      <c r="B63" s="2">
        <f t="shared" si="0"/>
        <v>2020</v>
      </c>
      <c r="C63" s="2" t="str">
        <f t="shared" si="1"/>
        <v>LIM333</v>
      </c>
      <c r="D63" s="2414" t="s">
        <v>2123</v>
      </c>
      <c r="E63" s="2">
        <v>61</v>
      </c>
      <c r="F63" s="2" t="s">
        <v>1239</v>
      </c>
      <c r="G63" s="2415"/>
      <c r="H63" s="2415"/>
      <c r="I63" s="2415"/>
      <c r="J63" s="2415"/>
      <c r="K63" s="2415"/>
      <c r="L63" s="2415"/>
      <c r="M63" s="2415"/>
      <c r="N63" s="2415"/>
      <c r="O63" s="2415"/>
      <c r="P63" s="2"/>
      <c r="W63" t="s">
        <v>2062</v>
      </c>
    </row>
    <row r="64" spans="1:23" ht="13.15" customHeight="1">
      <c r="A64" s="2" t="s">
        <v>2060</v>
      </c>
      <c r="B64" s="2">
        <f t="shared" si="0"/>
        <v>2020</v>
      </c>
      <c r="C64" s="2" t="str">
        <f t="shared" si="1"/>
        <v>LIM333</v>
      </c>
      <c r="D64" s="2414" t="s">
        <v>2124</v>
      </c>
      <c r="E64" s="2">
        <v>62</v>
      </c>
      <c r="F64" s="2" t="s">
        <v>589</v>
      </c>
      <c r="G64" s="2415"/>
      <c r="H64" s="2415"/>
      <c r="I64" s="2415"/>
      <c r="J64" s="2415"/>
      <c r="K64" s="2415"/>
      <c r="L64" s="2415"/>
      <c r="M64" s="2415"/>
      <c r="N64" s="2415"/>
      <c r="O64" s="2415"/>
      <c r="P64" s="2"/>
      <c r="W64" t="s">
        <v>2062</v>
      </c>
    </row>
    <row r="65" spans="1:23" ht="13.15" customHeight="1">
      <c r="A65" s="2" t="s">
        <v>2060</v>
      </c>
      <c r="B65" s="2">
        <f t="shared" si="0"/>
        <v>2020</v>
      </c>
      <c r="C65" s="2" t="str">
        <f t="shared" si="1"/>
        <v>LIM333</v>
      </c>
      <c r="D65" s="2414" t="s">
        <v>2125</v>
      </c>
      <c r="E65" s="2">
        <v>63</v>
      </c>
      <c r="F65" s="2" t="s">
        <v>326</v>
      </c>
      <c r="G65" s="2415"/>
      <c r="H65" s="2415"/>
      <c r="I65" s="2415"/>
      <c r="J65" s="2415"/>
      <c r="K65" s="2415"/>
      <c r="L65" s="2415"/>
      <c r="M65" s="2415"/>
      <c r="N65" s="2415"/>
      <c r="O65" s="2415"/>
      <c r="P65" s="2"/>
      <c r="W65" t="s">
        <v>2062</v>
      </c>
    </row>
    <row r="66" spans="1:23" ht="13.15" customHeight="1">
      <c r="A66" s="2" t="s">
        <v>2060</v>
      </c>
      <c r="B66" s="2">
        <f t="shared" ref="B66:B129" si="2">+MTREF</f>
        <v>2020</v>
      </c>
      <c r="C66" s="2" t="str">
        <f t="shared" ref="C66:C129" si="3">LEFT(muni,(FIND(" ",muni,1)-1))</f>
        <v>LIM333</v>
      </c>
      <c r="D66" s="2414" t="s">
        <v>2126</v>
      </c>
      <c r="E66" s="2">
        <v>64</v>
      </c>
      <c r="F66" s="2" t="s">
        <v>592</v>
      </c>
      <c r="G66" s="2415"/>
      <c r="H66" s="2415"/>
      <c r="I66" s="2415"/>
      <c r="J66" s="2415"/>
      <c r="K66" s="2415"/>
      <c r="L66" s="2415"/>
      <c r="M66" s="2415"/>
      <c r="N66" s="2415"/>
      <c r="O66" s="2415"/>
      <c r="P66" s="2"/>
      <c r="W66" t="s">
        <v>2062</v>
      </c>
    </row>
    <row r="67" spans="1:23" ht="13.15" customHeight="1">
      <c r="A67" s="2" t="s">
        <v>2060</v>
      </c>
      <c r="B67" s="2">
        <f t="shared" si="2"/>
        <v>2020</v>
      </c>
      <c r="C67" s="2" t="str">
        <f t="shared" si="3"/>
        <v>LIM333</v>
      </c>
      <c r="D67" s="2414" t="s">
        <v>2127</v>
      </c>
      <c r="E67" s="5">
        <v>65</v>
      </c>
      <c r="F67" s="2416" t="s">
        <v>2047</v>
      </c>
      <c r="G67" s="2415"/>
      <c r="H67" s="2415"/>
      <c r="I67" s="2415"/>
      <c r="J67" s="2415"/>
      <c r="K67" s="2415"/>
      <c r="L67" s="2415"/>
      <c r="M67" s="2415"/>
      <c r="N67" s="2415"/>
      <c r="O67" s="2415"/>
      <c r="P67" s="2"/>
      <c r="W67" t="s">
        <v>2062</v>
      </c>
    </row>
    <row r="68" spans="1:23" ht="13.15" customHeight="1">
      <c r="A68" s="2" t="s">
        <v>2060</v>
      </c>
      <c r="B68" s="2">
        <f t="shared" si="2"/>
        <v>2020</v>
      </c>
      <c r="C68" s="2" t="str">
        <f t="shared" si="3"/>
        <v>LIM333</v>
      </c>
      <c r="D68" s="2414" t="s">
        <v>2128</v>
      </c>
      <c r="E68" s="5">
        <v>66</v>
      </c>
      <c r="F68" s="2416" t="s">
        <v>2129</v>
      </c>
      <c r="G68" s="2415"/>
      <c r="H68" s="2415"/>
      <c r="I68" s="2415"/>
      <c r="J68" s="2415"/>
      <c r="K68" s="2415"/>
      <c r="L68" s="2415"/>
      <c r="M68" s="2415"/>
      <c r="N68" s="2415"/>
      <c r="O68" s="2415"/>
      <c r="P68" s="2"/>
      <c r="W68" t="s">
        <v>2062</v>
      </c>
    </row>
    <row r="69" spans="1:23" ht="13.15" customHeight="1">
      <c r="A69" s="2" t="s">
        <v>2060</v>
      </c>
      <c r="B69" s="2">
        <f t="shared" si="2"/>
        <v>2020</v>
      </c>
      <c r="C69" s="2" t="str">
        <f t="shared" si="3"/>
        <v>LIM333</v>
      </c>
      <c r="D69" s="2414" t="s">
        <v>2130</v>
      </c>
      <c r="E69" s="5">
        <v>67</v>
      </c>
      <c r="F69" s="2416" t="s">
        <v>2131</v>
      </c>
      <c r="G69" s="2415"/>
      <c r="H69" s="2415"/>
      <c r="I69" s="2415"/>
      <c r="J69" s="2415"/>
      <c r="K69" s="2415"/>
      <c r="L69" s="2415"/>
      <c r="M69" s="2415"/>
      <c r="N69" s="2415"/>
      <c r="O69" s="2415"/>
      <c r="P69" s="2"/>
      <c r="W69" t="s">
        <v>2062</v>
      </c>
    </row>
    <row r="70" spans="1:23" ht="13.15" customHeight="1">
      <c r="A70" s="2" t="s">
        <v>2060</v>
      </c>
      <c r="B70" s="2">
        <f t="shared" si="2"/>
        <v>2020</v>
      </c>
      <c r="C70" s="2" t="str">
        <f t="shared" si="3"/>
        <v>LIM333</v>
      </c>
      <c r="D70" s="2414" t="s">
        <v>2132</v>
      </c>
      <c r="E70" s="5">
        <v>68</v>
      </c>
      <c r="F70" s="2416" t="s">
        <v>2133</v>
      </c>
      <c r="G70" s="2415"/>
      <c r="H70" s="2415"/>
      <c r="I70" s="2415"/>
      <c r="J70" s="2415"/>
      <c r="K70" s="2415"/>
      <c r="L70" s="2415"/>
      <c r="M70" s="2415"/>
      <c r="N70" s="2415"/>
      <c r="O70" s="2415"/>
      <c r="P70" s="2"/>
      <c r="W70" t="s">
        <v>2062</v>
      </c>
    </row>
    <row r="71" spans="1:23" ht="13.15" customHeight="1">
      <c r="A71" s="2" t="s">
        <v>2060</v>
      </c>
      <c r="B71" s="2">
        <f t="shared" si="2"/>
        <v>2020</v>
      </c>
      <c r="C71" s="2" t="str">
        <f t="shared" si="3"/>
        <v>LIM333</v>
      </c>
      <c r="D71" s="2414" t="s">
        <v>2134</v>
      </c>
      <c r="E71" s="5">
        <v>69</v>
      </c>
      <c r="F71" s="2416" t="s">
        <v>2135</v>
      </c>
      <c r="G71" s="2415"/>
      <c r="H71" s="2415"/>
      <c r="I71" s="2415"/>
      <c r="J71" s="2415"/>
      <c r="K71" s="2415"/>
      <c r="L71" s="2415"/>
      <c r="M71" s="2415"/>
      <c r="N71" s="2415"/>
      <c r="O71" s="2415"/>
      <c r="P71" s="2"/>
      <c r="W71" t="s">
        <v>2062</v>
      </c>
    </row>
    <row r="72" spans="1:23" ht="13.15" customHeight="1">
      <c r="A72" s="2" t="s">
        <v>2060</v>
      </c>
      <c r="B72" s="2">
        <f t="shared" si="2"/>
        <v>2020</v>
      </c>
      <c r="C72" s="2" t="str">
        <f t="shared" si="3"/>
        <v>LIM333</v>
      </c>
      <c r="D72" s="2414" t="s">
        <v>2136</v>
      </c>
      <c r="E72" s="5">
        <v>70</v>
      </c>
      <c r="F72" s="2416" t="s">
        <v>2137</v>
      </c>
      <c r="G72" s="2415"/>
      <c r="H72" s="2415"/>
      <c r="I72" s="2415"/>
      <c r="J72" s="2415"/>
      <c r="K72" s="2415"/>
      <c r="L72" s="2415"/>
      <c r="M72" s="2415"/>
      <c r="N72" s="2415"/>
      <c r="O72" s="2415"/>
      <c r="P72" s="2"/>
      <c r="W72" t="s">
        <v>2062</v>
      </c>
    </row>
    <row r="73" spans="1:23" ht="13.15" customHeight="1">
      <c r="A73" s="2" t="s">
        <v>2060</v>
      </c>
      <c r="B73" s="2">
        <f t="shared" si="2"/>
        <v>2020</v>
      </c>
      <c r="C73" s="2" t="str">
        <f t="shared" si="3"/>
        <v>LIM333</v>
      </c>
      <c r="D73" s="2414" t="s">
        <v>2138</v>
      </c>
      <c r="E73" s="5">
        <v>71</v>
      </c>
      <c r="F73" s="2416" t="s">
        <v>2139</v>
      </c>
      <c r="G73" s="2415"/>
      <c r="H73" s="2415"/>
      <c r="I73" s="2415"/>
      <c r="J73" s="2415"/>
      <c r="K73" s="2415"/>
      <c r="L73" s="2415"/>
      <c r="M73" s="2415"/>
      <c r="N73" s="2415"/>
      <c r="O73" s="2415"/>
      <c r="P73" s="2"/>
      <c r="W73" t="s">
        <v>2062</v>
      </c>
    </row>
    <row r="74" spans="1:23" ht="13.15" customHeight="1">
      <c r="A74" s="2" t="s">
        <v>2060</v>
      </c>
      <c r="B74" s="2">
        <f t="shared" si="2"/>
        <v>2020</v>
      </c>
      <c r="C74" s="2" t="str">
        <f t="shared" si="3"/>
        <v>LIM333</v>
      </c>
      <c r="D74" s="2414" t="s">
        <v>2140</v>
      </c>
      <c r="E74" s="5">
        <v>72</v>
      </c>
      <c r="F74" s="2416" t="s">
        <v>327</v>
      </c>
      <c r="G74" s="2415"/>
      <c r="H74" s="2415"/>
      <c r="I74" s="2415"/>
      <c r="J74" s="2415"/>
      <c r="K74" s="2415"/>
      <c r="L74" s="2415"/>
      <c r="M74" s="2415"/>
      <c r="N74" s="2415"/>
      <c r="O74" s="2415"/>
      <c r="P74" s="2"/>
      <c r="W74" t="s">
        <v>2062</v>
      </c>
    </row>
    <row r="75" spans="1:23" ht="13.15" customHeight="1">
      <c r="A75" s="2" t="s">
        <v>2060</v>
      </c>
      <c r="B75" s="2">
        <f t="shared" si="2"/>
        <v>2020</v>
      </c>
      <c r="C75" s="2" t="str">
        <f t="shared" si="3"/>
        <v>LIM333</v>
      </c>
      <c r="D75" s="2414" t="s">
        <v>2141</v>
      </c>
      <c r="E75" s="5">
        <v>73</v>
      </c>
      <c r="F75" s="2416" t="s">
        <v>328</v>
      </c>
      <c r="G75" s="2415"/>
      <c r="H75" s="2415"/>
      <c r="I75" s="2415"/>
      <c r="J75" s="2415"/>
      <c r="K75" s="2415"/>
      <c r="L75" s="2415"/>
      <c r="M75" s="2415"/>
      <c r="N75" s="2415"/>
      <c r="O75" s="2415"/>
      <c r="P75" s="2"/>
      <c r="W75" t="s">
        <v>2062</v>
      </c>
    </row>
    <row r="76" spans="1:23" ht="13.15" customHeight="1">
      <c r="A76" s="2" t="s">
        <v>2060</v>
      </c>
      <c r="B76" s="2">
        <f t="shared" si="2"/>
        <v>2020</v>
      </c>
      <c r="C76" s="2" t="str">
        <f t="shared" si="3"/>
        <v>LIM333</v>
      </c>
      <c r="D76" s="2414" t="s">
        <v>2142</v>
      </c>
      <c r="E76" s="5">
        <v>74</v>
      </c>
      <c r="F76" s="2416" t="s">
        <v>245</v>
      </c>
      <c r="G76" s="2415"/>
      <c r="H76" s="2415"/>
      <c r="I76" s="2415"/>
      <c r="J76" s="2415"/>
      <c r="K76" s="2415"/>
      <c r="L76" s="2415"/>
      <c r="M76" s="2415"/>
      <c r="N76" s="2415"/>
      <c r="O76" s="2415"/>
      <c r="P76" s="2"/>
      <c r="W76" t="s">
        <v>2062</v>
      </c>
    </row>
    <row r="77" spans="1:23" ht="13.15" customHeight="1">
      <c r="A77" s="2" t="s">
        <v>2060</v>
      </c>
      <c r="B77" s="2">
        <f t="shared" si="2"/>
        <v>2020</v>
      </c>
      <c r="C77" s="2" t="str">
        <f t="shared" si="3"/>
        <v>LIM333</v>
      </c>
      <c r="D77" s="2414" t="s">
        <v>2143</v>
      </c>
      <c r="E77" s="5">
        <v>75</v>
      </c>
      <c r="F77" s="2416" t="s">
        <v>2054</v>
      </c>
      <c r="G77" s="2415"/>
      <c r="H77" s="2415"/>
      <c r="I77" s="2415"/>
      <c r="J77" s="2415"/>
      <c r="K77" s="2415"/>
      <c r="L77" s="2415"/>
      <c r="M77" s="2415"/>
      <c r="N77" s="2415"/>
      <c r="O77" s="2415"/>
      <c r="P77" s="2"/>
      <c r="W77" t="s">
        <v>2062</v>
      </c>
    </row>
    <row r="78" spans="1:23" ht="13.15" customHeight="1">
      <c r="A78" s="2" t="s">
        <v>2144</v>
      </c>
      <c r="B78" s="2">
        <f t="shared" si="2"/>
        <v>2020</v>
      </c>
      <c r="C78" s="2" t="str">
        <f t="shared" si="3"/>
        <v>LIM333</v>
      </c>
      <c r="D78" s="2417">
        <v>1000</v>
      </c>
      <c r="E78" s="5" t="s">
        <v>2145</v>
      </c>
      <c r="F78" s="2418" t="s">
        <v>647</v>
      </c>
      <c r="G78" s="2415"/>
      <c r="H78" s="2415"/>
      <c r="I78" s="2415"/>
      <c r="J78" s="2415"/>
      <c r="K78" s="2415"/>
      <c r="L78" s="2415"/>
      <c r="M78" s="2415"/>
      <c r="N78" s="2"/>
      <c r="O78" s="2"/>
      <c r="P78" s="2"/>
      <c r="W78" t="s">
        <v>2062</v>
      </c>
    </row>
    <row r="79" spans="1:23" ht="13.15" customHeight="1">
      <c r="A79" s="2" t="s">
        <v>2144</v>
      </c>
      <c r="B79" s="2">
        <f t="shared" si="2"/>
        <v>2020</v>
      </c>
      <c r="C79" s="2" t="str">
        <f t="shared" si="3"/>
        <v>LIM333</v>
      </c>
      <c r="D79" s="2417">
        <v>1001</v>
      </c>
      <c r="E79" s="5" t="s">
        <v>2145</v>
      </c>
      <c r="F79" s="2419" t="s">
        <v>646</v>
      </c>
      <c r="G79" s="2420"/>
      <c r="H79" s="2420"/>
      <c r="I79" s="2420"/>
      <c r="J79" s="2420"/>
      <c r="K79" s="2420"/>
      <c r="L79" s="2420"/>
      <c r="M79" s="2420"/>
      <c r="N79" s="2420"/>
      <c r="O79" s="2420"/>
      <c r="P79" s="2"/>
      <c r="W79" t="s">
        <v>2062</v>
      </c>
    </row>
    <row r="80" spans="1:23" ht="13.15" customHeight="1">
      <c r="A80" s="2" t="s">
        <v>2144</v>
      </c>
      <c r="B80" s="2">
        <f t="shared" si="2"/>
        <v>2020</v>
      </c>
      <c r="C80" s="2" t="str">
        <f t="shared" si="3"/>
        <v>LIM333</v>
      </c>
      <c r="D80" s="2417">
        <v>1002</v>
      </c>
      <c r="E80" s="5" t="s">
        <v>2145</v>
      </c>
      <c r="F80" s="2419" t="s">
        <v>563</v>
      </c>
      <c r="G80" s="2421"/>
      <c r="H80" s="2421"/>
      <c r="I80" s="2421"/>
      <c r="J80" s="2421"/>
      <c r="K80" s="2421"/>
      <c r="L80" s="2421"/>
      <c r="M80" s="2421"/>
      <c r="N80" s="2421"/>
      <c r="O80" s="2421"/>
      <c r="P80" s="2"/>
      <c r="W80" t="s">
        <v>2062</v>
      </c>
    </row>
    <row r="81" spans="1:23" ht="13.15" customHeight="1">
      <c r="A81" s="2" t="s">
        <v>2144</v>
      </c>
      <c r="B81" s="2">
        <f t="shared" si="2"/>
        <v>2020</v>
      </c>
      <c r="C81" s="2" t="str">
        <f t="shared" si="3"/>
        <v>LIM333</v>
      </c>
      <c r="D81" s="2417">
        <v>1003</v>
      </c>
      <c r="E81" s="5" t="s">
        <v>2145</v>
      </c>
      <c r="F81" s="2419" t="s">
        <v>348</v>
      </c>
      <c r="G81" s="2422"/>
      <c r="H81" s="2422"/>
      <c r="I81" s="2422"/>
      <c r="J81" s="2422"/>
      <c r="K81" s="2422"/>
      <c r="L81" s="2422"/>
      <c r="M81" s="2422"/>
      <c r="N81" s="2422"/>
      <c r="O81" s="2422"/>
      <c r="P81" s="2"/>
      <c r="W81" t="s">
        <v>2062</v>
      </c>
    </row>
    <row r="82" spans="1:23" ht="13.15" customHeight="1">
      <c r="A82" s="2" t="s">
        <v>2144</v>
      </c>
      <c r="B82" s="2">
        <f t="shared" si="2"/>
        <v>2020</v>
      </c>
      <c r="C82" s="2" t="str">
        <f t="shared" si="3"/>
        <v>LIM333</v>
      </c>
      <c r="D82" s="2417">
        <v>1004</v>
      </c>
      <c r="E82" s="5" t="s">
        <v>2145</v>
      </c>
      <c r="F82" s="2419" t="s">
        <v>1106</v>
      </c>
      <c r="G82" s="2422"/>
      <c r="H82" s="2422"/>
      <c r="I82" s="2422"/>
      <c r="J82" s="2422"/>
      <c r="K82" s="2422"/>
      <c r="L82" s="2422"/>
      <c r="M82" s="2422"/>
      <c r="N82" s="2422"/>
      <c r="O82" s="2422"/>
      <c r="P82" s="2"/>
      <c r="W82" t="s">
        <v>2062</v>
      </c>
    </row>
    <row r="83" spans="1:23" ht="13.15" customHeight="1">
      <c r="A83" s="2" t="s">
        <v>2144</v>
      </c>
      <c r="B83" s="2">
        <f t="shared" si="2"/>
        <v>2020</v>
      </c>
      <c r="C83" s="2" t="str">
        <f t="shared" si="3"/>
        <v>LIM333</v>
      </c>
      <c r="D83" s="2417">
        <v>1005</v>
      </c>
      <c r="E83" s="5" t="s">
        <v>2145</v>
      </c>
      <c r="F83" s="2419" t="s">
        <v>648</v>
      </c>
      <c r="G83" s="2422"/>
      <c r="H83" s="2422"/>
      <c r="I83" s="2422"/>
      <c r="J83" s="2422"/>
      <c r="K83" s="2422"/>
      <c r="L83" s="2422"/>
      <c r="M83" s="2422"/>
      <c r="N83" s="2422"/>
      <c r="O83" s="2422"/>
      <c r="P83" s="2"/>
      <c r="W83" t="s">
        <v>2062</v>
      </c>
    </row>
    <row r="84" spans="1:23" ht="13.15" customHeight="1">
      <c r="A84" s="2" t="s">
        <v>2144</v>
      </c>
      <c r="B84" s="2">
        <f t="shared" si="2"/>
        <v>2020</v>
      </c>
      <c r="C84" s="2" t="str">
        <f t="shared" si="3"/>
        <v>LIM333</v>
      </c>
      <c r="D84" s="2417">
        <v>1006</v>
      </c>
      <c r="E84" s="5" t="s">
        <v>2146</v>
      </c>
      <c r="F84" s="2419" t="s">
        <v>1107</v>
      </c>
      <c r="G84" s="2423"/>
      <c r="H84" s="2423"/>
      <c r="I84" s="2423"/>
      <c r="J84" s="2423"/>
      <c r="K84" s="2423"/>
      <c r="L84" s="2423"/>
      <c r="M84" s="2423"/>
      <c r="N84" s="2423"/>
      <c r="O84" s="2423"/>
      <c r="P84" s="2"/>
      <c r="W84" t="s">
        <v>2062</v>
      </c>
    </row>
    <row r="85" spans="1:23" ht="13.15" customHeight="1">
      <c r="A85" s="2" t="s">
        <v>2144</v>
      </c>
      <c r="B85" s="2">
        <f t="shared" si="2"/>
        <v>2020</v>
      </c>
      <c r="C85" s="2" t="str">
        <f t="shared" si="3"/>
        <v>LIM333</v>
      </c>
      <c r="D85" s="2417">
        <v>1007</v>
      </c>
      <c r="E85" s="5" t="s">
        <v>2146</v>
      </c>
      <c r="F85" s="2424" t="s">
        <v>1108</v>
      </c>
      <c r="G85" s="2423"/>
      <c r="H85" s="2423"/>
      <c r="I85" s="2423"/>
      <c r="J85" s="2423"/>
      <c r="K85" s="2423"/>
      <c r="L85" s="2423"/>
      <c r="M85" s="2423"/>
      <c r="N85" s="2423"/>
      <c r="O85" s="2423"/>
      <c r="P85" s="2"/>
      <c r="W85" t="s">
        <v>2062</v>
      </c>
    </row>
    <row r="86" spans="1:23" ht="13.15" customHeight="1">
      <c r="A86" s="2" t="s">
        <v>2144</v>
      </c>
      <c r="B86" s="2">
        <f t="shared" si="2"/>
        <v>2020</v>
      </c>
      <c r="C86" s="2" t="str">
        <f t="shared" si="3"/>
        <v>LIM333</v>
      </c>
      <c r="D86" s="2417">
        <v>1008</v>
      </c>
      <c r="E86" s="5" t="s">
        <v>2146</v>
      </c>
      <c r="F86" s="2424" t="s">
        <v>1109</v>
      </c>
      <c r="G86" s="2423"/>
      <c r="H86" s="2423"/>
      <c r="I86" s="2423"/>
      <c r="J86" s="2423"/>
      <c r="K86" s="2423"/>
      <c r="L86" s="2423"/>
      <c r="M86" s="2423"/>
      <c r="N86" s="2423"/>
      <c r="O86" s="2423"/>
      <c r="P86" s="2"/>
      <c r="W86" t="s">
        <v>2062</v>
      </c>
    </row>
    <row r="87" spans="1:23" ht="13.15" customHeight="1">
      <c r="A87" s="2" t="s">
        <v>2144</v>
      </c>
      <c r="B87" s="2">
        <f t="shared" si="2"/>
        <v>2020</v>
      </c>
      <c r="C87" s="2" t="str">
        <f t="shared" si="3"/>
        <v>LIM333</v>
      </c>
      <c r="D87" s="2417">
        <v>1009</v>
      </c>
      <c r="E87" s="5" t="s">
        <v>2146</v>
      </c>
      <c r="F87" s="2424" t="s">
        <v>1110</v>
      </c>
      <c r="G87" s="2423"/>
      <c r="H87" s="2423"/>
      <c r="I87" s="2423"/>
      <c r="J87" s="2423"/>
      <c r="K87" s="2423"/>
      <c r="L87" s="2423"/>
      <c r="M87" s="2423"/>
      <c r="N87" s="2423"/>
      <c r="O87" s="2423"/>
      <c r="P87" s="2"/>
      <c r="W87" t="s">
        <v>2062</v>
      </c>
    </row>
    <row r="88" spans="1:23" ht="13.15" customHeight="1">
      <c r="A88" s="2" t="s">
        <v>2144</v>
      </c>
      <c r="B88" s="2">
        <f t="shared" si="2"/>
        <v>2020</v>
      </c>
      <c r="C88" s="2" t="str">
        <f t="shared" si="3"/>
        <v>LIM333</v>
      </c>
      <c r="D88" s="2417">
        <v>1010</v>
      </c>
      <c r="E88" s="5" t="s">
        <v>2146</v>
      </c>
      <c r="F88" s="2424" t="s">
        <v>1392</v>
      </c>
      <c r="G88" s="2423"/>
      <c r="H88" s="2423"/>
      <c r="I88" s="2423"/>
      <c r="J88" s="2423"/>
      <c r="K88" s="2423"/>
      <c r="L88" s="2423"/>
      <c r="M88" s="2423"/>
      <c r="N88" s="2423"/>
      <c r="O88" s="2423"/>
      <c r="P88" s="2"/>
      <c r="W88" t="s">
        <v>2062</v>
      </c>
    </row>
    <row r="89" spans="1:23" ht="13.15" customHeight="1">
      <c r="A89" s="2" t="s">
        <v>2144</v>
      </c>
      <c r="B89" s="2">
        <f t="shared" si="2"/>
        <v>2020</v>
      </c>
      <c r="C89" s="2" t="str">
        <f t="shared" si="3"/>
        <v>LIM333</v>
      </c>
      <c r="D89" s="2417">
        <v>1011</v>
      </c>
      <c r="E89" s="5" t="s">
        <v>2145</v>
      </c>
      <c r="F89" s="2419" t="s">
        <v>564</v>
      </c>
      <c r="G89" s="2422"/>
      <c r="H89" s="2422"/>
      <c r="I89" s="2422"/>
      <c r="J89" s="2422"/>
      <c r="K89" s="2422"/>
      <c r="L89" s="2422"/>
      <c r="M89" s="2422"/>
      <c r="N89" s="2422"/>
      <c r="O89" s="2422"/>
      <c r="P89" s="2"/>
      <c r="W89" t="s">
        <v>2062</v>
      </c>
    </row>
    <row r="90" spans="1:23" ht="13.15" customHeight="1">
      <c r="A90" s="2" t="s">
        <v>2144</v>
      </c>
      <c r="B90" s="2">
        <f t="shared" si="2"/>
        <v>2020</v>
      </c>
      <c r="C90" s="2" t="str">
        <f t="shared" si="3"/>
        <v>LIM333</v>
      </c>
      <c r="D90" s="2417">
        <v>1012</v>
      </c>
      <c r="E90" s="5" t="s">
        <v>2146</v>
      </c>
      <c r="F90" s="2419" t="s">
        <v>346</v>
      </c>
      <c r="G90" s="2415"/>
      <c r="H90" s="2415"/>
      <c r="I90" s="2415"/>
      <c r="J90" s="2415"/>
      <c r="K90" s="2415"/>
      <c r="L90" s="2415"/>
      <c r="M90" s="2415"/>
      <c r="N90" s="2415"/>
      <c r="O90" s="2415"/>
      <c r="P90" s="2"/>
      <c r="W90" t="s">
        <v>2062</v>
      </c>
    </row>
    <row r="91" spans="1:23" ht="13.15" customHeight="1">
      <c r="A91" s="2" t="s">
        <v>2144</v>
      </c>
      <c r="B91" s="2">
        <f t="shared" si="2"/>
        <v>2020</v>
      </c>
      <c r="C91" s="2" t="str">
        <f t="shared" si="3"/>
        <v>LIM333</v>
      </c>
      <c r="D91" s="2417">
        <v>1020</v>
      </c>
      <c r="E91" s="5" t="s">
        <v>2146</v>
      </c>
      <c r="F91" s="2419" t="s">
        <v>349</v>
      </c>
      <c r="G91" s="2415"/>
      <c r="H91" s="2415"/>
      <c r="I91" s="2415"/>
      <c r="J91" s="2415"/>
      <c r="K91" s="2415"/>
      <c r="L91" s="2415"/>
      <c r="M91" s="2415"/>
      <c r="N91" s="2415"/>
      <c r="O91" s="2415"/>
      <c r="P91" s="2"/>
      <c r="W91" t="s">
        <v>2062</v>
      </c>
    </row>
    <row r="92" spans="1:23" ht="13.15" customHeight="1">
      <c r="A92" s="2" t="s">
        <v>2144</v>
      </c>
      <c r="B92" s="2">
        <f t="shared" si="2"/>
        <v>2020</v>
      </c>
      <c r="C92" s="2" t="str">
        <f t="shared" si="3"/>
        <v>LIM333</v>
      </c>
      <c r="D92" s="2417">
        <v>1021</v>
      </c>
      <c r="E92" s="5" t="s">
        <v>2146</v>
      </c>
      <c r="F92" s="2419" t="s">
        <v>350</v>
      </c>
      <c r="G92" s="2415"/>
      <c r="H92" s="2415"/>
      <c r="I92" s="2415"/>
      <c r="J92" s="2415"/>
      <c r="K92" s="2415"/>
      <c r="L92" s="2415"/>
      <c r="M92" s="2415"/>
      <c r="N92" s="2415"/>
      <c r="O92" s="2415"/>
      <c r="P92" s="2"/>
      <c r="W92" t="s">
        <v>2062</v>
      </c>
    </row>
    <row r="93" spans="1:23" ht="13.15" customHeight="1">
      <c r="A93" s="2" t="s">
        <v>2144</v>
      </c>
      <c r="B93" s="2">
        <f t="shared" si="2"/>
        <v>2020</v>
      </c>
      <c r="C93" s="2" t="str">
        <f t="shared" si="3"/>
        <v>LIM333</v>
      </c>
      <c r="D93" s="2417">
        <v>1022</v>
      </c>
      <c r="E93" s="5" t="s">
        <v>2146</v>
      </c>
      <c r="F93" s="2419" t="s">
        <v>351</v>
      </c>
      <c r="G93" s="2415"/>
      <c r="H93" s="2415"/>
      <c r="I93" s="2415"/>
      <c r="J93" s="2415"/>
      <c r="K93" s="2415"/>
      <c r="L93" s="2415"/>
      <c r="M93" s="2415"/>
      <c r="N93" s="2415"/>
      <c r="O93" s="2415"/>
      <c r="P93" s="2"/>
      <c r="W93" t="s">
        <v>2062</v>
      </c>
    </row>
    <row r="94" spans="1:23" ht="13.15" customHeight="1">
      <c r="A94" s="2" t="s">
        <v>2144</v>
      </c>
      <c r="B94" s="2">
        <f t="shared" si="2"/>
        <v>2020</v>
      </c>
      <c r="C94" s="2" t="str">
        <f t="shared" si="3"/>
        <v>LIM333</v>
      </c>
      <c r="D94" s="2417">
        <v>1023</v>
      </c>
      <c r="E94" s="5" t="s">
        <v>2146</v>
      </c>
      <c r="F94" s="2419" t="s">
        <v>639</v>
      </c>
      <c r="G94" s="2415"/>
      <c r="H94" s="2415"/>
      <c r="I94" s="2415"/>
      <c r="J94" s="2415"/>
      <c r="K94" s="2415"/>
      <c r="L94" s="2415"/>
      <c r="M94" s="2415"/>
      <c r="N94" s="2415"/>
      <c r="O94" s="2415"/>
      <c r="P94" s="2"/>
      <c r="W94" t="s">
        <v>2062</v>
      </c>
    </row>
    <row r="95" spans="1:23" ht="13.15" customHeight="1">
      <c r="A95" s="2" t="s">
        <v>2144</v>
      </c>
      <c r="B95" s="2">
        <f t="shared" si="2"/>
        <v>2020</v>
      </c>
      <c r="C95" s="2" t="str">
        <f t="shared" si="3"/>
        <v>LIM333</v>
      </c>
      <c r="D95" s="2417">
        <v>1024</v>
      </c>
      <c r="E95" s="5" t="s">
        <v>2146</v>
      </c>
      <c r="F95" s="2419" t="s">
        <v>640</v>
      </c>
      <c r="G95" s="2415"/>
      <c r="H95" s="2415"/>
      <c r="I95" s="2415"/>
      <c r="J95" s="2415"/>
      <c r="K95" s="2415"/>
      <c r="L95" s="2415"/>
      <c r="M95" s="2415"/>
      <c r="N95" s="2415"/>
      <c r="O95" s="2415"/>
      <c r="P95" s="2"/>
      <c r="W95" t="s">
        <v>2062</v>
      </c>
    </row>
    <row r="96" spans="1:23" ht="13.15" customHeight="1">
      <c r="A96" s="2" t="s">
        <v>2144</v>
      </c>
      <c r="B96" s="2">
        <f t="shared" si="2"/>
        <v>2020</v>
      </c>
      <c r="C96" s="2" t="str">
        <f t="shared" si="3"/>
        <v>LIM333</v>
      </c>
      <c r="D96" s="2417">
        <v>1025</v>
      </c>
      <c r="E96" s="5" t="s">
        <v>2146</v>
      </c>
      <c r="F96" s="2419" t="s">
        <v>318</v>
      </c>
      <c r="G96" s="2415"/>
      <c r="H96" s="2415"/>
      <c r="I96" s="2415"/>
      <c r="J96" s="2415"/>
      <c r="K96" s="2415"/>
      <c r="L96" s="2415"/>
      <c r="M96" s="2415"/>
      <c r="N96" s="2415"/>
      <c r="O96" s="2415"/>
      <c r="P96" s="2"/>
      <c r="W96" t="s">
        <v>2062</v>
      </c>
    </row>
    <row r="97" spans="1:23" ht="13.15" customHeight="1">
      <c r="A97" s="2" t="s">
        <v>2144</v>
      </c>
      <c r="B97" s="2">
        <f t="shared" si="2"/>
        <v>2020</v>
      </c>
      <c r="C97" s="2" t="str">
        <f t="shared" si="3"/>
        <v>LIM333</v>
      </c>
      <c r="D97" s="2417">
        <v>1026</v>
      </c>
      <c r="E97" s="5" t="s">
        <v>2146</v>
      </c>
      <c r="F97" s="2419" t="s">
        <v>319</v>
      </c>
      <c r="G97" s="2415"/>
      <c r="H97" s="2415"/>
      <c r="I97" s="2415"/>
      <c r="J97" s="2415"/>
      <c r="K97" s="2415"/>
      <c r="L97" s="2415"/>
      <c r="M97" s="2415"/>
      <c r="N97" s="2415"/>
      <c r="O97" s="2415"/>
      <c r="P97" s="2"/>
      <c r="W97" t="s">
        <v>2062</v>
      </c>
    </row>
    <row r="98" spans="1:23" ht="13.15" customHeight="1">
      <c r="A98" s="2" t="s">
        <v>2144</v>
      </c>
      <c r="B98" s="2">
        <f t="shared" si="2"/>
        <v>2020</v>
      </c>
      <c r="C98" s="2" t="str">
        <f t="shared" si="3"/>
        <v>LIM333</v>
      </c>
      <c r="D98" s="2417">
        <v>1028</v>
      </c>
      <c r="E98" s="5" t="s">
        <v>2146</v>
      </c>
      <c r="F98" s="2419" t="s">
        <v>649</v>
      </c>
      <c r="G98" s="2415"/>
      <c r="H98" s="2415"/>
      <c r="I98" s="2415"/>
      <c r="J98" s="2415"/>
      <c r="K98" s="2415"/>
      <c r="L98" s="2415"/>
      <c r="M98" s="2415"/>
      <c r="N98" s="2415"/>
      <c r="O98" s="2415"/>
      <c r="P98" s="2"/>
      <c r="W98" t="s">
        <v>2062</v>
      </c>
    </row>
    <row r="99" spans="1:23" ht="13.15" customHeight="1">
      <c r="A99" s="2" t="s">
        <v>2144</v>
      </c>
      <c r="B99" s="2">
        <f t="shared" si="2"/>
        <v>2020</v>
      </c>
      <c r="C99" s="2" t="str">
        <f t="shared" si="3"/>
        <v>LIM333</v>
      </c>
      <c r="D99" s="2417">
        <v>1029</v>
      </c>
      <c r="E99" s="5" t="s">
        <v>2146</v>
      </c>
      <c r="F99" s="2419" t="s">
        <v>638</v>
      </c>
      <c r="G99" s="2415"/>
      <c r="H99" s="2415"/>
      <c r="I99" s="2415"/>
      <c r="J99" s="2415"/>
      <c r="K99" s="2415"/>
      <c r="L99" s="2415"/>
      <c r="M99" s="2415"/>
      <c r="N99" s="2415"/>
      <c r="O99" s="2415"/>
      <c r="P99" s="2"/>
      <c r="W99" t="s">
        <v>2062</v>
      </c>
    </row>
    <row r="100" spans="1:23" ht="13.15" customHeight="1">
      <c r="A100" s="2" t="s">
        <v>2144</v>
      </c>
      <c r="B100" s="2">
        <f t="shared" si="2"/>
        <v>2020</v>
      </c>
      <c r="C100" s="2" t="str">
        <f t="shared" si="3"/>
        <v>LIM333</v>
      </c>
      <c r="D100" s="2417">
        <v>1030</v>
      </c>
      <c r="E100" s="5" t="s">
        <v>2146</v>
      </c>
      <c r="F100" s="2419" t="s">
        <v>1349</v>
      </c>
      <c r="G100" s="2415"/>
      <c r="H100" s="2415"/>
      <c r="I100" s="2415"/>
      <c r="J100" s="2415"/>
      <c r="K100" s="2415"/>
      <c r="L100" s="2415"/>
      <c r="M100" s="2415"/>
      <c r="N100" s="2415"/>
      <c r="O100" s="2415"/>
      <c r="P100" s="2"/>
      <c r="W100" t="s">
        <v>2062</v>
      </c>
    </row>
    <row r="101" spans="1:23" ht="13.15" customHeight="1">
      <c r="A101" s="2" t="s">
        <v>2144</v>
      </c>
      <c r="B101" s="2">
        <f t="shared" si="2"/>
        <v>2020</v>
      </c>
      <c r="C101" s="2" t="str">
        <f t="shared" si="3"/>
        <v>LIM333</v>
      </c>
      <c r="D101" s="2417">
        <v>1031</v>
      </c>
      <c r="E101" s="5" t="s">
        <v>2146</v>
      </c>
      <c r="F101" s="2419" t="s">
        <v>2147</v>
      </c>
      <c r="G101" s="2415"/>
      <c r="H101" s="2415"/>
      <c r="I101" s="2415"/>
      <c r="J101" s="2415"/>
      <c r="K101" s="2415"/>
      <c r="L101" s="2415"/>
      <c r="M101" s="2415"/>
      <c r="N101" s="2415"/>
      <c r="O101" s="2415"/>
      <c r="P101" s="2"/>
      <c r="W101" t="s">
        <v>2062</v>
      </c>
    </row>
    <row r="102" spans="1:23" ht="13.15" customHeight="1">
      <c r="A102" s="2" t="s">
        <v>2144</v>
      </c>
      <c r="B102" s="2">
        <f t="shared" si="2"/>
        <v>2020</v>
      </c>
      <c r="C102" s="2" t="str">
        <f t="shared" si="3"/>
        <v>LIM333</v>
      </c>
      <c r="D102" s="2417">
        <v>1032</v>
      </c>
      <c r="E102" s="5" t="s">
        <v>2146</v>
      </c>
      <c r="F102" s="2419" t="s">
        <v>2148</v>
      </c>
      <c r="G102" s="2415"/>
      <c r="H102" s="2415"/>
      <c r="I102" s="2415"/>
      <c r="J102" s="2415"/>
      <c r="K102" s="2415"/>
      <c r="L102" s="2415"/>
      <c r="M102" s="2415"/>
      <c r="N102" s="2415"/>
      <c r="O102" s="2415"/>
      <c r="P102" s="2"/>
      <c r="W102" t="s">
        <v>2062</v>
      </c>
    </row>
    <row r="103" spans="1:23" ht="13.15" customHeight="1">
      <c r="A103" s="2" t="s">
        <v>2144</v>
      </c>
      <c r="B103" s="2">
        <f t="shared" si="2"/>
        <v>2020</v>
      </c>
      <c r="C103" s="2" t="str">
        <f t="shared" si="3"/>
        <v>LIM333</v>
      </c>
      <c r="D103" s="2417">
        <v>1100</v>
      </c>
      <c r="E103" s="2425" t="s">
        <v>2145</v>
      </c>
      <c r="F103" s="2418" t="s">
        <v>1350</v>
      </c>
      <c r="G103" s="2415"/>
      <c r="H103" s="2415"/>
      <c r="I103" s="2415"/>
      <c r="J103" s="2415"/>
      <c r="K103" s="2415"/>
      <c r="L103" s="2415"/>
      <c r="M103" s="2415"/>
      <c r="N103" s="2415"/>
      <c r="O103" s="2415"/>
      <c r="P103" s="2"/>
      <c r="W103" t="s">
        <v>2062</v>
      </c>
    </row>
    <row r="104" spans="1:23" ht="13.15" customHeight="1">
      <c r="A104" s="2" t="s">
        <v>2144</v>
      </c>
      <c r="B104" s="2">
        <f t="shared" si="2"/>
        <v>2020</v>
      </c>
      <c r="C104" s="2" t="str">
        <f t="shared" si="3"/>
        <v>LIM333</v>
      </c>
      <c r="D104" s="2417">
        <v>1101</v>
      </c>
      <c r="E104" s="5" t="s">
        <v>2146</v>
      </c>
      <c r="F104" s="2419" t="s">
        <v>2149</v>
      </c>
      <c r="G104" s="2415"/>
      <c r="H104" s="2415"/>
      <c r="I104" s="2415"/>
      <c r="J104" s="2415"/>
      <c r="K104" s="2415"/>
      <c r="L104" s="2415"/>
      <c r="M104" s="2415"/>
      <c r="N104" s="2415"/>
      <c r="O104" s="2415"/>
      <c r="P104" s="2"/>
      <c r="W104" t="s">
        <v>2062</v>
      </c>
    </row>
    <row r="105" spans="1:23" ht="13.15" customHeight="1">
      <c r="A105" s="2" t="s">
        <v>2144</v>
      </c>
      <c r="B105" s="2">
        <f t="shared" si="2"/>
        <v>2020</v>
      </c>
      <c r="C105" s="2" t="str">
        <f t="shared" si="3"/>
        <v>LIM333</v>
      </c>
      <c r="D105" s="2417">
        <v>1102</v>
      </c>
      <c r="E105" s="5" t="s">
        <v>2146</v>
      </c>
      <c r="F105" s="2419" t="s">
        <v>2150</v>
      </c>
      <c r="G105" s="2415"/>
      <c r="H105" s="2415"/>
      <c r="I105" s="2415"/>
      <c r="J105" s="2415"/>
      <c r="K105" s="2415"/>
      <c r="L105" s="2415"/>
      <c r="M105" s="2415"/>
      <c r="N105" s="2415"/>
      <c r="O105" s="2415"/>
      <c r="P105" s="2"/>
      <c r="W105" t="s">
        <v>2062</v>
      </c>
    </row>
    <row r="106" spans="1:23" ht="13.15" customHeight="1">
      <c r="A106" s="2" t="s">
        <v>2144</v>
      </c>
      <c r="B106" s="2">
        <f t="shared" si="2"/>
        <v>2020</v>
      </c>
      <c r="C106" s="2" t="str">
        <f t="shared" si="3"/>
        <v>LIM333</v>
      </c>
      <c r="D106" s="2417">
        <v>1103</v>
      </c>
      <c r="E106" s="5" t="s">
        <v>2146</v>
      </c>
      <c r="F106" s="2419" t="s">
        <v>2151</v>
      </c>
      <c r="G106" s="2415"/>
      <c r="H106" s="2415"/>
      <c r="I106" s="2415"/>
      <c r="J106" s="2415"/>
      <c r="K106" s="2415"/>
      <c r="L106" s="2415"/>
      <c r="M106" s="2415"/>
      <c r="N106" s="2415"/>
      <c r="O106" s="2415"/>
      <c r="P106" s="2"/>
      <c r="W106" t="s">
        <v>2062</v>
      </c>
    </row>
    <row r="107" spans="1:23" ht="13.15" customHeight="1">
      <c r="A107" s="2" t="s">
        <v>2144</v>
      </c>
      <c r="B107" s="2">
        <f t="shared" si="2"/>
        <v>2020</v>
      </c>
      <c r="C107" s="2" t="str">
        <f t="shared" si="3"/>
        <v>LIM333</v>
      </c>
      <c r="D107" s="2417">
        <v>1104</v>
      </c>
      <c r="E107" s="5" t="s">
        <v>2146</v>
      </c>
      <c r="F107" s="2419" t="s">
        <v>2152</v>
      </c>
      <c r="G107" s="2415"/>
      <c r="H107" s="2415"/>
      <c r="I107" s="2415"/>
      <c r="J107" s="2415"/>
      <c r="K107" s="2415"/>
      <c r="L107" s="2415"/>
      <c r="M107" s="2415"/>
      <c r="N107" s="2415"/>
      <c r="O107" s="2415"/>
      <c r="P107" s="2"/>
      <c r="W107" t="s">
        <v>2062</v>
      </c>
    </row>
    <row r="108" spans="1:23" ht="13.15" customHeight="1">
      <c r="A108" s="2" t="s">
        <v>2144</v>
      </c>
      <c r="B108" s="2">
        <f t="shared" si="2"/>
        <v>2020</v>
      </c>
      <c r="C108" s="2" t="str">
        <f t="shared" si="3"/>
        <v>LIM333</v>
      </c>
      <c r="D108" s="2417">
        <v>1105</v>
      </c>
      <c r="E108" s="5" t="s">
        <v>2146</v>
      </c>
      <c r="F108" s="2419" t="s">
        <v>2153</v>
      </c>
      <c r="G108" s="2415"/>
      <c r="H108" s="2415"/>
      <c r="I108" s="2415"/>
      <c r="J108" s="2415"/>
      <c r="K108" s="2415"/>
      <c r="L108" s="2415"/>
      <c r="M108" s="2415"/>
      <c r="N108" s="2415"/>
      <c r="O108" s="2415"/>
      <c r="P108" s="2"/>
      <c r="W108" t="s">
        <v>2062</v>
      </c>
    </row>
    <row r="109" spans="1:23" ht="13.15" customHeight="1">
      <c r="A109" s="2" t="s">
        <v>2144</v>
      </c>
      <c r="B109" s="2">
        <f t="shared" si="2"/>
        <v>2020</v>
      </c>
      <c r="C109" s="2" t="str">
        <f t="shared" si="3"/>
        <v>LIM333</v>
      </c>
      <c r="D109" s="2417">
        <v>1106</v>
      </c>
      <c r="E109" s="5" t="s">
        <v>2146</v>
      </c>
      <c r="F109" s="2419" t="s">
        <v>2154</v>
      </c>
      <c r="G109" s="2415"/>
      <c r="H109" s="2415"/>
      <c r="I109" s="2415"/>
      <c r="J109" s="2415"/>
      <c r="K109" s="2415"/>
      <c r="L109" s="2415"/>
      <c r="M109" s="2415"/>
      <c r="N109" s="2415"/>
      <c r="O109" s="2415"/>
      <c r="P109" s="2"/>
      <c r="W109" t="s">
        <v>2062</v>
      </c>
    </row>
    <row r="110" spans="1:23" ht="13.15" customHeight="1">
      <c r="A110" s="2" t="s">
        <v>2144</v>
      </c>
      <c r="B110" s="2">
        <f t="shared" si="2"/>
        <v>2020</v>
      </c>
      <c r="C110" s="2" t="str">
        <f t="shared" si="3"/>
        <v>LIM333</v>
      </c>
      <c r="D110" s="2417">
        <v>1107</v>
      </c>
      <c r="E110" s="5" t="s">
        <v>2146</v>
      </c>
      <c r="F110" s="5" t="s">
        <v>1351</v>
      </c>
      <c r="G110" s="2415"/>
      <c r="H110" s="2415"/>
      <c r="I110" s="2415"/>
      <c r="J110" s="2415"/>
      <c r="K110" s="2415"/>
      <c r="L110" s="2415"/>
      <c r="M110" s="2415"/>
      <c r="N110" s="2415"/>
      <c r="O110" s="2415"/>
      <c r="P110" s="2"/>
      <c r="W110" t="s">
        <v>2062</v>
      </c>
    </row>
    <row r="111" spans="1:23" ht="13.15" customHeight="1">
      <c r="A111" s="2" t="s">
        <v>2144</v>
      </c>
      <c r="B111" s="2">
        <f t="shared" si="2"/>
        <v>2020</v>
      </c>
      <c r="C111" s="2" t="str">
        <f t="shared" si="3"/>
        <v>LIM333</v>
      </c>
      <c r="D111" s="2417">
        <v>1108</v>
      </c>
      <c r="E111" s="5" t="s">
        <v>2146</v>
      </c>
      <c r="F111" s="2419" t="s">
        <v>2155</v>
      </c>
      <c r="G111" s="2415"/>
      <c r="H111" s="2415"/>
      <c r="I111" s="2415"/>
      <c r="J111" s="2415"/>
      <c r="K111" s="2415"/>
      <c r="L111" s="2415"/>
      <c r="M111" s="2415"/>
      <c r="N111" s="2415"/>
      <c r="O111" s="2415"/>
      <c r="P111" s="2"/>
      <c r="W111" t="s">
        <v>2062</v>
      </c>
    </row>
    <row r="112" spans="1:23" ht="13.15" customHeight="1">
      <c r="A112" s="2" t="s">
        <v>2144</v>
      </c>
      <c r="B112" s="2">
        <f t="shared" si="2"/>
        <v>2020</v>
      </c>
      <c r="C112" s="2" t="str">
        <f t="shared" si="3"/>
        <v>LIM333</v>
      </c>
      <c r="D112" s="2417">
        <v>1109</v>
      </c>
      <c r="E112" s="5" t="s">
        <v>2146</v>
      </c>
      <c r="F112" s="2419" t="s">
        <v>2156</v>
      </c>
      <c r="G112" s="2415"/>
      <c r="H112" s="2415"/>
      <c r="I112" s="2415"/>
      <c r="J112" s="2415"/>
      <c r="K112" s="2415"/>
      <c r="L112" s="2415"/>
      <c r="M112" s="2415"/>
      <c r="N112" s="2415"/>
      <c r="O112" s="2415"/>
      <c r="P112" s="2"/>
      <c r="W112" t="s">
        <v>2062</v>
      </c>
    </row>
    <row r="113" spans="1:23" ht="13.15" customHeight="1">
      <c r="A113" s="2" t="s">
        <v>2144</v>
      </c>
      <c r="B113" s="2">
        <f t="shared" si="2"/>
        <v>2020</v>
      </c>
      <c r="C113" s="2" t="str">
        <f t="shared" si="3"/>
        <v>LIM333</v>
      </c>
      <c r="D113" s="2417">
        <v>1110</v>
      </c>
      <c r="E113" s="5" t="s">
        <v>2146</v>
      </c>
      <c r="F113" s="2424" t="s">
        <v>2157</v>
      </c>
      <c r="G113" s="2415"/>
      <c r="H113" s="2415"/>
      <c r="I113" s="2415"/>
      <c r="J113" s="2415"/>
      <c r="K113" s="2415"/>
      <c r="L113" s="2415"/>
      <c r="M113" s="2415"/>
      <c r="N113" s="2415"/>
      <c r="O113" s="2415"/>
      <c r="P113" s="2"/>
      <c r="W113" t="s">
        <v>2062</v>
      </c>
    </row>
    <row r="114" spans="1:23" ht="13.15" customHeight="1">
      <c r="A114" s="2" t="s">
        <v>2144</v>
      </c>
      <c r="B114" s="2">
        <f t="shared" si="2"/>
        <v>2020</v>
      </c>
      <c r="C114" s="2" t="str">
        <f t="shared" si="3"/>
        <v>LIM333</v>
      </c>
      <c r="D114" s="2417">
        <v>1111</v>
      </c>
      <c r="E114" s="5" t="s">
        <v>2146</v>
      </c>
      <c r="F114" s="2424" t="s">
        <v>2158</v>
      </c>
      <c r="G114" s="2415"/>
      <c r="H114" s="2415"/>
      <c r="I114" s="2415"/>
      <c r="J114" s="2415"/>
      <c r="K114" s="2415"/>
      <c r="L114" s="2415"/>
      <c r="M114" s="2415"/>
      <c r="N114" s="2415"/>
      <c r="O114" s="2415"/>
      <c r="P114" s="2"/>
      <c r="W114" t="s">
        <v>2062</v>
      </c>
    </row>
    <row r="115" spans="1:23" ht="13.15" customHeight="1">
      <c r="A115" s="2" t="s">
        <v>2144</v>
      </c>
      <c r="B115" s="2">
        <f t="shared" si="2"/>
        <v>2020</v>
      </c>
      <c r="C115" s="2" t="str">
        <f t="shared" si="3"/>
        <v>LIM333</v>
      </c>
      <c r="D115" s="2417"/>
      <c r="E115" s="5"/>
      <c r="F115" s="2424"/>
      <c r="G115" s="2415"/>
      <c r="H115" s="2415"/>
      <c r="I115" s="2415"/>
      <c r="J115" s="2415"/>
      <c r="K115" s="2415"/>
      <c r="L115" s="2415"/>
      <c r="M115" s="2415"/>
      <c r="N115" s="2415"/>
      <c r="O115" s="2415"/>
      <c r="P115" s="2"/>
      <c r="W115" t="s">
        <v>2062</v>
      </c>
    </row>
    <row r="116" spans="1:23" ht="13.15" customHeight="1">
      <c r="A116" s="2" t="s">
        <v>2144</v>
      </c>
      <c r="B116" s="2">
        <f t="shared" si="2"/>
        <v>2020</v>
      </c>
      <c r="C116" s="2" t="str">
        <f t="shared" si="3"/>
        <v>LIM333</v>
      </c>
      <c r="D116" s="2417">
        <v>1200</v>
      </c>
      <c r="E116" s="2425" t="s">
        <v>2145</v>
      </c>
      <c r="F116" s="2418" t="s">
        <v>1352</v>
      </c>
      <c r="G116" s="2422"/>
      <c r="H116" s="2422"/>
      <c r="I116" s="2422"/>
      <c r="J116" s="2422"/>
      <c r="K116" s="2422"/>
      <c r="L116" s="2422"/>
      <c r="M116" s="2422"/>
      <c r="N116" s="2422"/>
      <c r="O116" s="2422"/>
      <c r="P116" s="2"/>
      <c r="W116" t="s">
        <v>2062</v>
      </c>
    </row>
    <row r="117" spans="1:23" ht="13.15" customHeight="1">
      <c r="A117" s="2" t="s">
        <v>2144</v>
      </c>
      <c r="B117" s="2">
        <f t="shared" si="2"/>
        <v>2020</v>
      </c>
      <c r="C117" s="2" t="str">
        <f t="shared" si="3"/>
        <v>LIM333</v>
      </c>
      <c r="D117" s="2417">
        <v>1202</v>
      </c>
      <c r="E117" s="5" t="s">
        <v>2145</v>
      </c>
      <c r="F117" s="2426" t="s">
        <v>1279</v>
      </c>
      <c r="G117" s="2422"/>
      <c r="H117" s="2422"/>
      <c r="I117" s="2422"/>
      <c r="J117" s="2422"/>
      <c r="K117" s="2422"/>
      <c r="L117" s="2422"/>
      <c r="M117" s="2422"/>
      <c r="N117" s="2422"/>
      <c r="O117" s="2422"/>
      <c r="P117" s="2"/>
      <c r="W117" t="s">
        <v>2062</v>
      </c>
    </row>
    <row r="118" spans="1:23" ht="13.15" customHeight="1">
      <c r="A118" s="2" t="s">
        <v>2144</v>
      </c>
      <c r="B118" s="2">
        <f t="shared" si="2"/>
        <v>2020</v>
      </c>
      <c r="C118" s="2" t="str">
        <f t="shared" si="3"/>
        <v>LIM333</v>
      </c>
      <c r="D118" s="2417">
        <v>1203</v>
      </c>
      <c r="E118" s="5" t="s">
        <v>2145</v>
      </c>
      <c r="F118" s="2419" t="s">
        <v>643</v>
      </c>
      <c r="G118" s="2422"/>
      <c r="H118" s="2422"/>
      <c r="I118" s="2422"/>
      <c r="J118" s="2422"/>
      <c r="K118" s="2422"/>
      <c r="L118" s="2422"/>
      <c r="M118" s="2422"/>
      <c r="N118" s="2422"/>
      <c r="O118" s="2422"/>
      <c r="P118" s="2"/>
      <c r="W118" t="s">
        <v>2062</v>
      </c>
    </row>
    <row r="119" spans="1:23" ht="13.15" customHeight="1">
      <c r="A119" s="2" t="s">
        <v>2144</v>
      </c>
      <c r="B119" s="2">
        <f t="shared" si="2"/>
        <v>2020</v>
      </c>
      <c r="C119" s="2" t="str">
        <f t="shared" si="3"/>
        <v>LIM333</v>
      </c>
      <c r="D119" s="2417">
        <v>1204</v>
      </c>
      <c r="E119" s="5" t="s">
        <v>2145</v>
      </c>
      <c r="F119" s="2419" t="s">
        <v>644</v>
      </c>
      <c r="G119" s="2422"/>
      <c r="H119" s="2422"/>
      <c r="I119" s="2422"/>
      <c r="J119" s="2422"/>
      <c r="K119" s="2422"/>
      <c r="L119" s="2422"/>
      <c r="M119" s="2422"/>
      <c r="N119" s="2422"/>
      <c r="O119" s="2422"/>
      <c r="P119" s="2"/>
      <c r="W119" t="s">
        <v>2062</v>
      </c>
    </row>
    <row r="120" spans="1:23" ht="13.15" customHeight="1">
      <c r="A120" s="2" t="s">
        <v>2144</v>
      </c>
      <c r="B120" s="2">
        <f t="shared" si="2"/>
        <v>2020</v>
      </c>
      <c r="C120" s="2" t="str">
        <f t="shared" si="3"/>
        <v>LIM333</v>
      </c>
      <c r="D120" s="2417">
        <v>1205</v>
      </c>
      <c r="E120" s="5" t="s">
        <v>2145</v>
      </c>
      <c r="F120" s="2419" t="s">
        <v>645</v>
      </c>
      <c r="G120" s="2422"/>
      <c r="H120" s="2422"/>
      <c r="I120" s="2422"/>
      <c r="J120" s="2422"/>
      <c r="K120" s="2422"/>
      <c r="L120" s="2422"/>
      <c r="M120" s="2422"/>
      <c r="N120" s="2422"/>
      <c r="O120" s="2422"/>
      <c r="P120" s="2"/>
      <c r="W120" t="s">
        <v>2062</v>
      </c>
    </row>
    <row r="121" spans="1:23" ht="13.15" customHeight="1">
      <c r="A121" s="2" t="s">
        <v>2144</v>
      </c>
      <c r="B121" s="2">
        <f t="shared" si="2"/>
        <v>2020</v>
      </c>
      <c r="C121" s="2" t="str">
        <f t="shared" si="3"/>
        <v>LIM333</v>
      </c>
      <c r="D121" s="2417">
        <v>1206</v>
      </c>
      <c r="E121" s="5" t="s">
        <v>2146</v>
      </c>
      <c r="F121" s="2419" t="s">
        <v>140</v>
      </c>
      <c r="G121" s="2415"/>
      <c r="H121" s="2415"/>
      <c r="I121" s="2415"/>
      <c r="J121" s="2415"/>
      <c r="K121" s="2415"/>
      <c r="L121" s="2415"/>
      <c r="M121" s="2415"/>
      <c r="N121" s="2415"/>
      <c r="O121" s="2415"/>
      <c r="P121" s="2"/>
      <c r="W121" t="s">
        <v>2062</v>
      </c>
    </row>
    <row r="122" spans="1:23" ht="13.15" customHeight="1">
      <c r="A122" s="2" t="s">
        <v>2144</v>
      </c>
      <c r="B122" s="2">
        <f t="shared" si="2"/>
        <v>2020</v>
      </c>
      <c r="C122" s="2" t="str">
        <f t="shared" si="3"/>
        <v>LIM333</v>
      </c>
      <c r="D122" s="2417">
        <v>1207</v>
      </c>
      <c r="E122" s="5" t="s">
        <v>2145</v>
      </c>
      <c r="F122" s="2419" t="s">
        <v>347</v>
      </c>
      <c r="G122" s="2422"/>
      <c r="H122" s="2422"/>
      <c r="I122" s="2422"/>
      <c r="J122" s="2422"/>
      <c r="K122" s="2422"/>
      <c r="L122" s="2422"/>
      <c r="M122" s="2422"/>
      <c r="N122" s="2422"/>
      <c r="O122" s="2422"/>
      <c r="P122" s="2"/>
      <c r="W122" t="s">
        <v>2062</v>
      </c>
    </row>
    <row r="123" spans="1:23" ht="13.15" customHeight="1">
      <c r="A123" s="2" t="s">
        <v>2144</v>
      </c>
      <c r="B123" s="2">
        <f t="shared" si="2"/>
        <v>2020</v>
      </c>
      <c r="C123" s="2" t="str">
        <f t="shared" si="3"/>
        <v>LIM333</v>
      </c>
      <c r="D123" s="2417">
        <v>1208</v>
      </c>
      <c r="E123" s="5" t="s">
        <v>2146</v>
      </c>
      <c r="F123" s="2419" t="s">
        <v>2159</v>
      </c>
      <c r="G123" s="2415"/>
      <c r="H123" s="2415"/>
      <c r="I123" s="2415"/>
      <c r="J123" s="2415"/>
      <c r="K123" s="2415"/>
      <c r="L123" s="2415"/>
      <c r="M123" s="2415"/>
      <c r="N123" s="2415"/>
      <c r="O123" s="2415"/>
      <c r="P123" s="2"/>
      <c r="W123" t="s">
        <v>2062</v>
      </c>
    </row>
    <row r="124" spans="1:23" ht="13.15" customHeight="1">
      <c r="A124" s="2" t="s">
        <v>2144</v>
      </c>
      <c r="B124" s="2">
        <f t="shared" si="2"/>
        <v>2020</v>
      </c>
      <c r="C124" s="2" t="str">
        <f t="shared" si="3"/>
        <v>LIM333</v>
      </c>
      <c r="D124" s="2417">
        <v>1209</v>
      </c>
      <c r="E124" s="5" t="s">
        <v>818</v>
      </c>
      <c r="F124" s="2419" t="s">
        <v>458</v>
      </c>
      <c r="G124" s="2427"/>
      <c r="H124" s="2427"/>
      <c r="I124" s="2427"/>
      <c r="J124" s="2427"/>
      <c r="K124" s="2427"/>
      <c r="L124" s="2427"/>
      <c r="M124" s="2427"/>
      <c r="N124" s="2427"/>
      <c r="O124" s="2427"/>
      <c r="P124" s="2"/>
      <c r="W124" t="s">
        <v>2062</v>
      </c>
    </row>
    <row r="125" spans="1:23" ht="13.15" customHeight="1">
      <c r="A125" s="2" t="s">
        <v>2144</v>
      </c>
      <c r="B125" s="2">
        <f t="shared" si="2"/>
        <v>2020</v>
      </c>
      <c r="C125" s="2" t="str">
        <f t="shared" si="3"/>
        <v>LIM333</v>
      </c>
      <c r="D125" s="2417"/>
      <c r="E125" s="5"/>
      <c r="F125" s="2419"/>
      <c r="G125" s="2415"/>
      <c r="H125" s="2415"/>
      <c r="I125" s="2415"/>
      <c r="J125" s="2415"/>
      <c r="K125" s="2415"/>
      <c r="L125" s="2415"/>
      <c r="M125" s="2415"/>
      <c r="N125" s="2"/>
      <c r="O125" s="2"/>
      <c r="P125" s="2"/>
      <c r="W125" t="s">
        <v>2062</v>
      </c>
    </row>
    <row r="126" spans="1:23" ht="13.15" customHeight="1">
      <c r="A126" s="2" t="s">
        <v>2144</v>
      </c>
      <c r="B126" s="2">
        <f t="shared" si="2"/>
        <v>2020</v>
      </c>
      <c r="C126" s="2" t="str">
        <f t="shared" si="3"/>
        <v>LIM333</v>
      </c>
      <c r="D126" s="2417">
        <v>1300</v>
      </c>
      <c r="E126" s="2425" t="s">
        <v>2145</v>
      </c>
      <c r="F126" s="2418" t="s">
        <v>567</v>
      </c>
      <c r="G126" s="2415"/>
      <c r="H126" s="2415"/>
      <c r="I126" s="2415"/>
      <c r="J126" s="2415"/>
      <c r="K126" s="2415"/>
      <c r="L126" s="2415"/>
      <c r="M126" s="2415"/>
      <c r="N126" s="2415"/>
      <c r="O126" s="2415"/>
      <c r="P126" s="2"/>
      <c r="W126" t="s">
        <v>2062</v>
      </c>
    </row>
    <row r="127" spans="1:23" ht="13.15" customHeight="1">
      <c r="A127" s="2" t="s">
        <v>2144</v>
      </c>
      <c r="B127" s="2">
        <f t="shared" si="2"/>
        <v>2020</v>
      </c>
      <c r="C127" s="2" t="str">
        <f t="shared" si="3"/>
        <v>LIM333</v>
      </c>
      <c r="D127" s="2417">
        <v>1301</v>
      </c>
      <c r="E127" s="5" t="s">
        <v>2146</v>
      </c>
      <c r="F127" s="2424" t="s">
        <v>2160</v>
      </c>
      <c r="G127" s="2415"/>
      <c r="H127" s="2415"/>
      <c r="I127" s="2415"/>
      <c r="J127" s="2415"/>
      <c r="K127" s="2415"/>
      <c r="L127" s="2415"/>
      <c r="M127" s="2415"/>
      <c r="N127" s="2415"/>
      <c r="O127" s="2415"/>
      <c r="P127" s="2"/>
      <c r="W127" t="s">
        <v>2062</v>
      </c>
    </row>
    <row r="128" spans="1:23" ht="13.15" customHeight="1">
      <c r="A128" s="2" t="s">
        <v>2144</v>
      </c>
      <c r="B128" s="2">
        <f t="shared" si="2"/>
        <v>2020</v>
      </c>
      <c r="C128" s="2" t="str">
        <f t="shared" si="3"/>
        <v>LIM333</v>
      </c>
      <c r="D128" s="2417">
        <v>1302</v>
      </c>
      <c r="E128" s="5" t="s">
        <v>2146</v>
      </c>
      <c r="F128" s="2424" t="s">
        <v>2161</v>
      </c>
      <c r="G128" s="2415"/>
      <c r="H128" s="2415"/>
      <c r="I128" s="2415"/>
      <c r="J128" s="2415"/>
      <c r="K128" s="2415"/>
      <c r="L128" s="2415"/>
      <c r="M128" s="2415"/>
      <c r="N128" s="2415"/>
      <c r="O128" s="2415"/>
      <c r="P128" s="2"/>
      <c r="W128" t="s">
        <v>2062</v>
      </c>
    </row>
    <row r="129" spans="1:23" ht="13.15" customHeight="1">
      <c r="A129" s="2" t="s">
        <v>2144</v>
      </c>
      <c r="B129" s="2">
        <f t="shared" si="2"/>
        <v>2020</v>
      </c>
      <c r="C129" s="2" t="str">
        <f t="shared" si="3"/>
        <v>LIM333</v>
      </c>
      <c r="D129" s="2417">
        <v>1303</v>
      </c>
      <c r="E129" s="5" t="s">
        <v>818</v>
      </c>
      <c r="F129" s="2419" t="s">
        <v>1388</v>
      </c>
      <c r="G129" s="2427"/>
      <c r="H129" s="2427"/>
      <c r="I129" s="2427"/>
      <c r="J129" s="2427"/>
      <c r="K129" s="2427"/>
      <c r="L129" s="2427"/>
      <c r="M129" s="2427"/>
      <c r="N129" s="2427"/>
      <c r="O129" s="2427"/>
      <c r="P129" s="2"/>
      <c r="W129" t="s">
        <v>2062</v>
      </c>
    </row>
    <row r="130" spans="1:23" ht="13.15" customHeight="1">
      <c r="A130" s="2" t="s">
        <v>2144</v>
      </c>
      <c r="B130" s="2">
        <f t="shared" ref="B130:B193" si="4">+MTREF</f>
        <v>2020</v>
      </c>
      <c r="C130" s="2" t="str">
        <f t="shared" ref="C130:C193" si="5">LEFT(muni,(FIND(" ",muni,1)-1))</f>
        <v>LIM333</v>
      </c>
      <c r="D130" s="2417">
        <v>1304</v>
      </c>
      <c r="E130" s="5" t="s">
        <v>2146</v>
      </c>
      <c r="F130" s="2419" t="s">
        <v>2162</v>
      </c>
      <c r="G130" s="2415"/>
      <c r="H130" s="2415"/>
      <c r="I130" s="2415"/>
      <c r="J130" s="2415"/>
      <c r="K130" s="2415"/>
      <c r="L130" s="2415"/>
      <c r="M130" s="2415"/>
      <c r="N130" s="2415"/>
      <c r="O130" s="2415"/>
      <c r="P130" s="2"/>
      <c r="W130" t="s">
        <v>2062</v>
      </c>
    </row>
    <row r="131" spans="1:23" ht="13.15" customHeight="1">
      <c r="A131" s="2" t="s">
        <v>2144</v>
      </c>
      <c r="B131" s="2">
        <f t="shared" si="4"/>
        <v>2020</v>
      </c>
      <c r="C131" s="2" t="str">
        <f t="shared" si="5"/>
        <v>LIM333</v>
      </c>
      <c r="D131" s="2417">
        <v>1305</v>
      </c>
      <c r="E131" s="5" t="s">
        <v>2146</v>
      </c>
      <c r="F131" s="2419" t="s">
        <v>2163</v>
      </c>
      <c r="G131" s="2415"/>
      <c r="H131" s="2415"/>
      <c r="I131" s="2415"/>
      <c r="J131" s="2415"/>
      <c r="K131" s="2415"/>
      <c r="L131" s="2415"/>
      <c r="M131" s="2415"/>
      <c r="N131" s="2415"/>
      <c r="O131" s="2415"/>
      <c r="P131" s="2"/>
      <c r="W131" t="s">
        <v>2062</v>
      </c>
    </row>
    <row r="132" spans="1:23" ht="13.15" customHeight="1">
      <c r="A132" s="2" t="s">
        <v>2144</v>
      </c>
      <c r="B132" s="2">
        <f t="shared" si="4"/>
        <v>2020</v>
      </c>
      <c r="C132" s="2" t="str">
        <f t="shared" si="5"/>
        <v>LIM333</v>
      </c>
      <c r="D132" s="2417">
        <v>1306</v>
      </c>
      <c r="E132" s="5" t="s">
        <v>2146</v>
      </c>
      <c r="F132" s="2419" t="s">
        <v>2164</v>
      </c>
      <c r="G132" s="2415"/>
      <c r="H132" s="2415"/>
      <c r="I132" s="2415"/>
      <c r="J132" s="2415"/>
      <c r="K132" s="2415"/>
      <c r="L132" s="2415"/>
      <c r="M132" s="2415"/>
      <c r="N132" s="2415"/>
      <c r="O132" s="2415"/>
      <c r="P132" s="2"/>
      <c r="W132" t="s">
        <v>2062</v>
      </c>
    </row>
    <row r="133" spans="1:23" ht="13.15" customHeight="1">
      <c r="A133" s="2" t="s">
        <v>2144</v>
      </c>
      <c r="B133" s="2">
        <f t="shared" si="4"/>
        <v>2020</v>
      </c>
      <c r="C133" s="2" t="str">
        <f t="shared" si="5"/>
        <v>LIM333</v>
      </c>
      <c r="D133" s="2417">
        <v>1307</v>
      </c>
      <c r="E133" s="5" t="s">
        <v>2146</v>
      </c>
      <c r="F133" s="2419" t="s">
        <v>2165</v>
      </c>
      <c r="G133" s="2415"/>
      <c r="H133" s="2415"/>
      <c r="I133" s="2415"/>
      <c r="J133" s="2415"/>
      <c r="K133" s="2415"/>
      <c r="L133" s="2415"/>
      <c r="M133" s="2415"/>
      <c r="N133" s="2415"/>
      <c r="O133" s="2415"/>
      <c r="P133" s="2"/>
      <c r="W133" t="s">
        <v>2062</v>
      </c>
    </row>
    <row r="134" spans="1:23" ht="13.15" customHeight="1">
      <c r="A134" s="2" t="s">
        <v>2144</v>
      </c>
      <c r="B134" s="2">
        <f t="shared" si="4"/>
        <v>2020</v>
      </c>
      <c r="C134" s="2" t="str">
        <f t="shared" si="5"/>
        <v>LIM333</v>
      </c>
      <c r="D134" s="2417">
        <v>1308</v>
      </c>
      <c r="E134" s="5" t="s">
        <v>2146</v>
      </c>
      <c r="F134" s="2419" t="s">
        <v>2166</v>
      </c>
      <c r="G134" s="2415"/>
      <c r="H134" s="2415"/>
      <c r="I134" s="2415"/>
      <c r="J134" s="2415"/>
      <c r="K134" s="2415"/>
      <c r="L134" s="2415"/>
      <c r="M134" s="2415"/>
      <c r="N134" s="2415"/>
      <c r="O134" s="2415"/>
      <c r="P134" s="2"/>
      <c r="W134" t="s">
        <v>2062</v>
      </c>
    </row>
    <row r="135" spans="1:23" ht="13.15" customHeight="1">
      <c r="A135" s="2" t="s">
        <v>2144</v>
      </c>
      <c r="B135" s="2">
        <f t="shared" si="4"/>
        <v>2020</v>
      </c>
      <c r="C135" s="2" t="str">
        <f t="shared" si="5"/>
        <v>LIM333</v>
      </c>
      <c r="D135" s="2417">
        <v>1309</v>
      </c>
      <c r="E135" s="5" t="s">
        <v>2146</v>
      </c>
      <c r="F135" s="2419" t="s">
        <v>2167</v>
      </c>
      <c r="G135" s="2415"/>
      <c r="H135" s="2415"/>
      <c r="I135" s="2415"/>
      <c r="J135" s="2415"/>
      <c r="K135" s="2415"/>
      <c r="L135" s="2415"/>
      <c r="M135" s="2415"/>
      <c r="N135" s="2415"/>
      <c r="O135" s="2415"/>
      <c r="P135" s="2"/>
      <c r="W135" t="s">
        <v>2062</v>
      </c>
    </row>
    <row r="136" spans="1:23" ht="13.15" customHeight="1">
      <c r="A136" s="2" t="s">
        <v>2144</v>
      </c>
      <c r="B136" s="2">
        <f t="shared" si="4"/>
        <v>2020</v>
      </c>
      <c r="C136" s="2" t="str">
        <f t="shared" si="5"/>
        <v>LIM333</v>
      </c>
      <c r="D136" s="2417">
        <v>1310</v>
      </c>
      <c r="E136" s="5" t="s">
        <v>2146</v>
      </c>
      <c r="F136" s="5" t="s">
        <v>2168</v>
      </c>
      <c r="G136" s="2415"/>
      <c r="H136" s="2415"/>
      <c r="I136" s="2415"/>
      <c r="J136" s="2415"/>
      <c r="K136" s="2415"/>
      <c r="L136" s="2415"/>
      <c r="M136" s="2415"/>
      <c r="N136" s="2415"/>
      <c r="O136" s="2415"/>
      <c r="P136" s="2"/>
      <c r="W136" t="s">
        <v>2062</v>
      </c>
    </row>
    <row r="137" spans="1:23" ht="13.15" customHeight="1">
      <c r="A137" s="2" t="s">
        <v>2169</v>
      </c>
      <c r="B137" s="2">
        <f t="shared" si="4"/>
        <v>2020</v>
      </c>
      <c r="C137" s="2" t="str">
        <f t="shared" si="5"/>
        <v>LIM333</v>
      </c>
      <c r="D137" s="2417">
        <v>1000</v>
      </c>
      <c r="E137" s="2" t="s">
        <v>2145</v>
      </c>
      <c r="F137" s="2428" t="s">
        <v>647</v>
      </c>
      <c r="G137" s="2415"/>
      <c r="H137" s="2415"/>
      <c r="I137" s="2415"/>
      <c r="J137" s="2415"/>
      <c r="K137" s="2415"/>
      <c r="L137" s="2415"/>
      <c r="M137" s="2415"/>
      <c r="N137" s="2415"/>
      <c r="O137" s="2415"/>
      <c r="P137" s="2"/>
      <c r="Q137" s="2"/>
      <c r="R137" s="2"/>
      <c r="S137" s="2"/>
      <c r="T137" s="2"/>
      <c r="U137" s="2"/>
      <c r="V137" s="2"/>
      <c r="W137" t="s">
        <v>2062</v>
      </c>
    </row>
    <row r="138" spans="1:23" ht="13.15" customHeight="1">
      <c r="A138" s="2" t="s">
        <v>2169</v>
      </c>
      <c r="B138" s="2">
        <f t="shared" si="4"/>
        <v>2020</v>
      </c>
      <c r="C138" s="2" t="str">
        <f t="shared" si="5"/>
        <v>LIM333</v>
      </c>
      <c r="D138" s="2417">
        <v>1020</v>
      </c>
      <c r="E138" s="5" t="s">
        <v>2146</v>
      </c>
      <c r="F138" s="2429" t="s">
        <v>349</v>
      </c>
      <c r="G138" s="2415"/>
      <c r="H138" s="2415"/>
      <c r="I138" s="2415"/>
      <c r="J138" s="2415"/>
      <c r="K138" s="2415"/>
      <c r="L138" s="2415"/>
      <c r="M138" s="2415"/>
      <c r="N138" s="2415"/>
      <c r="O138" s="2415"/>
      <c r="P138" s="2415"/>
      <c r="Q138" s="2415"/>
      <c r="R138" s="2415"/>
      <c r="S138" s="2415"/>
      <c r="T138" s="2415"/>
      <c r="U138" s="2415"/>
      <c r="V138" s="2415"/>
      <c r="W138" t="s">
        <v>2062</v>
      </c>
    </row>
    <row r="139" spans="1:23" ht="13.15" customHeight="1">
      <c r="A139" s="2" t="s">
        <v>2169</v>
      </c>
      <c r="B139" s="2">
        <f t="shared" si="4"/>
        <v>2020</v>
      </c>
      <c r="C139" s="2" t="str">
        <f t="shared" si="5"/>
        <v>LIM333</v>
      </c>
      <c r="D139" s="2417">
        <v>1021</v>
      </c>
      <c r="E139" s="5" t="s">
        <v>2146</v>
      </c>
      <c r="F139" s="2429" t="s">
        <v>1229</v>
      </c>
      <c r="G139" s="2415"/>
      <c r="H139" s="2415"/>
      <c r="I139" s="2415"/>
      <c r="J139" s="2415"/>
      <c r="K139" s="2415"/>
      <c r="L139" s="2415"/>
      <c r="M139" s="2415"/>
      <c r="N139" s="2415"/>
      <c r="O139" s="2415"/>
      <c r="P139" s="2415"/>
      <c r="Q139" s="2415"/>
      <c r="R139" s="2415"/>
      <c r="S139" s="2415"/>
      <c r="T139" s="2415"/>
      <c r="U139" s="2415"/>
      <c r="V139" s="2415"/>
      <c r="W139" t="s">
        <v>2062</v>
      </c>
    </row>
    <row r="140" spans="1:23" ht="13.15" customHeight="1">
      <c r="A140" s="2" t="s">
        <v>2169</v>
      </c>
      <c r="B140" s="2">
        <f t="shared" si="4"/>
        <v>2020</v>
      </c>
      <c r="C140" s="2" t="str">
        <f t="shared" si="5"/>
        <v>LIM333</v>
      </c>
      <c r="D140" s="2417">
        <v>1022</v>
      </c>
      <c r="E140" s="5" t="s">
        <v>2146</v>
      </c>
      <c r="F140" s="2429" t="s">
        <v>351</v>
      </c>
      <c r="G140" s="2415"/>
      <c r="H140" s="2415"/>
      <c r="I140" s="2415"/>
      <c r="J140" s="2415"/>
      <c r="K140" s="2415"/>
      <c r="L140" s="2415"/>
      <c r="M140" s="2415"/>
      <c r="N140" s="2415"/>
      <c r="O140" s="2415"/>
      <c r="P140" s="2415"/>
      <c r="Q140" s="2415"/>
      <c r="R140" s="2415"/>
      <c r="S140" s="2415"/>
      <c r="T140" s="2415"/>
      <c r="U140" s="2415"/>
      <c r="V140" s="2415"/>
      <c r="W140" t="s">
        <v>2062</v>
      </c>
    </row>
    <row r="141" spans="1:23" ht="13.15" customHeight="1">
      <c r="A141" s="2" t="s">
        <v>2169</v>
      </c>
      <c r="B141" s="2">
        <f t="shared" si="4"/>
        <v>2020</v>
      </c>
      <c r="C141" s="2" t="str">
        <f t="shared" si="5"/>
        <v>LIM333</v>
      </c>
      <c r="D141" s="2417">
        <v>1023</v>
      </c>
      <c r="E141" s="5" t="s">
        <v>2146</v>
      </c>
      <c r="F141" s="2429" t="s">
        <v>639</v>
      </c>
      <c r="G141" s="2415"/>
      <c r="H141" s="2415"/>
      <c r="I141" s="2415"/>
      <c r="J141" s="2415"/>
      <c r="K141" s="2415"/>
      <c r="L141" s="2415"/>
      <c r="M141" s="2415"/>
      <c r="N141" s="2415"/>
      <c r="O141" s="2415"/>
      <c r="P141" s="2415"/>
      <c r="Q141" s="2415"/>
      <c r="R141" s="2415"/>
      <c r="S141" s="2415"/>
      <c r="T141" s="2415"/>
      <c r="U141" s="2415"/>
      <c r="V141" s="2415"/>
      <c r="W141" t="s">
        <v>2062</v>
      </c>
    </row>
    <row r="142" spans="1:23" ht="13.15" customHeight="1">
      <c r="A142" s="2" t="s">
        <v>2169</v>
      </c>
      <c r="B142" s="2">
        <f t="shared" si="4"/>
        <v>2020</v>
      </c>
      <c r="C142" s="2" t="str">
        <f t="shared" si="5"/>
        <v>LIM333</v>
      </c>
      <c r="D142" s="2417">
        <v>1030</v>
      </c>
      <c r="E142" s="2425" t="s">
        <v>2146</v>
      </c>
      <c r="F142" s="2429" t="s">
        <v>2170</v>
      </c>
      <c r="G142" s="2415"/>
      <c r="H142" s="2415"/>
      <c r="I142" s="2415"/>
      <c r="J142" s="2415"/>
      <c r="K142" s="2415"/>
      <c r="L142" s="2415"/>
      <c r="M142" s="2415"/>
      <c r="N142" s="2415"/>
      <c r="O142" s="2415"/>
      <c r="P142" s="2415"/>
      <c r="Q142" s="2415"/>
      <c r="R142" s="2415"/>
      <c r="S142" s="2415"/>
      <c r="T142" s="2415"/>
      <c r="U142" s="2415"/>
      <c r="V142" s="2415"/>
      <c r="W142" t="s">
        <v>2062</v>
      </c>
    </row>
    <row r="143" spans="1:23" ht="13.15" customHeight="1">
      <c r="A143" s="2" t="s">
        <v>2169</v>
      </c>
      <c r="B143" s="2">
        <f t="shared" si="4"/>
        <v>2020</v>
      </c>
      <c r="C143" s="2" t="str">
        <f t="shared" si="5"/>
        <v>LIM333</v>
      </c>
      <c r="D143" s="2417">
        <v>1024</v>
      </c>
      <c r="E143" s="5" t="s">
        <v>2146</v>
      </c>
      <c r="F143" s="2429" t="s">
        <v>640</v>
      </c>
      <c r="G143" s="2415"/>
      <c r="H143" s="2415"/>
      <c r="I143" s="2415"/>
      <c r="J143" s="2415"/>
      <c r="K143" s="2415"/>
      <c r="L143" s="2415"/>
      <c r="M143" s="2415"/>
      <c r="N143" s="2415"/>
      <c r="O143" s="2415"/>
      <c r="P143" s="2415"/>
      <c r="Q143" s="2415"/>
      <c r="R143" s="2415"/>
      <c r="S143" s="2415"/>
      <c r="T143" s="2415"/>
      <c r="U143" s="2415"/>
      <c r="V143" s="2415"/>
      <c r="W143" t="s">
        <v>2062</v>
      </c>
    </row>
    <row r="144" spans="1:23" ht="13.15" customHeight="1">
      <c r="A144" s="2" t="s">
        <v>2169</v>
      </c>
      <c r="B144" s="2">
        <f t="shared" si="4"/>
        <v>2020</v>
      </c>
      <c r="C144" s="2" t="str">
        <f t="shared" si="5"/>
        <v>LIM333</v>
      </c>
      <c r="D144" s="2417">
        <v>1025</v>
      </c>
      <c r="E144" s="5" t="s">
        <v>2146</v>
      </c>
      <c r="F144" s="2429" t="s">
        <v>315</v>
      </c>
      <c r="G144" s="2415"/>
      <c r="H144" s="2415"/>
      <c r="I144" s="2415"/>
      <c r="J144" s="2415"/>
      <c r="K144" s="2415"/>
      <c r="L144" s="2415"/>
      <c r="M144" s="2415"/>
      <c r="N144" s="2415"/>
      <c r="O144" s="2415"/>
      <c r="P144" s="2415"/>
      <c r="Q144" s="2415"/>
      <c r="R144" s="2415"/>
      <c r="S144" s="2415"/>
      <c r="T144" s="2415"/>
      <c r="U144" s="2415"/>
      <c r="V144" s="2415"/>
      <c r="W144" t="s">
        <v>2062</v>
      </c>
    </row>
    <row r="145" spans="1:23" ht="13.15" customHeight="1">
      <c r="A145" s="2" t="s">
        <v>2169</v>
      </c>
      <c r="B145" s="2">
        <f t="shared" si="4"/>
        <v>2020</v>
      </c>
      <c r="C145" s="2" t="str">
        <f t="shared" si="5"/>
        <v>LIM333</v>
      </c>
      <c r="D145" s="2417">
        <v>1026</v>
      </c>
      <c r="E145" s="5" t="s">
        <v>2146</v>
      </c>
      <c r="F145" s="2429" t="s">
        <v>316</v>
      </c>
      <c r="G145" s="2415"/>
      <c r="H145" s="2415"/>
      <c r="I145" s="2415"/>
      <c r="J145" s="2415"/>
      <c r="K145" s="2415"/>
      <c r="L145" s="2415"/>
      <c r="M145" s="2415"/>
      <c r="N145" s="2415"/>
      <c r="O145" s="2415"/>
      <c r="P145" s="2415"/>
      <c r="Q145" s="2415"/>
      <c r="R145" s="2415"/>
      <c r="S145" s="2415"/>
      <c r="T145" s="2415"/>
      <c r="U145" s="2415"/>
      <c r="V145" s="2415"/>
      <c r="W145" t="s">
        <v>2062</v>
      </c>
    </row>
    <row r="146" spans="1:23" ht="13.15" customHeight="1">
      <c r="A146" s="2" t="s">
        <v>2169</v>
      </c>
      <c r="B146" s="2">
        <f t="shared" si="4"/>
        <v>2020</v>
      </c>
      <c r="C146" s="2" t="str">
        <f t="shared" si="5"/>
        <v>LIM333</v>
      </c>
      <c r="D146" s="2417">
        <v>1027</v>
      </c>
      <c r="E146" s="5" t="s">
        <v>2146</v>
      </c>
      <c r="F146" s="2429" t="s">
        <v>317</v>
      </c>
      <c r="G146" s="2415"/>
      <c r="H146" s="2415"/>
      <c r="I146" s="2415"/>
      <c r="J146" s="2415"/>
      <c r="K146" s="2415"/>
      <c r="L146" s="2415"/>
      <c r="M146" s="2415"/>
      <c r="N146" s="2415"/>
      <c r="O146" s="2415"/>
      <c r="P146" s="2415"/>
      <c r="Q146" s="2415"/>
      <c r="R146" s="2415"/>
      <c r="S146" s="2415"/>
      <c r="T146" s="2415"/>
      <c r="U146" s="2415"/>
      <c r="V146" s="2415"/>
      <c r="W146" t="s">
        <v>2062</v>
      </c>
    </row>
    <row r="147" spans="1:23" ht="13.15" customHeight="1">
      <c r="A147" s="2" t="s">
        <v>2169</v>
      </c>
      <c r="B147" s="2">
        <f t="shared" si="4"/>
        <v>2020</v>
      </c>
      <c r="C147" s="2" t="str">
        <f t="shared" si="5"/>
        <v>LIM333</v>
      </c>
      <c r="D147" s="2417">
        <v>1028</v>
      </c>
      <c r="E147" s="5" t="s">
        <v>2146</v>
      </c>
      <c r="F147" s="2429" t="s">
        <v>649</v>
      </c>
      <c r="G147" s="2415"/>
      <c r="H147" s="2415"/>
      <c r="I147" s="2415"/>
      <c r="J147" s="2415"/>
      <c r="K147" s="2415"/>
      <c r="L147" s="2415"/>
      <c r="M147" s="2415"/>
      <c r="N147" s="2415"/>
      <c r="O147" s="2415"/>
      <c r="P147" s="2415"/>
      <c r="Q147" s="2415"/>
      <c r="R147" s="2415"/>
      <c r="S147" s="2415"/>
      <c r="T147" s="2415"/>
      <c r="U147" s="2415"/>
      <c r="V147" s="2415"/>
      <c r="W147" t="s">
        <v>2062</v>
      </c>
    </row>
    <row r="148" spans="1:23" ht="13.15" customHeight="1">
      <c r="A148" s="2" t="s">
        <v>2169</v>
      </c>
      <c r="B148" s="2">
        <f t="shared" si="4"/>
        <v>2020</v>
      </c>
      <c r="C148" s="2" t="str">
        <f t="shared" si="5"/>
        <v>LIM333</v>
      </c>
      <c r="D148" s="2417">
        <v>1029</v>
      </c>
      <c r="E148" s="5" t="s">
        <v>2146</v>
      </c>
      <c r="F148" s="2429" t="s">
        <v>638</v>
      </c>
      <c r="G148" s="2415"/>
      <c r="H148" s="2415"/>
      <c r="I148" s="2415"/>
      <c r="J148" s="2415"/>
      <c r="K148" s="2415"/>
      <c r="L148" s="2415"/>
      <c r="M148" s="2415"/>
      <c r="N148" s="2415"/>
      <c r="O148" s="2415"/>
      <c r="P148" s="2415"/>
      <c r="Q148" s="2415"/>
      <c r="R148" s="2415"/>
      <c r="S148" s="2415"/>
      <c r="T148" s="2415"/>
      <c r="U148" s="2415"/>
      <c r="V148" s="2415"/>
      <c r="W148" t="s">
        <v>2062</v>
      </c>
    </row>
    <row r="149" spans="1:23" ht="13.15" customHeight="1">
      <c r="A149" s="2" t="s">
        <v>2169</v>
      </c>
      <c r="B149" s="2">
        <f t="shared" si="4"/>
        <v>2020</v>
      </c>
      <c r="C149" s="2" t="str">
        <f t="shared" si="5"/>
        <v>LIM333</v>
      </c>
      <c r="D149" s="2417">
        <v>1040</v>
      </c>
      <c r="E149" s="5" t="s">
        <v>2146</v>
      </c>
      <c r="F149" s="2430" t="s">
        <v>1231</v>
      </c>
      <c r="G149" s="2415"/>
      <c r="H149" s="2415"/>
      <c r="I149" s="2415"/>
      <c r="J149" s="2415"/>
      <c r="K149" s="2415"/>
      <c r="L149" s="2415"/>
      <c r="M149" s="2415"/>
      <c r="N149" s="2415"/>
      <c r="O149" s="2415"/>
      <c r="P149" s="2415"/>
      <c r="Q149" s="2415"/>
      <c r="R149" s="2415"/>
      <c r="S149" s="2415"/>
      <c r="T149" s="2415"/>
      <c r="U149" s="2415"/>
      <c r="V149" s="2415"/>
      <c r="W149" t="s">
        <v>2062</v>
      </c>
    </row>
    <row r="150" spans="1:23" ht="13.15" customHeight="1">
      <c r="A150" s="2" t="s">
        <v>2169</v>
      </c>
      <c r="B150" s="2">
        <f t="shared" si="4"/>
        <v>2020</v>
      </c>
      <c r="C150" s="2" t="str">
        <f t="shared" si="5"/>
        <v>LIM333</v>
      </c>
      <c r="D150" s="2417">
        <v>1041</v>
      </c>
      <c r="E150" s="5" t="s">
        <v>2145</v>
      </c>
      <c r="F150" s="2429" t="s">
        <v>2171</v>
      </c>
      <c r="G150" s="2421"/>
      <c r="H150" s="2421"/>
      <c r="I150" s="2421"/>
      <c r="J150" s="2421"/>
      <c r="K150" s="2421"/>
      <c r="L150" s="2421"/>
      <c r="M150" s="2421"/>
      <c r="N150" s="2421"/>
      <c r="O150" s="2421"/>
      <c r="P150" s="2421"/>
      <c r="Q150" s="2421"/>
      <c r="R150" s="2421"/>
      <c r="S150" s="2421"/>
      <c r="T150" s="2421"/>
      <c r="U150" s="2421"/>
      <c r="V150" s="2421"/>
      <c r="W150" t="s">
        <v>2062</v>
      </c>
    </row>
    <row r="151" spans="1:23" ht="13.15" customHeight="1">
      <c r="A151" s="2" t="s">
        <v>2169</v>
      </c>
      <c r="B151" s="2">
        <f t="shared" si="4"/>
        <v>2020</v>
      </c>
      <c r="C151" s="2" t="str">
        <f t="shared" si="5"/>
        <v>LIM333</v>
      </c>
      <c r="D151" s="2417">
        <v>1042</v>
      </c>
      <c r="E151" s="5" t="s">
        <v>2145</v>
      </c>
      <c r="F151" s="2429" t="s">
        <v>2172</v>
      </c>
      <c r="G151" s="2421"/>
      <c r="H151" s="2421"/>
      <c r="I151" s="2421"/>
      <c r="J151" s="2421"/>
      <c r="K151" s="2421"/>
      <c r="L151" s="2421"/>
      <c r="M151" s="2421"/>
      <c r="N151" s="2421"/>
      <c r="O151" s="2421"/>
      <c r="P151" s="2421"/>
      <c r="Q151" s="2421"/>
      <c r="R151" s="2421"/>
      <c r="S151" s="2421"/>
      <c r="T151" s="2421"/>
      <c r="U151" s="2421"/>
      <c r="V151" s="2421"/>
      <c r="W151" t="s">
        <v>2062</v>
      </c>
    </row>
    <row r="152" spans="1:23" ht="13.15" customHeight="1">
      <c r="A152" s="2" t="s">
        <v>2169</v>
      </c>
      <c r="B152" s="2">
        <f t="shared" si="4"/>
        <v>2020</v>
      </c>
      <c r="C152" s="2" t="str">
        <f t="shared" si="5"/>
        <v>LIM333</v>
      </c>
      <c r="D152" s="2417">
        <v>1043</v>
      </c>
      <c r="E152" s="5" t="s">
        <v>2145</v>
      </c>
      <c r="F152" s="2429" t="s">
        <v>2173</v>
      </c>
      <c r="G152" s="2421"/>
      <c r="H152" s="2421"/>
      <c r="I152" s="2421"/>
      <c r="J152" s="2421"/>
      <c r="K152" s="2421"/>
      <c r="L152" s="2421"/>
      <c r="M152" s="2421"/>
      <c r="N152" s="2421"/>
      <c r="O152" s="2421"/>
      <c r="P152" s="2421"/>
      <c r="Q152" s="2421"/>
      <c r="R152" s="2421"/>
      <c r="S152" s="2421"/>
      <c r="T152" s="2421"/>
      <c r="U152" s="2421"/>
      <c r="V152" s="2421"/>
      <c r="W152" t="s">
        <v>2062</v>
      </c>
    </row>
    <row r="153" spans="1:23" ht="13.15" customHeight="1">
      <c r="A153" s="2" t="s">
        <v>2169</v>
      </c>
      <c r="B153" s="2">
        <f t="shared" si="4"/>
        <v>2020</v>
      </c>
      <c r="C153" s="2" t="str">
        <f t="shared" si="5"/>
        <v>LIM333</v>
      </c>
      <c r="D153" s="2417">
        <v>1044</v>
      </c>
      <c r="E153" s="5" t="s">
        <v>2145</v>
      </c>
      <c r="F153" s="2429" t="s">
        <v>2174</v>
      </c>
      <c r="G153" s="2421"/>
      <c r="H153" s="2421"/>
      <c r="I153" s="2421"/>
      <c r="J153" s="2421"/>
      <c r="K153" s="2421"/>
      <c r="L153" s="2421"/>
      <c r="M153" s="2421"/>
      <c r="N153" s="2421"/>
      <c r="O153" s="2421"/>
      <c r="P153" s="2421"/>
      <c r="Q153" s="2421"/>
      <c r="R153" s="2421"/>
      <c r="S153" s="2421"/>
      <c r="T153" s="2421"/>
      <c r="U153" s="2421"/>
      <c r="V153" s="2421"/>
      <c r="W153" t="s">
        <v>2062</v>
      </c>
    </row>
    <row r="154" spans="1:23" ht="13.15" customHeight="1">
      <c r="A154" s="2" t="s">
        <v>2169</v>
      </c>
      <c r="B154" s="2">
        <f t="shared" si="4"/>
        <v>2020</v>
      </c>
      <c r="C154" s="2" t="str">
        <f t="shared" si="5"/>
        <v>LIM333</v>
      </c>
      <c r="D154" s="2417">
        <v>1206</v>
      </c>
      <c r="E154" s="2425" t="s">
        <v>2146</v>
      </c>
      <c r="F154" s="2429" t="s">
        <v>140</v>
      </c>
      <c r="G154" s="2415"/>
      <c r="H154" s="2415"/>
      <c r="I154" s="2415"/>
      <c r="J154" s="2415"/>
      <c r="K154" s="2415"/>
      <c r="L154" s="2415"/>
      <c r="M154" s="2415"/>
      <c r="N154" s="2415"/>
      <c r="O154" s="2415"/>
      <c r="P154" s="2415"/>
      <c r="Q154" s="2415"/>
      <c r="R154" s="2415"/>
      <c r="S154" s="2415"/>
      <c r="T154" s="2415"/>
      <c r="U154" s="2415"/>
      <c r="V154" s="2415"/>
      <c r="W154" t="s">
        <v>2062</v>
      </c>
    </row>
    <row r="155" spans="1:23" ht="13.15" customHeight="1">
      <c r="A155" s="2" t="s">
        <v>2169</v>
      </c>
      <c r="B155" s="2">
        <f t="shared" si="4"/>
        <v>2020</v>
      </c>
      <c r="C155" s="2" t="str">
        <f t="shared" si="5"/>
        <v>LIM333</v>
      </c>
      <c r="D155" s="2417">
        <v>1046</v>
      </c>
      <c r="E155" s="5" t="s">
        <v>2145</v>
      </c>
      <c r="F155" s="2429" t="s">
        <v>579</v>
      </c>
      <c r="G155" s="2421"/>
      <c r="H155" s="2421"/>
      <c r="I155" s="2421"/>
      <c r="J155" s="2421"/>
      <c r="K155" s="2421"/>
      <c r="L155" s="2421"/>
      <c r="M155" s="2421"/>
      <c r="N155" s="2421"/>
      <c r="O155" s="2421"/>
      <c r="P155" s="2421"/>
      <c r="Q155" s="2421"/>
      <c r="R155" s="2421"/>
      <c r="S155" s="2421"/>
      <c r="T155" s="2421"/>
      <c r="U155" s="2421"/>
      <c r="V155" s="2421"/>
      <c r="W155" t="s">
        <v>2062</v>
      </c>
    </row>
    <row r="156" spans="1:23" ht="13.15" customHeight="1">
      <c r="A156" s="2" t="s">
        <v>2169</v>
      </c>
      <c r="B156" s="2">
        <f t="shared" si="4"/>
        <v>2020</v>
      </c>
      <c r="C156" s="2" t="str">
        <f t="shared" si="5"/>
        <v>LIM333</v>
      </c>
      <c r="D156" s="2417">
        <v>1047</v>
      </c>
      <c r="E156" s="5" t="s">
        <v>2145</v>
      </c>
      <c r="F156" s="2429" t="s">
        <v>580</v>
      </c>
      <c r="G156" s="2421"/>
      <c r="H156" s="2421"/>
      <c r="I156" s="2421"/>
      <c r="J156" s="2421"/>
      <c r="K156" s="2421"/>
      <c r="L156" s="2421"/>
      <c r="M156" s="2421"/>
      <c r="N156" s="2421"/>
      <c r="O156" s="2421"/>
      <c r="P156" s="2421"/>
      <c r="Q156" s="2421"/>
      <c r="R156" s="2421"/>
      <c r="S156" s="2421"/>
      <c r="T156" s="2421"/>
      <c r="U156" s="2421"/>
      <c r="V156" s="2421"/>
      <c r="W156" t="s">
        <v>2062</v>
      </c>
    </row>
    <row r="157" spans="1:23" ht="13.15" customHeight="1">
      <c r="A157" s="2" t="s">
        <v>2169</v>
      </c>
      <c r="B157" s="2">
        <f t="shared" si="4"/>
        <v>2020</v>
      </c>
      <c r="C157" s="2" t="str">
        <f t="shared" si="5"/>
        <v>LIM333</v>
      </c>
      <c r="D157" s="2417">
        <v>1048</v>
      </c>
      <c r="E157" s="5" t="s">
        <v>2145</v>
      </c>
      <c r="F157" s="2429" t="s">
        <v>264</v>
      </c>
      <c r="G157" s="2421"/>
      <c r="H157" s="2421"/>
      <c r="I157" s="2421"/>
      <c r="J157" s="2421"/>
      <c r="K157" s="2421"/>
      <c r="L157" s="2421"/>
      <c r="M157" s="2421"/>
      <c r="N157" s="2421"/>
      <c r="O157" s="2421"/>
      <c r="P157" s="2421"/>
      <c r="Q157" s="2421"/>
      <c r="R157" s="2421"/>
      <c r="S157" s="2421"/>
      <c r="T157" s="2421"/>
      <c r="U157" s="2421"/>
      <c r="V157" s="2421"/>
      <c r="W157" t="s">
        <v>2062</v>
      </c>
    </row>
    <row r="158" spans="1:23" ht="13.15" customHeight="1">
      <c r="A158" s="2" t="s">
        <v>2169</v>
      </c>
      <c r="B158" s="2">
        <f t="shared" si="4"/>
        <v>2020</v>
      </c>
      <c r="C158" s="2" t="str">
        <f t="shared" si="5"/>
        <v>LIM333</v>
      </c>
      <c r="D158" s="2417">
        <v>1100</v>
      </c>
      <c r="E158" s="5" t="s">
        <v>2145</v>
      </c>
      <c r="F158" s="2428" t="s">
        <v>1350</v>
      </c>
      <c r="G158" s="2431"/>
      <c r="H158" s="2431"/>
      <c r="I158" s="2431"/>
      <c r="J158" s="2431"/>
      <c r="K158" s="2431"/>
      <c r="L158" s="2431"/>
      <c r="M158" s="2431"/>
      <c r="N158" s="2431"/>
      <c r="O158" s="2431"/>
      <c r="P158" s="2431"/>
      <c r="Q158" s="2431"/>
      <c r="R158" s="2431"/>
      <c r="S158" s="2431"/>
      <c r="T158" s="2431"/>
      <c r="U158" s="2431"/>
      <c r="V158" s="2431"/>
      <c r="W158" t="s">
        <v>2062</v>
      </c>
    </row>
    <row r="159" spans="1:23" ht="13.15" customHeight="1">
      <c r="A159" s="2" t="s">
        <v>2169</v>
      </c>
      <c r="B159" s="2">
        <f t="shared" si="4"/>
        <v>2020</v>
      </c>
      <c r="C159" s="2" t="str">
        <f t="shared" si="5"/>
        <v>LIM333</v>
      </c>
      <c r="D159" s="2417">
        <v>1101</v>
      </c>
      <c r="E159" s="5" t="s">
        <v>2146</v>
      </c>
      <c r="F159" s="2429" t="s">
        <v>2149</v>
      </c>
      <c r="G159" s="2415"/>
      <c r="H159" s="2415"/>
      <c r="I159" s="2415"/>
      <c r="J159" s="2415"/>
      <c r="K159" s="2415"/>
      <c r="L159" s="2415"/>
      <c r="M159" s="2415"/>
      <c r="N159" s="2415"/>
      <c r="O159" s="2415"/>
      <c r="P159" s="2415"/>
      <c r="Q159" s="2415"/>
      <c r="R159" s="2415"/>
      <c r="S159" s="2415"/>
      <c r="T159" s="2415"/>
      <c r="U159" s="2415"/>
      <c r="V159" s="2415"/>
      <c r="W159" t="s">
        <v>2062</v>
      </c>
    </row>
    <row r="160" spans="1:23" ht="13.15" customHeight="1">
      <c r="A160" s="2" t="s">
        <v>2169</v>
      </c>
      <c r="B160" s="2">
        <f t="shared" si="4"/>
        <v>2020</v>
      </c>
      <c r="C160" s="2" t="str">
        <f t="shared" si="5"/>
        <v>LIM333</v>
      </c>
      <c r="D160" s="2417">
        <v>1102</v>
      </c>
      <c r="E160" s="5" t="s">
        <v>2146</v>
      </c>
      <c r="F160" s="2429" t="s">
        <v>2150</v>
      </c>
      <c r="G160" s="2415"/>
      <c r="H160" s="2415"/>
      <c r="I160" s="2415"/>
      <c r="J160" s="2415"/>
      <c r="K160" s="2415"/>
      <c r="L160" s="2415"/>
      <c r="M160" s="2415"/>
      <c r="N160" s="2415"/>
      <c r="O160" s="2415"/>
      <c r="P160" s="2415"/>
      <c r="Q160" s="2415"/>
      <c r="R160" s="2415"/>
      <c r="S160" s="2415"/>
      <c r="T160" s="2415"/>
      <c r="U160" s="2415"/>
      <c r="V160" s="2415"/>
      <c r="W160" t="s">
        <v>2062</v>
      </c>
    </row>
    <row r="161" spans="1:23" ht="13.15" customHeight="1">
      <c r="A161" s="2" t="s">
        <v>2169</v>
      </c>
      <c r="B161" s="2">
        <f t="shared" si="4"/>
        <v>2020</v>
      </c>
      <c r="C161" s="2" t="str">
        <f t="shared" si="5"/>
        <v>LIM333</v>
      </c>
      <c r="D161" s="2417">
        <v>1103</v>
      </c>
      <c r="E161" s="5" t="s">
        <v>2146</v>
      </c>
      <c r="F161" s="2429" t="s">
        <v>2151</v>
      </c>
      <c r="G161" s="2415"/>
      <c r="H161" s="2415"/>
      <c r="I161" s="2415"/>
      <c r="J161" s="2415"/>
      <c r="K161" s="2415"/>
      <c r="L161" s="2415"/>
      <c r="M161" s="2415"/>
      <c r="N161" s="2415"/>
      <c r="O161" s="2415"/>
      <c r="P161" s="2415"/>
      <c r="Q161" s="2415"/>
      <c r="R161" s="2415"/>
      <c r="S161" s="2415"/>
      <c r="T161" s="2415"/>
      <c r="U161" s="2415"/>
      <c r="V161" s="2415"/>
      <c r="W161" t="s">
        <v>2062</v>
      </c>
    </row>
    <row r="162" spans="1:23" ht="13.15" customHeight="1">
      <c r="A162" s="2" t="s">
        <v>2169</v>
      </c>
      <c r="B162" s="2">
        <f t="shared" si="4"/>
        <v>2020</v>
      </c>
      <c r="C162" s="2" t="str">
        <f t="shared" si="5"/>
        <v>LIM333</v>
      </c>
      <c r="D162" s="2417">
        <v>1104</v>
      </c>
      <c r="E162" s="5" t="s">
        <v>2146</v>
      </c>
      <c r="F162" s="2429" t="s">
        <v>2175</v>
      </c>
      <c r="G162" s="2415"/>
      <c r="H162" s="2415"/>
      <c r="I162" s="2415"/>
      <c r="J162" s="2415"/>
      <c r="K162" s="2415"/>
      <c r="L162" s="2415"/>
      <c r="M162" s="2415"/>
      <c r="N162" s="2415"/>
      <c r="O162" s="2415"/>
      <c r="P162" s="2415"/>
      <c r="Q162" s="2415"/>
      <c r="R162" s="2415"/>
      <c r="S162" s="2415"/>
      <c r="T162" s="2415"/>
      <c r="U162" s="2415"/>
      <c r="V162" s="2415"/>
      <c r="W162" t="s">
        <v>2062</v>
      </c>
    </row>
    <row r="163" spans="1:23" ht="13.15" customHeight="1">
      <c r="A163" s="2" t="s">
        <v>2169</v>
      </c>
      <c r="B163" s="2">
        <f t="shared" si="4"/>
        <v>2020</v>
      </c>
      <c r="C163" s="2" t="str">
        <f t="shared" si="5"/>
        <v>LIM333</v>
      </c>
      <c r="D163" s="2417">
        <v>1105</v>
      </c>
      <c r="E163" s="5" t="s">
        <v>2146</v>
      </c>
      <c r="F163" s="2429" t="s">
        <v>2176</v>
      </c>
      <c r="G163" s="2415"/>
      <c r="H163" s="2415"/>
      <c r="I163" s="2415"/>
      <c r="J163" s="2415"/>
      <c r="K163" s="2415"/>
      <c r="L163" s="2415"/>
      <c r="M163" s="2415"/>
      <c r="N163" s="2415"/>
      <c r="O163" s="2415"/>
      <c r="P163" s="2415"/>
      <c r="Q163" s="2415"/>
      <c r="R163" s="2415"/>
      <c r="S163" s="2415"/>
      <c r="T163" s="2415"/>
      <c r="U163" s="2415"/>
      <c r="V163" s="2415"/>
      <c r="W163" t="s">
        <v>2062</v>
      </c>
    </row>
    <row r="164" spans="1:23" ht="13.15" customHeight="1">
      <c r="A164" s="2" t="s">
        <v>2169</v>
      </c>
      <c r="B164" s="2">
        <f t="shared" si="4"/>
        <v>2020</v>
      </c>
      <c r="C164" s="2" t="str">
        <f t="shared" si="5"/>
        <v>LIM333</v>
      </c>
      <c r="D164" s="2417">
        <v>1106</v>
      </c>
      <c r="E164" s="5" t="s">
        <v>2146</v>
      </c>
      <c r="F164" s="2429" t="s">
        <v>2154</v>
      </c>
      <c r="G164" s="2415"/>
      <c r="H164" s="2415"/>
      <c r="I164" s="2415"/>
      <c r="J164" s="2415"/>
      <c r="K164" s="2415"/>
      <c r="L164" s="2415"/>
      <c r="M164" s="2415"/>
      <c r="N164" s="2415"/>
      <c r="O164" s="2415"/>
      <c r="P164" s="2415"/>
      <c r="Q164" s="2415"/>
      <c r="R164" s="2415"/>
      <c r="S164" s="2415"/>
      <c r="T164" s="2415"/>
      <c r="U164" s="2415"/>
      <c r="V164" s="2415"/>
      <c r="W164" t="s">
        <v>2062</v>
      </c>
    </row>
    <row r="165" spans="1:23" ht="13.15" customHeight="1">
      <c r="A165" s="2" t="s">
        <v>2169</v>
      </c>
      <c r="B165" s="2">
        <f t="shared" si="4"/>
        <v>2020</v>
      </c>
      <c r="C165" s="2" t="str">
        <f t="shared" si="5"/>
        <v>LIM333</v>
      </c>
      <c r="D165" s="2417">
        <v>1107</v>
      </c>
      <c r="E165" s="5" t="s">
        <v>2146</v>
      </c>
      <c r="F165" s="2432" t="s">
        <v>1351</v>
      </c>
      <c r="G165" s="2415"/>
      <c r="H165" s="2415"/>
      <c r="I165" s="2415"/>
      <c r="J165" s="2415"/>
      <c r="K165" s="2415"/>
      <c r="L165" s="2415"/>
      <c r="M165" s="2415"/>
      <c r="N165" s="2415"/>
      <c r="O165" s="2415"/>
      <c r="P165" s="2415"/>
      <c r="Q165" s="2415"/>
      <c r="R165" s="2415"/>
      <c r="S165" s="2415"/>
      <c r="T165" s="2415"/>
      <c r="U165" s="2415"/>
      <c r="V165" s="2415"/>
      <c r="W165" t="s">
        <v>2062</v>
      </c>
    </row>
    <row r="166" spans="1:23" ht="13.15" customHeight="1">
      <c r="A166" s="2" t="s">
        <v>2169</v>
      </c>
      <c r="B166" s="2">
        <f t="shared" si="4"/>
        <v>2020</v>
      </c>
      <c r="C166" s="2" t="str">
        <f t="shared" si="5"/>
        <v>LIM333</v>
      </c>
      <c r="D166" s="2417">
        <v>1108</v>
      </c>
      <c r="E166" s="5" t="s">
        <v>2146</v>
      </c>
      <c r="F166" s="2429" t="s">
        <v>2155</v>
      </c>
      <c r="G166" s="2415"/>
      <c r="H166" s="2415"/>
      <c r="I166" s="2415"/>
      <c r="J166" s="2415"/>
      <c r="K166" s="2415"/>
      <c r="L166" s="2415"/>
      <c r="M166" s="2415"/>
      <c r="N166" s="2415"/>
      <c r="O166" s="2415"/>
      <c r="P166" s="2415"/>
      <c r="Q166" s="2415"/>
      <c r="R166" s="2415"/>
      <c r="S166" s="2415"/>
      <c r="T166" s="2415"/>
      <c r="U166" s="2415"/>
      <c r="V166" s="2415"/>
      <c r="W166" t="s">
        <v>2062</v>
      </c>
    </row>
    <row r="167" spans="1:23" ht="13.15" customHeight="1">
      <c r="A167" s="2" t="s">
        <v>2169</v>
      </c>
      <c r="B167" s="2">
        <f t="shared" si="4"/>
        <v>2020</v>
      </c>
      <c r="C167" s="2" t="str">
        <f t="shared" si="5"/>
        <v>LIM333</v>
      </c>
      <c r="D167" s="2417">
        <v>1109</v>
      </c>
      <c r="E167" s="5" t="s">
        <v>2146</v>
      </c>
      <c r="F167" s="2429" t="s">
        <v>2156</v>
      </c>
      <c r="G167" s="2415"/>
      <c r="H167" s="2415"/>
      <c r="I167" s="2415"/>
      <c r="J167" s="2415"/>
      <c r="K167" s="2415"/>
      <c r="L167" s="2415"/>
      <c r="M167" s="2415"/>
      <c r="N167" s="2415"/>
      <c r="O167" s="2415"/>
      <c r="P167" s="2415"/>
      <c r="Q167" s="2415"/>
      <c r="R167" s="2415"/>
      <c r="S167" s="2415"/>
      <c r="T167" s="2415"/>
      <c r="U167" s="2415"/>
      <c r="V167" s="2415"/>
      <c r="W167" t="s">
        <v>2062</v>
      </c>
    </row>
    <row r="168" spans="1:23" ht="13.15" customHeight="1">
      <c r="A168" s="2" t="s">
        <v>2169</v>
      </c>
      <c r="B168" s="2">
        <f t="shared" si="4"/>
        <v>2020</v>
      </c>
      <c r="C168" s="2" t="str">
        <f t="shared" si="5"/>
        <v>LIM333</v>
      </c>
      <c r="D168" s="2417">
        <v>1110</v>
      </c>
      <c r="E168" s="5" t="s">
        <v>2146</v>
      </c>
      <c r="F168" s="2429" t="s">
        <v>2157</v>
      </c>
      <c r="G168" s="2415"/>
      <c r="H168" s="2415"/>
      <c r="I168" s="2415"/>
      <c r="J168" s="2415"/>
      <c r="K168" s="2415"/>
      <c r="L168" s="2415"/>
      <c r="M168" s="2415"/>
      <c r="N168" s="2415"/>
      <c r="O168" s="2415"/>
      <c r="P168" s="2415"/>
      <c r="Q168" s="2415"/>
      <c r="R168" s="2415"/>
      <c r="S168" s="2415"/>
      <c r="T168" s="2415"/>
      <c r="U168" s="2415"/>
      <c r="V168" s="2415"/>
      <c r="W168" t="s">
        <v>2062</v>
      </c>
    </row>
    <row r="169" spans="1:23" ht="13.15" customHeight="1">
      <c r="A169" s="2" t="s">
        <v>2169</v>
      </c>
      <c r="B169" s="2">
        <f t="shared" si="4"/>
        <v>2020</v>
      </c>
      <c r="C169" s="2" t="str">
        <f t="shared" si="5"/>
        <v>LIM333</v>
      </c>
      <c r="D169" s="2417">
        <v>1111</v>
      </c>
      <c r="E169" s="5" t="s">
        <v>2146</v>
      </c>
      <c r="F169" s="2429" t="s">
        <v>2177</v>
      </c>
      <c r="G169" s="2415"/>
      <c r="H169" s="2415"/>
      <c r="I169" s="2415"/>
      <c r="J169" s="2415"/>
      <c r="K169" s="2415"/>
      <c r="L169" s="2415"/>
      <c r="M169" s="2415"/>
      <c r="N169" s="2415"/>
      <c r="O169" s="2415"/>
      <c r="P169" s="2415"/>
      <c r="Q169" s="2415"/>
      <c r="R169" s="2415"/>
      <c r="S169" s="2415"/>
      <c r="T169" s="2415"/>
      <c r="U169" s="2415"/>
      <c r="V169" s="2415"/>
      <c r="W169" t="s">
        <v>2062</v>
      </c>
    </row>
    <row r="170" spans="1:23" ht="13.15" customHeight="1">
      <c r="A170" s="2" t="s">
        <v>2169</v>
      </c>
      <c r="B170" s="2">
        <f t="shared" si="4"/>
        <v>2020</v>
      </c>
      <c r="C170" s="2" t="str">
        <f t="shared" si="5"/>
        <v>LIM333</v>
      </c>
      <c r="D170" s="2417">
        <v>1200</v>
      </c>
      <c r="E170" s="5" t="s">
        <v>2145</v>
      </c>
      <c r="F170" s="2428" t="s">
        <v>1352</v>
      </c>
      <c r="G170" s="2415"/>
      <c r="H170" s="2415"/>
      <c r="I170" s="2415"/>
      <c r="J170" s="2415"/>
      <c r="K170" s="2415"/>
      <c r="L170" s="2415"/>
      <c r="M170" s="2415"/>
      <c r="N170" s="2415"/>
      <c r="O170" s="2415"/>
      <c r="P170" s="2415"/>
      <c r="Q170" s="2415"/>
      <c r="R170" s="2415"/>
      <c r="S170" s="2415"/>
      <c r="T170" s="2415"/>
      <c r="U170" s="2415"/>
      <c r="V170" s="2415"/>
      <c r="W170" t="s">
        <v>2062</v>
      </c>
    </row>
    <row r="171" spans="1:23" ht="13.15" customHeight="1">
      <c r="A171" s="2" t="s">
        <v>2169</v>
      </c>
      <c r="B171" s="2">
        <f t="shared" si="4"/>
        <v>2020</v>
      </c>
      <c r="C171" s="2" t="str">
        <f t="shared" si="5"/>
        <v>LIM333</v>
      </c>
      <c r="D171" s="2417">
        <v>1201</v>
      </c>
      <c r="E171" s="5" t="s">
        <v>2146</v>
      </c>
      <c r="F171" s="2430" t="s">
        <v>263</v>
      </c>
      <c r="G171" s="2433"/>
      <c r="H171" s="2433"/>
      <c r="I171" s="2433"/>
      <c r="J171" s="2433"/>
      <c r="K171" s="2433"/>
      <c r="L171" s="2433"/>
      <c r="M171" s="2433"/>
      <c r="N171" s="2433"/>
      <c r="O171" s="2433"/>
      <c r="P171" s="2433"/>
      <c r="Q171" s="2433"/>
      <c r="R171" s="2433"/>
      <c r="S171" s="2433"/>
      <c r="T171" s="2433"/>
      <c r="U171" s="2433"/>
      <c r="V171" s="2433"/>
      <c r="W171" t="s">
        <v>2062</v>
      </c>
    </row>
    <row r="172" spans="1:23" ht="13.15" customHeight="1">
      <c r="A172" s="2" t="s">
        <v>2169</v>
      </c>
      <c r="B172" s="2">
        <f t="shared" si="4"/>
        <v>2020</v>
      </c>
      <c r="C172" s="2" t="str">
        <f t="shared" si="5"/>
        <v>LIM333</v>
      </c>
      <c r="D172" s="2417">
        <v>1301</v>
      </c>
      <c r="E172" s="5" t="s">
        <v>2146</v>
      </c>
      <c r="F172" s="2430" t="s">
        <v>2160</v>
      </c>
      <c r="G172" s="2415"/>
      <c r="H172" s="2415"/>
      <c r="I172" s="2415"/>
      <c r="J172" s="2415"/>
      <c r="K172" s="2415"/>
      <c r="L172" s="2415"/>
      <c r="M172" s="2415"/>
      <c r="N172" s="2415"/>
      <c r="O172" s="2415"/>
      <c r="P172" s="2415"/>
      <c r="Q172" s="2415"/>
      <c r="R172" s="2415"/>
      <c r="S172" s="2415"/>
      <c r="T172" s="2415"/>
      <c r="U172" s="2415"/>
      <c r="V172" s="2415"/>
      <c r="W172" t="s">
        <v>2062</v>
      </c>
    </row>
    <row r="173" spans="1:23" ht="13.15" customHeight="1">
      <c r="A173" s="2" t="s">
        <v>2169</v>
      </c>
      <c r="B173" s="2">
        <f t="shared" si="4"/>
        <v>2020</v>
      </c>
      <c r="C173" s="2" t="str">
        <f t="shared" si="5"/>
        <v>LIM333</v>
      </c>
      <c r="D173" s="2417">
        <v>1302</v>
      </c>
      <c r="E173" s="5" t="s">
        <v>2146</v>
      </c>
      <c r="F173" s="2430" t="s">
        <v>2161</v>
      </c>
      <c r="G173" s="2415"/>
      <c r="H173" s="2415"/>
      <c r="I173" s="2415"/>
      <c r="J173" s="2415"/>
      <c r="K173" s="2415"/>
      <c r="L173" s="2415"/>
      <c r="M173" s="2415"/>
      <c r="N173" s="2415"/>
      <c r="O173" s="2415"/>
      <c r="P173" s="2415"/>
      <c r="Q173" s="2415"/>
      <c r="R173" s="2415"/>
      <c r="S173" s="2415"/>
      <c r="T173" s="2415"/>
      <c r="U173" s="2415"/>
      <c r="V173" s="2415"/>
      <c r="W173" t="s">
        <v>2062</v>
      </c>
    </row>
    <row r="174" spans="1:23" ht="13.15" customHeight="1">
      <c r="A174" s="2" t="s">
        <v>2169</v>
      </c>
      <c r="B174" s="2">
        <f t="shared" si="4"/>
        <v>2020</v>
      </c>
      <c r="C174" s="2" t="str">
        <f t="shared" si="5"/>
        <v>LIM333</v>
      </c>
      <c r="D174" s="2417">
        <v>1303</v>
      </c>
      <c r="E174" s="5" t="s">
        <v>818</v>
      </c>
      <c r="F174" s="2430" t="s">
        <v>1388</v>
      </c>
      <c r="G174" s="2427"/>
      <c r="H174" s="2427"/>
      <c r="I174" s="2427"/>
      <c r="J174" s="2427"/>
      <c r="K174" s="2427"/>
      <c r="L174" s="2427"/>
      <c r="M174" s="2427"/>
      <c r="N174" s="2427"/>
      <c r="O174" s="2427"/>
      <c r="P174" s="2427"/>
      <c r="Q174" s="2427"/>
      <c r="R174" s="2427"/>
      <c r="S174" s="2427"/>
      <c r="T174" s="2427"/>
      <c r="U174" s="2427"/>
      <c r="V174" s="2427"/>
      <c r="W174" t="s">
        <v>2062</v>
      </c>
    </row>
    <row r="175" spans="1:23" ht="13.15" customHeight="1">
      <c r="A175" s="2" t="s">
        <v>2169</v>
      </c>
      <c r="B175" s="2">
        <f t="shared" si="4"/>
        <v>2020</v>
      </c>
      <c r="C175" s="2" t="str">
        <f t="shared" si="5"/>
        <v>LIM333</v>
      </c>
      <c r="D175" s="2417">
        <v>1304</v>
      </c>
      <c r="E175" s="5" t="s">
        <v>2146</v>
      </c>
      <c r="F175" s="2430" t="s">
        <v>2162</v>
      </c>
      <c r="G175" s="2415"/>
      <c r="H175" s="2415"/>
      <c r="I175" s="2415"/>
      <c r="J175" s="2415"/>
      <c r="K175" s="2415"/>
      <c r="L175" s="2415"/>
      <c r="M175" s="2415"/>
      <c r="N175" s="2415"/>
      <c r="O175" s="2415"/>
      <c r="P175" s="2415"/>
      <c r="Q175" s="2415"/>
      <c r="R175" s="2415"/>
      <c r="S175" s="2415"/>
      <c r="T175" s="2415"/>
      <c r="U175" s="2415"/>
      <c r="V175" s="2415"/>
      <c r="W175" t="s">
        <v>2062</v>
      </c>
    </row>
    <row r="176" spans="1:23" ht="13.15" customHeight="1">
      <c r="A176" s="2" t="s">
        <v>2169</v>
      </c>
      <c r="B176" s="2">
        <f t="shared" si="4"/>
        <v>2020</v>
      </c>
      <c r="C176" s="2" t="str">
        <f t="shared" si="5"/>
        <v>LIM333</v>
      </c>
      <c r="D176" s="2417">
        <v>1305</v>
      </c>
      <c r="E176" s="5" t="s">
        <v>2146</v>
      </c>
      <c r="F176" s="2430" t="s">
        <v>2163</v>
      </c>
      <c r="G176" s="2415"/>
      <c r="H176" s="2415"/>
      <c r="I176" s="2415"/>
      <c r="J176" s="2415"/>
      <c r="K176" s="2415"/>
      <c r="L176" s="2415"/>
      <c r="M176" s="2415"/>
      <c r="N176" s="2415"/>
      <c r="O176" s="2415"/>
      <c r="P176" s="2415"/>
      <c r="Q176" s="2415"/>
      <c r="R176" s="2415"/>
      <c r="S176" s="2415"/>
      <c r="T176" s="2415"/>
      <c r="U176" s="2415"/>
      <c r="V176" s="2415"/>
      <c r="W176" t="s">
        <v>2062</v>
      </c>
    </row>
    <row r="177" spans="1:23" ht="13.15" customHeight="1">
      <c r="A177" s="2" t="s">
        <v>2169</v>
      </c>
      <c r="B177" s="2">
        <f t="shared" si="4"/>
        <v>2020</v>
      </c>
      <c r="C177" s="2" t="str">
        <f t="shared" si="5"/>
        <v>LIM333</v>
      </c>
      <c r="D177" s="2417">
        <v>1306</v>
      </c>
      <c r="E177" s="5" t="s">
        <v>2146</v>
      </c>
      <c r="F177" s="2430" t="s">
        <v>2164</v>
      </c>
      <c r="G177" s="2415"/>
      <c r="H177" s="2415"/>
      <c r="I177" s="2415"/>
      <c r="J177" s="2415"/>
      <c r="K177" s="2415"/>
      <c r="L177" s="2415"/>
      <c r="M177" s="2415"/>
      <c r="N177" s="2415"/>
      <c r="O177" s="2415"/>
      <c r="P177" s="2415"/>
      <c r="Q177" s="2415"/>
      <c r="R177" s="2415"/>
      <c r="S177" s="2415"/>
      <c r="T177" s="2415"/>
      <c r="U177" s="2415"/>
      <c r="V177" s="2415"/>
      <c r="W177" t="s">
        <v>2062</v>
      </c>
    </row>
    <row r="178" spans="1:23" ht="13.15" customHeight="1">
      <c r="A178" s="2" t="s">
        <v>2169</v>
      </c>
      <c r="B178" s="2">
        <f t="shared" si="4"/>
        <v>2020</v>
      </c>
      <c r="C178" s="2" t="str">
        <f t="shared" si="5"/>
        <v>LIM333</v>
      </c>
      <c r="D178" s="2417">
        <v>1307</v>
      </c>
      <c r="E178" s="5" t="s">
        <v>2146</v>
      </c>
      <c r="F178" s="2430" t="s">
        <v>2178</v>
      </c>
      <c r="G178" s="2415"/>
      <c r="H178" s="2415"/>
      <c r="I178" s="2415"/>
      <c r="J178" s="2415"/>
      <c r="K178" s="2415"/>
      <c r="L178" s="2415"/>
      <c r="M178" s="2415"/>
      <c r="N178" s="2415"/>
      <c r="O178" s="2415"/>
      <c r="P178" s="2415"/>
      <c r="Q178" s="2415"/>
      <c r="R178" s="2415"/>
      <c r="S178" s="2415"/>
      <c r="T178" s="2415"/>
      <c r="U178" s="2415"/>
      <c r="V178" s="2415"/>
      <c r="W178" t="s">
        <v>2062</v>
      </c>
    </row>
    <row r="179" spans="1:23" ht="13.15" customHeight="1">
      <c r="A179" s="2" t="s">
        <v>2169</v>
      </c>
      <c r="B179" s="2">
        <f t="shared" si="4"/>
        <v>2020</v>
      </c>
      <c r="C179" s="2" t="str">
        <f t="shared" si="5"/>
        <v>LIM333</v>
      </c>
      <c r="D179" s="2417">
        <v>1308</v>
      </c>
      <c r="E179" s="5" t="s">
        <v>2146</v>
      </c>
      <c r="F179" s="2430" t="s">
        <v>2179</v>
      </c>
      <c r="G179" s="2415"/>
      <c r="H179" s="2415"/>
      <c r="I179" s="2415"/>
      <c r="J179" s="2415"/>
      <c r="K179" s="2415"/>
      <c r="L179" s="2415"/>
      <c r="M179" s="2415"/>
      <c r="N179" s="2415"/>
      <c r="O179" s="2415"/>
      <c r="P179" s="2415"/>
      <c r="Q179" s="2415"/>
      <c r="R179" s="2415"/>
      <c r="S179" s="2415"/>
      <c r="T179" s="2415"/>
      <c r="U179" s="2415"/>
      <c r="V179" s="2415"/>
      <c r="W179" t="s">
        <v>2062</v>
      </c>
    </row>
    <row r="180" spans="1:23" ht="13.15" customHeight="1">
      <c r="A180" s="2" t="s">
        <v>2169</v>
      </c>
      <c r="B180" s="2">
        <f t="shared" si="4"/>
        <v>2020</v>
      </c>
      <c r="C180" s="2" t="str">
        <f t="shared" si="5"/>
        <v>LIM333</v>
      </c>
      <c r="D180" s="2417">
        <v>1309</v>
      </c>
      <c r="E180" s="5" t="s">
        <v>2146</v>
      </c>
      <c r="F180" s="2430" t="s">
        <v>2180</v>
      </c>
      <c r="G180" s="2415"/>
      <c r="H180" s="2415"/>
      <c r="I180" s="2415"/>
      <c r="J180" s="2415"/>
      <c r="K180" s="2415"/>
      <c r="L180" s="2415"/>
      <c r="M180" s="2415"/>
      <c r="N180" s="2415"/>
      <c r="O180" s="2415"/>
      <c r="P180" s="2415"/>
      <c r="Q180" s="2415"/>
      <c r="R180" s="2415"/>
      <c r="S180" s="2415"/>
      <c r="T180" s="2415"/>
      <c r="U180" s="2415"/>
      <c r="V180" s="2415"/>
      <c r="W180" t="s">
        <v>2062</v>
      </c>
    </row>
    <row r="181" spans="1:23" ht="13.15" customHeight="1">
      <c r="A181" s="2" t="s">
        <v>2169</v>
      </c>
      <c r="B181" s="2">
        <f t="shared" si="4"/>
        <v>2020</v>
      </c>
      <c r="C181" s="2" t="str">
        <f t="shared" si="5"/>
        <v>LIM333</v>
      </c>
      <c r="D181" s="2417">
        <v>1310</v>
      </c>
      <c r="E181" s="5" t="s">
        <v>2146</v>
      </c>
      <c r="F181" s="2434" t="s">
        <v>2168</v>
      </c>
      <c r="G181" s="2415"/>
      <c r="H181" s="2415"/>
      <c r="I181" s="2415"/>
      <c r="J181" s="2415"/>
      <c r="K181" s="2415"/>
      <c r="L181" s="2415"/>
      <c r="M181" s="2415"/>
      <c r="N181" s="2415"/>
      <c r="O181" s="2415"/>
      <c r="P181" s="2415"/>
      <c r="Q181" s="2415"/>
      <c r="R181" s="2415"/>
      <c r="S181" s="2415"/>
      <c r="T181" s="2415"/>
      <c r="U181" s="2415"/>
      <c r="V181" s="2415"/>
      <c r="W181" t="s">
        <v>2062</v>
      </c>
    </row>
    <row r="182" spans="1:23" ht="13.15" customHeight="1">
      <c r="A182" s="2" t="s">
        <v>2169</v>
      </c>
      <c r="B182" s="2">
        <f t="shared" si="4"/>
        <v>2020</v>
      </c>
      <c r="C182" s="2" t="str">
        <f t="shared" si="5"/>
        <v>LIM333</v>
      </c>
      <c r="D182" s="2417"/>
      <c r="E182" s="2"/>
      <c r="F182" s="5"/>
      <c r="G182" s="2415"/>
      <c r="H182" s="2415"/>
      <c r="I182" s="2415"/>
      <c r="J182" s="2415"/>
      <c r="K182" s="2415"/>
      <c r="L182" s="2415"/>
      <c r="M182" s="2415"/>
      <c r="N182" s="2415"/>
      <c r="O182" s="2415"/>
      <c r="P182" s="2"/>
      <c r="Q182" s="2"/>
      <c r="R182" s="2"/>
      <c r="S182" s="2"/>
      <c r="T182" s="2"/>
      <c r="U182" s="2"/>
      <c r="V182" s="2"/>
      <c r="W182" t="s">
        <v>2062</v>
      </c>
    </row>
    <row r="183" spans="1:23" ht="13.15" customHeight="1">
      <c r="A183" s="2" t="s">
        <v>2169</v>
      </c>
      <c r="B183" s="2">
        <f t="shared" si="4"/>
        <v>2020</v>
      </c>
      <c r="C183" s="2" t="str">
        <f t="shared" si="5"/>
        <v>LIM333</v>
      </c>
      <c r="D183" s="2417"/>
      <c r="E183" s="2"/>
      <c r="F183" s="5"/>
      <c r="G183" s="2415"/>
      <c r="H183" s="2415"/>
      <c r="I183" s="2415"/>
      <c r="J183" s="2415"/>
      <c r="K183" s="2415"/>
      <c r="L183" s="2415"/>
      <c r="M183" s="2415"/>
      <c r="N183" s="2415"/>
      <c r="O183" s="2415"/>
      <c r="P183" s="2"/>
      <c r="Q183" s="2"/>
      <c r="R183" s="2"/>
      <c r="S183" s="2"/>
      <c r="T183" s="2"/>
      <c r="U183" s="2"/>
      <c r="V183" s="2"/>
      <c r="W183" t="s">
        <v>2062</v>
      </c>
    </row>
    <row r="184" spans="1:23" ht="13.15" customHeight="1">
      <c r="A184" s="2" t="s">
        <v>2169</v>
      </c>
      <c r="B184" s="2">
        <f t="shared" si="4"/>
        <v>2020</v>
      </c>
      <c r="C184" s="2" t="str">
        <f t="shared" si="5"/>
        <v>LIM333</v>
      </c>
      <c r="D184" s="2417"/>
      <c r="E184" s="2"/>
      <c r="F184" s="5"/>
      <c r="G184" s="2415"/>
      <c r="H184" s="2415"/>
      <c r="I184" s="2415"/>
      <c r="J184" s="2415"/>
      <c r="K184" s="2415"/>
      <c r="L184" s="2415"/>
      <c r="M184" s="2415"/>
      <c r="N184" s="2415"/>
      <c r="O184" s="2415"/>
      <c r="P184" s="2"/>
      <c r="Q184" s="2"/>
      <c r="R184" s="2"/>
      <c r="S184" s="2"/>
      <c r="T184" s="2"/>
      <c r="U184" s="2"/>
      <c r="V184" s="2"/>
      <c r="W184" t="s">
        <v>2062</v>
      </c>
    </row>
    <row r="185" spans="1:23" ht="13.15" customHeight="1">
      <c r="A185" s="2" t="s">
        <v>2169</v>
      </c>
      <c r="B185" s="2">
        <f t="shared" si="4"/>
        <v>2020</v>
      </c>
      <c r="C185" s="2" t="str">
        <f t="shared" si="5"/>
        <v>LIM333</v>
      </c>
      <c r="D185" s="2417"/>
      <c r="E185" s="2"/>
      <c r="F185" s="5"/>
      <c r="G185" s="2415"/>
      <c r="H185" s="2415"/>
      <c r="I185" s="2415"/>
      <c r="J185" s="2415"/>
      <c r="K185" s="2415"/>
      <c r="L185" s="2415"/>
      <c r="M185" s="2415"/>
      <c r="N185" s="2415"/>
      <c r="O185" s="2415"/>
      <c r="P185" s="2"/>
      <c r="Q185" s="2"/>
      <c r="R185" s="2"/>
      <c r="S185" s="2"/>
      <c r="T185" s="2"/>
      <c r="U185" s="2"/>
      <c r="V185" s="2"/>
      <c r="W185" t="s">
        <v>2062</v>
      </c>
    </row>
    <row r="186" spans="1:23" ht="13.15" customHeight="1">
      <c r="A186" s="2" t="s">
        <v>2169</v>
      </c>
      <c r="B186" s="2">
        <f t="shared" si="4"/>
        <v>2020</v>
      </c>
      <c r="C186" s="2" t="str">
        <f t="shared" si="5"/>
        <v>LIM333</v>
      </c>
      <c r="D186" s="2417">
        <v>1000</v>
      </c>
      <c r="E186" s="2" t="s">
        <v>2145</v>
      </c>
      <c r="F186" s="2428" t="s">
        <v>647</v>
      </c>
      <c r="G186" s="2415"/>
      <c r="H186" s="2415"/>
      <c r="I186" s="2415"/>
      <c r="J186" s="2415"/>
      <c r="K186" s="2415"/>
      <c r="L186" s="2415"/>
      <c r="M186" s="2415"/>
      <c r="N186" s="2415"/>
      <c r="O186" s="2415"/>
      <c r="P186" s="2"/>
      <c r="Q186" s="2"/>
      <c r="R186" s="2"/>
      <c r="S186" s="2"/>
      <c r="T186" s="2"/>
      <c r="U186" s="2"/>
      <c r="V186" s="2"/>
      <c r="W186" t="s">
        <v>2062</v>
      </c>
    </row>
    <row r="187" spans="1:23" ht="13.15" customHeight="1">
      <c r="A187" s="2" t="s">
        <v>2169</v>
      </c>
      <c r="B187" s="2">
        <f t="shared" si="4"/>
        <v>2020</v>
      </c>
      <c r="C187" s="2" t="str">
        <f t="shared" si="5"/>
        <v>LIM333</v>
      </c>
      <c r="D187" s="2417">
        <v>1020</v>
      </c>
      <c r="E187" s="5" t="s">
        <v>2146</v>
      </c>
      <c r="F187" s="2429" t="s">
        <v>349</v>
      </c>
      <c r="G187" s="2415"/>
      <c r="H187" s="2415"/>
      <c r="I187" s="2415"/>
      <c r="J187" s="2415"/>
      <c r="K187" s="2415"/>
      <c r="L187" s="2415"/>
      <c r="M187" s="2415"/>
      <c r="N187" s="2415"/>
      <c r="O187" s="2415"/>
      <c r="P187" s="2415"/>
      <c r="Q187" s="2415"/>
      <c r="R187" s="2415"/>
      <c r="S187" s="2415"/>
      <c r="T187" s="2415"/>
      <c r="U187" s="2415"/>
      <c r="V187" s="2415"/>
      <c r="W187" t="s">
        <v>2062</v>
      </c>
    </row>
    <row r="188" spans="1:23" ht="13.15" customHeight="1">
      <c r="A188" s="2" t="s">
        <v>2169</v>
      </c>
      <c r="B188" s="2">
        <f t="shared" si="4"/>
        <v>2020</v>
      </c>
      <c r="C188" s="2" t="str">
        <f t="shared" si="5"/>
        <v>LIM333</v>
      </c>
      <c r="D188" s="2417">
        <v>1021</v>
      </c>
      <c r="E188" s="5" t="s">
        <v>2146</v>
      </c>
      <c r="F188" s="2429" t="s">
        <v>1229</v>
      </c>
      <c r="G188" s="2415"/>
      <c r="H188" s="2415"/>
      <c r="I188" s="2415"/>
      <c r="J188" s="2415"/>
      <c r="K188" s="2415"/>
      <c r="L188" s="2415"/>
      <c r="M188" s="2415"/>
      <c r="N188" s="2415"/>
      <c r="O188" s="2415"/>
      <c r="P188" s="2415"/>
      <c r="Q188" s="2415"/>
      <c r="R188" s="2415"/>
      <c r="S188" s="2415"/>
      <c r="T188" s="2415"/>
      <c r="U188" s="2415"/>
      <c r="V188" s="2415"/>
      <c r="W188" t="s">
        <v>2062</v>
      </c>
    </row>
    <row r="189" spans="1:23" ht="13.15" customHeight="1">
      <c r="A189" s="2" t="s">
        <v>2169</v>
      </c>
      <c r="B189" s="2">
        <f t="shared" si="4"/>
        <v>2020</v>
      </c>
      <c r="C189" s="2" t="str">
        <f t="shared" si="5"/>
        <v>LIM333</v>
      </c>
      <c r="D189" s="2417">
        <v>1022</v>
      </c>
      <c r="E189" s="5" t="s">
        <v>2146</v>
      </c>
      <c r="F189" s="2429" t="s">
        <v>351</v>
      </c>
      <c r="G189" s="2415"/>
      <c r="H189" s="2415"/>
      <c r="I189" s="2415"/>
      <c r="J189" s="2415"/>
      <c r="K189" s="2415"/>
      <c r="L189" s="2415"/>
      <c r="M189" s="2415"/>
      <c r="N189" s="2415"/>
      <c r="O189" s="2415"/>
      <c r="P189" s="2415"/>
      <c r="Q189" s="2415"/>
      <c r="R189" s="2415"/>
      <c r="S189" s="2415"/>
      <c r="T189" s="2415"/>
      <c r="U189" s="2415"/>
      <c r="V189" s="2415"/>
      <c r="W189" t="s">
        <v>2062</v>
      </c>
    </row>
    <row r="190" spans="1:23" ht="13.15" customHeight="1">
      <c r="A190" s="2" t="s">
        <v>2169</v>
      </c>
      <c r="B190" s="2">
        <f t="shared" si="4"/>
        <v>2020</v>
      </c>
      <c r="C190" s="2" t="str">
        <f t="shared" si="5"/>
        <v>LIM333</v>
      </c>
      <c r="D190" s="2417">
        <v>1023</v>
      </c>
      <c r="E190" s="5" t="s">
        <v>2146</v>
      </c>
      <c r="F190" s="2429" t="s">
        <v>639</v>
      </c>
      <c r="G190" s="2415"/>
      <c r="H190" s="2415"/>
      <c r="I190" s="2415"/>
      <c r="J190" s="2415"/>
      <c r="K190" s="2415"/>
      <c r="L190" s="2415"/>
      <c r="M190" s="2415"/>
      <c r="N190" s="2415"/>
      <c r="O190" s="2415"/>
      <c r="P190" s="2415"/>
      <c r="Q190" s="2415"/>
      <c r="R190" s="2415"/>
      <c r="S190" s="2415"/>
      <c r="T190" s="2415"/>
      <c r="U190" s="2415"/>
      <c r="V190" s="2415"/>
      <c r="W190" t="s">
        <v>2062</v>
      </c>
    </row>
    <row r="191" spans="1:23" ht="13.15" customHeight="1">
      <c r="A191" s="2" t="s">
        <v>2169</v>
      </c>
      <c r="B191" s="2">
        <f t="shared" si="4"/>
        <v>2020</v>
      </c>
      <c r="C191" s="2" t="str">
        <f t="shared" si="5"/>
        <v>LIM333</v>
      </c>
      <c r="D191" s="2417">
        <v>1030</v>
      </c>
      <c r="E191" s="2425" t="s">
        <v>2146</v>
      </c>
      <c r="F191" s="2429" t="s">
        <v>2170</v>
      </c>
      <c r="G191" s="2415"/>
      <c r="H191" s="2415"/>
      <c r="I191" s="2415"/>
      <c r="J191" s="2415"/>
      <c r="K191" s="2415"/>
      <c r="L191" s="2415"/>
      <c r="M191" s="2415"/>
      <c r="N191" s="2415"/>
      <c r="O191" s="2415"/>
      <c r="P191" s="2415"/>
      <c r="Q191" s="2415"/>
      <c r="R191" s="2415"/>
      <c r="S191" s="2415"/>
      <c r="T191" s="2415"/>
      <c r="U191" s="2415"/>
      <c r="V191" s="2415"/>
      <c r="W191" t="s">
        <v>2062</v>
      </c>
    </row>
    <row r="192" spans="1:23" ht="13.15" customHeight="1">
      <c r="A192" s="2" t="s">
        <v>2169</v>
      </c>
      <c r="B192" s="2">
        <f t="shared" si="4"/>
        <v>2020</v>
      </c>
      <c r="C192" s="2" t="str">
        <f t="shared" si="5"/>
        <v>LIM333</v>
      </c>
      <c r="D192" s="2417">
        <v>1024</v>
      </c>
      <c r="E192" s="5" t="s">
        <v>2146</v>
      </c>
      <c r="F192" s="2429" t="s">
        <v>640</v>
      </c>
      <c r="G192" s="2415"/>
      <c r="H192" s="2415"/>
      <c r="I192" s="2415"/>
      <c r="J192" s="2415"/>
      <c r="K192" s="2415"/>
      <c r="L192" s="2415"/>
      <c r="M192" s="2415"/>
      <c r="N192" s="2415"/>
      <c r="O192" s="2415"/>
      <c r="P192" s="2415"/>
      <c r="Q192" s="2415"/>
      <c r="R192" s="2415"/>
      <c r="S192" s="2415"/>
      <c r="T192" s="2415"/>
      <c r="U192" s="2415"/>
      <c r="V192" s="2415"/>
      <c r="W192" t="s">
        <v>2062</v>
      </c>
    </row>
    <row r="193" spans="1:23" ht="13.15" customHeight="1">
      <c r="A193" s="2" t="s">
        <v>2169</v>
      </c>
      <c r="B193" s="2">
        <f t="shared" si="4"/>
        <v>2020</v>
      </c>
      <c r="C193" s="2" t="str">
        <f t="shared" si="5"/>
        <v>LIM333</v>
      </c>
      <c r="D193" s="2417">
        <v>1025</v>
      </c>
      <c r="E193" s="5" t="s">
        <v>2146</v>
      </c>
      <c r="F193" s="2429" t="s">
        <v>315</v>
      </c>
      <c r="G193" s="2415"/>
      <c r="H193" s="2415"/>
      <c r="I193" s="2415"/>
      <c r="J193" s="2415"/>
      <c r="K193" s="2415"/>
      <c r="L193" s="2415"/>
      <c r="M193" s="2415"/>
      <c r="N193" s="2415"/>
      <c r="O193" s="2415"/>
      <c r="P193" s="2415"/>
      <c r="Q193" s="2415"/>
      <c r="R193" s="2415"/>
      <c r="S193" s="2415"/>
      <c r="T193" s="2415"/>
      <c r="U193" s="2415"/>
      <c r="V193" s="2415"/>
      <c r="W193" t="s">
        <v>2062</v>
      </c>
    </row>
    <row r="194" spans="1:23" ht="13.15" customHeight="1">
      <c r="A194" s="2" t="s">
        <v>2169</v>
      </c>
      <c r="B194" s="2">
        <f t="shared" ref="B194:B257" si="6">+MTREF</f>
        <v>2020</v>
      </c>
      <c r="C194" s="2" t="str">
        <f t="shared" ref="C194:C257" si="7">LEFT(muni,(FIND(" ",muni,1)-1))</f>
        <v>LIM333</v>
      </c>
      <c r="D194" s="2417">
        <v>1026</v>
      </c>
      <c r="E194" s="5" t="s">
        <v>2146</v>
      </c>
      <c r="F194" s="2429" t="s">
        <v>316</v>
      </c>
      <c r="G194" s="2415"/>
      <c r="H194" s="2415"/>
      <c r="I194" s="2415"/>
      <c r="J194" s="2415"/>
      <c r="K194" s="2415"/>
      <c r="L194" s="2415"/>
      <c r="M194" s="2415"/>
      <c r="N194" s="2415"/>
      <c r="O194" s="2415"/>
      <c r="P194" s="2415"/>
      <c r="Q194" s="2415"/>
      <c r="R194" s="2415"/>
      <c r="S194" s="2415"/>
      <c r="T194" s="2415"/>
      <c r="U194" s="2415"/>
      <c r="V194" s="2415"/>
      <c r="W194" t="s">
        <v>2062</v>
      </c>
    </row>
    <row r="195" spans="1:23" ht="13.15" customHeight="1">
      <c r="A195" s="2" t="s">
        <v>2169</v>
      </c>
      <c r="B195" s="2">
        <f t="shared" si="6"/>
        <v>2020</v>
      </c>
      <c r="C195" s="2" t="str">
        <f t="shared" si="7"/>
        <v>LIM333</v>
      </c>
      <c r="D195" s="2417">
        <v>1027</v>
      </c>
      <c r="E195" s="5" t="s">
        <v>2146</v>
      </c>
      <c r="F195" s="2429" t="s">
        <v>317</v>
      </c>
      <c r="G195" s="2415"/>
      <c r="H195" s="2415"/>
      <c r="I195" s="2415"/>
      <c r="J195" s="2415"/>
      <c r="K195" s="2415"/>
      <c r="L195" s="2415"/>
      <c r="M195" s="2415"/>
      <c r="N195" s="2415"/>
      <c r="O195" s="2415"/>
      <c r="P195" s="2415"/>
      <c r="Q195" s="2415"/>
      <c r="R195" s="2415"/>
      <c r="S195" s="2415"/>
      <c r="T195" s="2415"/>
      <c r="U195" s="2415"/>
      <c r="V195" s="2415"/>
      <c r="W195" t="s">
        <v>2062</v>
      </c>
    </row>
    <row r="196" spans="1:23" ht="13.15" customHeight="1">
      <c r="A196" s="2" t="s">
        <v>2169</v>
      </c>
      <c r="B196" s="2">
        <f t="shared" si="6"/>
        <v>2020</v>
      </c>
      <c r="C196" s="2" t="str">
        <f t="shared" si="7"/>
        <v>LIM333</v>
      </c>
      <c r="D196" s="2417">
        <v>1028</v>
      </c>
      <c r="E196" s="5" t="s">
        <v>2146</v>
      </c>
      <c r="F196" s="2429" t="s">
        <v>649</v>
      </c>
      <c r="G196" s="2415"/>
      <c r="H196" s="2415"/>
      <c r="I196" s="2415"/>
      <c r="J196" s="2415"/>
      <c r="K196" s="2415"/>
      <c r="L196" s="2415"/>
      <c r="M196" s="2415"/>
      <c r="N196" s="2415"/>
      <c r="O196" s="2415"/>
      <c r="P196" s="2415"/>
      <c r="Q196" s="2415"/>
      <c r="R196" s="2415"/>
      <c r="S196" s="2415"/>
      <c r="T196" s="2415"/>
      <c r="U196" s="2415"/>
      <c r="V196" s="2415"/>
      <c r="W196" t="s">
        <v>2062</v>
      </c>
    </row>
    <row r="197" spans="1:23" ht="13.15" customHeight="1">
      <c r="A197" s="2" t="s">
        <v>2169</v>
      </c>
      <c r="B197" s="2">
        <f t="shared" si="6"/>
        <v>2020</v>
      </c>
      <c r="C197" s="2" t="str">
        <f t="shared" si="7"/>
        <v>LIM333</v>
      </c>
      <c r="D197" s="2417">
        <v>1029</v>
      </c>
      <c r="E197" s="5" t="s">
        <v>2146</v>
      </c>
      <c r="F197" s="2429" t="s">
        <v>638</v>
      </c>
      <c r="G197" s="2415"/>
      <c r="H197" s="2415"/>
      <c r="I197" s="2415"/>
      <c r="J197" s="2415"/>
      <c r="K197" s="2415"/>
      <c r="L197" s="2415"/>
      <c r="M197" s="2415"/>
      <c r="N197" s="2415"/>
      <c r="O197" s="2415"/>
      <c r="P197" s="2415"/>
      <c r="Q197" s="2415"/>
      <c r="R197" s="2415"/>
      <c r="S197" s="2415"/>
      <c r="T197" s="2415"/>
      <c r="U197" s="2415"/>
      <c r="V197" s="2415"/>
      <c r="W197" t="s">
        <v>2062</v>
      </c>
    </row>
    <row r="198" spans="1:23" ht="13.15" customHeight="1">
      <c r="A198" s="2" t="s">
        <v>2169</v>
      </c>
      <c r="B198" s="2">
        <f t="shared" si="6"/>
        <v>2020</v>
      </c>
      <c r="C198" s="2" t="str">
        <f t="shared" si="7"/>
        <v>LIM333</v>
      </c>
      <c r="D198" s="2417">
        <v>1040</v>
      </c>
      <c r="E198" s="5" t="s">
        <v>2146</v>
      </c>
      <c r="F198" s="2430" t="s">
        <v>1231</v>
      </c>
      <c r="G198" s="2415"/>
      <c r="H198" s="2415"/>
      <c r="I198" s="2415"/>
      <c r="J198" s="2415"/>
      <c r="K198" s="2415"/>
      <c r="L198" s="2415"/>
      <c r="M198" s="2415"/>
      <c r="N198" s="2415"/>
      <c r="O198" s="2415"/>
      <c r="P198" s="2415"/>
      <c r="Q198" s="2415"/>
      <c r="R198" s="2415"/>
      <c r="S198" s="2415"/>
      <c r="T198" s="2415"/>
      <c r="U198" s="2415"/>
      <c r="V198" s="2415"/>
      <c r="W198" t="s">
        <v>2062</v>
      </c>
    </row>
    <row r="199" spans="1:23" ht="13.15" customHeight="1">
      <c r="A199" s="2" t="s">
        <v>2169</v>
      </c>
      <c r="B199" s="2">
        <f t="shared" si="6"/>
        <v>2020</v>
      </c>
      <c r="C199" s="2" t="str">
        <f t="shared" si="7"/>
        <v>LIM333</v>
      </c>
      <c r="D199" s="2417">
        <v>1041</v>
      </c>
      <c r="E199" s="5" t="s">
        <v>2145</v>
      </c>
      <c r="F199" s="2429" t="s">
        <v>2171</v>
      </c>
      <c r="G199" s="2421"/>
      <c r="H199" s="2421"/>
      <c r="I199" s="2421"/>
      <c r="J199" s="2421"/>
      <c r="K199" s="2421"/>
      <c r="L199" s="2421"/>
      <c r="M199" s="2421"/>
      <c r="N199" s="2421"/>
      <c r="O199" s="2421"/>
      <c r="P199" s="2421"/>
      <c r="Q199" s="2421"/>
      <c r="R199" s="2421"/>
      <c r="S199" s="2421"/>
      <c r="T199" s="2421"/>
      <c r="U199" s="2421"/>
      <c r="V199" s="2421"/>
      <c r="W199" t="s">
        <v>2062</v>
      </c>
    </row>
    <row r="200" spans="1:23" ht="13.15" customHeight="1">
      <c r="A200" s="2" t="s">
        <v>2169</v>
      </c>
      <c r="B200" s="2">
        <f t="shared" si="6"/>
        <v>2020</v>
      </c>
      <c r="C200" s="2" t="str">
        <f t="shared" si="7"/>
        <v>LIM333</v>
      </c>
      <c r="D200" s="2417">
        <v>1042</v>
      </c>
      <c r="E200" s="5" t="s">
        <v>2145</v>
      </c>
      <c r="F200" s="2429" t="s">
        <v>2172</v>
      </c>
      <c r="G200" s="2421"/>
      <c r="H200" s="2421"/>
      <c r="I200" s="2421"/>
      <c r="J200" s="2421"/>
      <c r="K200" s="2421"/>
      <c r="L200" s="2421"/>
      <c r="M200" s="2421"/>
      <c r="N200" s="2421"/>
      <c r="O200" s="2421"/>
      <c r="P200" s="2421"/>
      <c r="Q200" s="2421"/>
      <c r="R200" s="2421"/>
      <c r="S200" s="2421"/>
      <c r="T200" s="2421"/>
      <c r="U200" s="2421"/>
      <c r="V200" s="2421"/>
      <c r="W200" t="s">
        <v>2062</v>
      </c>
    </row>
    <row r="201" spans="1:23" ht="13.15" customHeight="1">
      <c r="A201" s="2" t="s">
        <v>2169</v>
      </c>
      <c r="B201" s="2">
        <f t="shared" si="6"/>
        <v>2020</v>
      </c>
      <c r="C201" s="2" t="str">
        <f t="shared" si="7"/>
        <v>LIM333</v>
      </c>
      <c r="D201" s="2417">
        <v>1043</v>
      </c>
      <c r="E201" s="5" t="s">
        <v>2145</v>
      </c>
      <c r="F201" s="2429" t="s">
        <v>2173</v>
      </c>
      <c r="G201" s="2421"/>
      <c r="H201" s="2421"/>
      <c r="I201" s="2421"/>
      <c r="J201" s="2421"/>
      <c r="K201" s="2421"/>
      <c r="L201" s="2421"/>
      <c r="M201" s="2421"/>
      <c r="N201" s="2421"/>
      <c r="O201" s="2421"/>
      <c r="P201" s="2421"/>
      <c r="Q201" s="2421"/>
      <c r="R201" s="2421"/>
      <c r="S201" s="2421"/>
      <c r="T201" s="2421"/>
      <c r="U201" s="2421"/>
      <c r="V201" s="2421"/>
      <c r="W201" t="s">
        <v>2062</v>
      </c>
    </row>
    <row r="202" spans="1:23" ht="13.15" customHeight="1">
      <c r="A202" s="2" t="s">
        <v>2169</v>
      </c>
      <c r="B202" s="2">
        <f t="shared" si="6"/>
        <v>2020</v>
      </c>
      <c r="C202" s="2" t="str">
        <f t="shared" si="7"/>
        <v>LIM333</v>
      </c>
      <c r="D202" s="2417">
        <v>1044</v>
      </c>
      <c r="E202" s="5" t="s">
        <v>2145</v>
      </c>
      <c r="F202" s="2429" t="s">
        <v>2174</v>
      </c>
      <c r="G202" s="2421"/>
      <c r="H202" s="2421"/>
      <c r="I202" s="2421"/>
      <c r="J202" s="2421"/>
      <c r="K202" s="2421"/>
      <c r="L202" s="2421"/>
      <c r="M202" s="2421"/>
      <c r="N202" s="2421"/>
      <c r="O202" s="2421"/>
      <c r="P202" s="2421"/>
      <c r="Q202" s="2421"/>
      <c r="R202" s="2421"/>
      <c r="S202" s="2421"/>
      <c r="T202" s="2421"/>
      <c r="U202" s="2421"/>
      <c r="V202" s="2421"/>
      <c r="W202" t="s">
        <v>2062</v>
      </c>
    </row>
    <row r="203" spans="1:23" ht="13.15" customHeight="1">
      <c r="A203" s="2" t="s">
        <v>2169</v>
      </c>
      <c r="B203" s="2">
        <f t="shared" si="6"/>
        <v>2020</v>
      </c>
      <c r="C203" s="2" t="str">
        <f t="shared" si="7"/>
        <v>LIM333</v>
      </c>
      <c r="D203" s="2417">
        <v>1206</v>
      </c>
      <c r="E203" s="2425" t="s">
        <v>2146</v>
      </c>
      <c r="F203" s="2429" t="s">
        <v>140</v>
      </c>
      <c r="G203" s="2415"/>
      <c r="H203" s="2415"/>
      <c r="I203" s="2415"/>
      <c r="J203" s="2415"/>
      <c r="K203" s="2415"/>
      <c r="L203" s="2415"/>
      <c r="M203" s="2415"/>
      <c r="N203" s="2415"/>
      <c r="O203" s="2415"/>
      <c r="P203" s="2415"/>
      <c r="Q203" s="2415"/>
      <c r="R203" s="2415"/>
      <c r="S203" s="2415"/>
      <c r="T203" s="2415"/>
      <c r="U203" s="2415"/>
      <c r="V203" s="2415"/>
      <c r="W203" t="s">
        <v>2062</v>
      </c>
    </row>
    <row r="204" spans="1:23" ht="13.15" customHeight="1">
      <c r="A204" s="2" t="s">
        <v>2169</v>
      </c>
      <c r="B204" s="2">
        <f t="shared" si="6"/>
        <v>2020</v>
      </c>
      <c r="C204" s="2" t="str">
        <f t="shared" si="7"/>
        <v>LIM333</v>
      </c>
      <c r="D204" s="2417">
        <v>1046</v>
      </c>
      <c r="E204" s="5" t="s">
        <v>2145</v>
      </c>
      <c r="F204" s="2429" t="s">
        <v>579</v>
      </c>
      <c r="G204" s="2421"/>
      <c r="H204" s="2421"/>
      <c r="I204" s="2421"/>
      <c r="J204" s="2421"/>
      <c r="K204" s="2421"/>
      <c r="L204" s="2421"/>
      <c r="M204" s="2421"/>
      <c r="N204" s="2421"/>
      <c r="O204" s="2421"/>
      <c r="P204" s="2421"/>
      <c r="Q204" s="2421"/>
      <c r="R204" s="2421"/>
      <c r="S204" s="2421"/>
      <c r="T204" s="2421"/>
      <c r="U204" s="2421"/>
      <c r="V204" s="2421"/>
      <c r="W204" t="s">
        <v>2062</v>
      </c>
    </row>
    <row r="205" spans="1:23" ht="13.15" customHeight="1">
      <c r="A205" s="2" t="s">
        <v>2169</v>
      </c>
      <c r="B205" s="2">
        <f t="shared" si="6"/>
        <v>2020</v>
      </c>
      <c r="C205" s="2" t="str">
        <f t="shared" si="7"/>
        <v>LIM333</v>
      </c>
      <c r="D205" s="2417">
        <v>1047</v>
      </c>
      <c r="E205" s="5" t="s">
        <v>2145</v>
      </c>
      <c r="F205" s="2429" t="s">
        <v>580</v>
      </c>
      <c r="G205" s="2421"/>
      <c r="H205" s="2421"/>
      <c r="I205" s="2421"/>
      <c r="J205" s="2421"/>
      <c r="K205" s="2421"/>
      <c r="L205" s="2421"/>
      <c r="M205" s="2421"/>
      <c r="N205" s="2421"/>
      <c r="O205" s="2421"/>
      <c r="P205" s="2421"/>
      <c r="Q205" s="2421"/>
      <c r="R205" s="2421"/>
      <c r="S205" s="2421"/>
      <c r="T205" s="2421"/>
      <c r="U205" s="2421"/>
      <c r="V205" s="2421"/>
      <c r="W205" t="s">
        <v>2062</v>
      </c>
    </row>
    <row r="206" spans="1:23" ht="13.15" customHeight="1">
      <c r="A206" s="2" t="s">
        <v>2169</v>
      </c>
      <c r="B206" s="2">
        <f t="shared" si="6"/>
        <v>2020</v>
      </c>
      <c r="C206" s="2" t="str">
        <f t="shared" si="7"/>
        <v>LIM333</v>
      </c>
      <c r="D206" s="2417">
        <v>1048</v>
      </c>
      <c r="E206" s="5" t="s">
        <v>2145</v>
      </c>
      <c r="F206" s="2429" t="s">
        <v>264</v>
      </c>
      <c r="G206" s="2421"/>
      <c r="H206" s="2421"/>
      <c r="I206" s="2421"/>
      <c r="J206" s="2421"/>
      <c r="K206" s="2421"/>
      <c r="L206" s="2421"/>
      <c r="M206" s="2421"/>
      <c r="N206" s="2421"/>
      <c r="O206" s="2421"/>
      <c r="P206" s="2421"/>
      <c r="Q206" s="2421"/>
      <c r="R206" s="2421"/>
      <c r="S206" s="2421"/>
      <c r="T206" s="2421"/>
      <c r="U206" s="2421"/>
      <c r="V206" s="2421"/>
      <c r="W206" t="s">
        <v>2062</v>
      </c>
    </row>
    <row r="207" spans="1:23" ht="13.15" customHeight="1">
      <c r="A207" s="2" t="s">
        <v>2169</v>
      </c>
      <c r="B207" s="2">
        <f t="shared" si="6"/>
        <v>2020</v>
      </c>
      <c r="C207" s="2" t="str">
        <f t="shared" si="7"/>
        <v>LIM333</v>
      </c>
      <c r="D207" s="2417">
        <v>1100</v>
      </c>
      <c r="E207" s="5" t="s">
        <v>2145</v>
      </c>
      <c r="F207" s="2428" t="s">
        <v>1350</v>
      </c>
      <c r="G207" s="2431"/>
      <c r="H207" s="2431"/>
      <c r="I207" s="2431"/>
      <c r="J207" s="2431"/>
      <c r="K207" s="2431"/>
      <c r="L207" s="2431"/>
      <c r="M207" s="2431"/>
      <c r="N207" s="2431"/>
      <c r="O207" s="2431"/>
      <c r="P207" s="2431"/>
      <c r="Q207" s="2431"/>
      <c r="R207" s="2431"/>
      <c r="S207" s="2431"/>
      <c r="T207" s="2431"/>
      <c r="U207" s="2431"/>
      <c r="V207" s="2431"/>
      <c r="W207" t="s">
        <v>2062</v>
      </c>
    </row>
    <row r="208" spans="1:23" ht="13.15" customHeight="1">
      <c r="A208" s="2" t="s">
        <v>2169</v>
      </c>
      <c r="B208" s="2">
        <f t="shared" si="6"/>
        <v>2020</v>
      </c>
      <c r="C208" s="2" t="str">
        <f t="shared" si="7"/>
        <v>LIM333</v>
      </c>
      <c r="D208" s="2417">
        <v>1101</v>
      </c>
      <c r="E208" s="5" t="s">
        <v>2146</v>
      </c>
      <c r="F208" s="2429" t="s">
        <v>2149</v>
      </c>
      <c r="G208" s="2415"/>
      <c r="H208" s="2415"/>
      <c r="I208" s="2415"/>
      <c r="J208" s="2415"/>
      <c r="K208" s="2415"/>
      <c r="L208" s="2415"/>
      <c r="M208" s="2415"/>
      <c r="N208" s="2415"/>
      <c r="O208" s="2415"/>
      <c r="P208" s="2415"/>
      <c r="Q208" s="2415"/>
      <c r="R208" s="2415"/>
      <c r="S208" s="2415"/>
      <c r="T208" s="2415"/>
      <c r="U208" s="2415"/>
      <c r="V208" s="2415"/>
      <c r="W208" t="s">
        <v>2062</v>
      </c>
    </row>
    <row r="209" spans="1:23" ht="13.15" customHeight="1">
      <c r="A209" s="2" t="s">
        <v>2169</v>
      </c>
      <c r="B209" s="2">
        <f t="shared" si="6"/>
        <v>2020</v>
      </c>
      <c r="C209" s="2" t="str">
        <f t="shared" si="7"/>
        <v>LIM333</v>
      </c>
      <c r="D209" s="2417">
        <v>1102</v>
      </c>
      <c r="E209" s="5" t="s">
        <v>2146</v>
      </c>
      <c r="F209" s="2429" t="s">
        <v>2150</v>
      </c>
      <c r="G209" s="2415"/>
      <c r="H209" s="2415"/>
      <c r="I209" s="2415"/>
      <c r="J209" s="2415"/>
      <c r="K209" s="2415"/>
      <c r="L209" s="2415"/>
      <c r="M209" s="2415"/>
      <c r="N209" s="2415"/>
      <c r="O209" s="2415"/>
      <c r="P209" s="2415"/>
      <c r="Q209" s="2415"/>
      <c r="R209" s="2415"/>
      <c r="S209" s="2415"/>
      <c r="T209" s="2415"/>
      <c r="U209" s="2415"/>
      <c r="V209" s="2415"/>
      <c r="W209" t="s">
        <v>2062</v>
      </c>
    </row>
    <row r="210" spans="1:23" ht="13.15" customHeight="1">
      <c r="A210" s="2" t="s">
        <v>2169</v>
      </c>
      <c r="B210" s="2">
        <f t="shared" si="6"/>
        <v>2020</v>
      </c>
      <c r="C210" s="2" t="str">
        <f t="shared" si="7"/>
        <v>LIM333</v>
      </c>
      <c r="D210" s="2417">
        <v>1103</v>
      </c>
      <c r="E210" s="5" t="s">
        <v>2146</v>
      </c>
      <c r="F210" s="2429" t="s">
        <v>2151</v>
      </c>
      <c r="G210" s="2415"/>
      <c r="H210" s="2415"/>
      <c r="I210" s="2415"/>
      <c r="J210" s="2415"/>
      <c r="K210" s="2415"/>
      <c r="L210" s="2415"/>
      <c r="M210" s="2415"/>
      <c r="N210" s="2415"/>
      <c r="O210" s="2415"/>
      <c r="P210" s="2415"/>
      <c r="Q210" s="2415"/>
      <c r="R210" s="2415"/>
      <c r="S210" s="2415"/>
      <c r="T210" s="2415"/>
      <c r="U210" s="2415"/>
      <c r="V210" s="2415"/>
      <c r="W210" t="s">
        <v>2062</v>
      </c>
    </row>
    <row r="211" spans="1:23" ht="13.15" customHeight="1">
      <c r="A211" s="2" t="s">
        <v>2169</v>
      </c>
      <c r="B211" s="2">
        <f t="shared" si="6"/>
        <v>2020</v>
      </c>
      <c r="C211" s="2" t="str">
        <f t="shared" si="7"/>
        <v>LIM333</v>
      </c>
      <c r="D211" s="2417">
        <v>1104</v>
      </c>
      <c r="E211" s="5" t="s">
        <v>2146</v>
      </c>
      <c r="F211" s="2429" t="s">
        <v>2175</v>
      </c>
      <c r="G211" s="2415"/>
      <c r="H211" s="2415"/>
      <c r="I211" s="2415"/>
      <c r="J211" s="2415"/>
      <c r="K211" s="2415"/>
      <c r="L211" s="2415"/>
      <c r="M211" s="2415"/>
      <c r="N211" s="2415"/>
      <c r="O211" s="2415"/>
      <c r="P211" s="2415"/>
      <c r="Q211" s="2415"/>
      <c r="R211" s="2415"/>
      <c r="S211" s="2415"/>
      <c r="T211" s="2415"/>
      <c r="U211" s="2415"/>
      <c r="V211" s="2415"/>
      <c r="W211" t="s">
        <v>2062</v>
      </c>
    </row>
    <row r="212" spans="1:23" ht="13.15" customHeight="1">
      <c r="A212" s="2" t="s">
        <v>2169</v>
      </c>
      <c r="B212" s="2">
        <f t="shared" si="6"/>
        <v>2020</v>
      </c>
      <c r="C212" s="2" t="str">
        <f t="shared" si="7"/>
        <v>LIM333</v>
      </c>
      <c r="D212" s="2417">
        <v>1105</v>
      </c>
      <c r="E212" s="5" t="s">
        <v>2146</v>
      </c>
      <c r="F212" s="2429" t="s">
        <v>2176</v>
      </c>
      <c r="G212" s="2415"/>
      <c r="H212" s="2415"/>
      <c r="I212" s="2415"/>
      <c r="J212" s="2415"/>
      <c r="K212" s="2415"/>
      <c r="L212" s="2415"/>
      <c r="M212" s="2415"/>
      <c r="N212" s="2415"/>
      <c r="O212" s="2415"/>
      <c r="P212" s="2415"/>
      <c r="Q212" s="2415"/>
      <c r="R212" s="2415"/>
      <c r="S212" s="2415"/>
      <c r="T212" s="2415"/>
      <c r="U212" s="2415"/>
      <c r="V212" s="2415"/>
      <c r="W212" t="s">
        <v>2062</v>
      </c>
    </row>
    <row r="213" spans="1:23" ht="13.15" customHeight="1">
      <c r="A213" s="2" t="s">
        <v>2169</v>
      </c>
      <c r="B213" s="2">
        <f t="shared" si="6"/>
        <v>2020</v>
      </c>
      <c r="C213" s="2" t="str">
        <f t="shared" si="7"/>
        <v>LIM333</v>
      </c>
      <c r="D213" s="2417">
        <v>1106</v>
      </c>
      <c r="E213" s="5" t="s">
        <v>2146</v>
      </c>
      <c r="F213" s="2429" t="s">
        <v>2154</v>
      </c>
      <c r="G213" s="2415"/>
      <c r="H213" s="2415"/>
      <c r="I213" s="2415"/>
      <c r="J213" s="2415"/>
      <c r="K213" s="2415"/>
      <c r="L213" s="2415"/>
      <c r="M213" s="2415"/>
      <c r="N213" s="2415"/>
      <c r="O213" s="2415"/>
      <c r="P213" s="2415"/>
      <c r="Q213" s="2415"/>
      <c r="R213" s="2415"/>
      <c r="S213" s="2415"/>
      <c r="T213" s="2415"/>
      <c r="U213" s="2415"/>
      <c r="V213" s="2415"/>
      <c r="W213" t="s">
        <v>2062</v>
      </c>
    </row>
    <row r="214" spans="1:23" ht="13.15" customHeight="1">
      <c r="A214" s="2" t="s">
        <v>2169</v>
      </c>
      <c r="B214" s="2">
        <f t="shared" si="6"/>
        <v>2020</v>
      </c>
      <c r="C214" s="2" t="str">
        <f t="shared" si="7"/>
        <v>LIM333</v>
      </c>
      <c r="D214" s="2417">
        <v>1107</v>
      </c>
      <c r="E214" s="5" t="s">
        <v>2146</v>
      </c>
      <c r="F214" s="2432" t="s">
        <v>1351</v>
      </c>
      <c r="G214" s="2415"/>
      <c r="H214" s="2415"/>
      <c r="I214" s="2415"/>
      <c r="J214" s="2415"/>
      <c r="K214" s="2415"/>
      <c r="L214" s="2415"/>
      <c r="M214" s="2415"/>
      <c r="N214" s="2415"/>
      <c r="O214" s="2415"/>
      <c r="P214" s="2415"/>
      <c r="Q214" s="2415"/>
      <c r="R214" s="2415"/>
      <c r="S214" s="2415"/>
      <c r="T214" s="2415"/>
      <c r="U214" s="2415"/>
      <c r="V214" s="2415"/>
      <c r="W214" t="s">
        <v>2062</v>
      </c>
    </row>
    <row r="215" spans="1:23" ht="13.15" customHeight="1">
      <c r="A215" s="2" t="s">
        <v>2169</v>
      </c>
      <c r="B215" s="2">
        <f t="shared" si="6"/>
        <v>2020</v>
      </c>
      <c r="C215" s="2" t="str">
        <f t="shared" si="7"/>
        <v>LIM333</v>
      </c>
      <c r="D215" s="2417">
        <v>1108</v>
      </c>
      <c r="E215" s="5" t="s">
        <v>2146</v>
      </c>
      <c r="F215" s="2429" t="s">
        <v>2155</v>
      </c>
      <c r="G215" s="2415"/>
      <c r="H215" s="2415"/>
      <c r="I215" s="2415"/>
      <c r="J215" s="2415"/>
      <c r="K215" s="2415"/>
      <c r="L215" s="2415"/>
      <c r="M215" s="2415"/>
      <c r="N215" s="2415"/>
      <c r="O215" s="2415"/>
      <c r="P215" s="2415"/>
      <c r="Q215" s="2415"/>
      <c r="R215" s="2415"/>
      <c r="S215" s="2415"/>
      <c r="T215" s="2415"/>
      <c r="U215" s="2415"/>
      <c r="V215" s="2415"/>
      <c r="W215" t="s">
        <v>2062</v>
      </c>
    </row>
    <row r="216" spans="1:23" ht="13.15" customHeight="1">
      <c r="A216" s="2" t="s">
        <v>2169</v>
      </c>
      <c r="B216" s="2">
        <f t="shared" si="6"/>
        <v>2020</v>
      </c>
      <c r="C216" s="2" t="str">
        <f t="shared" si="7"/>
        <v>LIM333</v>
      </c>
      <c r="D216" s="2417">
        <v>1109</v>
      </c>
      <c r="E216" s="5" t="s">
        <v>2146</v>
      </c>
      <c r="F216" s="2429" t="s">
        <v>2156</v>
      </c>
      <c r="G216" s="2415"/>
      <c r="H216" s="2415"/>
      <c r="I216" s="2415"/>
      <c r="J216" s="2415"/>
      <c r="K216" s="2415"/>
      <c r="L216" s="2415"/>
      <c r="M216" s="2415"/>
      <c r="N216" s="2415"/>
      <c r="O216" s="2415"/>
      <c r="P216" s="2415"/>
      <c r="Q216" s="2415"/>
      <c r="R216" s="2415"/>
      <c r="S216" s="2415"/>
      <c r="T216" s="2415"/>
      <c r="U216" s="2415"/>
      <c r="V216" s="2415"/>
      <c r="W216" t="s">
        <v>2062</v>
      </c>
    </row>
    <row r="217" spans="1:23" ht="13.15" customHeight="1">
      <c r="A217" s="2" t="s">
        <v>2169</v>
      </c>
      <c r="B217" s="2">
        <f t="shared" si="6"/>
        <v>2020</v>
      </c>
      <c r="C217" s="2" t="str">
        <f t="shared" si="7"/>
        <v>LIM333</v>
      </c>
      <c r="D217" s="2417">
        <v>1110</v>
      </c>
      <c r="E217" s="5" t="s">
        <v>2146</v>
      </c>
      <c r="F217" s="2429" t="s">
        <v>2157</v>
      </c>
      <c r="G217" s="2415"/>
      <c r="H217" s="2415"/>
      <c r="I217" s="2415"/>
      <c r="J217" s="2415"/>
      <c r="K217" s="2415"/>
      <c r="L217" s="2415"/>
      <c r="M217" s="2415"/>
      <c r="N217" s="2415"/>
      <c r="O217" s="2415"/>
      <c r="P217" s="2415"/>
      <c r="Q217" s="2415"/>
      <c r="R217" s="2415"/>
      <c r="S217" s="2415"/>
      <c r="T217" s="2415"/>
      <c r="U217" s="2415"/>
      <c r="V217" s="2415"/>
      <c r="W217" t="s">
        <v>2062</v>
      </c>
    </row>
    <row r="218" spans="1:23" ht="13.15" customHeight="1">
      <c r="A218" s="2" t="s">
        <v>2169</v>
      </c>
      <c r="B218" s="2">
        <f t="shared" si="6"/>
        <v>2020</v>
      </c>
      <c r="C218" s="2" t="str">
        <f t="shared" si="7"/>
        <v>LIM333</v>
      </c>
      <c r="D218" s="2417">
        <v>1111</v>
      </c>
      <c r="E218" s="5" t="s">
        <v>2146</v>
      </c>
      <c r="F218" s="2429" t="s">
        <v>2177</v>
      </c>
      <c r="G218" s="2415"/>
      <c r="H218" s="2415"/>
      <c r="I218" s="2415"/>
      <c r="J218" s="2415"/>
      <c r="K218" s="2415"/>
      <c r="L218" s="2415"/>
      <c r="M218" s="2415"/>
      <c r="N218" s="2415"/>
      <c r="O218" s="2415"/>
      <c r="P218" s="2415"/>
      <c r="Q218" s="2415"/>
      <c r="R218" s="2415"/>
      <c r="S218" s="2415"/>
      <c r="T218" s="2415"/>
      <c r="U218" s="2415"/>
      <c r="V218" s="2415"/>
      <c r="W218" t="s">
        <v>2062</v>
      </c>
    </row>
    <row r="219" spans="1:23" ht="13.15" customHeight="1">
      <c r="A219" s="2" t="s">
        <v>2169</v>
      </c>
      <c r="B219" s="2">
        <f t="shared" si="6"/>
        <v>2020</v>
      </c>
      <c r="C219" s="2" t="str">
        <f t="shared" si="7"/>
        <v>LIM333</v>
      </c>
      <c r="D219" s="2417">
        <v>1200</v>
      </c>
      <c r="E219" s="5" t="s">
        <v>2145</v>
      </c>
      <c r="F219" s="2428" t="s">
        <v>1352</v>
      </c>
      <c r="G219" s="2415"/>
      <c r="H219" s="2415"/>
      <c r="I219" s="2415"/>
      <c r="J219" s="2415"/>
      <c r="K219" s="2415"/>
      <c r="L219" s="2415"/>
      <c r="M219" s="2415"/>
      <c r="N219" s="2415"/>
      <c r="O219" s="2415"/>
      <c r="P219" s="2415"/>
      <c r="Q219" s="2415"/>
      <c r="R219" s="2415"/>
      <c r="S219" s="2415"/>
      <c r="T219" s="2415"/>
      <c r="U219" s="2415"/>
      <c r="V219" s="2415"/>
      <c r="W219" t="s">
        <v>2062</v>
      </c>
    </row>
    <row r="220" spans="1:23" ht="13.15" customHeight="1">
      <c r="A220" s="2" t="s">
        <v>2169</v>
      </c>
      <c r="B220" s="2">
        <f t="shared" si="6"/>
        <v>2020</v>
      </c>
      <c r="C220" s="2" t="str">
        <f t="shared" si="7"/>
        <v>LIM333</v>
      </c>
      <c r="D220" s="2417">
        <v>1201</v>
      </c>
      <c r="E220" s="5" t="s">
        <v>2146</v>
      </c>
      <c r="F220" s="2430" t="s">
        <v>263</v>
      </c>
      <c r="G220" s="2433"/>
      <c r="H220" s="2433"/>
      <c r="I220" s="2433"/>
      <c r="J220" s="2433"/>
      <c r="K220" s="2433"/>
      <c r="L220" s="2433"/>
      <c r="M220" s="2433"/>
      <c r="N220" s="2433"/>
      <c r="O220" s="2433"/>
      <c r="P220" s="2433"/>
      <c r="Q220" s="2433"/>
      <c r="R220" s="2433"/>
      <c r="S220" s="2433"/>
      <c r="T220" s="2433"/>
      <c r="U220" s="2433"/>
      <c r="V220" s="2433"/>
      <c r="W220" t="s">
        <v>2062</v>
      </c>
    </row>
    <row r="221" spans="1:23" ht="13.15" customHeight="1">
      <c r="A221" s="2" t="s">
        <v>2169</v>
      </c>
      <c r="B221" s="2">
        <f t="shared" si="6"/>
        <v>2020</v>
      </c>
      <c r="C221" s="2" t="str">
        <f t="shared" si="7"/>
        <v>LIM333</v>
      </c>
      <c r="D221" s="2417">
        <v>1301</v>
      </c>
      <c r="E221" s="5" t="s">
        <v>2146</v>
      </c>
      <c r="F221" s="2430" t="s">
        <v>2160</v>
      </c>
      <c r="G221" s="2415"/>
      <c r="H221" s="2415"/>
      <c r="I221" s="2415"/>
      <c r="J221" s="2415"/>
      <c r="K221" s="2415"/>
      <c r="L221" s="2415"/>
      <c r="M221" s="2415"/>
      <c r="N221" s="2415"/>
      <c r="O221" s="2415"/>
      <c r="P221" s="2415"/>
      <c r="Q221" s="2415"/>
      <c r="R221" s="2415"/>
      <c r="S221" s="2415"/>
      <c r="T221" s="2415"/>
      <c r="U221" s="2415"/>
      <c r="V221" s="2415"/>
      <c r="W221" t="s">
        <v>2062</v>
      </c>
    </row>
    <row r="222" spans="1:23" ht="13.15" customHeight="1">
      <c r="A222" s="2" t="s">
        <v>2169</v>
      </c>
      <c r="B222" s="2">
        <f t="shared" si="6"/>
        <v>2020</v>
      </c>
      <c r="C222" s="2" t="str">
        <f t="shared" si="7"/>
        <v>LIM333</v>
      </c>
      <c r="D222" s="2417">
        <v>1302</v>
      </c>
      <c r="E222" s="5" t="s">
        <v>2146</v>
      </c>
      <c r="F222" s="2430" t="s">
        <v>2161</v>
      </c>
      <c r="G222" s="2415"/>
      <c r="H222" s="2415"/>
      <c r="I222" s="2415"/>
      <c r="J222" s="2415"/>
      <c r="K222" s="2415"/>
      <c r="L222" s="2415"/>
      <c r="M222" s="2415"/>
      <c r="N222" s="2415"/>
      <c r="O222" s="2415"/>
      <c r="P222" s="2415"/>
      <c r="Q222" s="2415"/>
      <c r="R222" s="2415"/>
      <c r="S222" s="2415"/>
      <c r="T222" s="2415"/>
      <c r="U222" s="2415"/>
      <c r="V222" s="2415"/>
      <c r="W222" t="s">
        <v>2062</v>
      </c>
    </row>
    <row r="223" spans="1:23" ht="13.15" customHeight="1">
      <c r="A223" s="2" t="s">
        <v>2169</v>
      </c>
      <c r="B223" s="2">
        <f t="shared" si="6"/>
        <v>2020</v>
      </c>
      <c r="C223" s="2" t="str">
        <f t="shared" si="7"/>
        <v>LIM333</v>
      </c>
      <c r="D223" s="2417">
        <v>1303</v>
      </c>
      <c r="E223" s="5" t="s">
        <v>818</v>
      </c>
      <c r="F223" s="2430" t="s">
        <v>1388</v>
      </c>
      <c r="G223" s="2427"/>
      <c r="H223" s="2427"/>
      <c r="I223" s="2427"/>
      <c r="J223" s="2427"/>
      <c r="K223" s="2427"/>
      <c r="L223" s="2427"/>
      <c r="M223" s="2427"/>
      <c r="N223" s="2427"/>
      <c r="O223" s="2427"/>
      <c r="P223" s="2427"/>
      <c r="Q223" s="2427"/>
      <c r="R223" s="2427"/>
      <c r="S223" s="2427"/>
      <c r="T223" s="2427"/>
      <c r="U223" s="2427"/>
      <c r="V223" s="2427"/>
      <c r="W223" t="s">
        <v>2062</v>
      </c>
    </row>
    <row r="224" spans="1:23" ht="13.15" customHeight="1">
      <c r="A224" s="2" t="s">
        <v>2169</v>
      </c>
      <c r="B224" s="2">
        <f t="shared" si="6"/>
        <v>2020</v>
      </c>
      <c r="C224" s="2" t="str">
        <f t="shared" si="7"/>
        <v>LIM333</v>
      </c>
      <c r="D224" s="2417">
        <v>1304</v>
      </c>
      <c r="E224" s="5" t="s">
        <v>2146</v>
      </c>
      <c r="F224" s="2430" t="s">
        <v>2162</v>
      </c>
      <c r="G224" s="2415"/>
      <c r="H224" s="2415"/>
      <c r="I224" s="2415"/>
      <c r="J224" s="2415"/>
      <c r="K224" s="2415"/>
      <c r="L224" s="2415"/>
      <c r="M224" s="2415"/>
      <c r="N224" s="2415"/>
      <c r="O224" s="2415"/>
      <c r="P224" s="2415"/>
      <c r="Q224" s="2415"/>
      <c r="R224" s="2415"/>
      <c r="S224" s="2415"/>
      <c r="T224" s="2415"/>
      <c r="U224" s="2415"/>
      <c r="V224" s="2415"/>
      <c r="W224" t="s">
        <v>2062</v>
      </c>
    </row>
    <row r="225" spans="1:23" ht="13.15" customHeight="1">
      <c r="A225" s="2" t="s">
        <v>2169</v>
      </c>
      <c r="B225" s="2">
        <f t="shared" si="6"/>
        <v>2020</v>
      </c>
      <c r="C225" s="2" t="str">
        <f t="shared" si="7"/>
        <v>LIM333</v>
      </c>
      <c r="D225" s="2417">
        <v>1305</v>
      </c>
      <c r="E225" s="5" t="s">
        <v>2146</v>
      </c>
      <c r="F225" s="2430" t="s">
        <v>2163</v>
      </c>
      <c r="G225" s="2415"/>
      <c r="H225" s="2415"/>
      <c r="I225" s="2415"/>
      <c r="J225" s="2415"/>
      <c r="K225" s="2415"/>
      <c r="L225" s="2415"/>
      <c r="M225" s="2415"/>
      <c r="N225" s="2415"/>
      <c r="O225" s="2415"/>
      <c r="P225" s="2415"/>
      <c r="Q225" s="2415"/>
      <c r="R225" s="2415"/>
      <c r="S225" s="2415"/>
      <c r="T225" s="2415"/>
      <c r="U225" s="2415"/>
      <c r="V225" s="2415"/>
      <c r="W225" t="s">
        <v>2062</v>
      </c>
    </row>
    <row r="226" spans="1:23" ht="13.15" customHeight="1">
      <c r="A226" s="2" t="s">
        <v>2169</v>
      </c>
      <c r="B226" s="2">
        <f t="shared" si="6"/>
        <v>2020</v>
      </c>
      <c r="C226" s="2" t="str">
        <f t="shared" si="7"/>
        <v>LIM333</v>
      </c>
      <c r="D226" s="2417">
        <v>1306</v>
      </c>
      <c r="E226" s="5" t="s">
        <v>2146</v>
      </c>
      <c r="F226" s="2430" t="s">
        <v>2164</v>
      </c>
      <c r="G226" s="2415"/>
      <c r="H226" s="2415"/>
      <c r="I226" s="2415"/>
      <c r="J226" s="2415"/>
      <c r="K226" s="2415"/>
      <c r="L226" s="2415"/>
      <c r="M226" s="2415"/>
      <c r="N226" s="2415"/>
      <c r="O226" s="2415"/>
      <c r="P226" s="2415"/>
      <c r="Q226" s="2415"/>
      <c r="R226" s="2415"/>
      <c r="S226" s="2415"/>
      <c r="T226" s="2415"/>
      <c r="U226" s="2415"/>
      <c r="V226" s="2415"/>
      <c r="W226" t="s">
        <v>2062</v>
      </c>
    </row>
    <row r="227" spans="1:23" ht="13.15" customHeight="1">
      <c r="A227" s="2" t="s">
        <v>2169</v>
      </c>
      <c r="B227" s="2">
        <f t="shared" si="6"/>
        <v>2020</v>
      </c>
      <c r="C227" s="2" t="str">
        <f t="shared" si="7"/>
        <v>LIM333</v>
      </c>
      <c r="D227" s="2417">
        <v>1307</v>
      </c>
      <c r="E227" s="5" t="s">
        <v>2146</v>
      </c>
      <c r="F227" s="2430" t="s">
        <v>2178</v>
      </c>
      <c r="G227" s="2415"/>
      <c r="H227" s="2415"/>
      <c r="I227" s="2415"/>
      <c r="J227" s="2415"/>
      <c r="K227" s="2415"/>
      <c r="L227" s="2415"/>
      <c r="M227" s="2415"/>
      <c r="N227" s="2415"/>
      <c r="O227" s="2415"/>
      <c r="P227" s="2415"/>
      <c r="Q227" s="2415"/>
      <c r="R227" s="2415"/>
      <c r="S227" s="2415"/>
      <c r="T227" s="2415"/>
      <c r="U227" s="2415"/>
      <c r="V227" s="2415"/>
      <c r="W227" t="s">
        <v>2062</v>
      </c>
    </row>
    <row r="228" spans="1:23" ht="13.15" customHeight="1">
      <c r="A228" s="2" t="s">
        <v>2169</v>
      </c>
      <c r="B228" s="2">
        <f t="shared" si="6"/>
        <v>2020</v>
      </c>
      <c r="C228" s="2" t="str">
        <f t="shared" si="7"/>
        <v>LIM333</v>
      </c>
      <c r="D228" s="2417">
        <v>1308</v>
      </c>
      <c r="E228" s="5" t="s">
        <v>2146</v>
      </c>
      <c r="F228" s="2430" t="s">
        <v>2179</v>
      </c>
      <c r="G228" s="2415"/>
      <c r="H228" s="2415"/>
      <c r="I228" s="2415"/>
      <c r="J228" s="2415"/>
      <c r="K228" s="2415"/>
      <c r="L228" s="2415"/>
      <c r="M228" s="2415"/>
      <c r="N228" s="2415"/>
      <c r="O228" s="2415"/>
      <c r="P228" s="2415"/>
      <c r="Q228" s="2415"/>
      <c r="R228" s="2415"/>
      <c r="S228" s="2415"/>
      <c r="T228" s="2415"/>
      <c r="U228" s="2415"/>
      <c r="V228" s="2415"/>
      <c r="W228" t="s">
        <v>2062</v>
      </c>
    </row>
    <row r="229" spans="1:23" ht="13.15" customHeight="1">
      <c r="A229" s="2" t="s">
        <v>2169</v>
      </c>
      <c r="B229" s="2">
        <f t="shared" si="6"/>
        <v>2020</v>
      </c>
      <c r="C229" s="2" t="str">
        <f t="shared" si="7"/>
        <v>LIM333</v>
      </c>
      <c r="D229" s="2417">
        <v>1309</v>
      </c>
      <c r="E229" s="5" t="s">
        <v>2146</v>
      </c>
      <c r="F229" s="2430" t="s">
        <v>2180</v>
      </c>
      <c r="G229" s="2415"/>
      <c r="H229" s="2415"/>
      <c r="I229" s="2415"/>
      <c r="J229" s="2415"/>
      <c r="K229" s="2415"/>
      <c r="L229" s="2415"/>
      <c r="M229" s="2415"/>
      <c r="N229" s="2415"/>
      <c r="O229" s="2415"/>
      <c r="P229" s="2415"/>
      <c r="Q229" s="2415"/>
      <c r="R229" s="2415"/>
      <c r="S229" s="2415"/>
      <c r="T229" s="2415"/>
      <c r="U229" s="2415"/>
      <c r="V229" s="2415"/>
      <c r="W229" t="s">
        <v>2062</v>
      </c>
    </row>
    <row r="230" spans="1:23" ht="13.15" customHeight="1">
      <c r="A230" s="2" t="s">
        <v>2169</v>
      </c>
      <c r="B230" s="2">
        <f t="shared" si="6"/>
        <v>2020</v>
      </c>
      <c r="C230" s="2" t="str">
        <f t="shared" si="7"/>
        <v>LIM333</v>
      </c>
      <c r="D230" s="2417">
        <v>1310</v>
      </c>
      <c r="E230" s="5" t="s">
        <v>2146</v>
      </c>
      <c r="F230" s="2434" t="s">
        <v>2168</v>
      </c>
      <c r="G230" s="2415"/>
      <c r="H230" s="2415"/>
      <c r="I230" s="2415"/>
      <c r="J230" s="2415"/>
      <c r="K230" s="2415"/>
      <c r="L230" s="2415"/>
      <c r="M230" s="2415"/>
      <c r="N230" s="2415"/>
      <c r="O230" s="2415"/>
      <c r="P230" s="2415"/>
      <c r="Q230" s="2415"/>
      <c r="R230" s="2415"/>
      <c r="S230" s="2415"/>
      <c r="T230" s="2415"/>
      <c r="U230" s="2415"/>
      <c r="V230" s="2415"/>
      <c r="W230" t="s">
        <v>2062</v>
      </c>
    </row>
    <row r="231" spans="1:23" ht="13.15" customHeight="1">
      <c r="A231" s="2" t="s">
        <v>2181</v>
      </c>
      <c r="B231" s="2">
        <f t="shared" si="6"/>
        <v>2020</v>
      </c>
      <c r="C231" s="2" t="str">
        <f t="shared" si="7"/>
        <v>LIM333</v>
      </c>
      <c r="D231" s="2414">
        <v>1000</v>
      </c>
      <c r="E231" s="2">
        <v>1</v>
      </c>
      <c r="F231" s="2435" t="s">
        <v>2182</v>
      </c>
      <c r="G231" s="2433"/>
      <c r="H231" s="2433"/>
      <c r="I231" s="2433"/>
      <c r="J231" s="2433"/>
      <c r="K231" s="2433"/>
      <c r="L231" s="2433"/>
      <c r="M231" s="2433"/>
      <c r="N231" s="2"/>
      <c r="W231" t="s">
        <v>2062</v>
      </c>
    </row>
    <row r="232" spans="1:23" ht="13.15" customHeight="1">
      <c r="A232" s="2" t="s">
        <v>2181</v>
      </c>
      <c r="B232" s="2">
        <f t="shared" si="6"/>
        <v>2020</v>
      </c>
      <c r="C232" s="2" t="str">
        <f t="shared" si="7"/>
        <v>LIM333</v>
      </c>
      <c r="D232" s="2417">
        <v>1001</v>
      </c>
      <c r="E232" s="2">
        <v>2</v>
      </c>
      <c r="F232" s="2436" t="s">
        <v>1837</v>
      </c>
      <c r="G232" s="2433"/>
      <c r="H232" s="2433"/>
      <c r="I232" s="2433"/>
      <c r="J232" s="2433"/>
      <c r="K232" s="2433"/>
      <c r="L232" s="2433"/>
      <c r="M232" s="2433"/>
      <c r="N232" s="2"/>
      <c r="W232" t="s">
        <v>2062</v>
      </c>
    </row>
    <row r="233" spans="1:23" ht="13.15" customHeight="1">
      <c r="A233" s="2" t="s">
        <v>2181</v>
      </c>
      <c r="B233" s="2">
        <f t="shared" si="6"/>
        <v>2020</v>
      </c>
      <c r="C233" s="2" t="str">
        <f t="shared" si="7"/>
        <v>LIM333</v>
      </c>
      <c r="D233" s="2417">
        <v>1002</v>
      </c>
      <c r="E233" s="2">
        <v>3</v>
      </c>
      <c r="F233" s="2436" t="s">
        <v>1838</v>
      </c>
      <c r="G233" s="2433"/>
      <c r="H233" s="2433"/>
      <c r="I233" s="2433"/>
      <c r="J233" s="2433"/>
      <c r="K233" s="2433"/>
      <c r="L233" s="2433"/>
      <c r="M233" s="2433"/>
      <c r="N233" s="2"/>
      <c r="W233" t="s">
        <v>2062</v>
      </c>
    </row>
    <row r="234" spans="1:23" ht="13.15" customHeight="1">
      <c r="A234" s="2" t="s">
        <v>2181</v>
      </c>
      <c r="B234" s="2">
        <f t="shared" si="6"/>
        <v>2020</v>
      </c>
      <c r="C234" s="2" t="str">
        <f t="shared" si="7"/>
        <v>LIM333</v>
      </c>
      <c r="D234" s="2417">
        <v>1003</v>
      </c>
      <c r="E234" s="2">
        <v>4</v>
      </c>
      <c r="F234" s="2436" t="s">
        <v>1839</v>
      </c>
      <c r="G234" s="2433"/>
      <c r="H234" s="2433"/>
      <c r="I234" s="2433"/>
      <c r="J234" s="2433"/>
      <c r="K234" s="2433"/>
      <c r="L234" s="2433"/>
      <c r="M234" s="2433"/>
      <c r="N234" s="2"/>
      <c r="W234" t="s">
        <v>2062</v>
      </c>
    </row>
    <row r="235" spans="1:23" ht="13.15" customHeight="1">
      <c r="A235" s="2" t="s">
        <v>2181</v>
      </c>
      <c r="B235" s="2">
        <f t="shared" si="6"/>
        <v>2020</v>
      </c>
      <c r="C235" s="2" t="str">
        <f t="shared" si="7"/>
        <v>LIM333</v>
      </c>
      <c r="D235" s="2417">
        <v>1004</v>
      </c>
      <c r="E235" s="2">
        <v>5</v>
      </c>
      <c r="F235" s="2436" t="s">
        <v>1840</v>
      </c>
      <c r="G235" s="2433"/>
      <c r="H235" s="2433"/>
      <c r="I235" s="2433"/>
      <c r="J235" s="2433"/>
      <c r="K235" s="2433"/>
      <c r="L235" s="2433"/>
      <c r="M235" s="2433"/>
      <c r="N235" s="2"/>
      <c r="W235" t="s">
        <v>2062</v>
      </c>
    </row>
    <row r="236" spans="1:23" ht="13.15" customHeight="1">
      <c r="A236" s="2" t="s">
        <v>2181</v>
      </c>
      <c r="B236" s="2">
        <f t="shared" si="6"/>
        <v>2020</v>
      </c>
      <c r="C236" s="2" t="str">
        <f t="shared" si="7"/>
        <v>LIM333</v>
      </c>
      <c r="D236" s="2417">
        <v>1005</v>
      </c>
      <c r="E236" s="2">
        <v>6</v>
      </c>
      <c r="F236" s="2436" t="s">
        <v>1841</v>
      </c>
      <c r="G236" s="2433"/>
      <c r="H236" s="2433"/>
      <c r="I236" s="2433"/>
      <c r="J236" s="2433"/>
      <c r="K236" s="2433"/>
      <c r="L236" s="2433"/>
      <c r="M236" s="2433"/>
      <c r="N236" s="2"/>
      <c r="W236" t="s">
        <v>2062</v>
      </c>
    </row>
    <row r="237" spans="1:23" ht="13.15" customHeight="1">
      <c r="A237" s="2" t="s">
        <v>2181</v>
      </c>
      <c r="B237" s="2">
        <f t="shared" si="6"/>
        <v>2020</v>
      </c>
      <c r="C237" s="2" t="str">
        <f t="shared" si="7"/>
        <v>LIM333</v>
      </c>
      <c r="D237" s="2417">
        <v>1006</v>
      </c>
      <c r="E237" s="2">
        <v>7</v>
      </c>
      <c r="F237" s="2436" t="s">
        <v>1842</v>
      </c>
      <c r="G237" s="2433"/>
      <c r="H237" s="2433"/>
      <c r="I237" s="2433"/>
      <c r="J237" s="2433"/>
      <c r="K237" s="2433"/>
      <c r="L237" s="2433"/>
      <c r="M237" s="2433"/>
      <c r="N237" s="2"/>
      <c r="W237" t="s">
        <v>2062</v>
      </c>
    </row>
    <row r="238" spans="1:23" ht="13.15" customHeight="1">
      <c r="A238" s="2" t="s">
        <v>2181</v>
      </c>
      <c r="B238" s="2">
        <f t="shared" si="6"/>
        <v>2020</v>
      </c>
      <c r="C238" s="2" t="str">
        <f t="shared" si="7"/>
        <v>LIM333</v>
      </c>
      <c r="D238" s="2417">
        <v>1007</v>
      </c>
      <c r="E238" s="2">
        <v>8</v>
      </c>
      <c r="F238" s="2436" t="s">
        <v>1843</v>
      </c>
      <c r="G238" s="2433"/>
      <c r="H238" s="2433"/>
      <c r="I238" s="2433"/>
      <c r="J238" s="2433"/>
      <c r="K238" s="2433"/>
      <c r="L238" s="2433"/>
      <c r="M238" s="2433"/>
      <c r="N238" s="2"/>
      <c r="W238" t="s">
        <v>2062</v>
      </c>
    </row>
    <row r="239" spans="1:23" ht="13.15" customHeight="1">
      <c r="A239" s="2" t="s">
        <v>2181</v>
      </c>
      <c r="B239" s="2">
        <f t="shared" si="6"/>
        <v>2020</v>
      </c>
      <c r="C239" s="2" t="str">
        <f t="shared" si="7"/>
        <v>LIM333</v>
      </c>
      <c r="D239" s="2417">
        <v>1008</v>
      </c>
      <c r="E239" s="2">
        <v>9</v>
      </c>
      <c r="F239" s="2436" t="s">
        <v>1844</v>
      </c>
      <c r="G239" s="2433"/>
      <c r="H239" s="2433"/>
      <c r="I239" s="2433"/>
      <c r="J239" s="2433"/>
      <c r="K239" s="2433"/>
      <c r="L239" s="2433"/>
      <c r="M239" s="2433"/>
      <c r="N239" s="2"/>
      <c r="W239" t="s">
        <v>2062</v>
      </c>
    </row>
    <row r="240" spans="1:23" ht="13.15" customHeight="1">
      <c r="A240" s="2" t="s">
        <v>2181</v>
      </c>
      <c r="B240" s="2">
        <f t="shared" si="6"/>
        <v>2020</v>
      </c>
      <c r="C240" s="2" t="str">
        <f t="shared" si="7"/>
        <v>LIM333</v>
      </c>
      <c r="D240" s="2417">
        <v>1009</v>
      </c>
      <c r="E240" s="2">
        <v>10</v>
      </c>
      <c r="F240" s="2436" t="s">
        <v>1845</v>
      </c>
      <c r="G240" s="2433"/>
      <c r="H240" s="2433"/>
      <c r="I240" s="2433"/>
      <c r="J240" s="2433"/>
      <c r="K240" s="2433"/>
      <c r="L240" s="2433"/>
      <c r="M240" s="2433"/>
      <c r="N240" s="2"/>
      <c r="W240" t="s">
        <v>2062</v>
      </c>
    </row>
    <row r="241" spans="1:23" ht="13.15" customHeight="1">
      <c r="A241" s="2" t="s">
        <v>2181</v>
      </c>
      <c r="B241" s="2">
        <f t="shared" si="6"/>
        <v>2020</v>
      </c>
      <c r="C241" s="2" t="str">
        <f t="shared" si="7"/>
        <v>LIM333</v>
      </c>
      <c r="D241" s="2417">
        <v>1010</v>
      </c>
      <c r="E241" s="2">
        <v>11</v>
      </c>
      <c r="F241" s="2436" t="s">
        <v>1846</v>
      </c>
      <c r="G241" s="2433"/>
      <c r="H241" s="2433"/>
      <c r="I241" s="2433"/>
      <c r="J241" s="2433"/>
      <c r="K241" s="2433"/>
      <c r="L241" s="2433"/>
      <c r="M241" s="2433"/>
      <c r="N241" s="2"/>
      <c r="W241" t="s">
        <v>2062</v>
      </c>
    </row>
    <row r="242" spans="1:23" ht="13.15" customHeight="1">
      <c r="A242" s="2" t="s">
        <v>2181</v>
      </c>
      <c r="B242" s="2">
        <f t="shared" si="6"/>
        <v>2020</v>
      </c>
      <c r="C242" s="2" t="str">
        <f t="shared" si="7"/>
        <v>LIM333</v>
      </c>
      <c r="D242" s="2417">
        <v>1011</v>
      </c>
      <c r="E242" s="2">
        <v>12</v>
      </c>
      <c r="F242" s="2436" t="s">
        <v>1847</v>
      </c>
      <c r="G242" s="2433"/>
      <c r="H242" s="2433"/>
      <c r="I242" s="2433"/>
      <c r="J242" s="2433"/>
      <c r="K242" s="2433"/>
      <c r="L242" s="2433"/>
      <c r="M242" s="2433"/>
      <c r="N242" s="2"/>
      <c r="W242" t="s">
        <v>2062</v>
      </c>
    </row>
    <row r="243" spans="1:23" ht="13.15" customHeight="1">
      <c r="A243" s="2" t="s">
        <v>2181</v>
      </c>
      <c r="B243" s="2">
        <f t="shared" si="6"/>
        <v>2020</v>
      </c>
      <c r="C243" s="2" t="str">
        <f t="shared" si="7"/>
        <v>LIM333</v>
      </c>
      <c r="D243" s="2417">
        <v>1012</v>
      </c>
      <c r="E243" s="2425">
        <v>13</v>
      </c>
      <c r="F243" s="2436" t="s">
        <v>1848</v>
      </c>
      <c r="G243" s="2433"/>
      <c r="H243" s="2433"/>
      <c r="I243" s="2433"/>
      <c r="J243" s="2433"/>
      <c r="K243" s="2433"/>
      <c r="L243" s="2433"/>
      <c r="M243" s="2433"/>
      <c r="N243" s="2"/>
      <c r="W243" t="s">
        <v>2062</v>
      </c>
    </row>
    <row r="244" spans="1:23" ht="13.15" customHeight="1">
      <c r="A244" s="2" t="s">
        <v>2181</v>
      </c>
      <c r="B244" s="2">
        <f t="shared" si="6"/>
        <v>2020</v>
      </c>
      <c r="C244" s="2" t="str">
        <f t="shared" si="7"/>
        <v>LIM333</v>
      </c>
      <c r="D244" s="2417">
        <v>1013</v>
      </c>
      <c r="E244" s="2425">
        <v>14</v>
      </c>
      <c r="F244" s="2436" t="s">
        <v>1849</v>
      </c>
      <c r="G244" s="2433"/>
      <c r="H244" s="2433"/>
      <c r="I244" s="2433"/>
      <c r="J244" s="2433"/>
      <c r="K244" s="2433"/>
      <c r="L244" s="2433"/>
      <c r="M244" s="2433"/>
      <c r="N244" s="2"/>
      <c r="W244" t="s">
        <v>2062</v>
      </c>
    </row>
    <row r="245" spans="1:23" ht="13.15" customHeight="1">
      <c r="A245" s="2" t="s">
        <v>2181</v>
      </c>
      <c r="B245" s="2">
        <f t="shared" si="6"/>
        <v>2020</v>
      </c>
      <c r="C245" s="2" t="str">
        <f t="shared" si="7"/>
        <v>LIM333</v>
      </c>
      <c r="D245" s="2417">
        <v>1014</v>
      </c>
      <c r="E245" s="5">
        <v>15</v>
      </c>
      <c r="F245" s="2436" t="s">
        <v>1850</v>
      </c>
      <c r="G245" s="2433"/>
      <c r="H245" s="2433"/>
      <c r="I245" s="2433"/>
      <c r="J245" s="2433"/>
      <c r="K245" s="2433"/>
      <c r="L245" s="2433"/>
      <c r="M245" s="2433"/>
      <c r="N245" s="2"/>
      <c r="W245" t="s">
        <v>2062</v>
      </c>
    </row>
    <row r="246" spans="1:23" ht="13.15" customHeight="1">
      <c r="A246" s="2" t="s">
        <v>2181</v>
      </c>
      <c r="B246" s="2">
        <f t="shared" si="6"/>
        <v>2020</v>
      </c>
      <c r="C246" s="2" t="str">
        <f t="shared" si="7"/>
        <v>LIM333</v>
      </c>
      <c r="D246" s="2417">
        <v>1015</v>
      </c>
      <c r="E246" s="2">
        <v>16</v>
      </c>
      <c r="F246" s="2436" t="s">
        <v>1851</v>
      </c>
      <c r="G246" s="2433"/>
      <c r="H246" s="2433"/>
      <c r="I246" s="2433"/>
      <c r="J246" s="2433"/>
      <c r="K246" s="2433"/>
      <c r="L246" s="2433"/>
      <c r="M246" s="2433"/>
      <c r="N246" s="2"/>
      <c r="W246" t="s">
        <v>2062</v>
      </c>
    </row>
    <row r="247" spans="1:23" ht="13.15" customHeight="1">
      <c r="A247" s="2" t="s">
        <v>2181</v>
      </c>
      <c r="B247" s="2">
        <f t="shared" si="6"/>
        <v>2020</v>
      </c>
      <c r="C247" s="2" t="str">
        <f t="shared" si="7"/>
        <v>LIM333</v>
      </c>
      <c r="D247" s="2417">
        <v>1016</v>
      </c>
      <c r="E247" s="2">
        <v>17</v>
      </c>
      <c r="F247" s="2436" t="s">
        <v>1852</v>
      </c>
      <c r="G247" s="2433"/>
      <c r="H247" s="2433"/>
      <c r="I247" s="2433"/>
      <c r="J247" s="2433"/>
      <c r="K247" s="2433"/>
      <c r="L247" s="2433"/>
      <c r="M247" s="2433"/>
      <c r="N247" s="2"/>
      <c r="W247" t="s">
        <v>2062</v>
      </c>
    </row>
    <row r="248" spans="1:23" ht="13.15" customHeight="1">
      <c r="A248" s="2" t="s">
        <v>2181</v>
      </c>
      <c r="B248" s="2">
        <f t="shared" si="6"/>
        <v>2020</v>
      </c>
      <c r="C248" s="2" t="str">
        <f t="shared" si="7"/>
        <v>LIM333</v>
      </c>
      <c r="D248" s="2417">
        <v>1017</v>
      </c>
      <c r="E248" s="2">
        <v>18</v>
      </c>
      <c r="F248" s="2436" t="s">
        <v>1853</v>
      </c>
      <c r="G248" s="2433"/>
      <c r="H248" s="2433"/>
      <c r="I248" s="2433"/>
      <c r="J248" s="2433"/>
      <c r="K248" s="2433"/>
      <c r="L248" s="2433"/>
      <c r="M248" s="2433"/>
      <c r="N248" s="2"/>
      <c r="W248" t="s">
        <v>2062</v>
      </c>
    </row>
    <row r="249" spans="1:23" ht="13.15" customHeight="1">
      <c r="A249" s="2" t="s">
        <v>2181</v>
      </c>
      <c r="B249" s="2">
        <f t="shared" si="6"/>
        <v>2020</v>
      </c>
      <c r="C249" s="2" t="str">
        <f t="shared" si="7"/>
        <v>LIM333</v>
      </c>
      <c r="D249" s="2417">
        <v>1018</v>
      </c>
      <c r="E249" s="2">
        <v>19</v>
      </c>
      <c r="F249" s="2436" t="s">
        <v>353</v>
      </c>
      <c r="G249" s="2433"/>
      <c r="H249" s="2433"/>
      <c r="I249" s="2433"/>
      <c r="J249" s="2433"/>
      <c r="K249" s="2433"/>
      <c r="L249" s="2433"/>
      <c r="M249" s="2433"/>
      <c r="N249" s="2"/>
      <c r="W249" t="s">
        <v>2062</v>
      </c>
    </row>
    <row r="250" spans="1:23" ht="13.15" customHeight="1">
      <c r="A250" s="2" t="s">
        <v>2181</v>
      </c>
      <c r="B250" s="2">
        <f t="shared" si="6"/>
        <v>2020</v>
      </c>
      <c r="C250" s="2" t="str">
        <f t="shared" si="7"/>
        <v>LIM333</v>
      </c>
      <c r="D250" s="2417">
        <v>1019</v>
      </c>
      <c r="E250" s="2">
        <v>20</v>
      </c>
      <c r="F250" s="2436" t="s">
        <v>1854</v>
      </c>
      <c r="G250" s="2433"/>
      <c r="H250" s="2433"/>
      <c r="I250" s="2433"/>
      <c r="J250" s="2433"/>
      <c r="K250" s="2433"/>
      <c r="L250" s="2433"/>
      <c r="M250" s="2433"/>
      <c r="N250" s="2"/>
      <c r="W250" t="s">
        <v>2062</v>
      </c>
    </row>
    <row r="251" spans="1:23" ht="13.15" customHeight="1">
      <c r="A251" s="2" t="s">
        <v>2181</v>
      </c>
      <c r="B251" s="2">
        <f t="shared" si="6"/>
        <v>2020</v>
      </c>
      <c r="C251" s="2" t="str">
        <f t="shared" si="7"/>
        <v>LIM333</v>
      </c>
      <c r="D251" s="2417">
        <v>1020</v>
      </c>
      <c r="E251" s="2">
        <v>21</v>
      </c>
      <c r="F251" s="2436" t="s">
        <v>1855</v>
      </c>
      <c r="G251" s="2433"/>
      <c r="H251" s="2433"/>
      <c r="I251" s="2433"/>
      <c r="J251" s="2433"/>
      <c r="K251" s="2433"/>
      <c r="L251" s="2433"/>
      <c r="M251" s="2433"/>
      <c r="N251" s="2"/>
      <c r="W251" t="s">
        <v>2062</v>
      </c>
    </row>
    <row r="252" spans="1:23" ht="13.15" customHeight="1">
      <c r="A252" s="2" t="s">
        <v>2181</v>
      </c>
      <c r="B252" s="2">
        <f t="shared" si="6"/>
        <v>2020</v>
      </c>
      <c r="C252" s="2" t="str">
        <f t="shared" si="7"/>
        <v>LIM333</v>
      </c>
      <c r="D252" s="2417">
        <v>1021</v>
      </c>
      <c r="E252" s="2">
        <v>22</v>
      </c>
      <c r="F252" s="2436" t="s">
        <v>1856</v>
      </c>
      <c r="G252" s="2433"/>
      <c r="H252" s="2433"/>
      <c r="I252" s="2433"/>
      <c r="J252" s="2433"/>
      <c r="K252" s="2433"/>
      <c r="L252" s="2433"/>
      <c r="M252" s="2433"/>
      <c r="N252" s="2"/>
      <c r="W252" t="s">
        <v>2062</v>
      </c>
    </row>
    <row r="253" spans="1:23" ht="13.15" customHeight="1">
      <c r="A253" s="2" t="s">
        <v>2181</v>
      </c>
      <c r="B253" s="2">
        <f t="shared" si="6"/>
        <v>2020</v>
      </c>
      <c r="C253" s="2" t="str">
        <f t="shared" si="7"/>
        <v>LIM333</v>
      </c>
      <c r="D253" s="2417"/>
      <c r="E253" s="2"/>
      <c r="F253" s="2436"/>
      <c r="G253" s="2437"/>
      <c r="H253" s="2437"/>
      <c r="I253" s="2437"/>
      <c r="J253" s="2437"/>
      <c r="K253" s="2437"/>
      <c r="L253" s="2437"/>
      <c r="M253" s="2437"/>
      <c r="N253" s="2"/>
      <c r="W253" t="s">
        <v>2062</v>
      </c>
    </row>
    <row r="254" spans="1:23" ht="13.15" customHeight="1">
      <c r="A254" s="2" t="s">
        <v>2181</v>
      </c>
      <c r="B254" s="2">
        <f t="shared" si="6"/>
        <v>2020</v>
      </c>
      <c r="C254" s="2" t="str">
        <f t="shared" si="7"/>
        <v>LIM333</v>
      </c>
      <c r="D254" s="2417">
        <v>1030</v>
      </c>
      <c r="E254" s="2">
        <v>23</v>
      </c>
      <c r="F254" s="2435" t="s">
        <v>2183</v>
      </c>
      <c r="G254" s="2437"/>
      <c r="H254" s="2437"/>
      <c r="I254" s="2437"/>
      <c r="J254" s="2437"/>
      <c r="K254" s="2437"/>
      <c r="L254" s="2437"/>
      <c r="M254" s="2437"/>
      <c r="N254" s="2"/>
      <c r="W254" t="s">
        <v>2062</v>
      </c>
    </row>
    <row r="255" spans="1:23" ht="13.15" customHeight="1">
      <c r="A255" s="2" t="s">
        <v>2181</v>
      </c>
      <c r="B255" s="2">
        <f t="shared" si="6"/>
        <v>2020</v>
      </c>
      <c r="C255" s="2" t="str">
        <f t="shared" si="7"/>
        <v>LIM333</v>
      </c>
      <c r="D255" s="2438">
        <v>1031</v>
      </c>
      <c r="E255" s="2">
        <v>24</v>
      </c>
      <c r="F255" s="2439" t="s">
        <v>1837</v>
      </c>
      <c r="G255" s="2437"/>
      <c r="H255" s="2437"/>
      <c r="I255" s="2437"/>
      <c r="J255" s="2437"/>
      <c r="K255" s="2437"/>
      <c r="L255" s="2437"/>
      <c r="M255" s="2437"/>
      <c r="N255" s="2"/>
      <c r="W255" t="s">
        <v>2062</v>
      </c>
    </row>
    <row r="256" spans="1:23" ht="13.15" customHeight="1">
      <c r="A256" s="2" t="s">
        <v>2181</v>
      </c>
      <c r="B256" s="2">
        <f t="shared" si="6"/>
        <v>2020</v>
      </c>
      <c r="C256" s="2" t="str">
        <f t="shared" si="7"/>
        <v>LIM333</v>
      </c>
      <c r="D256" s="2438">
        <v>1032</v>
      </c>
      <c r="E256" s="2">
        <v>25</v>
      </c>
      <c r="F256" s="2436" t="s">
        <v>1892</v>
      </c>
      <c r="G256" s="2437"/>
      <c r="H256" s="2437"/>
      <c r="I256" s="2437"/>
      <c r="J256" s="2437"/>
      <c r="K256" s="2437"/>
      <c r="L256" s="2437"/>
      <c r="M256" s="2437"/>
      <c r="N256" s="2"/>
      <c r="W256" t="s">
        <v>2062</v>
      </c>
    </row>
    <row r="257" spans="1:23" ht="13.15" customHeight="1">
      <c r="A257" s="2" t="s">
        <v>2181</v>
      </c>
      <c r="B257" s="2">
        <f t="shared" si="6"/>
        <v>2020</v>
      </c>
      <c r="C257" s="2" t="str">
        <f t="shared" si="7"/>
        <v>LIM333</v>
      </c>
      <c r="D257" s="2438">
        <v>1033</v>
      </c>
      <c r="E257" s="2">
        <v>26</v>
      </c>
      <c r="F257" s="2440" t="s">
        <v>1858</v>
      </c>
      <c r="G257" s="2437"/>
      <c r="H257" s="2437"/>
      <c r="I257" s="2437"/>
      <c r="J257" s="2437"/>
      <c r="K257" s="2437"/>
      <c r="L257" s="2437"/>
      <c r="M257" s="2437"/>
      <c r="N257" s="2"/>
      <c r="W257" t="s">
        <v>2062</v>
      </c>
    </row>
    <row r="258" spans="1:23" ht="13.15" customHeight="1">
      <c r="A258" s="2" t="s">
        <v>2181</v>
      </c>
      <c r="B258" s="2">
        <f t="shared" ref="B258:B321" si="8">+MTREF</f>
        <v>2020</v>
      </c>
      <c r="C258" s="2" t="str">
        <f t="shared" ref="C258:C321" si="9">LEFT(muni,(FIND(" ",muni,1)-1))</f>
        <v>LIM333</v>
      </c>
      <c r="D258" s="2441">
        <v>1034</v>
      </c>
      <c r="E258" s="2">
        <v>27</v>
      </c>
      <c r="F258" s="2442" t="s">
        <v>1859</v>
      </c>
      <c r="G258" s="2437"/>
      <c r="H258" s="2437"/>
      <c r="I258" s="2437"/>
      <c r="J258" s="2437"/>
      <c r="K258" s="2437"/>
      <c r="L258" s="2437"/>
      <c r="M258" s="2437"/>
      <c r="N258" s="2"/>
      <c r="W258" t="s">
        <v>2062</v>
      </c>
    </row>
    <row r="259" spans="1:23" ht="13.15" customHeight="1">
      <c r="A259" s="2" t="s">
        <v>2181</v>
      </c>
      <c r="B259" s="2">
        <f t="shared" si="8"/>
        <v>2020</v>
      </c>
      <c r="C259" s="2" t="str">
        <f t="shared" si="9"/>
        <v>LIM333</v>
      </c>
      <c r="D259" s="2441">
        <v>1035</v>
      </c>
      <c r="E259" s="2">
        <v>28</v>
      </c>
      <c r="F259" s="2442" t="s">
        <v>1860</v>
      </c>
      <c r="G259" s="2437"/>
      <c r="H259" s="2437"/>
      <c r="I259" s="2437"/>
      <c r="J259" s="2437"/>
      <c r="K259" s="2437"/>
      <c r="L259" s="2437"/>
      <c r="M259" s="2437"/>
      <c r="N259" s="2"/>
      <c r="W259" t="s">
        <v>2062</v>
      </c>
    </row>
    <row r="260" spans="1:23" ht="13.15" customHeight="1">
      <c r="A260" s="2" t="s">
        <v>2181</v>
      </c>
      <c r="B260" s="2">
        <f t="shared" si="8"/>
        <v>2020</v>
      </c>
      <c r="C260" s="2" t="str">
        <f t="shared" si="9"/>
        <v>LIM333</v>
      </c>
      <c r="D260" s="2441">
        <v>1036</v>
      </c>
      <c r="E260" s="2">
        <v>29</v>
      </c>
      <c r="F260" s="2442" t="s">
        <v>1861</v>
      </c>
      <c r="G260" s="2437"/>
      <c r="H260" s="2437"/>
      <c r="I260" s="2437"/>
      <c r="J260" s="2437"/>
      <c r="K260" s="2437"/>
      <c r="L260" s="2437"/>
      <c r="M260" s="2437"/>
      <c r="N260" s="2"/>
      <c r="W260" t="s">
        <v>2062</v>
      </c>
    </row>
    <row r="261" spans="1:23" ht="13.15" customHeight="1">
      <c r="A261" s="2" t="s">
        <v>2181</v>
      </c>
      <c r="B261" s="2">
        <f t="shared" si="8"/>
        <v>2020</v>
      </c>
      <c r="C261" s="2" t="str">
        <f t="shared" si="9"/>
        <v>LIM333</v>
      </c>
      <c r="D261" s="2441">
        <v>1037</v>
      </c>
      <c r="E261" s="2">
        <v>30</v>
      </c>
      <c r="F261" s="2442" t="s">
        <v>1862</v>
      </c>
      <c r="G261" s="2437"/>
      <c r="H261" s="2437"/>
      <c r="I261" s="2437"/>
      <c r="J261" s="2437"/>
      <c r="K261" s="2437"/>
      <c r="L261" s="2437"/>
      <c r="M261" s="2437"/>
      <c r="N261" s="2"/>
      <c r="W261" t="s">
        <v>2062</v>
      </c>
    </row>
    <row r="262" spans="1:23" ht="13.15" customHeight="1">
      <c r="A262" s="2" t="s">
        <v>2181</v>
      </c>
      <c r="B262" s="2">
        <f t="shared" si="8"/>
        <v>2020</v>
      </c>
      <c r="C262" s="2" t="str">
        <f t="shared" si="9"/>
        <v>LIM333</v>
      </c>
      <c r="D262" s="2441">
        <v>1038</v>
      </c>
      <c r="E262" s="2">
        <v>31</v>
      </c>
      <c r="F262" s="2443" t="s">
        <v>1997</v>
      </c>
      <c r="G262" s="2437"/>
      <c r="H262" s="2437"/>
      <c r="I262" s="2437"/>
      <c r="J262" s="2437"/>
      <c r="K262" s="2437"/>
      <c r="L262" s="2437"/>
      <c r="M262" s="2437"/>
      <c r="N262" s="2"/>
      <c r="W262" t="s">
        <v>2062</v>
      </c>
    </row>
    <row r="263" spans="1:23" ht="13.15" customHeight="1">
      <c r="A263" s="2" t="s">
        <v>2181</v>
      </c>
      <c r="B263" s="2">
        <f t="shared" si="8"/>
        <v>2020</v>
      </c>
      <c r="C263" s="2" t="str">
        <f t="shared" si="9"/>
        <v>LIM333</v>
      </c>
      <c r="D263" s="2417"/>
      <c r="E263" s="2"/>
      <c r="F263" s="2444"/>
      <c r="G263" s="2437"/>
      <c r="H263" s="2437"/>
      <c r="I263" s="2437"/>
      <c r="J263" s="2437"/>
      <c r="K263" s="2437"/>
      <c r="L263" s="2437"/>
      <c r="M263" s="2437"/>
      <c r="N263" s="2"/>
      <c r="W263" t="s">
        <v>2062</v>
      </c>
    </row>
    <row r="264" spans="1:23" ht="13.15" customHeight="1">
      <c r="A264" s="2" t="s">
        <v>2181</v>
      </c>
      <c r="B264" s="2">
        <f t="shared" si="8"/>
        <v>2020</v>
      </c>
      <c r="C264" s="2" t="str">
        <f t="shared" si="9"/>
        <v>LIM333</v>
      </c>
      <c r="D264" s="2417">
        <v>1100</v>
      </c>
      <c r="E264" s="2">
        <v>32</v>
      </c>
      <c r="F264" s="2435" t="s">
        <v>1863</v>
      </c>
      <c r="G264" s="2437"/>
      <c r="H264" s="2437"/>
      <c r="I264" s="2437"/>
      <c r="J264" s="2437"/>
      <c r="K264" s="2437"/>
      <c r="L264" s="2437"/>
      <c r="M264" s="2437"/>
      <c r="N264" s="2"/>
      <c r="W264" t="s">
        <v>2062</v>
      </c>
    </row>
    <row r="265" spans="1:23" ht="13.15" customHeight="1">
      <c r="A265" s="2" t="s">
        <v>2181</v>
      </c>
      <c r="B265" s="2">
        <f t="shared" si="8"/>
        <v>2020</v>
      </c>
      <c r="C265" s="2" t="str">
        <f t="shared" si="9"/>
        <v>LIM333</v>
      </c>
      <c r="D265" s="2417">
        <v>1101</v>
      </c>
      <c r="E265" s="2">
        <v>33</v>
      </c>
      <c r="F265" s="2439" t="s">
        <v>1864</v>
      </c>
      <c r="G265" s="2437"/>
      <c r="H265" s="2437"/>
      <c r="I265" s="2437"/>
      <c r="J265" s="2437"/>
      <c r="K265" s="2437"/>
      <c r="L265" s="2437"/>
      <c r="M265" s="2437"/>
      <c r="N265" s="2"/>
      <c r="W265" t="s">
        <v>2062</v>
      </c>
    </row>
    <row r="266" spans="1:23" ht="13.15" customHeight="1">
      <c r="A266" s="2" t="s">
        <v>2181</v>
      </c>
      <c r="B266" s="2">
        <f t="shared" si="8"/>
        <v>2020</v>
      </c>
      <c r="C266" s="2" t="str">
        <f t="shared" si="9"/>
        <v>LIM333</v>
      </c>
      <c r="D266" s="2417">
        <v>1102</v>
      </c>
      <c r="E266" s="2">
        <v>34</v>
      </c>
      <c r="F266" s="2436" t="s">
        <v>2184</v>
      </c>
      <c r="G266" s="2437"/>
      <c r="H266" s="2437"/>
      <c r="I266" s="2437"/>
      <c r="J266" s="2437"/>
      <c r="K266" s="2437"/>
      <c r="L266" s="2437"/>
      <c r="M266" s="2437"/>
      <c r="N266" s="2"/>
      <c r="W266" t="s">
        <v>2062</v>
      </c>
    </row>
    <row r="267" spans="1:23" ht="13.15" customHeight="1">
      <c r="A267" s="2" t="s">
        <v>2181</v>
      </c>
      <c r="B267" s="2">
        <f t="shared" si="8"/>
        <v>2020</v>
      </c>
      <c r="C267" s="2" t="str">
        <f t="shared" si="9"/>
        <v>LIM333</v>
      </c>
      <c r="D267" s="2417">
        <v>1103</v>
      </c>
      <c r="E267" s="2">
        <v>35</v>
      </c>
      <c r="F267" s="2436" t="s">
        <v>2185</v>
      </c>
      <c r="G267" s="2437"/>
      <c r="H267" s="2437"/>
      <c r="I267" s="2437"/>
      <c r="J267" s="2437"/>
      <c r="K267" s="2437"/>
      <c r="L267" s="2437"/>
      <c r="M267" s="2437"/>
      <c r="N267" s="2"/>
      <c r="W267" t="s">
        <v>2062</v>
      </c>
    </row>
    <row r="268" spans="1:23" ht="13.15" customHeight="1">
      <c r="A268" s="2" t="s">
        <v>2181</v>
      </c>
      <c r="B268" s="2">
        <f t="shared" si="8"/>
        <v>2020</v>
      </c>
      <c r="C268" s="2" t="str">
        <f t="shared" si="9"/>
        <v>LIM333</v>
      </c>
      <c r="D268" s="2417">
        <v>1104</v>
      </c>
      <c r="E268" s="2">
        <v>36</v>
      </c>
      <c r="F268" s="2436" t="s">
        <v>2186</v>
      </c>
      <c r="G268" s="2437"/>
      <c r="H268" s="2437"/>
      <c r="I268" s="2437"/>
      <c r="J268" s="2437"/>
      <c r="K268" s="2437"/>
      <c r="L268" s="2437"/>
      <c r="M268" s="2437"/>
      <c r="N268" s="2"/>
      <c r="W268" t="s">
        <v>2062</v>
      </c>
    </row>
    <row r="269" spans="1:23" ht="13.15" customHeight="1">
      <c r="A269" s="2" t="s">
        <v>2181</v>
      </c>
      <c r="B269" s="2">
        <f t="shared" si="8"/>
        <v>2020</v>
      </c>
      <c r="C269" s="2" t="str">
        <f t="shared" si="9"/>
        <v>LIM333</v>
      </c>
      <c r="D269" s="2417">
        <v>1105</v>
      </c>
      <c r="E269" s="2">
        <v>37</v>
      </c>
      <c r="F269" s="2442" t="s">
        <v>1868</v>
      </c>
      <c r="G269" s="2437"/>
      <c r="H269" s="2437"/>
      <c r="I269" s="2437"/>
      <c r="J269" s="2437"/>
      <c r="K269" s="2437"/>
      <c r="L269" s="2437"/>
      <c r="M269" s="2437"/>
      <c r="N269" s="2"/>
      <c r="W269" t="s">
        <v>2062</v>
      </c>
    </row>
    <row r="270" spans="1:23" ht="13.15" customHeight="1">
      <c r="A270" s="2" t="s">
        <v>2181</v>
      </c>
      <c r="B270" s="2">
        <f t="shared" si="8"/>
        <v>2020</v>
      </c>
      <c r="C270" s="2" t="str">
        <f t="shared" si="9"/>
        <v>LIM333</v>
      </c>
      <c r="D270" s="2417">
        <v>1106</v>
      </c>
      <c r="E270" s="2">
        <v>38</v>
      </c>
      <c r="F270" s="2442" t="s">
        <v>1870</v>
      </c>
      <c r="G270" s="2437"/>
      <c r="H270" s="2437"/>
      <c r="I270" s="2437"/>
      <c r="J270" s="2437"/>
      <c r="K270" s="2437"/>
      <c r="L270" s="2437"/>
      <c r="M270" s="2437"/>
      <c r="N270" s="2"/>
      <c r="W270" t="s">
        <v>2062</v>
      </c>
    </row>
    <row r="271" spans="1:23" ht="13.15" customHeight="1">
      <c r="A271" s="2" t="s">
        <v>2181</v>
      </c>
      <c r="B271" s="2">
        <f t="shared" si="8"/>
        <v>2020</v>
      </c>
      <c r="C271" s="2" t="str">
        <f t="shared" si="9"/>
        <v>LIM333</v>
      </c>
      <c r="D271" s="2417">
        <v>1107</v>
      </c>
      <c r="E271" s="2">
        <v>39</v>
      </c>
      <c r="F271" s="2442" t="s">
        <v>1872</v>
      </c>
      <c r="G271" s="2437"/>
      <c r="H271" s="2437"/>
      <c r="I271" s="2437"/>
      <c r="J271" s="2437"/>
      <c r="K271" s="2437"/>
      <c r="L271" s="2437"/>
      <c r="M271" s="2437"/>
      <c r="N271" s="2"/>
      <c r="W271" t="s">
        <v>2062</v>
      </c>
    </row>
    <row r="272" spans="1:23" ht="13.15" customHeight="1">
      <c r="A272" s="2" t="s">
        <v>2181</v>
      </c>
      <c r="B272" s="2">
        <f t="shared" si="8"/>
        <v>2020</v>
      </c>
      <c r="C272" s="2" t="str">
        <f t="shared" si="9"/>
        <v>LIM333</v>
      </c>
      <c r="D272" s="2417">
        <v>1108</v>
      </c>
      <c r="E272" s="2">
        <v>40</v>
      </c>
      <c r="F272" s="2442" t="s">
        <v>1873</v>
      </c>
      <c r="G272" s="2437"/>
      <c r="H272" s="2437"/>
      <c r="I272" s="2437"/>
      <c r="J272" s="2437"/>
      <c r="K272" s="2437"/>
      <c r="L272" s="2437"/>
      <c r="M272" s="2437"/>
      <c r="N272" s="2"/>
      <c r="W272" t="s">
        <v>2062</v>
      </c>
    </row>
    <row r="273" spans="1:23" ht="13.15" customHeight="1">
      <c r="A273" s="2" t="s">
        <v>2181</v>
      </c>
      <c r="B273" s="2">
        <f t="shared" si="8"/>
        <v>2020</v>
      </c>
      <c r="C273" s="2" t="str">
        <f t="shared" si="9"/>
        <v>LIM333</v>
      </c>
      <c r="D273" s="2417">
        <v>1109</v>
      </c>
      <c r="E273" s="2425">
        <v>41</v>
      </c>
      <c r="F273" s="2442" t="s">
        <v>1874</v>
      </c>
      <c r="G273" s="2437"/>
      <c r="H273" s="2437"/>
      <c r="I273" s="2437"/>
      <c r="J273" s="2437"/>
      <c r="K273" s="2437"/>
      <c r="L273" s="2437"/>
      <c r="M273" s="2437"/>
      <c r="N273" s="2"/>
      <c r="W273" t="s">
        <v>2062</v>
      </c>
    </row>
    <row r="274" spans="1:23" ht="13.15" customHeight="1">
      <c r="A274" s="2" t="s">
        <v>2181</v>
      </c>
      <c r="B274" s="2">
        <f t="shared" si="8"/>
        <v>2020</v>
      </c>
      <c r="C274" s="2" t="str">
        <f t="shared" si="9"/>
        <v>LIM333</v>
      </c>
      <c r="D274" s="2417">
        <v>1110</v>
      </c>
      <c r="E274" s="2425">
        <v>42</v>
      </c>
      <c r="F274" s="2443" t="s">
        <v>245</v>
      </c>
      <c r="G274" s="2437"/>
      <c r="H274" s="2437"/>
      <c r="I274" s="2437"/>
      <c r="J274" s="2437"/>
      <c r="K274" s="2437"/>
      <c r="L274" s="2437"/>
      <c r="M274" s="2437"/>
      <c r="N274" s="2"/>
      <c r="W274" t="s">
        <v>2062</v>
      </c>
    </row>
    <row r="275" spans="1:23" ht="13.15" customHeight="1">
      <c r="A275" s="2" t="s">
        <v>2181</v>
      </c>
      <c r="B275" s="2">
        <f t="shared" si="8"/>
        <v>2020</v>
      </c>
      <c r="C275" s="2" t="str">
        <f t="shared" si="9"/>
        <v>LIM333</v>
      </c>
      <c r="D275" s="2417"/>
      <c r="E275" s="2"/>
      <c r="F275" s="1293"/>
      <c r="G275" s="2437"/>
      <c r="H275" s="2437"/>
      <c r="I275" s="2437"/>
      <c r="J275" s="2437"/>
      <c r="K275" s="2437"/>
      <c r="L275" s="2437"/>
      <c r="M275" s="2437"/>
      <c r="N275" s="2"/>
      <c r="W275" t="s">
        <v>2062</v>
      </c>
    </row>
    <row r="276" spans="1:23" ht="13.15" customHeight="1">
      <c r="A276" s="2" t="s">
        <v>2181</v>
      </c>
      <c r="B276" s="2">
        <f t="shared" si="8"/>
        <v>2020</v>
      </c>
      <c r="C276" s="2" t="str">
        <f t="shared" si="9"/>
        <v>LIM333</v>
      </c>
      <c r="D276" s="2417">
        <v>1200</v>
      </c>
      <c r="E276" s="2">
        <v>43</v>
      </c>
      <c r="F276" s="2435" t="s">
        <v>1875</v>
      </c>
      <c r="G276" s="2437"/>
      <c r="H276" s="2437"/>
      <c r="I276" s="2437"/>
      <c r="J276" s="2437"/>
      <c r="K276" s="2437"/>
      <c r="L276" s="2437"/>
      <c r="M276" s="2437"/>
      <c r="N276" s="2"/>
      <c r="W276" t="s">
        <v>2062</v>
      </c>
    </row>
    <row r="277" spans="1:23" ht="13.15" customHeight="1">
      <c r="A277" s="2" t="s">
        <v>2181</v>
      </c>
      <c r="B277" s="2">
        <f t="shared" si="8"/>
        <v>2020</v>
      </c>
      <c r="C277" s="2" t="str">
        <f t="shared" si="9"/>
        <v>LIM333</v>
      </c>
      <c r="D277" s="2417">
        <v>1201</v>
      </c>
      <c r="E277" s="2">
        <v>44</v>
      </c>
      <c r="F277" s="2439" t="s">
        <v>1864</v>
      </c>
      <c r="G277" s="2437"/>
      <c r="H277" s="2437"/>
      <c r="I277" s="2437"/>
      <c r="J277" s="2437"/>
      <c r="K277" s="2437"/>
      <c r="L277" s="2437"/>
      <c r="M277" s="2437"/>
      <c r="N277" s="2"/>
      <c r="W277" t="s">
        <v>2062</v>
      </c>
    </row>
    <row r="278" spans="1:23" ht="13.15" customHeight="1">
      <c r="A278" s="2" t="s">
        <v>2181</v>
      </c>
      <c r="B278" s="2">
        <f t="shared" si="8"/>
        <v>2020</v>
      </c>
      <c r="C278" s="2" t="str">
        <f t="shared" si="9"/>
        <v>LIM333</v>
      </c>
      <c r="D278" s="2417">
        <v>1202</v>
      </c>
      <c r="E278" s="2">
        <v>45</v>
      </c>
      <c r="F278" s="2436" t="s">
        <v>2184</v>
      </c>
      <c r="G278" s="2437"/>
      <c r="H278" s="2437"/>
      <c r="I278" s="2437"/>
      <c r="J278" s="2437"/>
      <c r="K278" s="2437"/>
      <c r="L278" s="2437"/>
      <c r="M278" s="2437"/>
      <c r="N278" s="2"/>
      <c r="W278" t="s">
        <v>2062</v>
      </c>
    </row>
    <row r="279" spans="1:23" ht="13.15" customHeight="1">
      <c r="A279" s="2" t="s">
        <v>2181</v>
      </c>
      <c r="B279" s="2">
        <f t="shared" si="8"/>
        <v>2020</v>
      </c>
      <c r="C279" s="2" t="str">
        <f t="shared" si="9"/>
        <v>LIM333</v>
      </c>
      <c r="D279" s="2417">
        <v>1203</v>
      </c>
      <c r="E279" s="2">
        <v>46</v>
      </c>
      <c r="F279" s="2436" t="s">
        <v>2185</v>
      </c>
      <c r="G279" s="2437"/>
      <c r="H279" s="2437"/>
      <c r="I279" s="2437"/>
      <c r="J279" s="2437"/>
      <c r="K279" s="2437"/>
      <c r="L279" s="2437"/>
      <c r="M279" s="2437"/>
      <c r="N279" s="2"/>
      <c r="W279" t="s">
        <v>2062</v>
      </c>
    </row>
    <row r="280" spans="1:23" ht="13.15" customHeight="1">
      <c r="A280" s="2" t="s">
        <v>2181</v>
      </c>
      <c r="B280" s="2">
        <f t="shared" si="8"/>
        <v>2020</v>
      </c>
      <c r="C280" s="2" t="str">
        <f t="shared" si="9"/>
        <v>LIM333</v>
      </c>
      <c r="D280" s="2417">
        <v>1204</v>
      </c>
      <c r="E280" s="2">
        <v>47</v>
      </c>
      <c r="F280" s="2436" t="s">
        <v>2187</v>
      </c>
      <c r="G280" s="2437"/>
      <c r="H280" s="2437"/>
      <c r="I280" s="2437"/>
      <c r="J280" s="2437"/>
      <c r="K280" s="2437"/>
      <c r="L280" s="2437"/>
      <c r="M280" s="2437"/>
      <c r="N280" s="2"/>
      <c r="W280" t="s">
        <v>2062</v>
      </c>
    </row>
    <row r="281" spans="1:23" ht="13.15" customHeight="1">
      <c r="A281" s="2" t="s">
        <v>2181</v>
      </c>
      <c r="B281" s="2">
        <f t="shared" si="8"/>
        <v>2020</v>
      </c>
      <c r="C281" s="2" t="str">
        <f t="shared" si="9"/>
        <v>LIM333</v>
      </c>
      <c r="D281" s="2417">
        <v>1205</v>
      </c>
      <c r="E281" s="2">
        <v>48</v>
      </c>
      <c r="F281" s="2436" t="s">
        <v>1877</v>
      </c>
      <c r="G281" s="2437"/>
      <c r="H281" s="2437"/>
      <c r="I281" s="2437"/>
      <c r="J281" s="2437"/>
      <c r="K281" s="2437"/>
      <c r="L281" s="2437"/>
      <c r="M281" s="2437"/>
      <c r="N281" s="2"/>
      <c r="W281" t="s">
        <v>2062</v>
      </c>
    </row>
    <row r="282" spans="1:23" ht="13.15" customHeight="1">
      <c r="A282" s="2" t="s">
        <v>2181</v>
      </c>
      <c r="B282" s="2">
        <f t="shared" si="8"/>
        <v>2020</v>
      </c>
      <c r="C282" s="2" t="str">
        <f t="shared" si="9"/>
        <v>LIM333</v>
      </c>
      <c r="D282" s="2417">
        <v>1206</v>
      </c>
      <c r="E282" s="2">
        <v>49</v>
      </c>
      <c r="F282" s="2436" t="s">
        <v>1879</v>
      </c>
      <c r="G282" s="2437"/>
      <c r="H282" s="2437"/>
      <c r="I282" s="2437"/>
      <c r="J282" s="2437"/>
      <c r="K282" s="2437"/>
      <c r="L282" s="2437"/>
      <c r="M282" s="2437"/>
      <c r="N282" s="2"/>
      <c r="W282" t="s">
        <v>2062</v>
      </c>
    </row>
    <row r="283" spans="1:23" ht="13.15" customHeight="1">
      <c r="A283" s="2" t="s">
        <v>2181</v>
      </c>
      <c r="B283" s="2">
        <f t="shared" si="8"/>
        <v>2020</v>
      </c>
      <c r="C283" s="2" t="str">
        <f t="shared" si="9"/>
        <v>LIM333</v>
      </c>
      <c r="D283" s="2417">
        <v>1207</v>
      </c>
      <c r="E283" s="2">
        <v>50</v>
      </c>
      <c r="F283" s="2436" t="s">
        <v>1880</v>
      </c>
      <c r="G283" s="2437"/>
      <c r="H283" s="2437"/>
      <c r="I283" s="2437"/>
      <c r="J283" s="2437"/>
      <c r="K283" s="2437"/>
      <c r="L283" s="2437"/>
      <c r="M283" s="2437"/>
      <c r="N283" s="2"/>
      <c r="W283" t="s">
        <v>2062</v>
      </c>
    </row>
    <row r="284" spans="1:23" ht="13.15" customHeight="1">
      <c r="A284" s="2" t="s">
        <v>2181</v>
      </c>
      <c r="B284" s="2">
        <f t="shared" si="8"/>
        <v>2020</v>
      </c>
      <c r="C284" s="2" t="str">
        <f t="shared" si="9"/>
        <v>LIM333</v>
      </c>
      <c r="D284" s="2417">
        <v>1208</v>
      </c>
      <c r="E284" s="2">
        <v>51</v>
      </c>
      <c r="F284" s="2436" t="s">
        <v>1881</v>
      </c>
      <c r="G284" s="2437"/>
      <c r="H284" s="2437"/>
      <c r="I284" s="2437"/>
      <c r="J284" s="2437"/>
      <c r="K284" s="2437"/>
      <c r="L284" s="2437"/>
      <c r="M284" s="2437"/>
      <c r="N284" s="2"/>
      <c r="W284" t="s">
        <v>2062</v>
      </c>
    </row>
    <row r="285" spans="1:23" ht="13.15" customHeight="1">
      <c r="A285" s="2" t="s">
        <v>2181</v>
      </c>
      <c r="B285" s="2">
        <f t="shared" si="8"/>
        <v>2020</v>
      </c>
      <c r="C285" s="2" t="str">
        <f t="shared" si="9"/>
        <v>LIM333</v>
      </c>
      <c r="D285" s="2417">
        <v>1209</v>
      </c>
      <c r="E285" s="2">
        <v>52</v>
      </c>
      <c r="F285" s="2443" t="s">
        <v>245</v>
      </c>
      <c r="G285" s="2437"/>
      <c r="H285" s="2437"/>
      <c r="I285" s="2437"/>
      <c r="J285" s="2437"/>
      <c r="K285" s="2437"/>
      <c r="L285" s="2437"/>
      <c r="M285" s="2437"/>
      <c r="N285" s="2"/>
      <c r="W285" t="s">
        <v>2062</v>
      </c>
    </row>
    <row r="286" spans="1:23" ht="13.15" customHeight="1">
      <c r="A286" s="2" t="s">
        <v>2181</v>
      </c>
      <c r="B286" s="2">
        <f t="shared" si="8"/>
        <v>2020</v>
      </c>
      <c r="C286" s="2" t="str">
        <f t="shared" si="9"/>
        <v>LIM333</v>
      </c>
      <c r="D286" s="2417"/>
      <c r="E286" s="2"/>
      <c r="F286" s="2445"/>
      <c r="G286" s="2437"/>
      <c r="H286" s="2437"/>
      <c r="I286" s="2437"/>
      <c r="J286" s="2437"/>
      <c r="K286" s="2437"/>
      <c r="L286" s="2437"/>
      <c r="M286" s="2437"/>
      <c r="N286" s="2"/>
      <c r="W286" t="s">
        <v>2062</v>
      </c>
    </row>
    <row r="287" spans="1:23" ht="13.15" customHeight="1">
      <c r="A287" s="2" t="s">
        <v>2181</v>
      </c>
      <c r="B287" s="2">
        <f t="shared" si="8"/>
        <v>2020</v>
      </c>
      <c r="C287" s="2" t="str">
        <f t="shared" si="9"/>
        <v>LIM333</v>
      </c>
      <c r="D287" s="2417">
        <v>1300</v>
      </c>
      <c r="E287" s="2">
        <v>53</v>
      </c>
      <c r="F287" s="2435" t="s">
        <v>1882</v>
      </c>
      <c r="G287" s="2437"/>
      <c r="H287" s="2437"/>
      <c r="I287" s="2437"/>
      <c r="J287" s="2437"/>
      <c r="K287" s="2437"/>
      <c r="L287" s="2437"/>
      <c r="M287" s="2437"/>
      <c r="N287" s="2"/>
      <c r="W287" t="s">
        <v>2062</v>
      </c>
    </row>
    <row r="288" spans="1:23" ht="13.15" customHeight="1">
      <c r="A288" s="2" t="s">
        <v>2181</v>
      </c>
      <c r="B288" s="2">
        <f t="shared" si="8"/>
        <v>2020</v>
      </c>
      <c r="C288" s="2" t="str">
        <f t="shared" si="9"/>
        <v>LIM333</v>
      </c>
      <c r="D288" s="2417">
        <v>1301</v>
      </c>
      <c r="E288" s="2">
        <v>54</v>
      </c>
      <c r="F288" s="2439" t="s">
        <v>1864</v>
      </c>
      <c r="G288" s="2437"/>
      <c r="H288" s="2437"/>
      <c r="I288" s="2437"/>
      <c r="J288" s="2437"/>
      <c r="K288" s="2437"/>
      <c r="L288" s="2437"/>
      <c r="M288" s="2437"/>
      <c r="N288" s="2"/>
      <c r="W288" t="s">
        <v>2062</v>
      </c>
    </row>
    <row r="289" spans="1:23" ht="13.15" customHeight="1">
      <c r="A289" s="2" t="s">
        <v>2181</v>
      </c>
      <c r="B289" s="2">
        <f t="shared" si="8"/>
        <v>2020</v>
      </c>
      <c r="C289" s="2" t="str">
        <f t="shared" si="9"/>
        <v>LIM333</v>
      </c>
      <c r="D289" s="2417">
        <v>1302</v>
      </c>
      <c r="E289" s="2">
        <v>55</v>
      </c>
      <c r="F289" s="2436" t="s">
        <v>2184</v>
      </c>
      <c r="G289" s="2437"/>
      <c r="H289" s="2437"/>
      <c r="I289" s="2437"/>
      <c r="J289" s="2437"/>
      <c r="K289" s="2437"/>
      <c r="L289" s="2437"/>
      <c r="M289" s="2437"/>
      <c r="N289" s="2"/>
      <c r="W289" t="s">
        <v>2062</v>
      </c>
    </row>
    <row r="290" spans="1:23" ht="13.15" customHeight="1">
      <c r="A290" s="2" t="s">
        <v>2181</v>
      </c>
      <c r="B290" s="2">
        <f t="shared" si="8"/>
        <v>2020</v>
      </c>
      <c r="C290" s="2" t="str">
        <f t="shared" si="9"/>
        <v>LIM333</v>
      </c>
      <c r="D290" s="2417">
        <v>1303</v>
      </c>
      <c r="E290" s="2">
        <v>56</v>
      </c>
      <c r="F290" s="2436" t="s">
        <v>2185</v>
      </c>
      <c r="G290" s="2437"/>
      <c r="H290" s="2437"/>
      <c r="I290" s="2437"/>
      <c r="J290" s="2437"/>
      <c r="K290" s="2437"/>
      <c r="L290" s="2437"/>
      <c r="M290" s="2437"/>
      <c r="N290" s="2"/>
      <c r="W290" t="s">
        <v>2062</v>
      </c>
    </row>
    <row r="291" spans="1:23" ht="13.15" customHeight="1">
      <c r="A291" s="2" t="s">
        <v>2181</v>
      </c>
      <c r="B291" s="2">
        <f t="shared" si="8"/>
        <v>2020</v>
      </c>
      <c r="C291" s="2" t="str">
        <f t="shared" si="9"/>
        <v>LIM333</v>
      </c>
      <c r="D291" s="2417">
        <v>1304</v>
      </c>
      <c r="E291" s="2">
        <v>57</v>
      </c>
      <c r="F291" s="2446" t="s">
        <v>1884</v>
      </c>
      <c r="G291" s="2437"/>
      <c r="H291" s="2437"/>
      <c r="I291" s="2437"/>
      <c r="J291" s="2437"/>
      <c r="K291" s="2437"/>
      <c r="L291" s="2437"/>
      <c r="M291" s="2437"/>
      <c r="N291" s="2"/>
      <c r="W291" t="s">
        <v>2062</v>
      </c>
    </row>
    <row r="292" spans="1:23" ht="13.15" customHeight="1">
      <c r="A292" s="2" t="s">
        <v>2181</v>
      </c>
      <c r="B292" s="2">
        <f t="shared" si="8"/>
        <v>2020</v>
      </c>
      <c r="C292" s="2" t="str">
        <f t="shared" si="9"/>
        <v>LIM333</v>
      </c>
      <c r="D292" s="2417">
        <v>1305</v>
      </c>
      <c r="E292" s="2">
        <v>58</v>
      </c>
      <c r="F292" s="2436" t="s">
        <v>1905</v>
      </c>
      <c r="G292" s="2437"/>
      <c r="H292" s="2437"/>
      <c r="I292" s="2437"/>
      <c r="J292" s="2437"/>
      <c r="K292" s="2437"/>
      <c r="L292" s="2437"/>
      <c r="M292" s="2437"/>
      <c r="N292" s="2"/>
      <c r="W292" t="s">
        <v>2062</v>
      </c>
    </row>
    <row r="293" spans="1:23" ht="13.15" customHeight="1">
      <c r="A293" s="2" t="s">
        <v>2181</v>
      </c>
      <c r="B293" s="2">
        <f t="shared" si="8"/>
        <v>2020</v>
      </c>
      <c r="C293" s="2" t="str">
        <f t="shared" si="9"/>
        <v>LIM333</v>
      </c>
      <c r="D293" s="2417">
        <v>1306</v>
      </c>
      <c r="E293" s="2">
        <v>59</v>
      </c>
      <c r="F293" s="2436" t="s">
        <v>1906</v>
      </c>
      <c r="G293" s="2437"/>
      <c r="H293" s="2437"/>
      <c r="I293" s="2437"/>
      <c r="J293" s="2437"/>
      <c r="K293" s="2437"/>
      <c r="L293" s="2437"/>
      <c r="M293" s="2437"/>
      <c r="N293" s="2"/>
      <c r="W293" t="s">
        <v>2062</v>
      </c>
    </row>
    <row r="294" spans="1:23" ht="13.15" customHeight="1">
      <c r="A294" s="2" t="s">
        <v>2181</v>
      </c>
      <c r="B294" s="2">
        <f t="shared" si="8"/>
        <v>2020</v>
      </c>
      <c r="C294" s="2" t="str">
        <f t="shared" si="9"/>
        <v>LIM333</v>
      </c>
      <c r="D294" s="2417">
        <v>1307</v>
      </c>
      <c r="E294" s="2">
        <v>60</v>
      </c>
      <c r="F294" s="2436" t="s">
        <v>2188</v>
      </c>
      <c r="G294" s="2437"/>
      <c r="H294" s="2437"/>
      <c r="I294" s="2437"/>
      <c r="J294" s="2437"/>
      <c r="K294" s="2437"/>
      <c r="L294" s="2437"/>
      <c r="M294" s="2437"/>
      <c r="N294" s="2"/>
      <c r="W294" t="s">
        <v>2062</v>
      </c>
    </row>
    <row r="295" spans="1:23" ht="13.15" customHeight="1">
      <c r="A295" s="2" t="s">
        <v>2181</v>
      </c>
      <c r="B295" s="2">
        <f t="shared" si="8"/>
        <v>2020</v>
      </c>
      <c r="C295" s="2" t="str">
        <f t="shared" si="9"/>
        <v>LIM333</v>
      </c>
      <c r="D295" s="2417">
        <v>1308</v>
      </c>
      <c r="E295" s="2">
        <v>61</v>
      </c>
      <c r="F295" s="2436" t="s">
        <v>2189</v>
      </c>
      <c r="G295" s="2437"/>
      <c r="H295" s="2437"/>
      <c r="I295" s="2437"/>
      <c r="J295" s="2437"/>
      <c r="K295" s="2437"/>
      <c r="L295" s="2437"/>
      <c r="M295" s="2437"/>
      <c r="N295" s="2"/>
      <c r="W295" t="s">
        <v>2062</v>
      </c>
    </row>
    <row r="296" spans="1:23" ht="13.15" customHeight="1">
      <c r="A296" s="2" t="s">
        <v>2181</v>
      </c>
      <c r="B296" s="2">
        <f t="shared" si="8"/>
        <v>2020</v>
      </c>
      <c r="C296" s="2" t="str">
        <f t="shared" si="9"/>
        <v>LIM333</v>
      </c>
      <c r="D296" s="2417">
        <v>1309</v>
      </c>
      <c r="E296" s="2">
        <v>62</v>
      </c>
      <c r="F296" s="2436" t="s">
        <v>1909</v>
      </c>
      <c r="G296" s="2437"/>
      <c r="H296" s="2437"/>
      <c r="I296" s="2437"/>
      <c r="J296" s="2437"/>
      <c r="K296" s="2437"/>
      <c r="L296" s="2437"/>
      <c r="M296" s="2437"/>
      <c r="N296" s="2"/>
      <c r="W296" t="s">
        <v>2062</v>
      </c>
    </row>
    <row r="297" spans="1:23" ht="13.15" customHeight="1">
      <c r="A297" s="2" t="s">
        <v>2181</v>
      </c>
      <c r="B297" s="2">
        <f t="shared" si="8"/>
        <v>2020</v>
      </c>
      <c r="C297" s="2" t="str">
        <f t="shared" si="9"/>
        <v>LIM333</v>
      </c>
      <c r="D297" s="2417">
        <v>1310</v>
      </c>
      <c r="E297" s="2">
        <v>63</v>
      </c>
      <c r="F297" s="2436" t="s">
        <v>1910</v>
      </c>
      <c r="G297" s="2437"/>
      <c r="H297" s="2437"/>
      <c r="I297" s="2437"/>
      <c r="J297" s="2437"/>
      <c r="K297" s="2437"/>
      <c r="L297" s="2437"/>
      <c r="M297" s="2437"/>
      <c r="N297" s="2"/>
      <c r="W297" t="s">
        <v>2062</v>
      </c>
    </row>
    <row r="298" spans="1:23" ht="13.15" customHeight="1">
      <c r="A298" s="2" t="s">
        <v>2181</v>
      </c>
      <c r="B298" s="2">
        <f t="shared" si="8"/>
        <v>2020</v>
      </c>
      <c r="C298" s="2" t="str">
        <f t="shared" si="9"/>
        <v>LIM333</v>
      </c>
      <c r="D298" s="2417">
        <v>1311</v>
      </c>
      <c r="E298" s="2">
        <v>64</v>
      </c>
      <c r="F298" s="2436" t="s">
        <v>1911</v>
      </c>
      <c r="G298" s="2437"/>
      <c r="H298" s="2437"/>
      <c r="I298" s="2437"/>
      <c r="J298" s="2437"/>
      <c r="K298" s="2437"/>
      <c r="L298" s="2437"/>
      <c r="M298" s="2437"/>
      <c r="N298" s="2"/>
      <c r="W298" t="s">
        <v>2062</v>
      </c>
    </row>
    <row r="299" spans="1:23" ht="13.15" customHeight="1">
      <c r="A299" s="2" t="s">
        <v>2181</v>
      </c>
      <c r="B299" s="2">
        <f t="shared" si="8"/>
        <v>2020</v>
      </c>
      <c r="C299" s="2" t="str">
        <f t="shared" si="9"/>
        <v>LIM333</v>
      </c>
      <c r="D299" s="2417">
        <v>1312</v>
      </c>
      <c r="E299" s="2">
        <v>65</v>
      </c>
      <c r="F299" s="2436" t="s">
        <v>1912</v>
      </c>
      <c r="G299" s="2437"/>
      <c r="H299" s="2437"/>
      <c r="I299" s="2437"/>
      <c r="J299" s="2437"/>
      <c r="K299" s="2437"/>
      <c r="L299" s="2437"/>
      <c r="M299" s="2437"/>
      <c r="N299" s="2"/>
      <c r="W299" t="s">
        <v>2062</v>
      </c>
    </row>
    <row r="300" spans="1:23" ht="13.15" customHeight="1">
      <c r="A300" s="2" t="s">
        <v>2181</v>
      </c>
      <c r="B300" s="2">
        <f t="shared" si="8"/>
        <v>2020</v>
      </c>
      <c r="C300" s="2" t="str">
        <f t="shared" si="9"/>
        <v>LIM333</v>
      </c>
      <c r="D300" s="2417">
        <v>1313</v>
      </c>
      <c r="E300" s="2">
        <v>66</v>
      </c>
      <c r="F300" s="2436" t="s">
        <v>1913</v>
      </c>
      <c r="G300" s="2437"/>
      <c r="H300" s="2437"/>
      <c r="I300" s="2437"/>
      <c r="J300" s="2437"/>
      <c r="K300" s="2437"/>
      <c r="L300" s="2437"/>
      <c r="M300" s="2437"/>
      <c r="N300" s="2"/>
      <c r="W300" t="s">
        <v>2062</v>
      </c>
    </row>
    <row r="301" spans="1:23" ht="13.15" customHeight="1">
      <c r="A301" s="2" t="s">
        <v>2181</v>
      </c>
      <c r="B301" s="2">
        <f t="shared" si="8"/>
        <v>2020</v>
      </c>
      <c r="C301" s="2" t="str">
        <f t="shared" si="9"/>
        <v>LIM333</v>
      </c>
      <c r="D301" s="2417">
        <v>1314</v>
      </c>
      <c r="E301" s="2">
        <v>67</v>
      </c>
      <c r="F301" s="2436" t="s">
        <v>1914</v>
      </c>
      <c r="G301" s="2437"/>
      <c r="H301" s="2437"/>
      <c r="I301" s="2437"/>
      <c r="J301" s="2437"/>
      <c r="K301" s="2437"/>
      <c r="L301" s="2437"/>
      <c r="M301" s="2437"/>
      <c r="N301" s="2"/>
      <c r="W301" t="s">
        <v>2062</v>
      </c>
    </row>
    <row r="302" spans="1:23" ht="13.15" customHeight="1">
      <c r="A302" s="2" t="s">
        <v>2181</v>
      </c>
      <c r="B302" s="2">
        <f t="shared" si="8"/>
        <v>2020</v>
      </c>
      <c r="C302" s="2" t="str">
        <f t="shared" si="9"/>
        <v>LIM333</v>
      </c>
      <c r="D302" s="2417">
        <v>1315</v>
      </c>
      <c r="E302" s="2">
        <v>68</v>
      </c>
      <c r="F302" s="2436" t="s">
        <v>1915</v>
      </c>
      <c r="G302" s="2437"/>
      <c r="H302" s="2437"/>
      <c r="I302" s="2437"/>
      <c r="J302" s="2437"/>
      <c r="K302" s="2437"/>
      <c r="L302" s="2437"/>
      <c r="M302" s="2437"/>
      <c r="N302" s="2"/>
      <c r="W302" t="s">
        <v>2062</v>
      </c>
    </row>
    <row r="303" spans="1:23" ht="13.15" customHeight="1">
      <c r="A303" s="2" t="s">
        <v>2181</v>
      </c>
      <c r="B303" s="2">
        <f t="shared" si="8"/>
        <v>2020</v>
      </c>
      <c r="C303" s="2" t="str">
        <f t="shared" si="9"/>
        <v>LIM333</v>
      </c>
      <c r="D303" s="2417">
        <v>1316</v>
      </c>
      <c r="E303" s="2">
        <v>69</v>
      </c>
      <c r="F303" s="2436" t="s">
        <v>1916</v>
      </c>
      <c r="G303" s="2437"/>
      <c r="H303" s="2437"/>
      <c r="I303" s="2437"/>
      <c r="J303" s="2437"/>
      <c r="K303" s="2437"/>
      <c r="L303" s="2437"/>
      <c r="M303" s="2437"/>
      <c r="N303" s="2"/>
      <c r="W303" t="s">
        <v>2062</v>
      </c>
    </row>
    <row r="304" spans="1:23" ht="13.15" customHeight="1">
      <c r="A304" s="2" t="s">
        <v>2181</v>
      </c>
      <c r="B304" s="2">
        <f t="shared" si="8"/>
        <v>2020</v>
      </c>
      <c r="C304" s="2" t="str">
        <f t="shared" si="9"/>
        <v>LIM333</v>
      </c>
      <c r="D304" s="2417">
        <v>1317</v>
      </c>
      <c r="E304" s="2">
        <v>70</v>
      </c>
      <c r="F304" s="2436" t="s">
        <v>1917</v>
      </c>
      <c r="G304" s="2437"/>
      <c r="H304" s="2437"/>
      <c r="I304" s="2437"/>
      <c r="J304" s="2437"/>
      <c r="K304" s="2437"/>
      <c r="L304" s="2437"/>
      <c r="M304" s="2437"/>
      <c r="N304" s="2"/>
      <c r="W304" t="s">
        <v>2062</v>
      </c>
    </row>
    <row r="305" spans="1:23" ht="13.15" customHeight="1">
      <c r="A305" s="2" t="s">
        <v>2181</v>
      </c>
      <c r="B305" s="2">
        <f t="shared" si="8"/>
        <v>2020</v>
      </c>
      <c r="C305" s="2" t="str">
        <f t="shared" si="9"/>
        <v>LIM333</v>
      </c>
      <c r="D305" s="2417">
        <v>1318</v>
      </c>
      <c r="E305" s="2">
        <v>71</v>
      </c>
      <c r="F305" s="2436" t="s">
        <v>1918</v>
      </c>
      <c r="G305" s="2437"/>
      <c r="H305" s="2437"/>
      <c r="I305" s="2437"/>
      <c r="J305" s="2437"/>
      <c r="K305" s="2437"/>
      <c r="L305" s="2437"/>
      <c r="M305" s="2437"/>
      <c r="N305" s="2"/>
      <c r="W305" t="s">
        <v>2062</v>
      </c>
    </row>
    <row r="306" spans="1:23" ht="13.15" customHeight="1">
      <c r="A306" s="2" t="s">
        <v>2181</v>
      </c>
      <c r="B306" s="2">
        <f t="shared" si="8"/>
        <v>2020</v>
      </c>
      <c r="C306" s="2" t="str">
        <f t="shared" si="9"/>
        <v>LIM333</v>
      </c>
      <c r="D306" s="2417">
        <v>1319</v>
      </c>
      <c r="E306" s="2">
        <v>72</v>
      </c>
      <c r="F306" s="2443" t="s">
        <v>245</v>
      </c>
      <c r="G306" s="2437"/>
      <c r="H306" s="2437"/>
      <c r="I306" s="2437"/>
      <c r="J306" s="2437"/>
      <c r="K306" s="2437"/>
      <c r="L306" s="2437"/>
      <c r="M306" s="2437"/>
      <c r="N306" s="2"/>
      <c r="W306" t="s">
        <v>2062</v>
      </c>
    </row>
    <row r="307" spans="1:23" ht="13.15" customHeight="1">
      <c r="A307" s="2" t="s">
        <v>2181</v>
      </c>
      <c r="B307" s="2">
        <f t="shared" si="8"/>
        <v>2020</v>
      </c>
      <c r="C307" s="2" t="str">
        <f t="shared" si="9"/>
        <v>LIM333</v>
      </c>
      <c r="D307" s="2417"/>
      <c r="E307" s="2"/>
      <c r="F307" s="2439"/>
      <c r="G307" s="2437"/>
      <c r="H307" s="2437"/>
      <c r="I307" s="2437"/>
      <c r="J307" s="2437"/>
      <c r="K307" s="2437"/>
      <c r="L307" s="2437"/>
      <c r="M307" s="2437"/>
      <c r="N307" s="2"/>
      <c r="W307" t="s">
        <v>2062</v>
      </c>
    </row>
    <row r="308" spans="1:23" ht="13.15" customHeight="1">
      <c r="A308" s="2" t="s">
        <v>2181</v>
      </c>
      <c r="B308" s="2">
        <f t="shared" si="8"/>
        <v>2020</v>
      </c>
      <c r="C308" s="2" t="str">
        <f t="shared" si="9"/>
        <v>LIM333</v>
      </c>
      <c r="D308" s="2417">
        <v>1400</v>
      </c>
      <c r="E308" s="2">
        <v>73</v>
      </c>
      <c r="F308" s="2435" t="s">
        <v>1887</v>
      </c>
      <c r="G308" s="2437"/>
      <c r="H308" s="2437"/>
      <c r="I308" s="2437"/>
      <c r="J308" s="2437"/>
      <c r="K308" s="2437"/>
      <c r="L308" s="2437"/>
      <c r="M308" s="2437"/>
      <c r="N308" s="2"/>
      <c r="W308" t="s">
        <v>2062</v>
      </c>
    </row>
    <row r="309" spans="1:23" ht="13.15" customHeight="1">
      <c r="A309" s="2" t="s">
        <v>2181</v>
      </c>
      <c r="B309" s="2">
        <f t="shared" si="8"/>
        <v>2020</v>
      </c>
      <c r="C309" s="2" t="str">
        <f t="shared" si="9"/>
        <v>LIM333</v>
      </c>
      <c r="D309" s="2417">
        <v>1401</v>
      </c>
      <c r="E309" s="2">
        <v>74</v>
      </c>
      <c r="F309" s="2439" t="s">
        <v>1864</v>
      </c>
      <c r="G309" s="2437"/>
      <c r="H309" s="2437"/>
      <c r="I309" s="2437"/>
      <c r="J309" s="2437"/>
      <c r="K309" s="2437"/>
      <c r="L309" s="2437"/>
      <c r="M309" s="2437"/>
      <c r="N309" s="2"/>
      <c r="W309" t="s">
        <v>2062</v>
      </c>
    </row>
    <row r="310" spans="1:23" ht="13.15" customHeight="1">
      <c r="A310" s="2" t="s">
        <v>2181</v>
      </c>
      <c r="B310" s="2">
        <f t="shared" si="8"/>
        <v>2020</v>
      </c>
      <c r="C310" s="2" t="str">
        <f t="shared" si="9"/>
        <v>LIM333</v>
      </c>
      <c r="D310" s="2417">
        <v>1402</v>
      </c>
      <c r="E310" s="2">
        <v>75</v>
      </c>
      <c r="F310" s="2436" t="s">
        <v>1888</v>
      </c>
      <c r="G310" s="2437"/>
      <c r="H310" s="2437"/>
      <c r="I310" s="2437"/>
      <c r="J310" s="2437"/>
      <c r="K310" s="2437"/>
      <c r="L310" s="2437"/>
      <c r="M310" s="2437"/>
      <c r="N310" s="2"/>
      <c r="W310" t="s">
        <v>2062</v>
      </c>
    </row>
    <row r="311" spans="1:23" ht="13.15" customHeight="1">
      <c r="A311" s="2" t="s">
        <v>2181</v>
      </c>
      <c r="B311" s="2">
        <f t="shared" si="8"/>
        <v>2020</v>
      </c>
      <c r="C311" s="2" t="str">
        <f t="shared" si="9"/>
        <v>LIM333</v>
      </c>
      <c r="D311" s="2417">
        <v>1403</v>
      </c>
      <c r="E311" s="2">
        <v>76</v>
      </c>
      <c r="F311" s="2436" t="s">
        <v>1889</v>
      </c>
      <c r="G311" s="2437"/>
      <c r="H311" s="2437"/>
      <c r="I311" s="2437"/>
      <c r="J311" s="2437"/>
      <c r="K311" s="2437"/>
      <c r="L311" s="2437"/>
      <c r="M311" s="2437"/>
      <c r="N311" s="2"/>
      <c r="W311" t="s">
        <v>2062</v>
      </c>
    </row>
    <row r="312" spans="1:23" ht="13.15" customHeight="1">
      <c r="A312" s="2" t="s">
        <v>2181</v>
      </c>
      <c r="B312" s="2">
        <f t="shared" si="8"/>
        <v>2020</v>
      </c>
      <c r="C312" s="2" t="str">
        <f t="shared" si="9"/>
        <v>LIM333</v>
      </c>
      <c r="D312" s="2417">
        <v>1404</v>
      </c>
      <c r="E312" s="2">
        <v>77</v>
      </c>
      <c r="F312" s="2436" t="s">
        <v>1890</v>
      </c>
      <c r="G312" s="2437"/>
      <c r="H312" s="2437"/>
      <c r="I312" s="2437"/>
      <c r="J312" s="2437"/>
      <c r="K312" s="2437"/>
      <c r="L312" s="2437"/>
      <c r="M312" s="2437"/>
      <c r="N312" s="2"/>
      <c r="W312" t="s">
        <v>2062</v>
      </c>
    </row>
    <row r="313" spans="1:23" ht="13.15" customHeight="1">
      <c r="A313" s="2" t="s">
        <v>2181</v>
      </c>
      <c r="B313" s="2">
        <f t="shared" si="8"/>
        <v>2020</v>
      </c>
      <c r="C313" s="2" t="str">
        <f t="shared" si="9"/>
        <v>LIM333</v>
      </c>
      <c r="D313" s="2417">
        <v>1405</v>
      </c>
      <c r="E313" s="2">
        <v>78</v>
      </c>
      <c r="F313" s="2436" t="s">
        <v>1891</v>
      </c>
      <c r="G313" s="2437"/>
      <c r="H313" s="2437"/>
      <c r="I313" s="2437"/>
      <c r="J313" s="2437"/>
      <c r="K313" s="2437"/>
      <c r="L313" s="2437"/>
      <c r="M313" s="2437"/>
      <c r="N313" s="2"/>
      <c r="W313" t="s">
        <v>2062</v>
      </c>
    </row>
    <row r="314" spans="1:23" ht="13.15" customHeight="1">
      <c r="A314" s="2" t="s">
        <v>2190</v>
      </c>
      <c r="B314" s="2">
        <f t="shared" si="8"/>
        <v>2020</v>
      </c>
      <c r="C314" s="2" t="str">
        <f t="shared" si="9"/>
        <v>LIM333</v>
      </c>
      <c r="D314" s="2417">
        <v>1000</v>
      </c>
      <c r="E314" s="2">
        <v>1</v>
      </c>
      <c r="F314" s="2" t="s">
        <v>1933</v>
      </c>
      <c r="G314" s="2437"/>
      <c r="H314" s="2437"/>
      <c r="I314" s="2437"/>
      <c r="J314" s="2437"/>
      <c r="K314" s="2437"/>
      <c r="L314" s="2437"/>
      <c r="M314" s="2437"/>
      <c r="N314" s="2437"/>
      <c r="O314" s="2437"/>
      <c r="P314" s="2437"/>
      <c r="Q314" s="2"/>
      <c r="R314" s="2"/>
      <c r="S314" s="2"/>
      <c r="T314" s="2"/>
      <c r="U314" s="2"/>
      <c r="V314" s="2"/>
      <c r="W314" t="s">
        <v>2062</v>
      </c>
    </row>
    <row r="315" spans="1:23" ht="13.15" customHeight="1">
      <c r="A315" s="2" t="s">
        <v>2190</v>
      </c>
      <c r="B315" s="2">
        <f t="shared" si="8"/>
        <v>2020</v>
      </c>
      <c r="C315" s="2" t="str">
        <f t="shared" si="9"/>
        <v>LIM333</v>
      </c>
      <c r="D315" s="2417">
        <v>1001</v>
      </c>
      <c r="E315" s="2">
        <v>2</v>
      </c>
      <c r="F315" s="2" t="s">
        <v>685</v>
      </c>
      <c r="G315" s="2437"/>
      <c r="H315" s="2437"/>
      <c r="I315" s="2437"/>
      <c r="J315" s="2437"/>
      <c r="K315" s="2437"/>
      <c r="L315" s="2437"/>
      <c r="M315" s="2437"/>
      <c r="N315" s="2437"/>
      <c r="O315" s="2437"/>
      <c r="P315" s="2437"/>
      <c r="Q315" s="2"/>
      <c r="R315" s="2"/>
      <c r="S315" s="2"/>
      <c r="T315" s="2"/>
      <c r="U315" s="2"/>
      <c r="V315" s="2"/>
      <c r="W315" t="s">
        <v>2062</v>
      </c>
    </row>
    <row r="316" spans="1:23" ht="13.15" customHeight="1">
      <c r="A316" s="2" t="s">
        <v>2190</v>
      </c>
      <c r="B316" s="2">
        <f t="shared" si="8"/>
        <v>2020</v>
      </c>
      <c r="C316" s="2" t="str">
        <f t="shared" si="9"/>
        <v>LIM333</v>
      </c>
      <c r="D316" s="2417">
        <v>1002</v>
      </c>
      <c r="E316" s="2">
        <v>3</v>
      </c>
      <c r="F316" s="2" t="s">
        <v>468</v>
      </c>
      <c r="G316" s="2437"/>
      <c r="H316" s="2437"/>
      <c r="I316" s="2437"/>
      <c r="J316" s="2437"/>
      <c r="K316" s="2437"/>
      <c r="L316" s="2437"/>
      <c r="M316" s="2437"/>
      <c r="N316" s="2437"/>
      <c r="O316" s="2437"/>
      <c r="P316" s="2437"/>
      <c r="Q316" s="2"/>
      <c r="R316" s="2"/>
      <c r="S316" s="2"/>
      <c r="T316" s="2"/>
      <c r="U316" s="2"/>
      <c r="V316" s="2"/>
      <c r="W316" t="s">
        <v>2062</v>
      </c>
    </row>
    <row r="317" spans="1:23" ht="13.15" customHeight="1">
      <c r="A317" s="2" t="s">
        <v>2190</v>
      </c>
      <c r="B317" s="2">
        <f t="shared" si="8"/>
        <v>2020</v>
      </c>
      <c r="C317" s="2" t="str">
        <f t="shared" si="9"/>
        <v>LIM333</v>
      </c>
      <c r="D317" s="2417">
        <v>1003</v>
      </c>
      <c r="E317" s="2">
        <v>4</v>
      </c>
      <c r="F317" s="2" t="s">
        <v>1369</v>
      </c>
      <c r="G317" s="2437"/>
      <c r="H317" s="2437"/>
      <c r="I317" s="2437"/>
      <c r="J317" s="2437"/>
      <c r="K317" s="2437"/>
      <c r="L317" s="2437"/>
      <c r="M317" s="2437"/>
      <c r="N317" s="2437"/>
      <c r="O317" s="2437"/>
      <c r="P317" s="2437"/>
      <c r="Q317" s="2"/>
      <c r="R317" s="2"/>
      <c r="S317" s="2"/>
      <c r="T317" s="2"/>
      <c r="U317" s="2"/>
      <c r="V317" s="2"/>
      <c r="W317" t="s">
        <v>2062</v>
      </c>
    </row>
    <row r="318" spans="1:23" ht="13.15" customHeight="1">
      <c r="A318" s="2" t="s">
        <v>2190</v>
      </c>
      <c r="B318" s="2">
        <f t="shared" si="8"/>
        <v>2020</v>
      </c>
      <c r="C318" s="2" t="str">
        <f t="shared" si="9"/>
        <v>LIM333</v>
      </c>
      <c r="D318" s="2417">
        <v>1004</v>
      </c>
      <c r="E318" s="2">
        <v>5</v>
      </c>
      <c r="F318" s="2" t="s">
        <v>1370</v>
      </c>
      <c r="G318" s="2437"/>
      <c r="H318" s="2437"/>
      <c r="I318" s="2437"/>
      <c r="J318" s="2437"/>
      <c r="K318" s="2437"/>
      <c r="L318" s="2437"/>
      <c r="M318" s="2437"/>
      <c r="N318" s="2437"/>
      <c r="O318" s="2437"/>
      <c r="P318" s="2437"/>
      <c r="Q318" s="2"/>
      <c r="R318" s="2"/>
      <c r="S318" s="2"/>
      <c r="T318" s="2"/>
      <c r="U318" s="2"/>
      <c r="V318" s="2"/>
      <c r="W318" t="s">
        <v>2062</v>
      </c>
    </row>
    <row r="319" spans="1:23" ht="13.15" customHeight="1">
      <c r="A319" s="2" t="s">
        <v>2190</v>
      </c>
      <c r="B319" s="2">
        <f t="shared" si="8"/>
        <v>2020</v>
      </c>
      <c r="C319" s="2" t="str">
        <f t="shared" si="9"/>
        <v>LIM333</v>
      </c>
      <c r="D319" s="2417">
        <v>1005</v>
      </c>
      <c r="E319" s="2">
        <v>6</v>
      </c>
      <c r="F319" s="2" t="s">
        <v>1371</v>
      </c>
      <c r="G319" s="2437"/>
      <c r="H319" s="2437"/>
      <c r="I319" s="2437"/>
      <c r="J319" s="2437"/>
      <c r="K319" s="2437"/>
      <c r="L319" s="2437"/>
      <c r="M319" s="2437"/>
      <c r="N319" s="2437"/>
      <c r="O319" s="2437"/>
      <c r="P319" s="2437"/>
      <c r="Q319" s="2"/>
      <c r="R319" s="2"/>
      <c r="S319" s="2"/>
      <c r="T319" s="2"/>
      <c r="U319" s="2"/>
      <c r="V319" s="2"/>
      <c r="W319" t="s">
        <v>2062</v>
      </c>
    </row>
    <row r="320" spans="1:23" ht="13.15" customHeight="1">
      <c r="A320" s="2" t="s">
        <v>2190</v>
      </c>
      <c r="B320" s="2">
        <f t="shared" si="8"/>
        <v>2020</v>
      </c>
      <c r="C320" s="2" t="str">
        <f t="shared" si="9"/>
        <v>LIM333</v>
      </c>
      <c r="D320" s="2417">
        <v>1006</v>
      </c>
      <c r="E320" s="2">
        <v>7</v>
      </c>
      <c r="F320" s="2" t="s">
        <v>705</v>
      </c>
      <c r="G320" s="2437"/>
      <c r="H320" s="2437"/>
      <c r="I320" s="2437"/>
      <c r="J320" s="2437"/>
      <c r="K320" s="2437"/>
      <c r="L320" s="2437"/>
      <c r="M320" s="2437"/>
      <c r="N320" s="2437"/>
      <c r="O320" s="2437"/>
      <c r="P320" s="2437"/>
      <c r="Q320" s="2"/>
      <c r="R320" s="2"/>
      <c r="S320" s="2"/>
      <c r="T320" s="2"/>
      <c r="U320" s="2"/>
      <c r="V320" s="2"/>
      <c r="W320" t="s">
        <v>2062</v>
      </c>
    </row>
    <row r="321" spans="1:23" ht="13.15" customHeight="1">
      <c r="A321" s="2" t="s">
        <v>2190</v>
      </c>
      <c r="B321" s="2">
        <f t="shared" si="8"/>
        <v>2020</v>
      </c>
      <c r="C321" s="2" t="str">
        <f t="shared" si="9"/>
        <v>LIM333</v>
      </c>
      <c r="D321" s="2417">
        <v>1007</v>
      </c>
      <c r="E321" s="2">
        <v>8</v>
      </c>
      <c r="F321" s="2" t="s">
        <v>828</v>
      </c>
      <c r="G321" s="2437"/>
      <c r="H321" s="2437"/>
      <c r="I321" s="2437"/>
      <c r="J321" s="2437"/>
      <c r="K321" s="2437"/>
      <c r="L321" s="2437"/>
      <c r="M321" s="2437"/>
      <c r="N321" s="2437"/>
      <c r="O321" s="2437"/>
      <c r="P321" s="2437"/>
      <c r="Q321" s="2"/>
      <c r="R321" s="2"/>
      <c r="S321" s="2"/>
      <c r="T321" s="2"/>
      <c r="U321" s="2"/>
      <c r="V321" s="2"/>
      <c r="W321" t="s">
        <v>2062</v>
      </c>
    </row>
    <row r="322" spans="1:23" ht="13.15" customHeight="1">
      <c r="A322" s="2" t="s">
        <v>2190</v>
      </c>
      <c r="B322" s="2">
        <f t="shared" ref="B322:B385" si="10">+MTREF</f>
        <v>2020</v>
      </c>
      <c r="C322" s="2" t="str">
        <f t="shared" ref="C322:C385" si="11">LEFT(muni,(FIND(" ",muni,1)-1))</f>
        <v>LIM333</v>
      </c>
      <c r="D322" s="2417">
        <v>1008</v>
      </c>
      <c r="E322" s="2">
        <v>9</v>
      </c>
      <c r="F322" s="2" t="s">
        <v>570</v>
      </c>
      <c r="G322" s="2437"/>
      <c r="H322" s="2437"/>
      <c r="I322" s="2437"/>
      <c r="J322" s="2437"/>
      <c r="K322" s="2437"/>
      <c r="L322" s="2437"/>
      <c r="M322" s="2437"/>
      <c r="N322" s="2437"/>
      <c r="O322" s="2437"/>
      <c r="P322" s="2437"/>
      <c r="Q322" s="2"/>
      <c r="R322" s="2"/>
      <c r="S322" s="2"/>
      <c r="T322" s="2"/>
      <c r="U322" s="2"/>
      <c r="V322" s="2"/>
      <c r="W322" t="s">
        <v>2062</v>
      </c>
    </row>
    <row r="323" spans="1:23" ht="13.15" customHeight="1">
      <c r="A323" s="2" t="s">
        <v>2190</v>
      </c>
      <c r="B323" s="2">
        <f t="shared" si="10"/>
        <v>2020</v>
      </c>
      <c r="C323" s="2" t="str">
        <f t="shared" si="11"/>
        <v>LIM333</v>
      </c>
      <c r="D323" s="2417">
        <v>1009</v>
      </c>
      <c r="E323" s="2">
        <v>10</v>
      </c>
      <c r="F323" s="2" t="s">
        <v>245</v>
      </c>
      <c r="G323" s="2437"/>
      <c r="H323" s="2437"/>
      <c r="I323" s="2437"/>
      <c r="J323" s="2437"/>
      <c r="K323" s="2437"/>
      <c r="L323" s="2437"/>
      <c r="M323" s="2437"/>
      <c r="N323" s="2437"/>
      <c r="O323" s="2437"/>
      <c r="P323" s="2437"/>
      <c r="Q323" s="2"/>
      <c r="R323" s="2"/>
      <c r="S323" s="2"/>
      <c r="T323" s="2"/>
      <c r="U323" s="2"/>
      <c r="V323" s="2"/>
      <c r="W323" t="s">
        <v>2062</v>
      </c>
    </row>
    <row r="324" spans="1:23" ht="13.15" customHeight="1">
      <c r="A324" s="2" t="s">
        <v>2190</v>
      </c>
      <c r="B324" s="2">
        <f t="shared" si="10"/>
        <v>2020</v>
      </c>
      <c r="C324" s="2" t="str">
        <f t="shared" si="11"/>
        <v>LIM333</v>
      </c>
      <c r="D324" s="2417">
        <v>1090</v>
      </c>
      <c r="E324" s="2">
        <v>11</v>
      </c>
      <c r="F324" s="2" t="s">
        <v>117</v>
      </c>
      <c r="G324" s="2437"/>
      <c r="H324" s="2437"/>
      <c r="I324" s="2437"/>
      <c r="J324" s="2437"/>
      <c r="K324" s="2437"/>
      <c r="L324" s="2437"/>
      <c r="M324" s="2437"/>
      <c r="N324" s="2437"/>
      <c r="O324" s="2437"/>
      <c r="P324" s="2437"/>
      <c r="Q324" s="2"/>
      <c r="R324" s="2437"/>
      <c r="S324" s="2437"/>
      <c r="T324" s="2437"/>
      <c r="U324" s="2437"/>
      <c r="V324" s="2437"/>
      <c r="W324" t="s">
        <v>2062</v>
      </c>
    </row>
    <row r="325" spans="1:23" ht="13.15" customHeight="1">
      <c r="A325" s="2" t="s">
        <v>2190</v>
      </c>
      <c r="B325" s="2">
        <f t="shared" si="10"/>
        <v>2020</v>
      </c>
      <c r="C325" s="2" t="str">
        <f t="shared" si="11"/>
        <v>LIM333</v>
      </c>
      <c r="D325" s="2417">
        <v>1091</v>
      </c>
      <c r="E325" s="2">
        <v>12</v>
      </c>
      <c r="F325" s="2" t="s">
        <v>684</v>
      </c>
      <c r="G325" s="2437"/>
      <c r="H325" s="2437"/>
      <c r="I325" s="2437"/>
      <c r="J325" s="2437"/>
      <c r="K325" s="2437"/>
      <c r="L325" s="2437"/>
      <c r="M325" s="2437"/>
      <c r="N325" s="2437"/>
      <c r="O325" s="2437"/>
      <c r="P325" s="2437"/>
      <c r="Q325" s="2"/>
      <c r="R325" s="2"/>
      <c r="S325" s="2"/>
      <c r="T325" s="2"/>
      <c r="U325" s="2"/>
      <c r="V325" s="2"/>
      <c r="W325" t="s">
        <v>2062</v>
      </c>
    </row>
    <row r="326" spans="1:23" ht="13.15" customHeight="1">
      <c r="A326" s="2" t="s">
        <v>2190</v>
      </c>
      <c r="B326" s="2">
        <f t="shared" si="10"/>
        <v>2020</v>
      </c>
      <c r="C326" s="2" t="str">
        <f t="shared" si="11"/>
        <v>LIM333</v>
      </c>
      <c r="D326" s="2417">
        <v>1095</v>
      </c>
      <c r="E326" s="2425">
        <v>13</v>
      </c>
      <c r="F326" s="2" t="s">
        <v>706</v>
      </c>
      <c r="G326" s="2437"/>
      <c r="H326" s="2437"/>
      <c r="I326" s="2437"/>
      <c r="J326" s="2437"/>
      <c r="K326" s="2437"/>
      <c r="L326" s="2437"/>
      <c r="M326" s="2437"/>
      <c r="N326" s="2437"/>
      <c r="O326" s="2437"/>
      <c r="P326" s="2437"/>
      <c r="Q326" s="2"/>
      <c r="R326" s="2437"/>
      <c r="S326" s="2437"/>
      <c r="T326" s="2437"/>
      <c r="U326" s="2437"/>
      <c r="V326" s="2437"/>
      <c r="W326" t="s">
        <v>2062</v>
      </c>
    </row>
    <row r="327" spans="1:23" ht="13.15" customHeight="1">
      <c r="A327" s="2" t="s">
        <v>2190</v>
      </c>
      <c r="B327" s="2">
        <f t="shared" si="10"/>
        <v>2020</v>
      </c>
      <c r="C327" s="2" t="str">
        <f t="shared" si="11"/>
        <v>LIM333</v>
      </c>
      <c r="D327" s="2417">
        <v>1096</v>
      </c>
      <c r="E327" s="2425">
        <v>14</v>
      </c>
      <c r="F327" s="2" t="s">
        <v>113</v>
      </c>
      <c r="G327" s="2437"/>
      <c r="H327" s="2437"/>
      <c r="I327" s="2437"/>
      <c r="J327" s="2437"/>
      <c r="K327" s="2437"/>
      <c r="L327" s="2437"/>
      <c r="M327" s="2437"/>
      <c r="N327" s="2437"/>
      <c r="O327" s="2437"/>
      <c r="P327" s="2437"/>
      <c r="Q327" s="2"/>
      <c r="R327" s="2437"/>
      <c r="S327" s="2437"/>
      <c r="T327" s="2437"/>
      <c r="U327" s="2437"/>
      <c r="V327" s="2437"/>
      <c r="W327" t="s">
        <v>2062</v>
      </c>
    </row>
    <row r="328" spans="1:23" ht="13.15" customHeight="1">
      <c r="A328" s="2" t="s">
        <v>2190</v>
      </c>
      <c r="B328" s="2">
        <f t="shared" si="10"/>
        <v>2020</v>
      </c>
      <c r="C328" s="2" t="str">
        <f t="shared" si="11"/>
        <v>LIM333</v>
      </c>
      <c r="D328" s="2417"/>
      <c r="E328" s="2"/>
      <c r="F328" s="2"/>
      <c r="G328" s="2437"/>
      <c r="H328" s="2437"/>
      <c r="I328" s="2437"/>
      <c r="J328" s="2437"/>
      <c r="K328" s="2437"/>
      <c r="L328" s="2437"/>
      <c r="M328" s="2437"/>
      <c r="N328" s="2437"/>
      <c r="O328" s="2437"/>
      <c r="P328" s="2437"/>
      <c r="Q328" s="2"/>
      <c r="R328" s="2"/>
      <c r="S328" s="2"/>
      <c r="T328" s="2"/>
      <c r="U328" s="2"/>
      <c r="V328" s="2"/>
      <c r="W328" t="s">
        <v>2062</v>
      </c>
    </row>
    <row r="329" spans="1:23" ht="13.15" customHeight="1">
      <c r="A329" s="2" t="s">
        <v>2190</v>
      </c>
      <c r="B329" s="2">
        <f t="shared" si="10"/>
        <v>2020</v>
      </c>
      <c r="C329" s="2" t="str">
        <f t="shared" si="11"/>
        <v>LIM333</v>
      </c>
      <c r="D329" s="2417">
        <v>1100</v>
      </c>
      <c r="E329" s="5">
        <v>15</v>
      </c>
      <c r="F329" s="2" t="s">
        <v>1934</v>
      </c>
      <c r="G329" s="2437"/>
      <c r="H329" s="2437"/>
      <c r="I329" s="2437"/>
      <c r="J329" s="2437"/>
      <c r="K329" s="2437"/>
      <c r="L329" s="2437"/>
      <c r="M329" s="2437"/>
      <c r="N329" s="2437"/>
      <c r="O329" s="2437"/>
      <c r="P329" s="2437"/>
      <c r="Q329" s="2"/>
      <c r="R329" s="2"/>
      <c r="S329" s="2"/>
      <c r="T329" s="2"/>
      <c r="U329" s="2"/>
      <c r="V329" s="2"/>
      <c r="W329" t="s">
        <v>2062</v>
      </c>
    </row>
    <row r="330" spans="1:23" ht="13.15" customHeight="1">
      <c r="A330" s="2" t="s">
        <v>2190</v>
      </c>
      <c r="B330" s="2">
        <f t="shared" si="10"/>
        <v>2020</v>
      </c>
      <c r="C330" s="2" t="str">
        <f t="shared" si="11"/>
        <v>LIM333</v>
      </c>
      <c r="D330" s="2417">
        <v>1101</v>
      </c>
      <c r="E330" s="2">
        <v>16</v>
      </c>
      <c r="F330" s="2" t="s">
        <v>685</v>
      </c>
      <c r="G330" s="2437"/>
      <c r="H330" s="2437"/>
      <c r="I330" s="2437"/>
      <c r="J330" s="2437"/>
      <c r="K330" s="2437"/>
      <c r="L330" s="2437"/>
      <c r="M330" s="2437"/>
      <c r="N330" s="2437"/>
      <c r="O330" s="2437"/>
      <c r="P330" s="2437"/>
      <c r="Q330" s="2"/>
      <c r="R330" s="2"/>
      <c r="S330" s="2"/>
      <c r="T330" s="2"/>
      <c r="U330" s="2"/>
      <c r="V330" s="2"/>
      <c r="W330" t="s">
        <v>2062</v>
      </c>
    </row>
    <row r="331" spans="1:23" ht="13.15" customHeight="1">
      <c r="A331" s="2" t="s">
        <v>2190</v>
      </c>
      <c r="B331" s="2">
        <f t="shared" si="10"/>
        <v>2020</v>
      </c>
      <c r="C331" s="2" t="str">
        <f t="shared" si="11"/>
        <v>LIM333</v>
      </c>
      <c r="D331" s="2417">
        <v>1102</v>
      </c>
      <c r="E331" s="2">
        <v>17</v>
      </c>
      <c r="F331" s="2" t="s">
        <v>468</v>
      </c>
      <c r="G331" s="2437"/>
      <c r="H331" s="2437"/>
      <c r="I331" s="2437"/>
      <c r="J331" s="2437"/>
      <c r="K331" s="2437"/>
      <c r="L331" s="2437"/>
      <c r="M331" s="2437"/>
      <c r="N331" s="2437"/>
      <c r="O331" s="2437"/>
      <c r="P331" s="2437"/>
      <c r="Q331" s="2"/>
      <c r="R331" s="2"/>
      <c r="S331" s="2"/>
      <c r="T331" s="2"/>
      <c r="U331" s="2"/>
      <c r="V331" s="2"/>
      <c r="W331" t="s">
        <v>2062</v>
      </c>
    </row>
    <row r="332" spans="1:23" ht="13.15" customHeight="1">
      <c r="A332" s="2" t="s">
        <v>2190</v>
      </c>
      <c r="B332" s="2">
        <f t="shared" si="10"/>
        <v>2020</v>
      </c>
      <c r="C332" s="2" t="str">
        <f t="shared" si="11"/>
        <v>LIM333</v>
      </c>
      <c r="D332" s="2417">
        <v>1103</v>
      </c>
      <c r="E332" s="2">
        <v>18</v>
      </c>
      <c r="F332" s="2" t="s">
        <v>1369</v>
      </c>
      <c r="G332" s="2437"/>
      <c r="H332" s="2437"/>
      <c r="I332" s="2437"/>
      <c r="J332" s="2437"/>
      <c r="K332" s="2437"/>
      <c r="L332" s="2437"/>
      <c r="M332" s="2437"/>
      <c r="N332" s="2437"/>
      <c r="O332" s="2437"/>
      <c r="P332" s="2437"/>
      <c r="Q332" s="2"/>
      <c r="R332" s="2"/>
      <c r="S332" s="2"/>
      <c r="T332" s="2"/>
      <c r="U332" s="2"/>
      <c r="V332" s="2"/>
      <c r="W332" t="s">
        <v>2062</v>
      </c>
    </row>
    <row r="333" spans="1:23" ht="13.15" customHeight="1">
      <c r="A333" s="2" t="s">
        <v>2190</v>
      </c>
      <c r="B333" s="2">
        <f t="shared" si="10"/>
        <v>2020</v>
      </c>
      <c r="C333" s="2" t="str">
        <f t="shared" si="11"/>
        <v>LIM333</v>
      </c>
      <c r="D333" s="2417">
        <v>1110</v>
      </c>
      <c r="E333" s="2">
        <v>19</v>
      </c>
      <c r="F333" s="2" t="s">
        <v>1370</v>
      </c>
      <c r="G333" s="2437"/>
      <c r="H333" s="2437"/>
      <c r="I333" s="2437"/>
      <c r="J333" s="2437"/>
      <c r="K333" s="2437"/>
      <c r="L333" s="2437"/>
      <c r="M333" s="2437"/>
      <c r="N333" s="2437"/>
      <c r="O333" s="2437"/>
      <c r="P333" s="2437"/>
      <c r="Q333" s="2"/>
      <c r="R333" s="2"/>
      <c r="S333" s="2"/>
      <c r="T333" s="2"/>
      <c r="U333" s="2"/>
      <c r="V333" s="2"/>
      <c r="W333" t="s">
        <v>2062</v>
      </c>
    </row>
    <row r="334" spans="1:23" ht="13.15" customHeight="1">
      <c r="A334" s="2" t="s">
        <v>2190</v>
      </c>
      <c r="B334" s="2">
        <f t="shared" si="10"/>
        <v>2020</v>
      </c>
      <c r="C334" s="2" t="str">
        <f t="shared" si="11"/>
        <v>LIM333</v>
      </c>
      <c r="D334" s="2417">
        <v>1107</v>
      </c>
      <c r="E334" s="2">
        <v>20</v>
      </c>
      <c r="F334" s="2" t="s">
        <v>1371</v>
      </c>
      <c r="G334" s="2437"/>
      <c r="H334" s="2437"/>
      <c r="I334" s="2437"/>
      <c r="J334" s="2437"/>
      <c r="K334" s="2437"/>
      <c r="L334" s="2437"/>
      <c r="M334" s="2437"/>
      <c r="N334" s="2437"/>
      <c r="O334" s="2437"/>
      <c r="P334" s="2437"/>
      <c r="Q334" s="2"/>
      <c r="R334" s="2"/>
      <c r="S334" s="2"/>
      <c r="T334" s="2"/>
      <c r="U334" s="2"/>
      <c r="V334" s="2"/>
      <c r="W334" t="s">
        <v>2062</v>
      </c>
    </row>
    <row r="335" spans="1:23" ht="13.15" customHeight="1">
      <c r="A335" s="2" t="s">
        <v>2190</v>
      </c>
      <c r="B335" s="2">
        <f t="shared" si="10"/>
        <v>2020</v>
      </c>
      <c r="C335" s="2" t="str">
        <f t="shared" si="11"/>
        <v>LIM333</v>
      </c>
      <c r="D335" s="2417">
        <v>1104</v>
      </c>
      <c r="E335" s="2">
        <v>21</v>
      </c>
      <c r="F335" s="2" t="s">
        <v>705</v>
      </c>
      <c r="G335" s="2437"/>
      <c r="H335" s="2437"/>
      <c r="I335" s="2437"/>
      <c r="J335" s="2437"/>
      <c r="K335" s="2437"/>
      <c r="L335" s="2437"/>
      <c r="M335" s="2437"/>
      <c r="N335" s="2437"/>
      <c r="O335" s="2437"/>
      <c r="P335" s="2437"/>
      <c r="Q335" s="2"/>
      <c r="R335" s="2"/>
      <c r="S335" s="2"/>
      <c r="T335" s="2"/>
      <c r="U335" s="2"/>
      <c r="V335" s="2"/>
      <c r="W335" t="s">
        <v>2062</v>
      </c>
    </row>
    <row r="336" spans="1:23" ht="13.15" customHeight="1">
      <c r="A336" s="2" t="s">
        <v>2190</v>
      </c>
      <c r="B336" s="2">
        <f t="shared" si="10"/>
        <v>2020</v>
      </c>
      <c r="C336" s="2" t="str">
        <f t="shared" si="11"/>
        <v>LIM333</v>
      </c>
      <c r="D336" s="2417">
        <v>1105</v>
      </c>
      <c r="E336" s="2">
        <v>22</v>
      </c>
      <c r="F336" s="2" t="s">
        <v>828</v>
      </c>
      <c r="G336" s="2437"/>
      <c r="H336" s="2437"/>
      <c r="I336" s="2437"/>
      <c r="J336" s="2437"/>
      <c r="K336" s="2437"/>
      <c r="L336" s="2437"/>
      <c r="M336" s="2437"/>
      <c r="N336" s="2437"/>
      <c r="O336" s="2437"/>
      <c r="P336" s="2437"/>
      <c r="Q336" s="2"/>
      <c r="R336" s="2"/>
      <c r="S336" s="2"/>
      <c r="T336" s="2"/>
      <c r="U336" s="2"/>
      <c r="V336" s="2"/>
      <c r="W336" t="s">
        <v>2062</v>
      </c>
    </row>
    <row r="337" spans="1:23" ht="13.15" customHeight="1">
      <c r="A337" s="2" t="s">
        <v>2190</v>
      </c>
      <c r="B337" s="2">
        <f t="shared" si="10"/>
        <v>2020</v>
      </c>
      <c r="C337" s="2" t="str">
        <f t="shared" si="11"/>
        <v>LIM333</v>
      </c>
      <c r="D337" s="2417">
        <v>1106</v>
      </c>
      <c r="E337" s="2">
        <v>23</v>
      </c>
      <c r="F337" s="2" t="s">
        <v>570</v>
      </c>
      <c r="G337" s="2437"/>
      <c r="H337" s="2437"/>
      <c r="I337" s="2437"/>
      <c r="J337" s="2437"/>
      <c r="K337" s="2437"/>
      <c r="L337" s="2437"/>
      <c r="M337" s="2437"/>
      <c r="N337" s="2437"/>
      <c r="O337" s="2437"/>
      <c r="P337" s="2437"/>
      <c r="Q337" s="2"/>
      <c r="R337" s="2"/>
      <c r="S337" s="2"/>
      <c r="T337" s="2"/>
      <c r="U337" s="2"/>
      <c r="V337" s="2"/>
      <c r="W337" t="s">
        <v>2062</v>
      </c>
    </row>
    <row r="338" spans="1:23" ht="13.15" customHeight="1">
      <c r="A338" s="2" t="s">
        <v>2190</v>
      </c>
      <c r="B338" s="2">
        <f t="shared" si="10"/>
        <v>2020</v>
      </c>
      <c r="C338" s="2" t="str">
        <f t="shared" si="11"/>
        <v>LIM333</v>
      </c>
      <c r="D338" s="2417">
        <v>1108</v>
      </c>
      <c r="E338" s="2">
        <v>24</v>
      </c>
      <c r="F338" s="2" t="s">
        <v>245</v>
      </c>
      <c r="G338" s="2437"/>
      <c r="H338" s="2437"/>
      <c r="I338" s="2437"/>
      <c r="J338" s="2437"/>
      <c r="K338" s="2437"/>
      <c r="L338" s="2437"/>
      <c r="M338" s="2437"/>
      <c r="N338" s="2437"/>
      <c r="O338" s="2437"/>
      <c r="P338" s="2437"/>
      <c r="Q338" s="2"/>
      <c r="R338" s="2"/>
      <c r="S338" s="2"/>
      <c r="T338" s="2"/>
      <c r="U338" s="2"/>
      <c r="V338" s="2"/>
      <c r="W338" t="s">
        <v>2062</v>
      </c>
    </row>
    <row r="339" spans="1:23" ht="13.15" customHeight="1">
      <c r="A339" s="2" t="s">
        <v>2190</v>
      </c>
      <c r="B339" s="2">
        <f t="shared" si="10"/>
        <v>2020</v>
      </c>
      <c r="C339" s="2" t="str">
        <f t="shared" si="11"/>
        <v>LIM333</v>
      </c>
      <c r="D339" s="2417">
        <v>1190</v>
      </c>
      <c r="E339" s="2">
        <v>25</v>
      </c>
      <c r="F339" s="2" t="s">
        <v>117</v>
      </c>
      <c r="G339" s="2437"/>
      <c r="H339" s="2437"/>
      <c r="I339" s="2437"/>
      <c r="J339" s="2437"/>
      <c r="K339" s="2437"/>
      <c r="L339" s="2437"/>
      <c r="M339" s="2437"/>
      <c r="N339" s="2437"/>
      <c r="O339" s="2437"/>
      <c r="P339" s="2437"/>
      <c r="Q339" s="2"/>
      <c r="R339" s="2437"/>
      <c r="S339" s="2437"/>
      <c r="T339" s="2437"/>
      <c r="U339" s="2437"/>
      <c r="V339" s="2437"/>
      <c r="W339" t="s">
        <v>2062</v>
      </c>
    </row>
    <row r="340" spans="1:23" ht="13.15" customHeight="1">
      <c r="A340" s="2" t="s">
        <v>2190</v>
      </c>
      <c r="B340" s="2">
        <f t="shared" si="10"/>
        <v>2020</v>
      </c>
      <c r="C340" s="2" t="str">
        <f t="shared" si="11"/>
        <v>LIM333</v>
      </c>
      <c r="D340" s="2417">
        <v>1191</v>
      </c>
      <c r="E340" s="2">
        <v>26</v>
      </c>
      <c r="F340" s="2" t="s">
        <v>684</v>
      </c>
      <c r="G340" s="2437"/>
      <c r="H340" s="2437"/>
      <c r="I340" s="2437"/>
      <c r="J340" s="2437"/>
      <c r="K340" s="2437"/>
      <c r="L340" s="2437"/>
      <c r="M340" s="2437"/>
      <c r="N340" s="2437"/>
      <c r="O340" s="2437"/>
      <c r="P340" s="2437"/>
      <c r="Q340" s="2"/>
      <c r="R340" s="2"/>
      <c r="S340" s="2"/>
      <c r="T340" s="2"/>
      <c r="U340" s="2"/>
      <c r="V340" s="2"/>
      <c r="W340" t="s">
        <v>2062</v>
      </c>
    </row>
    <row r="341" spans="1:23" ht="13.15" customHeight="1">
      <c r="A341" s="2" t="s">
        <v>2190</v>
      </c>
      <c r="B341" s="2">
        <f t="shared" si="10"/>
        <v>2020</v>
      </c>
      <c r="C341" s="2" t="str">
        <f t="shared" si="11"/>
        <v>LIM333</v>
      </c>
      <c r="D341" s="2417">
        <v>1195</v>
      </c>
      <c r="E341" s="2">
        <v>27</v>
      </c>
      <c r="F341" s="2" t="s">
        <v>707</v>
      </c>
      <c r="G341" s="2437"/>
      <c r="H341" s="2437"/>
      <c r="I341" s="2437"/>
      <c r="J341" s="2437"/>
      <c r="K341" s="2437"/>
      <c r="L341" s="2437"/>
      <c r="M341" s="2437"/>
      <c r="N341" s="2437"/>
      <c r="O341" s="2437"/>
      <c r="P341" s="2437"/>
      <c r="Q341" s="2"/>
      <c r="R341" s="2437"/>
      <c r="S341" s="2437"/>
      <c r="T341" s="2437"/>
      <c r="U341" s="2437"/>
      <c r="V341" s="2437"/>
      <c r="W341" t="s">
        <v>2062</v>
      </c>
    </row>
    <row r="342" spans="1:23" ht="13.15" customHeight="1">
      <c r="A342" s="2" t="s">
        <v>2190</v>
      </c>
      <c r="B342" s="2">
        <f t="shared" si="10"/>
        <v>2020</v>
      </c>
      <c r="C342" s="2" t="str">
        <f t="shared" si="11"/>
        <v>LIM333</v>
      </c>
      <c r="D342" s="2417">
        <v>1196</v>
      </c>
      <c r="E342" s="2">
        <v>28</v>
      </c>
      <c r="F342" s="2" t="s">
        <v>113</v>
      </c>
      <c r="G342" s="2437"/>
      <c r="H342" s="2437"/>
      <c r="I342" s="2437"/>
      <c r="J342" s="2437"/>
      <c r="K342" s="2437"/>
      <c r="L342" s="2437"/>
      <c r="M342" s="2437"/>
      <c r="N342" s="2437"/>
      <c r="O342" s="2437"/>
      <c r="P342" s="2437"/>
      <c r="Q342" s="2"/>
      <c r="R342" s="2437"/>
      <c r="S342" s="2437"/>
      <c r="T342" s="2437"/>
      <c r="U342" s="2437"/>
      <c r="V342" s="2437"/>
      <c r="W342" t="s">
        <v>2062</v>
      </c>
    </row>
    <row r="343" spans="1:23" ht="13.15" customHeight="1">
      <c r="A343" s="2" t="s">
        <v>2190</v>
      </c>
      <c r="B343" s="2">
        <f t="shared" si="10"/>
        <v>2020</v>
      </c>
      <c r="C343" s="2" t="str">
        <f t="shared" si="11"/>
        <v>LIM333</v>
      </c>
      <c r="D343" s="2417"/>
      <c r="E343" s="2"/>
      <c r="F343" s="2"/>
      <c r="G343" s="2437"/>
      <c r="H343" s="2437"/>
      <c r="I343" s="2437"/>
      <c r="J343" s="2437"/>
      <c r="K343" s="2437"/>
      <c r="L343" s="2437"/>
      <c r="M343" s="2437"/>
      <c r="N343" s="2437"/>
      <c r="O343" s="2437"/>
      <c r="P343" s="2437"/>
      <c r="Q343" s="2"/>
      <c r="R343" s="2"/>
      <c r="S343" s="2"/>
      <c r="T343" s="2"/>
      <c r="U343" s="2"/>
      <c r="V343" s="2"/>
      <c r="W343" t="s">
        <v>2062</v>
      </c>
    </row>
    <row r="344" spans="1:23" ht="13.15" customHeight="1">
      <c r="A344" s="2" t="s">
        <v>2190</v>
      </c>
      <c r="B344" s="2">
        <f t="shared" si="10"/>
        <v>2020</v>
      </c>
      <c r="C344" s="2" t="str">
        <f t="shared" si="11"/>
        <v>LIM333</v>
      </c>
      <c r="D344" s="2417">
        <v>1200</v>
      </c>
      <c r="E344" s="2">
        <v>29</v>
      </c>
      <c r="F344" s="2" t="s">
        <v>2191</v>
      </c>
      <c r="G344" s="2437"/>
      <c r="H344" s="2437"/>
      <c r="I344" s="2437"/>
      <c r="J344" s="2437"/>
      <c r="K344" s="2437"/>
      <c r="L344" s="2437"/>
      <c r="M344" s="2437"/>
      <c r="N344" s="2437"/>
      <c r="O344" s="2437"/>
      <c r="P344" s="2437"/>
      <c r="Q344" s="2"/>
      <c r="R344" s="2"/>
      <c r="S344" s="2"/>
      <c r="T344" s="2"/>
      <c r="U344" s="2"/>
      <c r="V344" s="2"/>
      <c r="W344" t="s">
        <v>2062</v>
      </c>
    </row>
    <row r="345" spans="1:23" ht="13.15" customHeight="1">
      <c r="A345" s="2" t="s">
        <v>2190</v>
      </c>
      <c r="B345" s="2">
        <f t="shared" si="10"/>
        <v>2020</v>
      </c>
      <c r="C345" s="2" t="str">
        <f t="shared" si="11"/>
        <v>LIM333</v>
      </c>
      <c r="D345" s="2417">
        <v>1201</v>
      </c>
      <c r="E345" s="2">
        <v>30</v>
      </c>
      <c r="F345" s="2" t="s">
        <v>685</v>
      </c>
      <c r="G345" s="2437"/>
      <c r="H345" s="2437"/>
      <c r="I345" s="2437"/>
      <c r="J345" s="2437"/>
      <c r="K345" s="2437"/>
      <c r="L345" s="2437"/>
      <c r="M345" s="2437"/>
      <c r="N345" s="2437"/>
      <c r="O345" s="2437"/>
      <c r="P345" s="2437"/>
      <c r="Q345" s="2"/>
      <c r="R345" s="2"/>
      <c r="S345" s="2"/>
      <c r="T345" s="2"/>
      <c r="U345" s="2"/>
      <c r="V345" s="2"/>
      <c r="W345" t="s">
        <v>2062</v>
      </c>
    </row>
    <row r="346" spans="1:23" ht="13.15" customHeight="1">
      <c r="A346" s="2" t="s">
        <v>2190</v>
      </c>
      <c r="B346" s="2">
        <f t="shared" si="10"/>
        <v>2020</v>
      </c>
      <c r="C346" s="2" t="str">
        <f t="shared" si="11"/>
        <v>LIM333</v>
      </c>
      <c r="D346" s="2417">
        <v>1202</v>
      </c>
      <c r="E346" s="2">
        <v>31</v>
      </c>
      <c r="F346" s="2" t="s">
        <v>468</v>
      </c>
      <c r="G346" s="2437"/>
      <c r="H346" s="2437"/>
      <c r="I346" s="2437"/>
      <c r="J346" s="2437"/>
      <c r="K346" s="2437"/>
      <c r="L346" s="2437"/>
      <c r="M346" s="2437"/>
      <c r="N346" s="2437"/>
      <c r="O346" s="2437"/>
      <c r="P346" s="2437"/>
      <c r="Q346" s="2"/>
      <c r="R346" s="2"/>
      <c r="S346" s="2"/>
      <c r="T346" s="2"/>
      <c r="U346" s="2"/>
      <c r="V346" s="2"/>
      <c r="W346" t="s">
        <v>2062</v>
      </c>
    </row>
    <row r="347" spans="1:23" ht="13.15" customHeight="1">
      <c r="A347" s="2" t="s">
        <v>2190</v>
      </c>
      <c r="B347" s="2">
        <f t="shared" si="10"/>
        <v>2020</v>
      </c>
      <c r="C347" s="2" t="str">
        <f t="shared" si="11"/>
        <v>LIM333</v>
      </c>
      <c r="D347" s="2417">
        <v>1203</v>
      </c>
      <c r="E347" s="2">
        <v>32</v>
      </c>
      <c r="F347" s="2" t="s">
        <v>1369</v>
      </c>
      <c r="G347" s="2437"/>
      <c r="H347" s="2437"/>
      <c r="I347" s="2437"/>
      <c r="J347" s="2437"/>
      <c r="K347" s="2437"/>
      <c r="L347" s="2437"/>
      <c r="M347" s="2437"/>
      <c r="N347" s="2437"/>
      <c r="O347" s="2437"/>
      <c r="P347" s="2437"/>
      <c r="Q347" s="2"/>
      <c r="R347" s="2"/>
      <c r="S347" s="2"/>
      <c r="T347" s="2"/>
      <c r="U347" s="2"/>
      <c r="V347" s="2"/>
      <c r="W347" t="s">
        <v>2062</v>
      </c>
    </row>
    <row r="348" spans="1:23" ht="13.15" customHeight="1">
      <c r="A348" s="2" t="s">
        <v>2190</v>
      </c>
      <c r="B348" s="2">
        <f t="shared" si="10"/>
        <v>2020</v>
      </c>
      <c r="C348" s="2" t="str">
        <f t="shared" si="11"/>
        <v>LIM333</v>
      </c>
      <c r="D348" s="2417">
        <v>1207</v>
      </c>
      <c r="E348" s="2">
        <v>33</v>
      </c>
      <c r="F348" s="2" t="s">
        <v>1370</v>
      </c>
      <c r="G348" s="2437"/>
      <c r="H348" s="2437"/>
      <c r="I348" s="2437"/>
      <c r="J348" s="2437"/>
      <c r="K348" s="2437"/>
      <c r="L348" s="2437"/>
      <c r="M348" s="2437"/>
      <c r="N348" s="2437"/>
      <c r="O348" s="2437"/>
      <c r="P348" s="2437"/>
      <c r="Q348" s="2"/>
      <c r="R348" s="2"/>
      <c r="S348" s="2"/>
      <c r="T348" s="2"/>
      <c r="U348" s="2"/>
      <c r="V348" s="2"/>
      <c r="W348" t="s">
        <v>2062</v>
      </c>
    </row>
    <row r="349" spans="1:23" ht="13.15" customHeight="1">
      <c r="A349" s="2" t="s">
        <v>2190</v>
      </c>
      <c r="B349" s="2">
        <f t="shared" si="10"/>
        <v>2020</v>
      </c>
      <c r="C349" s="2" t="str">
        <f t="shared" si="11"/>
        <v>LIM333</v>
      </c>
      <c r="D349" s="2417">
        <v>1208</v>
      </c>
      <c r="E349" s="2">
        <v>34</v>
      </c>
      <c r="F349" s="2" t="s">
        <v>1371</v>
      </c>
      <c r="G349" s="2437"/>
      <c r="H349" s="2437"/>
      <c r="I349" s="2437"/>
      <c r="J349" s="2437"/>
      <c r="K349" s="2437"/>
      <c r="L349" s="2437"/>
      <c r="M349" s="2437"/>
      <c r="N349" s="2437"/>
      <c r="O349" s="2437"/>
      <c r="P349" s="2437"/>
      <c r="Q349" s="2"/>
      <c r="R349" s="2"/>
      <c r="S349" s="2"/>
      <c r="T349" s="2"/>
      <c r="U349" s="2"/>
      <c r="V349" s="2"/>
      <c r="W349" t="s">
        <v>2062</v>
      </c>
    </row>
    <row r="350" spans="1:23" ht="13.15" customHeight="1">
      <c r="A350" s="2" t="s">
        <v>2190</v>
      </c>
      <c r="B350" s="2">
        <f t="shared" si="10"/>
        <v>2020</v>
      </c>
      <c r="C350" s="2" t="str">
        <f t="shared" si="11"/>
        <v>LIM333</v>
      </c>
      <c r="D350" s="2417">
        <v>1204</v>
      </c>
      <c r="E350" s="2">
        <v>35</v>
      </c>
      <c r="F350" s="2" t="s">
        <v>705</v>
      </c>
      <c r="G350" s="2437"/>
      <c r="H350" s="2437"/>
      <c r="I350" s="2437"/>
      <c r="J350" s="2437"/>
      <c r="K350" s="2437"/>
      <c r="L350" s="2437"/>
      <c r="M350" s="2437"/>
      <c r="N350" s="2437"/>
      <c r="O350" s="2437"/>
      <c r="P350" s="2437"/>
      <c r="Q350" s="2"/>
      <c r="R350" s="2"/>
      <c r="S350" s="2"/>
      <c r="T350" s="2"/>
      <c r="U350" s="2"/>
      <c r="V350" s="2"/>
      <c r="W350" t="s">
        <v>2062</v>
      </c>
    </row>
    <row r="351" spans="1:23" ht="13.15" customHeight="1">
      <c r="A351" s="2" t="s">
        <v>2190</v>
      </c>
      <c r="B351" s="2">
        <f t="shared" si="10"/>
        <v>2020</v>
      </c>
      <c r="C351" s="2" t="str">
        <f t="shared" si="11"/>
        <v>LIM333</v>
      </c>
      <c r="D351" s="2417">
        <v>1205</v>
      </c>
      <c r="E351" s="2">
        <v>36</v>
      </c>
      <c r="F351" s="2" t="s">
        <v>828</v>
      </c>
      <c r="G351" s="2437"/>
      <c r="H351" s="2437"/>
      <c r="I351" s="2437"/>
      <c r="J351" s="2437"/>
      <c r="K351" s="2437"/>
      <c r="L351" s="2437"/>
      <c r="M351" s="2437"/>
      <c r="N351" s="2437"/>
      <c r="O351" s="2437"/>
      <c r="P351" s="2437"/>
      <c r="Q351" s="2"/>
      <c r="R351" s="2"/>
      <c r="S351" s="2"/>
      <c r="T351" s="2"/>
      <c r="U351" s="2"/>
      <c r="V351" s="2"/>
      <c r="W351" t="s">
        <v>2062</v>
      </c>
    </row>
    <row r="352" spans="1:23" ht="13.15" customHeight="1">
      <c r="A352" s="2" t="s">
        <v>2190</v>
      </c>
      <c r="B352" s="2">
        <f t="shared" si="10"/>
        <v>2020</v>
      </c>
      <c r="C352" s="2" t="str">
        <f t="shared" si="11"/>
        <v>LIM333</v>
      </c>
      <c r="D352" s="2417">
        <v>1206</v>
      </c>
      <c r="E352" s="2">
        <v>37</v>
      </c>
      <c r="F352" s="2" t="s">
        <v>570</v>
      </c>
      <c r="G352" s="2437"/>
      <c r="H352" s="2437"/>
      <c r="I352" s="2437"/>
      <c r="J352" s="2437"/>
      <c r="K352" s="2437"/>
      <c r="L352" s="2437"/>
      <c r="M352" s="2437"/>
      <c r="N352" s="2437"/>
      <c r="O352" s="2437"/>
      <c r="P352" s="2437"/>
      <c r="Q352" s="2"/>
      <c r="R352" s="2"/>
      <c r="S352" s="2"/>
      <c r="T352" s="2"/>
      <c r="U352" s="2"/>
      <c r="V352" s="2"/>
      <c r="W352" t="s">
        <v>2062</v>
      </c>
    </row>
    <row r="353" spans="1:23" ht="13.15" customHeight="1">
      <c r="A353" s="2" t="s">
        <v>2190</v>
      </c>
      <c r="B353" s="2">
        <f t="shared" si="10"/>
        <v>2020</v>
      </c>
      <c r="C353" s="2" t="str">
        <f t="shared" si="11"/>
        <v>LIM333</v>
      </c>
      <c r="D353" s="2417">
        <v>1209</v>
      </c>
      <c r="E353" s="2">
        <v>38</v>
      </c>
      <c r="F353" s="2" t="s">
        <v>245</v>
      </c>
      <c r="G353" s="2437"/>
      <c r="H353" s="2437"/>
      <c r="I353" s="2437"/>
      <c r="J353" s="2437"/>
      <c r="K353" s="2437"/>
      <c r="L353" s="2437"/>
      <c r="M353" s="2437"/>
      <c r="N353" s="2437"/>
      <c r="O353" s="2437"/>
      <c r="P353" s="2437"/>
      <c r="Q353" s="2"/>
      <c r="R353" s="2"/>
      <c r="S353" s="2"/>
      <c r="T353" s="2"/>
      <c r="U353" s="2"/>
      <c r="V353" s="2"/>
      <c r="W353" t="s">
        <v>2062</v>
      </c>
    </row>
    <row r="354" spans="1:23" ht="13.15" customHeight="1">
      <c r="A354" s="2" t="s">
        <v>2190</v>
      </c>
      <c r="B354" s="2">
        <f t="shared" si="10"/>
        <v>2020</v>
      </c>
      <c r="C354" s="2" t="str">
        <f t="shared" si="11"/>
        <v>LIM333</v>
      </c>
      <c r="D354" s="2417">
        <v>1290</v>
      </c>
      <c r="E354" s="2">
        <v>39</v>
      </c>
      <c r="F354" s="2" t="s">
        <v>117</v>
      </c>
      <c r="G354" s="2437"/>
      <c r="H354" s="2437"/>
      <c r="I354" s="2437"/>
      <c r="J354" s="2437"/>
      <c r="K354" s="2437"/>
      <c r="L354" s="2437"/>
      <c r="M354" s="2437"/>
      <c r="N354" s="2437"/>
      <c r="O354" s="2437"/>
      <c r="P354" s="2437"/>
      <c r="Q354" s="2"/>
      <c r="R354" s="2437"/>
      <c r="S354" s="2437"/>
      <c r="T354" s="2437"/>
      <c r="U354" s="2437"/>
      <c r="V354" s="2437"/>
      <c r="W354" t="s">
        <v>2062</v>
      </c>
    </row>
    <row r="355" spans="1:23" ht="13.15" customHeight="1">
      <c r="A355" s="2" t="s">
        <v>2190</v>
      </c>
      <c r="B355" s="2">
        <f t="shared" si="10"/>
        <v>2020</v>
      </c>
      <c r="C355" s="2" t="str">
        <f t="shared" si="11"/>
        <v>LIM333</v>
      </c>
      <c r="D355" s="2417">
        <v>1291</v>
      </c>
      <c r="E355" s="2">
        <v>40</v>
      </c>
      <c r="F355" s="2" t="s">
        <v>684</v>
      </c>
      <c r="G355" s="2437"/>
      <c r="H355" s="2437"/>
      <c r="I355" s="2437"/>
      <c r="J355" s="2437"/>
      <c r="K355" s="2437"/>
      <c r="L355" s="2437"/>
      <c r="M355" s="2437"/>
      <c r="N355" s="2437"/>
      <c r="O355" s="2437"/>
      <c r="P355" s="2437"/>
      <c r="Q355" s="2"/>
      <c r="R355" s="2"/>
      <c r="S355" s="2"/>
      <c r="T355" s="2"/>
      <c r="U355" s="2"/>
      <c r="V355" s="2"/>
      <c r="W355" t="s">
        <v>2062</v>
      </c>
    </row>
    <row r="356" spans="1:23" ht="13.15" customHeight="1">
      <c r="A356" s="2" t="s">
        <v>2190</v>
      </c>
      <c r="B356" s="2">
        <f t="shared" si="10"/>
        <v>2020</v>
      </c>
      <c r="C356" s="2" t="str">
        <f t="shared" si="11"/>
        <v>LIM333</v>
      </c>
      <c r="D356" s="2417">
        <v>1295</v>
      </c>
      <c r="E356" s="2425">
        <v>41</v>
      </c>
      <c r="F356" s="2" t="s">
        <v>707</v>
      </c>
      <c r="G356" s="2437"/>
      <c r="H356" s="2437"/>
      <c r="I356" s="2437"/>
      <c r="J356" s="2437"/>
      <c r="K356" s="2437"/>
      <c r="L356" s="2437"/>
      <c r="M356" s="2437"/>
      <c r="N356" s="2437"/>
      <c r="O356" s="2437"/>
      <c r="P356" s="2437"/>
      <c r="Q356" s="2"/>
      <c r="R356" s="2437"/>
      <c r="S356" s="2437"/>
      <c r="T356" s="2437"/>
      <c r="U356" s="2437"/>
      <c r="V356" s="2437"/>
      <c r="W356" t="s">
        <v>2062</v>
      </c>
    </row>
    <row r="357" spans="1:23" ht="13.15" customHeight="1">
      <c r="A357" s="2" t="s">
        <v>2190</v>
      </c>
      <c r="B357" s="2">
        <f t="shared" si="10"/>
        <v>2020</v>
      </c>
      <c r="C357" s="2" t="str">
        <f t="shared" si="11"/>
        <v>LIM333</v>
      </c>
      <c r="D357" s="2417">
        <v>1296</v>
      </c>
      <c r="E357" s="2425">
        <v>42</v>
      </c>
      <c r="F357" s="2" t="s">
        <v>113</v>
      </c>
      <c r="G357" s="2437"/>
      <c r="H357" s="2437"/>
      <c r="I357" s="2437"/>
      <c r="J357" s="2437"/>
      <c r="K357" s="2437"/>
      <c r="L357" s="2437"/>
      <c r="M357" s="2437"/>
      <c r="N357" s="2437"/>
      <c r="O357" s="2437"/>
      <c r="P357" s="2437"/>
      <c r="Q357" s="2"/>
      <c r="R357" s="2437"/>
      <c r="S357" s="2437"/>
      <c r="T357" s="2437"/>
      <c r="U357" s="2437"/>
      <c r="V357" s="2437"/>
      <c r="W357" t="s">
        <v>2062</v>
      </c>
    </row>
    <row r="358" spans="1:23" ht="13.15" customHeight="1">
      <c r="A358" s="2" t="s">
        <v>2192</v>
      </c>
      <c r="B358" s="2">
        <f t="shared" si="10"/>
        <v>2020</v>
      </c>
      <c r="C358" s="2" t="str">
        <f t="shared" si="11"/>
        <v>LIM333</v>
      </c>
      <c r="D358" s="2417">
        <v>1000</v>
      </c>
      <c r="E358" s="2">
        <v>1</v>
      </c>
      <c r="F358" s="2" t="s">
        <v>652</v>
      </c>
      <c r="G358" s="2415"/>
      <c r="H358" s="2415"/>
      <c r="I358" s="2415"/>
      <c r="J358" s="2415"/>
      <c r="K358" s="2415"/>
      <c r="L358" s="2415"/>
      <c r="M358" s="2415"/>
      <c r="N358" s="2415"/>
      <c r="O358" s="2415"/>
      <c r="P358" s="2"/>
      <c r="Q358" s="2415"/>
      <c r="R358" s="2415"/>
      <c r="S358" s="2415"/>
      <c r="T358" s="2415"/>
      <c r="U358" s="2415"/>
      <c r="V358" s="2415"/>
      <c r="W358" t="s">
        <v>2062</v>
      </c>
    </row>
    <row r="359" spans="1:23" ht="13.15" customHeight="1">
      <c r="A359" s="2" t="s">
        <v>2192</v>
      </c>
      <c r="B359" s="2">
        <f t="shared" si="10"/>
        <v>2020</v>
      </c>
      <c r="C359" s="2" t="str">
        <f t="shared" si="11"/>
        <v>LIM333</v>
      </c>
      <c r="D359" s="2417">
        <v>1001</v>
      </c>
      <c r="E359" s="2">
        <v>2</v>
      </c>
      <c r="F359" s="2" t="s">
        <v>1142</v>
      </c>
      <c r="G359" s="2415"/>
      <c r="H359" s="2415"/>
      <c r="I359" s="2415"/>
      <c r="J359" s="2415"/>
      <c r="K359" s="2415"/>
      <c r="L359" s="2415"/>
      <c r="M359" s="2415"/>
      <c r="N359" s="2415"/>
      <c r="O359" s="2415"/>
      <c r="P359" s="2"/>
      <c r="Q359" s="2415"/>
      <c r="R359" s="2415"/>
      <c r="S359" s="2415"/>
      <c r="T359" s="2415"/>
      <c r="U359" s="2415"/>
      <c r="V359" s="2415"/>
      <c r="W359" t="s">
        <v>2062</v>
      </c>
    </row>
    <row r="360" spans="1:23" ht="13.15" customHeight="1">
      <c r="A360" s="2" t="s">
        <v>2192</v>
      </c>
      <c r="B360" s="2">
        <f t="shared" si="10"/>
        <v>2020</v>
      </c>
      <c r="C360" s="2" t="str">
        <f t="shared" si="11"/>
        <v>LIM333</v>
      </c>
      <c r="D360" s="2417">
        <v>1002</v>
      </c>
      <c r="E360" s="2">
        <v>3</v>
      </c>
      <c r="F360" s="2" t="s">
        <v>1799</v>
      </c>
      <c r="G360" s="2415"/>
      <c r="H360" s="2415"/>
      <c r="I360" s="2415"/>
      <c r="J360" s="2415"/>
      <c r="K360" s="2415"/>
      <c r="L360" s="2415"/>
      <c r="M360" s="2415"/>
      <c r="N360" s="2415"/>
      <c r="O360" s="2415"/>
      <c r="P360" s="2"/>
      <c r="Q360" s="2415"/>
      <c r="R360" s="2415"/>
      <c r="S360" s="2415"/>
      <c r="T360" s="2415"/>
      <c r="U360" s="2415"/>
      <c r="V360" s="2415"/>
      <c r="W360" t="s">
        <v>2062</v>
      </c>
    </row>
    <row r="361" spans="1:23" ht="13.15" customHeight="1">
      <c r="A361" s="2" t="s">
        <v>2192</v>
      </c>
      <c r="B361" s="2">
        <f t="shared" si="10"/>
        <v>2020</v>
      </c>
      <c r="C361" s="2" t="str">
        <f t="shared" si="11"/>
        <v>LIM333</v>
      </c>
      <c r="D361" s="2417">
        <v>1003</v>
      </c>
      <c r="E361" s="2">
        <v>4</v>
      </c>
      <c r="F361" s="2" t="s">
        <v>653</v>
      </c>
      <c r="G361" s="2415"/>
      <c r="H361" s="2415"/>
      <c r="I361" s="2415"/>
      <c r="J361" s="2415"/>
      <c r="K361" s="2415"/>
      <c r="L361" s="2415"/>
      <c r="M361" s="2415"/>
      <c r="N361" s="2415"/>
      <c r="O361" s="2415"/>
      <c r="P361" s="2"/>
      <c r="Q361" s="2415"/>
      <c r="R361" s="2415"/>
      <c r="S361" s="2415"/>
      <c r="T361" s="2415"/>
      <c r="U361" s="2415"/>
      <c r="V361" s="2415"/>
      <c r="W361" t="s">
        <v>2062</v>
      </c>
    </row>
    <row r="362" spans="1:23" ht="13.15" customHeight="1">
      <c r="A362" s="2" t="s">
        <v>2192</v>
      </c>
      <c r="B362" s="2">
        <f t="shared" si="10"/>
        <v>2020</v>
      </c>
      <c r="C362" s="2" t="str">
        <f t="shared" si="11"/>
        <v>LIM333</v>
      </c>
      <c r="D362" s="2417">
        <v>1004</v>
      </c>
      <c r="E362" s="2">
        <v>5</v>
      </c>
      <c r="F362" s="2" t="s">
        <v>1947</v>
      </c>
      <c r="G362" s="2415"/>
      <c r="H362" s="2415"/>
      <c r="I362" s="2415"/>
      <c r="J362" s="2415"/>
      <c r="K362" s="2415"/>
      <c r="L362" s="2415"/>
      <c r="M362" s="2415"/>
      <c r="N362" s="2415"/>
      <c r="O362" s="2415"/>
      <c r="P362" s="2"/>
      <c r="Q362" s="2415"/>
      <c r="R362" s="2415"/>
      <c r="S362" s="2415"/>
      <c r="T362" s="2415"/>
      <c r="U362" s="2415"/>
      <c r="V362" s="2415"/>
      <c r="W362" t="s">
        <v>2062</v>
      </c>
    </row>
    <row r="363" spans="1:23" ht="13.15" customHeight="1">
      <c r="A363" s="2" t="s">
        <v>2192</v>
      </c>
      <c r="B363" s="2">
        <f t="shared" si="10"/>
        <v>2020</v>
      </c>
      <c r="C363" s="2" t="str">
        <f t="shared" si="11"/>
        <v>LIM333</v>
      </c>
      <c r="D363" s="2417">
        <v>1005</v>
      </c>
      <c r="E363" s="2">
        <v>6</v>
      </c>
      <c r="F363" s="2" t="s">
        <v>1800</v>
      </c>
      <c r="G363" s="2415"/>
      <c r="H363" s="2415"/>
      <c r="I363" s="2415"/>
      <c r="J363" s="2415"/>
      <c r="K363" s="2415"/>
      <c r="L363" s="2415"/>
      <c r="M363" s="2415"/>
      <c r="N363" s="2415"/>
      <c r="O363" s="2415"/>
      <c r="P363" s="2"/>
      <c r="Q363" s="2415"/>
      <c r="R363" s="2415"/>
      <c r="S363" s="2415"/>
      <c r="T363" s="2415"/>
      <c r="U363" s="2415"/>
      <c r="V363" s="2415"/>
      <c r="W363" t="s">
        <v>2062</v>
      </c>
    </row>
    <row r="364" spans="1:23" ht="13.15" customHeight="1">
      <c r="A364" s="2" t="s">
        <v>2192</v>
      </c>
      <c r="B364" s="2">
        <f t="shared" si="10"/>
        <v>2020</v>
      </c>
      <c r="C364" s="2" t="str">
        <f t="shared" si="11"/>
        <v>LIM333</v>
      </c>
      <c r="D364" s="2417">
        <v>1006</v>
      </c>
      <c r="E364" s="2">
        <v>7</v>
      </c>
      <c r="F364" s="2" t="s">
        <v>1948</v>
      </c>
      <c r="G364" s="2415"/>
      <c r="H364" s="2415"/>
      <c r="I364" s="2415"/>
      <c r="J364" s="2415"/>
      <c r="K364" s="2415"/>
      <c r="L364" s="2415"/>
      <c r="M364" s="2415"/>
      <c r="N364" s="2415"/>
      <c r="O364" s="2415"/>
      <c r="P364" s="2"/>
      <c r="Q364" s="2415"/>
      <c r="R364" s="2415"/>
      <c r="S364" s="2415"/>
      <c r="T364" s="2415"/>
      <c r="U364" s="2415"/>
      <c r="V364" s="2415"/>
      <c r="W364" t="s">
        <v>2062</v>
      </c>
    </row>
    <row r="365" spans="1:23" ht="13.15" customHeight="1">
      <c r="A365" s="2" t="s">
        <v>2192</v>
      </c>
      <c r="B365" s="2">
        <f t="shared" si="10"/>
        <v>2020</v>
      </c>
      <c r="C365" s="2" t="str">
        <f t="shared" si="11"/>
        <v>LIM333</v>
      </c>
      <c r="D365" s="2417">
        <v>1007</v>
      </c>
      <c r="E365" s="2">
        <v>8</v>
      </c>
      <c r="F365" s="2" t="s">
        <v>1348</v>
      </c>
      <c r="G365" s="2415"/>
      <c r="H365" s="2415"/>
      <c r="I365" s="2415"/>
      <c r="J365" s="2415"/>
      <c r="K365" s="2415"/>
      <c r="L365" s="2415"/>
      <c r="M365" s="2415"/>
      <c r="N365" s="2415"/>
      <c r="O365" s="2415"/>
      <c r="P365" s="2"/>
      <c r="Q365" s="2415"/>
      <c r="R365" s="2415"/>
      <c r="S365" s="2415"/>
      <c r="T365" s="2415"/>
      <c r="U365" s="2415"/>
      <c r="V365" s="2415"/>
      <c r="W365" t="s">
        <v>2062</v>
      </c>
    </row>
    <row r="366" spans="1:23" ht="13.15" customHeight="1">
      <c r="A366" s="2" t="s">
        <v>2192</v>
      </c>
      <c r="B366" s="2">
        <f t="shared" si="10"/>
        <v>2020</v>
      </c>
      <c r="C366" s="2" t="str">
        <f t="shared" si="11"/>
        <v>LIM333</v>
      </c>
      <c r="D366" s="2417">
        <v>1090</v>
      </c>
      <c r="E366" s="2">
        <v>9</v>
      </c>
      <c r="F366" s="2" t="s">
        <v>654</v>
      </c>
      <c r="G366" s="2415"/>
      <c r="H366" s="2415"/>
      <c r="I366" s="2415"/>
      <c r="J366" s="2415"/>
      <c r="K366" s="2415"/>
      <c r="L366" s="2415"/>
      <c r="M366" s="2415"/>
      <c r="N366" s="2415"/>
      <c r="O366" s="2415"/>
      <c r="P366" s="2"/>
      <c r="Q366" s="2415"/>
      <c r="R366" s="2415"/>
      <c r="S366" s="2415"/>
      <c r="T366" s="2415"/>
      <c r="U366" s="2415"/>
      <c r="V366" s="2415"/>
      <c r="W366" t="s">
        <v>2062</v>
      </c>
    </row>
    <row r="367" spans="1:23" ht="13.15" customHeight="1">
      <c r="A367" s="2" t="s">
        <v>2192</v>
      </c>
      <c r="B367" s="2">
        <f t="shared" si="10"/>
        <v>2020</v>
      </c>
      <c r="C367" s="2" t="str">
        <f t="shared" si="11"/>
        <v>LIM333</v>
      </c>
      <c r="D367" s="2417">
        <v>1091</v>
      </c>
      <c r="E367" s="2">
        <v>10</v>
      </c>
      <c r="F367" s="2" t="s">
        <v>799</v>
      </c>
      <c r="G367" s="2447"/>
      <c r="H367" s="2447"/>
      <c r="I367" s="2447"/>
      <c r="J367" s="2447"/>
      <c r="K367" s="2447"/>
      <c r="L367" s="2447"/>
      <c r="M367" s="2447"/>
      <c r="N367" s="2447"/>
      <c r="O367" s="2447"/>
      <c r="P367" s="2"/>
      <c r="Q367" s="2415"/>
      <c r="R367" s="2415"/>
      <c r="S367" s="2415"/>
      <c r="T367" s="2415"/>
      <c r="U367" s="2415"/>
      <c r="V367" s="2415"/>
      <c r="W367" t="s">
        <v>2062</v>
      </c>
    </row>
    <row r="368" spans="1:23" ht="13.15" customHeight="1">
      <c r="A368" s="2" t="s">
        <v>2192</v>
      </c>
      <c r="B368" s="2">
        <f t="shared" si="10"/>
        <v>2020</v>
      </c>
      <c r="C368" s="2" t="str">
        <f t="shared" si="11"/>
        <v>LIM333</v>
      </c>
      <c r="D368" s="2417"/>
      <c r="E368" s="2"/>
      <c r="F368" s="2"/>
      <c r="G368" s="2415"/>
      <c r="H368" s="2415"/>
      <c r="I368" s="2415"/>
      <c r="J368" s="2415"/>
      <c r="K368" s="2415"/>
      <c r="L368" s="2415"/>
      <c r="M368" s="2415"/>
      <c r="N368" s="2415"/>
      <c r="O368" s="2415"/>
      <c r="P368" s="2"/>
      <c r="Q368" s="2415"/>
      <c r="R368" s="2415"/>
      <c r="S368" s="2415"/>
      <c r="T368" s="2415"/>
      <c r="U368" s="2415"/>
      <c r="V368" s="2415"/>
      <c r="W368" t="s">
        <v>2062</v>
      </c>
    </row>
    <row r="369" spans="1:23" ht="13.15" customHeight="1">
      <c r="A369" s="2" t="s">
        <v>2192</v>
      </c>
      <c r="B369" s="2">
        <f t="shared" si="10"/>
        <v>2020</v>
      </c>
      <c r="C369" s="2" t="str">
        <f t="shared" si="11"/>
        <v>LIM333</v>
      </c>
      <c r="D369" s="2417">
        <v>1100</v>
      </c>
      <c r="E369" s="2">
        <v>11</v>
      </c>
      <c r="F369" s="2" t="s">
        <v>1141</v>
      </c>
      <c r="G369" s="2415"/>
      <c r="H369" s="2415"/>
      <c r="I369" s="2415"/>
      <c r="J369" s="2415"/>
      <c r="K369" s="2415"/>
      <c r="L369" s="2415"/>
      <c r="M369" s="2415"/>
      <c r="N369" s="2415"/>
      <c r="O369" s="2415"/>
      <c r="P369" s="2"/>
      <c r="Q369" s="2415"/>
      <c r="R369" s="2415"/>
      <c r="S369" s="2415"/>
      <c r="T369" s="2415"/>
      <c r="U369" s="2415"/>
      <c r="V369" s="2415"/>
      <c r="W369" t="s">
        <v>2062</v>
      </c>
    </row>
    <row r="370" spans="1:23" ht="13.15" customHeight="1">
      <c r="A370" s="2" t="s">
        <v>2192</v>
      </c>
      <c r="B370" s="2">
        <f t="shared" si="10"/>
        <v>2020</v>
      </c>
      <c r="C370" s="2" t="str">
        <f t="shared" si="11"/>
        <v>LIM333</v>
      </c>
      <c r="D370" s="2417">
        <v>1101</v>
      </c>
      <c r="E370" s="2">
        <v>12</v>
      </c>
      <c r="F370" s="2" t="s">
        <v>1142</v>
      </c>
      <c r="G370" s="2415"/>
      <c r="H370" s="2415"/>
      <c r="I370" s="2415"/>
      <c r="J370" s="2415"/>
      <c r="K370" s="2415"/>
      <c r="L370" s="2415"/>
      <c r="M370" s="2415"/>
      <c r="N370" s="2415"/>
      <c r="O370" s="2415"/>
      <c r="P370" s="2"/>
      <c r="Q370" s="2415"/>
      <c r="R370" s="2415"/>
      <c r="S370" s="2415"/>
      <c r="T370" s="2415"/>
      <c r="U370" s="2415"/>
      <c r="V370" s="2415"/>
      <c r="W370" t="s">
        <v>2062</v>
      </c>
    </row>
    <row r="371" spans="1:23" ht="13.15" customHeight="1">
      <c r="A371" s="2" t="s">
        <v>2192</v>
      </c>
      <c r="B371" s="2">
        <f t="shared" si="10"/>
        <v>2020</v>
      </c>
      <c r="C371" s="2" t="str">
        <f t="shared" si="11"/>
        <v>LIM333</v>
      </c>
      <c r="D371" s="2417">
        <v>1102</v>
      </c>
      <c r="E371" s="2">
        <v>13</v>
      </c>
      <c r="F371" s="2" t="s">
        <v>1799</v>
      </c>
      <c r="G371" s="2415"/>
      <c r="H371" s="2415"/>
      <c r="I371" s="2415"/>
      <c r="J371" s="2415"/>
      <c r="K371" s="2415"/>
      <c r="L371" s="2415"/>
      <c r="M371" s="2415"/>
      <c r="N371" s="2415"/>
      <c r="O371" s="2415"/>
      <c r="P371" s="2"/>
      <c r="Q371" s="2415"/>
      <c r="R371" s="2415"/>
      <c r="S371" s="2415"/>
      <c r="T371" s="2415"/>
      <c r="U371" s="2415"/>
      <c r="V371" s="2415"/>
      <c r="W371" t="s">
        <v>2062</v>
      </c>
    </row>
    <row r="372" spans="1:23" ht="13.15" customHeight="1">
      <c r="A372" s="2" t="s">
        <v>2192</v>
      </c>
      <c r="B372" s="2">
        <f t="shared" si="10"/>
        <v>2020</v>
      </c>
      <c r="C372" s="2" t="str">
        <f t="shared" si="11"/>
        <v>LIM333</v>
      </c>
      <c r="D372" s="2417">
        <v>1103</v>
      </c>
      <c r="E372" s="2">
        <v>14</v>
      </c>
      <c r="F372" s="2" t="s">
        <v>653</v>
      </c>
      <c r="G372" s="2415"/>
      <c r="H372" s="2415"/>
      <c r="I372" s="2415"/>
      <c r="J372" s="2415"/>
      <c r="K372" s="2415"/>
      <c r="L372" s="2415"/>
      <c r="M372" s="2415"/>
      <c r="N372" s="2415"/>
      <c r="O372" s="2415"/>
      <c r="P372" s="2"/>
      <c r="Q372" s="2415"/>
      <c r="R372" s="2415"/>
      <c r="S372" s="2415"/>
      <c r="T372" s="2415"/>
      <c r="U372" s="2415"/>
      <c r="V372" s="2415"/>
      <c r="W372" t="s">
        <v>2062</v>
      </c>
    </row>
    <row r="373" spans="1:23" ht="13.15" customHeight="1">
      <c r="A373" s="2" t="s">
        <v>2192</v>
      </c>
      <c r="B373" s="2">
        <f t="shared" si="10"/>
        <v>2020</v>
      </c>
      <c r="C373" s="2" t="str">
        <f t="shared" si="11"/>
        <v>LIM333</v>
      </c>
      <c r="D373" s="2417">
        <v>1110</v>
      </c>
      <c r="E373" s="2">
        <v>15</v>
      </c>
      <c r="F373" s="2" t="s">
        <v>953</v>
      </c>
      <c r="G373" s="2415"/>
      <c r="H373" s="2415"/>
      <c r="I373" s="2415"/>
      <c r="J373" s="2415"/>
      <c r="K373" s="2415"/>
      <c r="L373" s="2415"/>
      <c r="M373" s="2415"/>
      <c r="N373" s="2415"/>
      <c r="O373" s="2415"/>
      <c r="P373" s="2"/>
      <c r="Q373" s="2415"/>
      <c r="R373" s="2415"/>
      <c r="S373" s="2415"/>
      <c r="T373" s="2415"/>
      <c r="U373" s="2415"/>
      <c r="V373" s="2415"/>
      <c r="W373" t="s">
        <v>2062</v>
      </c>
    </row>
    <row r="374" spans="1:23" ht="13.15" customHeight="1">
      <c r="A374" s="2" t="s">
        <v>2192</v>
      </c>
      <c r="B374" s="2">
        <f t="shared" si="10"/>
        <v>2020</v>
      </c>
      <c r="C374" s="2" t="str">
        <f t="shared" si="11"/>
        <v>LIM333</v>
      </c>
      <c r="D374" s="2417">
        <v>1107</v>
      </c>
      <c r="E374" s="2">
        <v>16</v>
      </c>
      <c r="F374" s="2" t="s">
        <v>655</v>
      </c>
      <c r="G374" s="2415"/>
      <c r="H374" s="2415"/>
      <c r="I374" s="2415"/>
      <c r="J374" s="2415"/>
      <c r="K374" s="2415"/>
      <c r="L374" s="2415"/>
      <c r="M374" s="2415"/>
      <c r="N374" s="2415"/>
      <c r="O374" s="2415"/>
      <c r="P374" s="2"/>
      <c r="Q374" s="2415"/>
      <c r="R374" s="2415"/>
      <c r="S374" s="2415"/>
      <c r="T374" s="2415"/>
      <c r="U374" s="2415"/>
      <c r="V374" s="2415"/>
      <c r="W374" t="s">
        <v>2062</v>
      </c>
    </row>
    <row r="375" spans="1:23" ht="13.15" customHeight="1">
      <c r="A375" s="2" t="s">
        <v>2192</v>
      </c>
      <c r="B375" s="2">
        <f t="shared" si="10"/>
        <v>2020</v>
      </c>
      <c r="C375" s="2" t="str">
        <f t="shared" si="11"/>
        <v>LIM333</v>
      </c>
      <c r="D375" s="2417">
        <v>1104</v>
      </c>
      <c r="E375" s="2">
        <v>17</v>
      </c>
      <c r="F375" s="2" t="s">
        <v>1947</v>
      </c>
      <c r="G375" s="2415"/>
      <c r="H375" s="2415"/>
      <c r="I375" s="2415"/>
      <c r="J375" s="2415"/>
      <c r="K375" s="2415"/>
      <c r="L375" s="2415"/>
      <c r="M375" s="2415"/>
      <c r="N375" s="2415"/>
      <c r="O375" s="2415"/>
      <c r="P375" s="2"/>
      <c r="Q375" s="2415"/>
      <c r="R375" s="2415"/>
      <c r="S375" s="2415"/>
      <c r="T375" s="2415"/>
      <c r="U375" s="2415"/>
      <c r="V375" s="2415"/>
      <c r="W375" t="s">
        <v>2062</v>
      </c>
    </row>
    <row r="376" spans="1:23" ht="13.15" customHeight="1">
      <c r="A376" s="2" t="s">
        <v>2192</v>
      </c>
      <c r="B376" s="2">
        <f t="shared" si="10"/>
        <v>2020</v>
      </c>
      <c r="C376" s="2" t="str">
        <f t="shared" si="11"/>
        <v>LIM333</v>
      </c>
      <c r="D376" s="2417">
        <v>1105</v>
      </c>
      <c r="E376" s="2">
        <v>18</v>
      </c>
      <c r="F376" s="2" t="s">
        <v>1800</v>
      </c>
      <c r="G376" s="2415"/>
      <c r="H376" s="2415"/>
      <c r="I376" s="2415"/>
      <c r="J376" s="2415"/>
      <c r="K376" s="2415"/>
      <c r="L376" s="2415"/>
      <c r="M376" s="2415"/>
      <c r="N376" s="2415"/>
      <c r="O376" s="2415"/>
      <c r="P376" s="2"/>
      <c r="Q376" s="2415"/>
      <c r="R376" s="2415"/>
      <c r="S376" s="2415"/>
      <c r="T376" s="2415"/>
      <c r="U376" s="2415"/>
      <c r="V376" s="2415"/>
      <c r="W376" t="s">
        <v>2062</v>
      </c>
    </row>
    <row r="377" spans="1:23" ht="13.15" customHeight="1">
      <c r="A377" s="2" t="s">
        <v>2192</v>
      </c>
      <c r="B377" s="2">
        <f t="shared" si="10"/>
        <v>2020</v>
      </c>
      <c r="C377" s="2" t="str">
        <f t="shared" si="11"/>
        <v>LIM333</v>
      </c>
      <c r="D377" s="2417">
        <v>1106</v>
      </c>
      <c r="E377" s="2">
        <v>19</v>
      </c>
      <c r="F377" s="2" t="s">
        <v>1948</v>
      </c>
      <c r="G377" s="2415"/>
      <c r="H377" s="2415"/>
      <c r="I377" s="2415"/>
      <c r="J377" s="2415"/>
      <c r="K377" s="2415"/>
      <c r="L377" s="2415"/>
      <c r="M377" s="2415"/>
      <c r="N377" s="2415"/>
      <c r="O377" s="2415"/>
      <c r="P377" s="2"/>
      <c r="Q377" s="2415"/>
      <c r="R377" s="2415"/>
      <c r="S377" s="2415"/>
      <c r="T377" s="2415"/>
      <c r="U377" s="2415"/>
      <c r="V377" s="2415"/>
      <c r="W377" t="s">
        <v>2062</v>
      </c>
    </row>
    <row r="378" spans="1:23" ht="13.15" customHeight="1">
      <c r="A378" s="2" t="s">
        <v>2192</v>
      </c>
      <c r="B378" s="2">
        <f t="shared" si="10"/>
        <v>2020</v>
      </c>
      <c r="C378" s="2" t="str">
        <f t="shared" si="11"/>
        <v>LIM333</v>
      </c>
      <c r="D378" s="2417">
        <v>1108</v>
      </c>
      <c r="E378" s="2">
        <v>20</v>
      </c>
      <c r="F378" s="2" t="s">
        <v>1348</v>
      </c>
      <c r="G378" s="2415"/>
      <c r="H378" s="2415"/>
      <c r="I378" s="2415"/>
      <c r="J378" s="2415"/>
      <c r="K378" s="2415"/>
      <c r="L378" s="2415"/>
      <c r="M378" s="2415"/>
      <c r="N378" s="2415"/>
      <c r="O378" s="2415"/>
      <c r="P378" s="2"/>
      <c r="Q378" s="2415"/>
      <c r="R378" s="2415"/>
      <c r="S378" s="2415"/>
      <c r="T378" s="2415"/>
      <c r="U378" s="2415"/>
      <c r="V378" s="2415"/>
      <c r="W378" t="s">
        <v>2062</v>
      </c>
    </row>
    <row r="379" spans="1:23" ht="13.15" customHeight="1">
      <c r="A379" s="2" t="s">
        <v>2192</v>
      </c>
      <c r="B379" s="2">
        <f t="shared" si="10"/>
        <v>2020</v>
      </c>
      <c r="C379" s="2" t="str">
        <f t="shared" si="11"/>
        <v>LIM333</v>
      </c>
      <c r="D379" s="2417">
        <v>1111</v>
      </c>
      <c r="E379" s="2">
        <v>21</v>
      </c>
      <c r="F379" s="2" t="s">
        <v>1459</v>
      </c>
      <c r="G379" s="2415"/>
      <c r="H379" s="2415"/>
      <c r="I379" s="2415"/>
      <c r="J379" s="2415"/>
      <c r="K379" s="2415"/>
      <c r="L379" s="2415"/>
      <c r="M379" s="2415"/>
      <c r="N379" s="2415"/>
      <c r="O379" s="2415"/>
      <c r="P379" s="2"/>
      <c r="Q379" s="2415"/>
      <c r="R379" s="2415"/>
      <c r="S379" s="2415"/>
      <c r="T379" s="2415"/>
      <c r="U379" s="2415"/>
      <c r="V379" s="2415"/>
      <c r="W379" t="s">
        <v>2062</v>
      </c>
    </row>
    <row r="380" spans="1:23" ht="13.15" customHeight="1">
      <c r="A380" s="2" t="s">
        <v>2192</v>
      </c>
      <c r="B380" s="2">
        <f t="shared" si="10"/>
        <v>2020</v>
      </c>
      <c r="C380" s="2" t="str">
        <f t="shared" si="11"/>
        <v>LIM333</v>
      </c>
      <c r="D380" s="2417">
        <v>1112</v>
      </c>
      <c r="E380" s="2">
        <v>22</v>
      </c>
      <c r="F380" s="2" t="s">
        <v>954</v>
      </c>
      <c r="G380" s="2415"/>
      <c r="H380" s="2415"/>
      <c r="I380" s="2415"/>
      <c r="J380" s="2415"/>
      <c r="K380" s="2415"/>
      <c r="L380" s="2415"/>
      <c r="M380" s="2415"/>
      <c r="N380" s="2415"/>
      <c r="O380" s="2415"/>
      <c r="P380" s="2"/>
      <c r="Q380" s="2415"/>
      <c r="R380" s="2415"/>
      <c r="S380" s="2415"/>
      <c r="T380" s="2415"/>
      <c r="U380" s="2415"/>
      <c r="V380" s="2415"/>
      <c r="W380" t="s">
        <v>2062</v>
      </c>
    </row>
    <row r="381" spans="1:23" ht="13.15" customHeight="1">
      <c r="A381" s="2" t="s">
        <v>2192</v>
      </c>
      <c r="B381" s="2">
        <f t="shared" si="10"/>
        <v>2020</v>
      </c>
      <c r="C381" s="2" t="str">
        <f t="shared" si="11"/>
        <v>LIM333</v>
      </c>
      <c r="D381" s="2417">
        <v>1113</v>
      </c>
      <c r="E381" s="2">
        <v>23</v>
      </c>
      <c r="F381" s="2" t="s">
        <v>1460</v>
      </c>
      <c r="G381" s="2415"/>
      <c r="H381" s="2415"/>
      <c r="I381" s="2415"/>
      <c r="J381" s="2415"/>
      <c r="K381" s="2415"/>
      <c r="L381" s="2415"/>
      <c r="M381" s="2415"/>
      <c r="N381" s="2415"/>
      <c r="O381" s="2415"/>
      <c r="P381" s="2"/>
      <c r="Q381" s="2415"/>
      <c r="R381" s="2415"/>
      <c r="S381" s="2415"/>
      <c r="T381" s="2415"/>
      <c r="U381" s="2415"/>
      <c r="V381" s="2415"/>
      <c r="W381" t="s">
        <v>2062</v>
      </c>
    </row>
    <row r="382" spans="1:23" ht="13.15" customHeight="1">
      <c r="A382" s="2" t="s">
        <v>2192</v>
      </c>
      <c r="B382" s="2">
        <f t="shared" si="10"/>
        <v>2020</v>
      </c>
      <c r="C382" s="2" t="str">
        <f t="shared" si="11"/>
        <v>LIM333</v>
      </c>
      <c r="D382" s="2417">
        <v>1190</v>
      </c>
      <c r="E382" s="2">
        <v>24</v>
      </c>
      <c r="F382" s="2" t="s">
        <v>656</v>
      </c>
      <c r="G382" s="2415"/>
      <c r="H382" s="2415"/>
      <c r="I382" s="2415"/>
      <c r="J382" s="2415"/>
      <c r="K382" s="2415"/>
      <c r="L382" s="2415"/>
      <c r="M382" s="2415"/>
      <c r="N382" s="2415"/>
      <c r="O382" s="2415"/>
      <c r="P382" s="2"/>
      <c r="Q382" s="2415"/>
      <c r="R382" s="2415"/>
      <c r="S382" s="2415"/>
      <c r="T382" s="2415"/>
      <c r="U382" s="2415"/>
      <c r="V382" s="2415"/>
      <c r="W382" t="s">
        <v>2062</v>
      </c>
    </row>
    <row r="383" spans="1:23" ht="13.15" customHeight="1">
      <c r="A383" s="2" t="s">
        <v>2192</v>
      </c>
      <c r="B383" s="2">
        <f t="shared" si="10"/>
        <v>2020</v>
      </c>
      <c r="C383" s="2" t="str">
        <f t="shared" si="11"/>
        <v>LIM333</v>
      </c>
      <c r="D383" s="2417">
        <v>1191</v>
      </c>
      <c r="E383" s="2">
        <v>25</v>
      </c>
      <c r="F383" s="2" t="s">
        <v>799</v>
      </c>
      <c r="G383" s="2447"/>
      <c r="H383" s="2447"/>
      <c r="I383" s="2447"/>
      <c r="J383" s="2447"/>
      <c r="K383" s="2447"/>
      <c r="L383" s="2447"/>
      <c r="M383" s="2447"/>
      <c r="N383" s="2447"/>
      <c r="O383" s="2447"/>
      <c r="P383" s="2"/>
      <c r="Q383" s="2415"/>
      <c r="R383" s="2415"/>
      <c r="S383" s="2415"/>
      <c r="T383" s="2415"/>
      <c r="U383" s="2415"/>
      <c r="V383" s="2415"/>
      <c r="W383" t="s">
        <v>2062</v>
      </c>
    </row>
    <row r="384" spans="1:23" ht="13.15" customHeight="1">
      <c r="A384" s="2" t="s">
        <v>2192</v>
      </c>
      <c r="B384" s="2">
        <f t="shared" si="10"/>
        <v>2020</v>
      </c>
      <c r="C384" s="2" t="str">
        <f t="shared" si="11"/>
        <v>LIM333</v>
      </c>
      <c r="D384" s="2417"/>
      <c r="E384" s="2"/>
      <c r="F384" s="2"/>
      <c r="G384" s="2415"/>
      <c r="H384" s="2415"/>
      <c r="I384" s="2415"/>
      <c r="J384" s="2415"/>
      <c r="K384" s="2415"/>
      <c r="L384" s="2415"/>
      <c r="M384" s="2415"/>
      <c r="N384" s="2415"/>
      <c r="O384" s="2415"/>
      <c r="P384" s="2"/>
      <c r="Q384" s="2415"/>
      <c r="R384" s="2415"/>
      <c r="S384" s="2415"/>
      <c r="T384" s="2415"/>
      <c r="U384" s="2415"/>
      <c r="V384" s="2415"/>
      <c r="W384" t="s">
        <v>2062</v>
      </c>
    </row>
    <row r="385" spans="1:23" ht="13.15" customHeight="1">
      <c r="A385" s="2" t="s">
        <v>2192</v>
      </c>
      <c r="B385" s="2">
        <f t="shared" si="10"/>
        <v>2020</v>
      </c>
      <c r="C385" s="2" t="str">
        <f t="shared" si="11"/>
        <v>LIM333</v>
      </c>
      <c r="D385" s="2417">
        <v>1200</v>
      </c>
      <c r="E385" s="2">
        <v>26</v>
      </c>
      <c r="F385" s="2" t="s">
        <v>657</v>
      </c>
      <c r="G385" s="2415"/>
      <c r="H385" s="2415"/>
      <c r="I385" s="2415"/>
      <c r="J385" s="2415"/>
      <c r="K385" s="2415"/>
      <c r="L385" s="2415"/>
      <c r="M385" s="2415"/>
      <c r="N385" s="2415"/>
      <c r="O385" s="2415"/>
      <c r="P385" s="2"/>
      <c r="Q385" s="2415"/>
      <c r="R385" s="2415"/>
      <c r="S385" s="2415"/>
      <c r="T385" s="2415"/>
      <c r="U385" s="2415"/>
      <c r="V385" s="2415"/>
      <c r="W385" t="s">
        <v>2062</v>
      </c>
    </row>
    <row r="386" spans="1:23" ht="13.15" customHeight="1">
      <c r="A386" s="2" t="s">
        <v>2192</v>
      </c>
      <c r="B386" s="2">
        <f t="shared" ref="B386:B449" si="12">+MTREF</f>
        <v>2020</v>
      </c>
      <c r="C386" s="2" t="str">
        <f t="shared" ref="C386:C449" si="13">LEFT(muni,(FIND(" ",muni,1)-1))</f>
        <v>LIM333</v>
      </c>
      <c r="D386" s="2417">
        <v>1201</v>
      </c>
      <c r="E386" s="2">
        <v>27</v>
      </c>
      <c r="F386" s="2" t="s">
        <v>1142</v>
      </c>
      <c r="G386" s="2415"/>
      <c r="H386" s="2415"/>
      <c r="I386" s="2415"/>
      <c r="J386" s="2415"/>
      <c r="K386" s="2415"/>
      <c r="L386" s="2415"/>
      <c r="M386" s="2415"/>
      <c r="N386" s="2415"/>
      <c r="O386" s="2415"/>
      <c r="P386" s="2"/>
      <c r="Q386" s="2415"/>
      <c r="R386" s="2415"/>
      <c r="S386" s="2415"/>
      <c r="T386" s="2415"/>
      <c r="U386" s="2415"/>
      <c r="V386" s="2415"/>
      <c r="W386" t="s">
        <v>2062</v>
      </c>
    </row>
    <row r="387" spans="1:23" ht="13.15" customHeight="1">
      <c r="A387" s="2" t="s">
        <v>2192</v>
      </c>
      <c r="B387" s="2">
        <f t="shared" si="12"/>
        <v>2020</v>
      </c>
      <c r="C387" s="2" t="str">
        <f t="shared" si="13"/>
        <v>LIM333</v>
      </c>
      <c r="D387" s="2417">
        <v>1202</v>
      </c>
      <c r="E387" s="2">
        <v>28</v>
      </c>
      <c r="F387" s="2" t="s">
        <v>1799</v>
      </c>
      <c r="G387" s="2415"/>
      <c r="H387" s="2415"/>
      <c r="I387" s="2415"/>
      <c r="J387" s="2415"/>
      <c r="K387" s="2415"/>
      <c r="L387" s="2415"/>
      <c r="M387" s="2415"/>
      <c r="N387" s="2415"/>
      <c r="O387" s="2415"/>
      <c r="P387" s="2"/>
      <c r="Q387" s="2415"/>
      <c r="R387" s="2415"/>
      <c r="S387" s="2415"/>
      <c r="T387" s="2415"/>
      <c r="U387" s="2415"/>
      <c r="V387" s="2415"/>
      <c r="W387" t="s">
        <v>2062</v>
      </c>
    </row>
    <row r="388" spans="1:23" ht="13.15" customHeight="1">
      <c r="A388" s="2" t="s">
        <v>2192</v>
      </c>
      <c r="B388" s="2">
        <f t="shared" si="12"/>
        <v>2020</v>
      </c>
      <c r="C388" s="2" t="str">
        <f t="shared" si="13"/>
        <v>LIM333</v>
      </c>
      <c r="D388" s="2417">
        <v>1203</v>
      </c>
      <c r="E388" s="2">
        <v>29</v>
      </c>
      <c r="F388" s="2" t="s">
        <v>653</v>
      </c>
      <c r="G388" s="2415"/>
      <c r="H388" s="2415"/>
      <c r="I388" s="2415"/>
      <c r="J388" s="2415"/>
      <c r="K388" s="2415"/>
      <c r="L388" s="2415"/>
      <c r="M388" s="2415"/>
      <c r="N388" s="2415"/>
      <c r="O388" s="2415"/>
      <c r="P388" s="2"/>
      <c r="Q388" s="2415"/>
      <c r="R388" s="2415"/>
      <c r="S388" s="2415"/>
      <c r="T388" s="2415"/>
      <c r="U388" s="2415"/>
      <c r="V388" s="2415"/>
      <c r="W388" t="s">
        <v>2062</v>
      </c>
    </row>
    <row r="389" spans="1:23" ht="13.15" customHeight="1">
      <c r="A389" s="2" t="s">
        <v>2192</v>
      </c>
      <c r="B389" s="2">
        <f t="shared" si="12"/>
        <v>2020</v>
      </c>
      <c r="C389" s="2" t="str">
        <f t="shared" si="13"/>
        <v>LIM333</v>
      </c>
      <c r="D389" s="2417">
        <v>1207</v>
      </c>
      <c r="E389" s="2">
        <v>30</v>
      </c>
      <c r="F389" s="2" t="s">
        <v>953</v>
      </c>
      <c r="G389" s="2415"/>
      <c r="H389" s="2415"/>
      <c r="I389" s="2415"/>
      <c r="J389" s="2415"/>
      <c r="K389" s="2415"/>
      <c r="L389" s="2415"/>
      <c r="M389" s="2415"/>
      <c r="N389" s="2415"/>
      <c r="O389" s="2415"/>
      <c r="P389" s="2"/>
      <c r="Q389" s="2415"/>
      <c r="R389" s="2415"/>
      <c r="S389" s="2415"/>
      <c r="T389" s="2415"/>
      <c r="U389" s="2415"/>
      <c r="V389" s="2415"/>
      <c r="W389" t="s">
        <v>2062</v>
      </c>
    </row>
    <row r="390" spans="1:23" ht="13.15" customHeight="1">
      <c r="A390" s="2" t="s">
        <v>2192</v>
      </c>
      <c r="B390" s="2">
        <f t="shared" si="12"/>
        <v>2020</v>
      </c>
      <c r="C390" s="2" t="str">
        <f t="shared" si="13"/>
        <v>LIM333</v>
      </c>
      <c r="D390" s="2417">
        <v>1208</v>
      </c>
      <c r="E390" s="2">
        <v>31</v>
      </c>
      <c r="F390" s="2" t="s">
        <v>655</v>
      </c>
      <c r="G390" s="2415"/>
      <c r="H390" s="2415"/>
      <c r="I390" s="2415"/>
      <c r="J390" s="2415"/>
      <c r="K390" s="2415"/>
      <c r="L390" s="2415"/>
      <c r="M390" s="2415"/>
      <c r="N390" s="2415"/>
      <c r="O390" s="2415"/>
      <c r="P390" s="2"/>
      <c r="Q390" s="2415"/>
      <c r="R390" s="2415"/>
      <c r="S390" s="2415"/>
      <c r="T390" s="2415"/>
      <c r="U390" s="2415"/>
      <c r="V390" s="2415"/>
      <c r="W390" t="s">
        <v>2062</v>
      </c>
    </row>
    <row r="391" spans="1:23" ht="13.15" customHeight="1">
      <c r="A391" s="2" t="s">
        <v>2192</v>
      </c>
      <c r="B391" s="2">
        <f t="shared" si="12"/>
        <v>2020</v>
      </c>
      <c r="C391" s="2" t="str">
        <f t="shared" si="13"/>
        <v>LIM333</v>
      </c>
      <c r="D391" s="2417">
        <v>1204</v>
      </c>
      <c r="E391" s="2">
        <v>32</v>
      </c>
      <c r="F391" s="2" t="s">
        <v>1947</v>
      </c>
      <c r="G391" s="2415"/>
      <c r="H391" s="2415"/>
      <c r="I391" s="2415"/>
      <c r="J391" s="2415"/>
      <c r="K391" s="2415"/>
      <c r="L391" s="2415"/>
      <c r="M391" s="2415"/>
      <c r="N391" s="2415"/>
      <c r="O391" s="2415"/>
      <c r="P391" s="2"/>
      <c r="Q391" s="2415"/>
      <c r="R391" s="2415"/>
      <c r="S391" s="2415"/>
      <c r="T391" s="2415"/>
      <c r="U391" s="2415"/>
      <c r="V391" s="2415"/>
      <c r="W391" t="s">
        <v>2062</v>
      </c>
    </row>
    <row r="392" spans="1:23" ht="13.15" customHeight="1">
      <c r="A392" s="2" t="s">
        <v>2192</v>
      </c>
      <c r="B392" s="2">
        <f t="shared" si="12"/>
        <v>2020</v>
      </c>
      <c r="C392" s="2" t="str">
        <f t="shared" si="13"/>
        <v>LIM333</v>
      </c>
      <c r="D392" s="2417">
        <v>1205</v>
      </c>
      <c r="E392" s="2">
        <v>33</v>
      </c>
      <c r="F392" s="2" t="s">
        <v>1800</v>
      </c>
      <c r="G392" s="2415"/>
      <c r="H392" s="2415"/>
      <c r="I392" s="2415"/>
      <c r="J392" s="2415"/>
      <c r="K392" s="2415"/>
      <c r="L392" s="2415"/>
      <c r="M392" s="2415"/>
      <c r="N392" s="2415"/>
      <c r="O392" s="2415"/>
      <c r="P392" s="2"/>
      <c r="Q392" s="2415"/>
      <c r="R392" s="2415"/>
      <c r="S392" s="2415"/>
      <c r="T392" s="2415"/>
      <c r="U392" s="2415"/>
      <c r="V392" s="2415"/>
      <c r="W392" t="s">
        <v>2062</v>
      </c>
    </row>
    <row r="393" spans="1:23" ht="13.15" customHeight="1">
      <c r="A393" s="2" t="s">
        <v>2192</v>
      </c>
      <c r="B393" s="2">
        <f t="shared" si="12"/>
        <v>2020</v>
      </c>
      <c r="C393" s="2" t="str">
        <f t="shared" si="13"/>
        <v>LIM333</v>
      </c>
      <c r="D393" s="2417">
        <v>1206</v>
      </c>
      <c r="E393" s="2">
        <v>34</v>
      </c>
      <c r="F393" s="2" t="s">
        <v>1948</v>
      </c>
      <c r="G393" s="2415"/>
      <c r="H393" s="2415"/>
      <c r="I393" s="2415"/>
      <c r="J393" s="2415"/>
      <c r="K393" s="2415"/>
      <c r="L393" s="2415"/>
      <c r="M393" s="2415"/>
      <c r="N393" s="2415"/>
      <c r="O393" s="2415"/>
      <c r="P393" s="2"/>
      <c r="Q393" s="2415"/>
      <c r="R393" s="2415"/>
      <c r="S393" s="2415"/>
      <c r="T393" s="2415"/>
      <c r="U393" s="2415"/>
      <c r="V393" s="2415"/>
      <c r="W393" t="s">
        <v>2062</v>
      </c>
    </row>
    <row r="394" spans="1:23" ht="13.15" customHeight="1">
      <c r="A394" s="2" t="s">
        <v>2192</v>
      </c>
      <c r="B394" s="2">
        <f t="shared" si="12"/>
        <v>2020</v>
      </c>
      <c r="C394" s="2" t="str">
        <f t="shared" si="13"/>
        <v>LIM333</v>
      </c>
      <c r="D394" s="2417">
        <v>1209</v>
      </c>
      <c r="E394" s="2">
        <v>35</v>
      </c>
      <c r="F394" s="2" t="s">
        <v>1348</v>
      </c>
      <c r="G394" s="2415"/>
      <c r="H394" s="2415"/>
      <c r="I394" s="2415"/>
      <c r="J394" s="2415"/>
      <c r="K394" s="2415"/>
      <c r="L394" s="2415"/>
      <c r="M394" s="2415"/>
      <c r="N394" s="2415"/>
      <c r="O394" s="2415"/>
      <c r="P394" s="2"/>
      <c r="Q394" s="2415"/>
      <c r="R394" s="2415"/>
      <c r="S394" s="2415"/>
      <c r="T394" s="2415"/>
      <c r="U394" s="2415"/>
      <c r="V394" s="2415"/>
      <c r="W394" t="s">
        <v>2062</v>
      </c>
    </row>
    <row r="395" spans="1:23" ht="13.15" customHeight="1">
      <c r="A395" s="2" t="s">
        <v>2192</v>
      </c>
      <c r="B395" s="2">
        <f t="shared" si="12"/>
        <v>2020</v>
      </c>
      <c r="C395" s="2" t="str">
        <f t="shared" si="13"/>
        <v>LIM333</v>
      </c>
      <c r="D395" s="2417">
        <v>1211</v>
      </c>
      <c r="E395" s="2">
        <v>36</v>
      </c>
      <c r="F395" s="2" t="s">
        <v>1459</v>
      </c>
      <c r="G395" s="2415"/>
      <c r="H395" s="2415"/>
      <c r="I395" s="2415"/>
      <c r="J395" s="2415"/>
      <c r="K395" s="2415"/>
      <c r="L395" s="2415"/>
      <c r="M395" s="2415"/>
      <c r="N395" s="2415"/>
      <c r="O395" s="2415"/>
      <c r="P395" s="2"/>
      <c r="Q395" s="2415"/>
      <c r="R395" s="2415"/>
      <c r="S395" s="2415"/>
      <c r="T395" s="2415"/>
      <c r="U395" s="2415"/>
      <c r="V395" s="2415"/>
      <c r="W395" t="s">
        <v>2062</v>
      </c>
    </row>
    <row r="396" spans="1:23" ht="13.15" customHeight="1">
      <c r="A396" s="2" t="s">
        <v>2192</v>
      </c>
      <c r="B396" s="2">
        <f t="shared" si="12"/>
        <v>2020</v>
      </c>
      <c r="C396" s="2" t="str">
        <f t="shared" si="13"/>
        <v>LIM333</v>
      </c>
      <c r="D396" s="2417">
        <v>1212</v>
      </c>
      <c r="E396" s="2">
        <v>37</v>
      </c>
      <c r="F396" s="2" t="s">
        <v>954</v>
      </c>
      <c r="G396" s="2415"/>
      <c r="H396" s="2415"/>
      <c r="I396" s="2415"/>
      <c r="J396" s="2415"/>
      <c r="K396" s="2415"/>
      <c r="L396" s="2415"/>
      <c r="M396" s="2415"/>
      <c r="N396" s="2415"/>
      <c r="O396" s="2415"/>
      <c r="P396" s="2"/>
      <c r="Q396" s="2415"/>
      <c r="R396" s="2415"/>
      <c r="S396" s="2415"/>
      <c r="T396" s="2415"/>
      <c r="U396" s="2415"/>
      <c r="V396" s="2415"/>
      <c r="W396" t="s">
        <v>2062</v>
      </c>
    </row>
    <row r="397" spans="1:23" ht="13.15" customHeight="1">
      <c r="A397" s="2" t="s">
        <v>2192</v>
      </c>
      <c r="B397" s="2">
        <f t="shared" si="12"/>
        <v>2020</v>
      </c>
      <c r="C397" s="2" t="str">
        <f t="shared" si="13"/>
        <v>LIM333</v>
      </c>
      <c r="D397" s="2417">
        <v>1213</v>
      </c>
      <c r="E397" s="2">
        <v>38</v>
      </c>
      <c r="F397" s="2" t="s">
        <v>1460</v>
      </c>
      <c r="G397" s="2415"/>
      <c r="H397" s="2415"/>
      <c r="I397" s="2415"/>
      <c r="J397" s="2415"/>
      <c r="K397" s="2415"/>
      <c r="L397" s="2415"/>
      <c r="M397" s="2415"/>
      <c r="N397" s="2415"/>
      <c r="O397" s="2415"/>
      <c r="P397" s="2"/>
      <c r="Q397" s="2415"/>
      <c r="R397" s="2415"/>
      <c r="S397" s="2415"/>
      <c r="T397" s="2415"/>
      <c r="U397" s="2415"/>
      <c r="V397" s="2415"/>
      <c r="W397" t="s">
        <v>2062</v>
      </c>
    </row>
    <row r="398" spans="1:23" ht="13.15" customHeight="1">
      <c r="A398" s="2" t="s">
        <v>2192</v>
      </c>
      <c r="B398" s="2">
        <f t="shared" si="12"/>
        <v>2020</v>
      </c>
      <c r="C398" s="2" t="str">
        <f t="shared" si="13"/>
        <v>LIM333</v>
      </c>
      <c r="D398" s="2417">
        <v>1290</v>
      </c>
      <c r="E398" s="2">
        <v>39</v>
      </c>
      <c r="F398" s="2" t="s">
        <v>1569</v>
      </c>
      <c r="G398" s="2415"/>
      <c r="H398" s="2415"/>
      <c r="I398" s="2415"/>
      <c r="J398" s="2415"/>
      <c r="K398" s="2415"/>
      <c r="L398" s="2415"/>
      <c r="M398" s="2415"/>
      <c r="N398" s="2415"/>
      <c r="O398" s="2415"/>
      <c r="P398" s="2"/>
      <c r="Q398" s="2415"/>
      <c r="R398" s="2415"/>
      <c r="S398" s="2415"/>
      <c r="T398" s="2415"/>
      <c r="U398" s="2415"/>
      <c r="V398" s="2415"/>
      <c r="W398" t="s">
        <v>2062</v>
      </c>
    </row>
    <row r="399" spans="1:23" ht="13.15" customHeight="1">
      <c r="A399" s="2" t="s">
        <v>2192</v>
      </c>
      <c r="B399" s="2">
        <f t="shared" si="12"/>
        <v>2020</v>
      </c>
      <c r="C399" s="2" t="str">
        <f t="shared" si="13"/>
        <v>LIM333</v>
      </c>
      <c r="D399" s="2417">
        <v>1291</v>
      </c>
      <c r="E399" s="2">
        <v>40</v>
      </c>
      <c r="F399" s="2" t="s">
        <v>799</v>
      </c>
      <c r="G399" s="2447"/>
      <c r="H399" s="2447"/>
      <c r="I399" s="2447"/>
      <c r="J399" s="2447"/>
      <c r="K399" s="2447"/>
      <c r="L399" s="2447"/>
      <c r="M399" s="2447"/>
      <c r="N399" s="2447"/>
      <c r="O399" s="2447"/>
      <c r="P399" s="2"/>
      <c r="Q399" s="2415"/>
      <c r="R399" s="2415"/>
      <c r="S399" s="2415"/>
      <c r="T399" s="2415"/>
      <c r="U399" s="2415"/>
      <c r="V399" s="2415"/>
      <c r="W399" t="s">
        <v>2062</v>
      </c>
    </row>
    <row r="400" spans="1:23" ht="13.15" customHeight="1">
      <c r="A400" s="2" t="s">
        <v>2192</v>
      </c>
      <c r="B400" s="2">
        <f t="shared" si="12"/>
        <v>2020</v>
      </c>
      <c r="C400" s="2" t="str">
        <f t="shared" si="13"/>
        <v>LIM333</v>
      </c>
      <c r="D400" s="2417"/>
      <c r="E400" s="2"/>
      <c r="F400" s="2"/>
      <c r="G400" s="2415"/>
      <c r="H400" s="2415"/>
      <c r="I400" s="2415"/>
      <c r="J400" s="2415"/>
      <c r="K400" s="2415"/>
      <c r="L400" s="2415"/>
      <c r="M400" s="2415"/>
      <c r="N400" s="2415"/>
      <c r="O400" s="2415"/>
      <c r="P400" s="2"/>
      <c r="Q400" s="2415"/>
      <c r="R400" s="2415"/>
      <c r="S400" s="2415"/>
      <c r="T400" s="2415"/>
      <c r="U400" s="2415"/>
      <c r="V400" s="2415"/>
      <c r="W400" t="s">
        <v>2062</v>
      </c>
    </row>
    <row r="401" spans="1:23" ht="13.15" customHeight="1">
      <c r="A401" s="2" t="s">
        <v>2192</v>
      </c>
      <c r="B401" s="2">
        <f t="shared" si="12"/>
        <v>2020</v>
      </c>
      <c r="C401" s="2" t="str">
        <f t="shared" si="13"/>
        <v>LIM333</v>
      </c>
      <c r="D401" s="2417">
        <v>1295</v>
      </c>
      <c r="E401" s="2">
        <v>41</v>
      </c>
      <c r="F401" s="2" t="s">
        <v>1365</v>
      </c>
      <c r="G401" s="2415"/>
      <c r="H401" s="2415"/>
      <c r="I401" s="2415"/>
      <c r="J401" s="2415"/>
      <c r="K401" s="2415"/>
      <c r="L401" s="2415"/>
      <c r="M401" s="2415"/>
      <c r="N401" s="2415"/>
      <c r="O401" s="2415"/>
      <c r="P401" s="2"/>
      <c r="Q401" s="2415"/>
      <c r="R401" s="2415"/>
      <c r="S401" s="2415"/>
      <c r="T401" s="2415"/>
      <c r="U401" s="2415"/>
      <c r="V401" s="2415"/>
      <c r="W401" t="s">
        <v>2062</v>
      </c>
    </row>
    <row r="402" spans="1:23" ht="13.15" customHeight="1">
      <c r="A402" s="2" t="s">
        <v>2192</v>
      </c>
      <c r="B402" s="2">
        <f t="shared" si="12"/>
        <v>2020</v>
      </c>
      <c r="C402" s="2" t="str">
        <f t="shared" si="13"/>
        <v>LIM333</v>
      </c>
      <c r="D402" s="2417">
        <v>1297</v>
      </c>
      <c r="E402" s="2">
        <v>42</v>
      </c>
      <c r="F402" s="2" t="s">
        <v>799</v>
      </c>
      <c r="G402" s="2447"/>
      <c r="H402" s="2447"/>
      <c r="I402" s="2447"/>
      <c r="J402" s="2447"/>
      <c r="K402" s="2447"/>
      <c r="L402" s="2447"/>
      <c r="M402" s="2447"/>
      <c r="N402" s="2447"/>
      <c r="O402" s="2447"/>
      <c r="P402" s="2"/>
      <c r="Q402" s="2415"/>
      <c r="R402" s="2415"/>
      <c r="S402" s="2415"/>
      <c r="T402" s="2415"/>
      <c r="U402" s="2415"/>
      <c r="V402" s="2415"/>
      <c r="W402" t="s">
        <v>2062</v>
      </c>
    </row>
    <row r="403" spans="1:23" ht="13.15" customHeight="1">
      <c r="A403" s="2" t="s">
        <v>2192</v>
      </c>
      <c r="B403" s="2">
        <f t="shared" si="12"/>
        <v>2020</v>
      </c>
      <c r="C403" s="2" t="str">
        <f t="shared" si="13"/>
        <v>LIM333</v>
      </c>
      <c r="D403" s="2417"/>
      <c r="E403" s="2"/>
      <c r="F403" s="2"/>
      <c r="G403" s="2415"/>
      <c r="H403" s="2415"/>
      <c r="I403" s="2415"/>
      <c r="J403" s="2415"/>
      <c r="K403" s="2415"/>
      <c r="L403" s="2415"/>
      <c r="M403" s="2415"/>
      <c r="N403" s="2415"/>
      <c r="O403" s="2415"/>
      <c r="P403" s="2"/>
      <c r="Q403" s="2415"/>
      <c r="R403" s="2415"/>
      <c r="S403" s="2415"/>
      <c r="T403" s="2415"/>
      <c r="U403" s="2415"/>
      <c r="V403" s="2415"/>
      <c r="W403" t="s">
        <v>2062</v>
      </c>
    </row>
    <row r="404" spans="1:23" ht="13.15" customHeight="1">
      <c r="A404" s="2" t="s">
        <v>2192</v>
      </c>
      <c r="B404" s="2">
        <f t="shared" si="12"/>
        <v>2020</v>
      </c>
      <c r="C404" s="2" t="str">
        <f t="shared" si="13"/>
        <v>LIM333</v>
      </c>
      <c r="D404" s="2417">
        <v>2000</v>
      </c>
      <c r="E404" s="2">
        <v>43</v>
      </c>
      <c r="F404" s="2" t="s">
        <v>787</v>
      </c>
      <c r="G404" s="2415"/>
      <c r="H404" s="2415"/>
      <c r="I404" s="2415"/>
      <c r="J404" s="2415"/>
      <c r="K404" s="2415"/>
      <c r="L404" s="2415"/>
      <c r="M404" s="2415"/>
      <c r="N404" s="2415"/>
      <c r="O404" s="2415"/>
      <c r="P404" s="2"/>
      <c r="Q404" s="2415"/>
      <c r="R404" s="2415"/>
      <c r="S404" s="2415"/>
      <c r="T404" s="2415"/>
      <c r="U404" s="2415"/>
      <c r="V404" s="2415"/>
      <c r="W404" t="s">
        <v>2062</v>
      </c>
    </row>
    <row r="405" spans="1:23" ht="13.15" customHeight="1">
      <c r="A405" s="2" t="s">
        <v>2192</v>
      </c>
      <c r="B405" s="2">
        <f t="shared" si="12"/>
        <v>2020</v>
      </c>
      <c r="C405" s="2" t="str">
        <f t="shared" si="13"/>
        <v>LIM333</v>
      </c>
      <c r="D405" s="2417">
        <v>2001</v>
      </c>
      <c r="E405" s="2">
        <v>44</v>
      </c>
      <c r="F405" s="2" t="s">
        <v>1142</v>
      </c>
      <c r="G405" s="2415"/>
      <c r="H405" s="2415"/>
      <c r="I405" s="2415"/>
      <c r="J405" s="2415"/>
      <c r="K405" s="2415"/>
      <c r="L405" s="2415"/>
      <c r="M405" s="2415"/>
      <c r="N405" s="2415"/>
      <c r="O405" s="2415"/>
      <c r="P405" s="2"/>
      <c r="Q405" s="2415"/>
      <c r="R405" s="2415"/>
      <c r="S405" s="2415"/>
      <c r="T405" s="2415"/>
      <c r="U405" s="2415"/>
      <c r="V405" s="2415"/>
      <c r="W405" t="s">
        <v>2062</v>
      </c>
    </row>
    <row r="406" spans="1:23" ht="13.15" customHeight="1">
      <c r="A406" s="2" t="s">
        <v>2192</v>
      </c>
      <c r="B406" s="2">
        <f t="shared" si="12"/>
        <v>2020</v>
      </c>
      <c r="C406" s="2" t="str">
        <f t="shared" si="13"/>
        <v>LIM333</v>
      </c>
      <c r="D406" s="2417">
        <v>2002</v>
      </c>
      <c r="E406" s="2">
        <v>45</v>
      </c>
      <c r="F406" s="2" t="s">
        <v>1799</v>
      </c>
      <c r="G406" s="2415"/>
      <c r="H406" s="2415"/>
      <c r="I406" s="2415"/>
      <c r="J406" s="2415"/>
      <c r="K406" s="2415"/>
      <c r="L406" s="2415"/>
      <c r="M406" s="2415"/>
      <c r="N406" s="2415"/>
      <c r="O406" s="2415"/>
      <c r="P406" s="2"/>
      <c r="Q406" s="2415"/>
      <c r="R406" s="2415"/>
      <c r="S406" s="2415"/>
      <c r="T406" s="2415"/>
      <c r="U406" s="2415"/>
      <c r="V406" s="2415"/>
      <c r="W406" t="s">
        <v>2062</v>
      </c>
    </row>
    <row r="407" spans="1:23" ht="13.15" customHeight="1">
      <c r="A407" s="2" t="s">
        <v>2192</v>
      </c>
      <c r="B407" s="2">
        <f t="shared" si="12"/>
        <v>2020</v>
      </c>
      <c r="C407" s="2" t="str">
        <f t="shared" si="13"/>
        <v>LIM333</v>
      </c>
      <c r="D407" s="2417">
        <v>2003</v>
      </c>
      <c r="E407" s="2">
        <v>46</v>
      </c>
      <c r="F407" s="2" t="s">
        <v>653</v>
      </c>
      <c r="G407" s="2415"/>
      <c r="H407" s="2415"/>
      <c r="I407" s="2415"/>
      <c r="J407" s="2415"/>
      <c r="K407" s="2415"/>
      <c r="L407" s="2415"/>
      <c r="M407" s="2415"/>
      <c r="N407" s="2415"/>
      <c r="O407" s="2415"/>
      <c r="P407" s="2"/>
      <c r="Q407" s="2415"/>
      <c r="R407" s="2415"/>
      <c r="S407" s="2415"/>
      <c r="T407" s="2415"/>
      <c r="U407" s="2415"/>
      <c r="V407" s="2415"/>
      <c r="W407" t="s">
        <v>2062</v>
      </c>
    </row>
    <row r="408" spans="1:23" ht="13.15" customHeight="1">
      <c r="A408" s="2" t="s">
        <v>2192</v>
      </c>
      <c r="B408" s="2">
        <f t="shared" si="12"/>
        <v>2020</v>
      </c>
      <c r="C408" s="2" t="str">
        <f t="shared" si="13"/>
        <v>LIM333</v>
      </c>
      <c r="D408" s="2417">
        <v>2010</v>
      </c>
      <c r="E408" s="2">
        <v>47</v>
      </c>
      <c r="F408" s="2" t="s">
        <v>953</v>
      </c>
      <c r="G408" s="2415"/>
      <c r="H408" s="2415"/>
      <c r="I408" s="2415"/>
      <c r="J408" s="2415"/>
      <c r="K408" s="2415"/>
      <c r="L408" s="2415"/>
      <c r="M408" s="2415"/>
      <c r="N408" s="2415"/>
      <c r="O408" s="2415"/>
      <c r="P408" s="2"/>
      <c r="Q408" s="2415"/>
      <c r="R408" s="2415"/>
      <c r="S408" s="2415"/>
      <c r="T408" s="2415"/>
      <c r="U408" s="2415"/>
      <c r="V408" s="2415"/>
      <c r="W408" t="s">
        <v>2062</v>
      </c>
    </row>
    <row r="409" spans="1:23" ht="13.15" customHeight="1">
      <c r="A409" s="2" t="s">
        <v>2192</v>
      </c>
      <c r="B409" s="2">
        <f t="shared" si="12"/>
        <v>2020</v>
      </c>
      <c r="C409" s="2" t="str">
        <f t="shared" si="13"/>
        <v>LIM333</v>
      </c>
      <c r="D409" s="2417">
        <v>2011</v>
      </c>
      <c r="E409" s="2">
        <v>48</v>
      </c>
      <c r="F409" s="2" t="s">
        <v>655</v>
      </c>
      <c r="G409" s="2415"/>
      <c r="H409" s="2415"/>
      <c r="I409" s="2415"/>
      <c r="J409" s="2415"/>
      <c r="K409" s="2415"/>
      <c r="L409" s="2415"/>
      <c r="M409" s="2415"/>
      <c r="N409" s="2415"/>
      <c r="O409" s="2415"/>
      <c r="P409" s="2"/>
      <c r="Q409" s="2415"/>
      <c r="R409" s="2415"/>
      <c r="S409" s="2415"/>
      <c r="T409" s="2415"/>
      <c r="U409" s="2415"/>
      <c r="V409" s="2415"/>
      <c r="W409" t="s">
        <v>2062</v>
      </c>
    </row>
    <row r="410" spans="1:23" ht="13.15" customHeight="1">
      <c r="A410" s="2" t="s">
        <v>2192</v>
      </c>
      <c r="B410" s="2">
        <f t="shared" si="12"/>
        <v>2020</v>
      </c>
      <c r="C410" s="2" t="str">
        <f t="shared" si="13"/>
        <v>LIM333</v>
      </c>
      <c r="D410" s="2417">
        <v>2004</v>
      </c>
      <c r="E410" s="2">
        <v>49</v>
      </c>
      <c r="F410" s="2" t="s">
        <v>1947</v>
      </c>
      <c r="G410" s="2415"/>
      <c r="H410" s="2415"/>
      <c r="I410" s="2415"/>
      <c r="J410" s="2415"/>
      <c r="K410" s="2415"/>
      <c r="L410" s="2415"/>
      <c r="M410" s="2415"/>
      <c r="N410" s="2415"/>
      <c r="O410" s="2415"/>
      <c r="P410" s="2"/>
      <c r="Q410" s="2415"/>
      <c r="R410" s="2415"/>
      <c r="S410" s="2415"/>
      <c r="T410" s="2415"/>
      <c r="U410" s="2415"/>
      <c r="V410" s="2415"/>
      <c r="W410" t="s">
        <v>2062</v>
      </c>
    </row>
    <row r="411" spans="1:23" ht="13.15" customHeight="1">
      <c r="A411" s="2" t="s">
        <v>2192</v>
      </c>
      <c r="B411" s="2">
        <f t="shared" si="12"/>
        <v>2020</v>
      </c>
      <c r="C411" s="2" t="str">
        <f t="shared" si="13"/>
        <v>LIM333</v>
      </c>
      <c r="D411" s="2417">
        <v>2005</v>
      </c>
      <c r="E411" s="2">
        <v>50</v>
      </c>
      <c r="F411" s="2" t="s">
        <v>1800</v>
      </c>
      <c r="G411" s="2415"/>
      <c r="H411" s="2415"/>
      <c r="I411" s="2415"/>
      <c r="J411" s="2415"/>
      <c r="K411" s="2415"/>
      <c r="L411" s="2415"/>
      <c r="M411" s="2415"/>
      <c r="N411" s="2415"/>
      <c r="O411" s="2415"/>
      <c r="P411" s="2"/>
      <c r="Q411" s="2415"/>
      <c r="R411" s="2415"/>
      <c r="S411" s="2415"/>
      <c r="T411" s="2415"/>
      <c r="U411" s="2415"/>
      <c r="V411" s="2415"/>
      <c r="W411" t="s">
        <v>2062</v>
      </c>
    </row>
    <row r="412" spans="1:23" ht="13.15" customHeight="1">
      <c r="A412" s="2" t="s">
        <v>2192</v>
      </c>
      <c r="B412" s="2">
        <f t="shared" si="12"/>
        <v>2020</v>
      </c>
      <c r="C412" s="2" t="str">
        <f t="shared" si="13"/>
        <v>LIM333</v>
      </c>
      <c r="D412" s="2417">
        <v>2006</v>
      </c>
      <c r="E412" s="2">
        <v>51</v>
      </c>
      <c r="F412" s="2" t="s">
        <v>1948</v>
      </c>
      <c r="G412" s="2415"/>
      <c r="H412" s="2415"/>
      <c r="I412" s="2415"/>
      <c r="J412" s="2415"/>
      <c r="K412" s="2415"/>
      <c r="L412" s="2415"/>
      <c r="M412" s="2415"/>
      <c r="N412" s="2415"/>
      <c r="O412" s="2415"/>
      <c r="P412" s="2"/>
      <c r="Q412" s="2415"/>
      <c r="R412" s="2415"/>
      <c r="S412" s="2415"/>
      <c r="T412" s="2415"/>
      <c r="U412" s="2415"/>
      <c r="V412" s="2415"/>
      <c r="W412" t="s">
        <v>2062</v>
      </c>
    </row>
    <row r="413" spans="1:23" ht="13.15" customHeight="1">
      <c r="A413" s="2" t="s">
        <v>2192</v>
      </c>
      <c r="B413" s="2">
        <f t="shared" si="12"/>
        <v>2020</v>
      </c>
      <c r="C413" s="2" t="str">
        <f t="shared" si="13"/>
        <v>LIM333</v>
      </c>
      <c r="D413" s="2417">
        <v>2008</v>
      </c>
      <c r="E413" s="2">
        <v>52</v>
      </c>
      <c r="F413" s="2" t="s">
        <v>1348</v>
      </c>
      <c r="G413" s="2415"/>
      <c r="H413" s="2415"/>
      <c r="I413" s="2415"/>
      <c r="J413" s="2415"/>
      <c r="K413" s="2415"/>
      <c r="L413" s="2415"/>
      <c r="M413" s="2415"/>
      <c r="N413" s="2415"/>
      <c r="O413" s="2415"/>
      <c r="P413" s="2"/>
      <c r="Q413" s="2415"/>
      <c r="R413" s="2415"/>
      <c r="S413" s="2415"/>
      <c r="T413" s="2415"/>
      <c r="U413" s="2415"/>
      <c r="V413" s="2415"/>
      <c r="W413" t="s">
        <v>2062</v>
      </c>
    </row>
    <row r="414" spans="1:23" ht="13.15" customHeight="1">
      <c r="A414" s="2" t="s">
        <v>2192</v>
      </c>
      <c r="B414" s="2">
        <f t="shared" si="12"/>
        <v>2020</v>
      </c>
      <c r="C414" s="2" t="str">
        <f t="shared" si="13"/>
        <v>LIM333</v>
      </c>
      <c r="D414" s="2417">
        <v>2007</v>
      </c>
      <c r="E414" s="2">
        <v>53</v>
      </c>
      <c r="F414" s="2" t="s">
        <v>1951</v>
      </c>
      <c r="G414" s="2415"/>
      <c r="H414" s="2415"/>
      <c r="I414" s="2415"/>
      <c r="J414" s="2415"/>
      <c r="K414" s="2415"/>
      <c r="L414" s="2415"/>
      <c r="M414" s="2415"/>
      <c r="N414" s="2415"/>
      <c r="O414" s="2415"/>
      <c r="P414" s="2"/>
      <c r="Q414" s="2415"/>
      <c r="R414" s="2415"/>
      <c r="S414" s="2415"/>
      <c r="T414" s="2415"/>
      <c r="U414" s="2415"/>
      <c r="V414" s="2415"/>
      <c r="W414" t="s">
        <v>2062</v>
      </c>
    </row>
    <row r="415" spans="1:23" ht="13.15" customHeight="1">
      <c r="A415" s="2" t="s">
        <v>2192</v>
      </c>
      <c r="B415" s="2">
        <f t="shared" si="12"/>
        <v>2020</v>
      </c>
      <c r="C415" s="2" t="str">
        <f t="shared" si="13"/>
        <v>LIM333</v>
      </c>
      <c r="D415" s="2417">
        <v>2012</v>
      </c>
      <c r="E415" s="2">
        <v>54</v>
      </c>
      <c r="F415" s="2" t="s">
        <v>1459</v>
      </c>
      <c r="G415" s="2415"/>
      <c r="H415" s="2415"/>
      <c r="I415" s="2415"/>
      <c r="J415" s="2415"/>
      <c r="K415" s="2415"/>
      <c r="L415" s="2415"/>
      <c r="M415" s="2415"/>
      <c r="N415" s="2415"/>
      <c r="O415" s="2415"/>
      <c r="P415" s="2"/>
      <c r="Q415" s="2415"/>
      <c r="R415" s="2415"/>
      <c r="S415" s="2415"/>
      <c r="T415" s="2415"/>
      <c r="U415" s="2415"/>
      <c r="V415" s="2415"/>
      <c r="W415" t="s">
        <v>2062</v>
      </c>
    </row>
    <row r="416" spans="1:23" ht="13.15" customHeight="1">
      <c r="A416" s="2" t="s">
        <v>2192</v>
      </c>
      <c r="B416" s="2">
        <f t="shared" si="12"/>
        <v>2020</v>
      </c>
      <c r="C416" s="2" t="str">
        <f t="shared" si="13"/>
        <v>LIM333</v>
      </c>
      <c r="D416" s="2417">
        <v>2013</v>
      </c>
      <c r="E416" s="2">
        <v>55</v>
      </c>
      <c r="F416" s="2" t="s">
        <v>954</v>
      </c>
      <c r="G416" s="2415"/>
      <c r="H416" s="2415"/>
      <c r="I416" s="2415"/>
      <c r="J416" s="2415"/>
      <c r="K416" s="2415"/>
      <c r="L416" s="2415"/>
      <c r="M416" s="2415"/>
      <c r="N416" s="2415"/>
      <c r="O416" s="2415"/>
      <c r="P416" s="2"/>
      <c r="Q416" s="2415"/>
      <c r="R416" s="2415"/>
      <c r="S416" s="2415"/>
      <c r="T416" s="2415"/>
      <c r="U416" s="2415"/>
      <c r="V416" s="2415"/>
      <c r="W416" t="s">
        <v>2062</v>
      </c>
    </row>
    <row r="417" spans="1:23" ht="13.15" customHeight="1">
      <c r="A417" s="2" t="s">
        <v>2192</v>
      </c>
      <c r="B417" s="2">
        <f t="shared" si="12"/>
        <v>2020</v>
      </c>
      <c r="C417" s="2" t="str">
        <f t="shared" si="13"/>
        <v>LIM333</v>
      </c>
      <c r="D417" s="2417">
        <v>2014</v>
      </c>
      <c r="E417" s="2">
        <v>56</v>
      </c>
      <c r="F417" s="2" t="s">
        <v>1460</v>
      </c>
      <c r="G417" s="2415"/>
      <c r="H417" s="2415"/>
      <c r="I417" s="2415"/>
      <c r="J417" s="2415"/>
      <c r="K417" s="2415"/>
      <c r="L417" s="2415"/>
      <c r="M417" s="2415"/>
      <c r="N417" s="2415"/>
      <c r="O417" s="2415"/>
      <c r="P417" s="2"/>
      <c r="Q417" s="2415"/>
      <c r="R417" s="2415"/>
      <c r="S417" s="2415"/>
      <c r="T417" s="2415"/>
      <c r="U417" s="2415"/>
      <c r="V417" s="2415"/>
      <c r="W417" t="s">
        <v>2062</v>
      </c>
    </row>
    <row r="418" spans="1:23" ht="13.15" customHeight="1">
      <c r="A418" s="2" t="s">
        <v>2192</v>
      </c>
      <c r="B418" s="2">
        <f t="shared" si="12"/>
        <v>2020</v>
      </c>
      <c r="C418" s="2" t="str">
        <f t="shared" si="13"/>
        <v>LIM333</v>
      </c>
      <c r="D418" s="2417">
        <v>2090</v>
      </c>
      <c r="E418" s="2">
        <v>57</v>
      </c>
      <c r="F418" s="2" t="s">
        <v>1166</v>
      </c>
      <c r="G418" s="2415"/>
      <c r="H418" s="2415"/>
      <c r="I418" s="2415"/>
      <c r="J418" s="2415"/>
      <c r="K418" s="2415"/>
      <c r="L418" s="2415"/>
      <c r="M418" s="2415"/>
      <c r="N418" s="2415"/>
      <c r="O418" s="2415"/>
      <c r="P418" s="2"/>
      <c r="Q418" s="2415"/>
      <c r="R418" s="2415"/>
      <c r="S418" s="2415"/>
      <c r="T418" s="2415"/>
      <c r="U418" s="2415"/>
      <c r="V418" s="2415"/>
      <c r="W418" t="s">
        <v>2062</v>
      </c>
    </row>
    <row r="419" spans="1:23" ht="13.15" customHeight="1">
      <c r="A419" s="2" t="s">
        <v>2192</v>
      </c>
      <c r="B419" s="2">
        <f t="shared" si="12"/>
        <v>2020</v>
      </c>
      <c r="C419" s="2" t="str">
        <f t="shared" si="13"/>
        <v>LIM333</v>
      </c>
      <c r="D419" s="2417">
        <v>2091</v>
      </c>
      <c r="E419" s="2">
        <v>58</v>
      </c>
      <c r="F419" s="2" t="s">
        <v>799</v>
      </c>
      <c r="G419" s="2447"/>
      <c r="H419" s="2447"/>
      <c r="I419" s="2447"/>
      <c r="J419" s="2447"/>
      <c r="K419" s="2447"/>
      <c r="L419" s="2447"/>
      <c r="M419" s="2447"/>
      <c r="N419" s="2447"/>
      <c r="O419" s="2447"/>
      <c r="P419" s="2"/>
      <c r="Q419" s="2415"/>
      <c r="R419" s="2415"/>
      <c r="S419" s="2415"/>
      <c r="T419" s="2415"/>
      <c r="U419" s="2415"/>
      <c r="V419" s="2415"/>
      <c r="W419" t="s">
        <v>2062</v>
      </c>
    </row>
    <row r="420" spans="1:23" ht="13.15" customHeight="1">
      <c r="A420" s="2" t="s">
        <v>2192</v>
      </c>
      <c r="B420" s="2">
        <f t="shared" si="12"/>
        <v>2020</v>
      </c>
      <c r="C420" s="2" t="str">
        <f t="shared" si="13"/>
        <v>LIM333</v>
      </c>
      <c r="D420" s="2417"/>
      <c r="E420" s="2"/>
      <c r="F420" s="2"/>
      <c r="G420" s="2415"/>
      <c r="H420" s="2415"/>
      <c r="I420" s="2415"/>
      <c r="J420" s="2415"/>
      <c r="K420" s="2415"/>
      <c r="L420" s="2415"/>
      <c r="M420" s="2415"/>
      <c r="N420" s="2415"/>
      <c r="O420" s="2415"/>
      <c r="P420" s="2"/>
      <c r="Q420" s="2415"/>
      <c r="R420" s="2415"/>
      <c r="S420" s="2415"/>
      <c r="T420" s="2415"/>
      <c r="U420" s="2415"/>
      <c r="V420" s="2415"/>
      <c r="W420" t="s">
        <v>2062</v>
      </c>
    </row>
    <row r="421" spans="1:23" ht="13.15" customHeight="1">
      <c r="A421" s="2" t="s">
        <v>2192</v>
      </c>
      <c r="B421" s="2">
        <f t="shared" si="12"/>
        <v>2020</v>
      </c>
      <c r="C421" s="2" t="str">
        <f t="shared" si="13"/>
        <v>LIM333</v>
      </c>
      <c r="D421" s="2417">
        <v>2100</v>
      </c>
      <c r="E421" s="2">
        <v>59</v>
      </c>
      <c r="F421" s="2" t="s">
        <v>238</v>
      </c>
      <c r="G421" s="2415"/>
      <c r="H421" s="2415"/>
      <c r="I421" s="2415"/>
      <c r="J421" s="2415"/>
      <c r="K421" s="2415"/>
      <c r="L421" s="2415"/>
      <c r="M421" s="2415"/>
      <c r="N421" s="2415"/>
      <c r="O421" s="2415"/>
      <c r="P421" s="2"/>
      <c r="Q421" s="2415"/>
      <c r="R421" s="2415"/>
      <c r="S421" s="2415"/>
      <c r="T421" s="2415"/>
      <c r="U421" s="2415"/>
      <c r="V421" s="2415"/>
      <c r="W421" t="s">
        <v>2062</v>
      </c>
    </row>
    <row r="422" spans="1:23" ht="13.15" customHeight="1">
      <c r="A422" s="2" t="s">
        <v>2192</v>
      </c>
      <c r="B422" s="2">
        <f t="shared" si="12"/>
        <v>2020</v>
      </c>
      <c r="C422" s="2" t="str">
        <f t="shared" si="13"/>
        <v>LIM333</v>
      </c>
      <c r="D422" s="2417">
        <v>2101</v>
      </c>
      <c r="E422" s="2">
        <v>60</v>
      </c>
      <c r="F422" s="2" t="s">
        <v>1142</v>
      </c>
      <c r="G422" s="2415"/>
      <c r="H422" s="2415"/>
      <c r="I422" s="2415"/>
      <c r="J422" s="2415"/>
      <c r="K422" s="2415"/>
      <c r="L422" s="2415"/>
      <c r="M422" s="2415"/>
      <c r="N422" s="2415"/>
      <c r="O422" s="2415"/>
      <c r="P422" s="2"/>
      <c r="Q422" s="2415"/>
      <c r="R422" s="2415"/>
      <c r="S422" s="2415"/>
      <c r="T422" s="2415"/>
      <c r="U422" s="2415"/>
      <c r="V422" s="2415"/>
      <c r="W422" t="s">
        <v>2062</v>
      </c>
    </row>
    <row r="423" spans="1:23" ht="13.15" customHeight="1">
      <c r="A423" s="2" t="s">
        <v>2192</v>
      </c>
      <c r="B423" s="2">
        <f t="shared" si="12"/>
        <v>2020</v>
      </c>
      <c r="C423" s="2" t="str">
        <f t="shared" si="13"/>
        <v>LIM333</v>
      </c>
      <c r="D423" s="2417">
        <v>2102</v>
      </c>
      <c r="E423" s="2">
        <v>61</v>
      </c>
      <c r="F423" s="2" t="s">
        <v>1799</v>
      </c>
      <c r="G423" s="2415"/>
      <c r="H423" s="2415"/>
      <c r="I423" s="2415"/>
      <c r="J423" s="2415"/>
      <c r="K423" s="2415"/>
      <c r="L423" s="2415"/>
      <c r="M423" s="2415"/>
      <c r="N423" s="2415"/>
      <c r="O423" s="2415"/>
      <c r="P423" s="2"/>
      <c r="Q423" s="2415"/>
      <c r="R423" s="2415"/>
      <c r="S423" s="2415"/>
      <c r="T423" s="2415"/>
      <c r="U423" s="2415"/>
      <c r="V423" s="2415"/>
      <c r="W423" t="s">
        <v>2062</v>
      </c>
    </row>
    <row r="424" spans="1:23" ht="13.15" customHeight="1">
      <c r="A424" s="2" t="s">
        <v>2192</v>
      </c>
      <c r="B424" s="2">
        <f t="shared" si="12"/>
        <v>2020</v>
      </c>
      <c r="C424" s="2" t="str">
        <f t="shared" si="13"/>
        <v>LIM333</v>
      </c>
      <c r="D424" s="2417">
        <v>2103</v>
      </c>
      <c r="E424" s="2">
        <v>62</v>
      </c>
      <c r="F424" s="2" t="s">
        <v>653</v>
      </c>
      <c r="G424" s="2415"/>
      <c r="H424" s="2415"/>
      <c r="I424" s="2415"/>
      <c r="J424" s="2415"/>
      <c r="K424" s="2415"/>
      <c r="L424" s="2415"/>
      <c r="M424" s="2415"/>
      <c r="N424" s="2415"/>
      <c r="O424" s="2415"/>
      <c r="P424" s="2"/>
      <c r="Q424" s="2415"/>
      <c r="R424" s="2415"/>
      <c r="S424" s="2415"/>
      <c r="T424" s="2415"/>
      <c r="U424" s="2415"/>
      <c r="V424" s="2415"/>
      <c r="W424" t="s">
        <v>2062</v>
      </c>
    </row>
    <row r="425" spans="1:23" ht="13.15" customHeight="1">
      <c r="A425" s="2" t="s">
        <v>2192</v>
      </c>
      <c r="B425" s="2">
        <f t="shared" si="12"/>
        <v>2020</v>
      </c>
      <c r="C425" s="2" t="str">
        <f t="shared" si="13"/>
        <v>LIM333</v>
      </c>
      <c r="D425" s="2417">
        <v>2110</v>
      </c>
      <c r="E425" s="2">
        <v>63</v>
      </c>
      <c r="F425" s="2" t="s">
        <v>953</v>
      </c>
      <c r="G425" s="2415"/>
      <c r="H425" s="2415"/>
      <c r="I425" s="2415"/>
      <c r="J425" s="2415"/>
      <c r="K425" s="2415"/>
      <c r="L425" s="2415"/>
      <c r="M425" s="2415"/>
      <c r="N425" s="2415"/>
      <c r="O425" s="2415"/>
      <c r="P425" s="2"/>
      <c r="Q425" s="2415"/>
      <c r="R425" s="2415"/>
      <c r="S425" s="2415"/>
      <c r="T425" s="2415"/>
      <c r="U425" s="2415"/>
      <c r="V425" s="2415"/>
      <c r="W425" t="s">
        <v>2062</v>
      </c>
    </row>
    <row r="426" spans="1:23" ht="13.15" customHeight="1">
      <c r="A426" s="2" t="s">
        <v>2192</v>
      </c>
      <c r="B426" s="2">
        <f t="shared" si="12"/>
        <v>2020</v>
      </c>
      <c r="C426" s="2" t="str">
        <f t="shared" si="13"/>
        <v>LIM333</v>
      </c>
      <c r="D426" s="2417">
        <v>2107</v>
      </c>
      <c r="E426" s="2">
        <v>64</v>
      </c>
      <c r="F426" s="2" t="s">
        <v>655</v>
      </c>
      <c r="G426" s="2415"/>
      <c r="H426" s="2415"/>
      <c r="I426" s="2415"/>
      <c r="J426" s="2415"/>
      <c r="K426" s="2415"/>
      <c r="L426" s="2415"/>
      <c r="M426" s="2415"/>
      <c r="N426" s="2415"/>
      <c r="O426" s="2415"/>
      <c r="P426" s="2"/>
      <c r="Q426" s="2415"/>
      <c r="R426" s="2415"/>
      <c r="S426" s="2415"/>
      <c r="T426" s="2415"/>
      <c r="U426" s="2415"/>
      <c r="V426" s="2415"/>
      <c r="W426" t="s">
        <v>2062</v>
      </c>
    </row>
    <row r="427" spans="1:23" ht="13.15" customHeight="1">
      <c r="A427" s="2" t="s">
        <v>2192</v>
      </c>
      <c r="B427" s="2">
        <f t="shared" si="12"/>
        <v>2020</v>
      </c>
      <c r="C427" s="2" t="str">
        <f t="shared" si="13"/>
        <v>LIM333</v>
      </c>
      <c r="D427" s="2417">
        <v>2104</v>
      </c>
      <c r="E427" s="2">
        <v>65</v>
      </c>
      <c r="F427" s="2" t="s">
        <v>1947</v>
      </c>
      <c r="G427" s="2415"/>
      <c r="H427" s="2415"/>
      <c r="I427" s="2415"/>
      <c r="J427" s="2415"/>
      <c r="K427" s="2415"/>
      <c r="L427" s="2415"/>
      <c r="M427" s="2415"/>
      <c r="N427" s="2415"/>
      <c r="O427" s="2415"/>
      <c r="P427" s="2"/>
      <c r="Q427" s="2415"/>
      <c r="R427" s="2415"/>
      <c r="S427" s="2415"/>
      <c r="T427" s="2415"/>
      <c r="U427" s="2415"/>
      <c r="V427" s="2415"/>
      <c r="W427" t="s">
        <v>2062</v>
      </c>
    </row>
    <row r="428" spans="1:23" ht="13.15" customHeight="1">
      <c r="A428" s="2" t="s">
        <v>2192</v>
      </c>
      <c r="B428" s="2">
        <f t="shared" si="12"/>
        <v>2020</v>
      </c>
      <c r="C428" s="2" t="str">
        <f t="shared" si="13"/>
        <v>LIM333</v>
      </c>
      <c r="D428" s="2417">
        <v>2105</v>
      </c>
      <c r="E428" s="2">
        <v>66</v>
      </c>
      <c r="F428" s="2" t="s">
        <v>1800</v>
      </c>
      <c r="G428" s="2415"/>
      <c r="H428" s="2415"/>
      <c r="I428" s="2415"/>
      <c r="J428" s="2415"/>
      <c r="K428" s="2415"/>
      <c r="L428" s="2415"/>
      <c r="M428" s="2415"/>
      <c r="N428" s="2415"/>
      <c r="O428" s="2415"/>
      <c r="P428" s="2"/>
      <c r="Q428" s="2415"/>
      <c r="R428" s="2415"/>
      <c r="S428" s="2415"/>
      <c r="T428" s="2415"/>
      <c r="U428" s="2415"/>
      <c r="V428" s="2415"/>
      <c r="W428" t="s">
        <v>2062</v>
      </c>
    </row>
    <row r="429" spans="1:23" ht="13.15" customHeight="1">
      <c r="A429" s="2" t="s">
        <v>2192</v>
      </c>
      <c r="B429" s="2">
        <f t="shared" si="12"/>
        <v>2020</v>
      </c>
      <c r="C429" s="2" t="str">
        <f t="shared" si="13"/>
        <v>LIM333</v>
      </c>
      <c r="D429" s="2417">
        <v>2106</v>
      </c>
      <c r="E429" s="2">
        <v>67</v>
      </c>
      <c r="F429" s="2" t="s">
        <v>1948</v>
      </c>
      <c r="G429" s="2415"/>
      <c r="H429" s="2415"/>
      <c r="I429" s="2415"/>
      <c r="J429" s="2415"/>
      <c r="K429" s="2415"/>
      <c r="L429" s="2415"/>
      <c r="M429" s="2415"/>
      <c r="N429" s="2415"/>
      <c r="O429" s="2415"/>
      <c r="P429" s="2"/>
      <c r="Q429" s="2415"/>
      <c r="R429" s="2415"/>
      <c r="S429" s="2415"/>
      <c r="T429" s="2415"/>
      <c r="U429" s="2415"/>
      <c r="V429" s="2415"/>
      <c r="W429" t="s">
        <v>2062</v>
      </c>
    </row>
    <row r="430" spans="1:23" ht="13.15" customHeight="1">
      <c r="A430" s="2" t="s">
        <v>2192</v>
      </c>
      <c r="B430" s="2">
        <f t="shared" si="12"/>
        <v>2020</v>
      </c>
      <c r="C430" s="2" t="str">
        <f t="shared" si="13"/>
        <v>LIM333</v>
      </c>
      <c r="D430" s="2417">
        <v>2108</v>
      </c>
      <c r="E430" s="2">
        <v>68</v>
      </c>
      <c r="F430" s="2" t="s">
        <v>1348</v>
      </c>
      <c r="G430" s="2415"/>
      <c r="H430" s="2415"/>
      <c r="I430" s="2415"/>
      <c r="J430" s="2415"/>
      <c r="K430" s="2415"/>
      <c r="L430" s="2415"/>
      <c r="M430" s="2415"/>
      <c r="N430" s="2415"/>
      <c r="O430" s="2415"/>
      <c r="P430" s="2"/>
      <c r="Q430" s="2415"/>
      <c r="R430" s="2415"/>
      <c r="S430" s="2415"/>
      <c r="T430" s="2415"/>
      <c r="U430" s="2415"/>
      <c r="V430" s="2415"/>
      <c r="W430" t="s">
        <v>2062</v>
      </c>
    </row>
    <row r="431" spans="1:23" ht="13.15" customHeight="1">
      <c r="A431" s="2" t="s">
        <v>2192</v>
      </c>
      <c r="B431" s="2">
        <f t="shared" si="12"/>
        <v>2020</v>
      </c>
      <c r="C431" s="2" t="str">
        <f t="shared" si="13"/>
        <v>LIM333</v>
      </c>
      <c r="D431" s="2417">
        <v>2111</v>
      </c>
      <c r="E431" s="2">
        <v>69</v>
      </c>
      <c r="F431" s="2" t="s">
        <v>1459</v>
      </c>
      <c r="G431" s="2415"/>
      <c r="H431" s="2415"/>
      <c r="I431" s="2415"/>
      <c r="J431" s="2415"/>
      <c r="K431" s="2415"/>
      <c r="L431" s="2415"/>
      <c r="M431" s="2415"/>
      <c r="N431" s="2415"/>
      <c r="O431" s="2415"/>
      <c r="P431" s="2"/>
      <c r="Q431" s="2415"/>
      <c r="R431" s="2415"/>
      <c r="S431" s="2415"/>
      <c r="T431" s="2415"/>
      <c r="U431" s="2415"/>
      <c r="V431" s="2415"/>
      <c r="W431" t="s">
        <v>2062</v>
      </c>
    </row>
    <row r="432" spans="1:23" ht="13.15" customHeight="1">
      <c r="A432" s="2" t="s">
        <v>2192</v>
      </c>
      <c r="B432" s="2">
        <f t="shared" si="12"/>
        <v>2020</v>
      </c>
      <c r="C432" s="2" t="str">
        <f t="shared" si="13"/>
        <v>LIM333</v>
      </c>
      <c r="D432" s="2417">
        <v>2112</v>
      </c>
      <c r="E432" s="2">
        <v>70</v>
      </c>
      <c r="F432" s="2" t="s">
        <v>954</v>
      </c>
      <c r="G432" s="2415"/>
      <c r="H432" s="2415"/>
      <c r="I432" s="2415"/>
      <c r="J432" s="2415"/>
      <c r="K432" s="2415"/>
      <c r="L432" s="2415"/>
      <c r="M432" s="2415"/>
      <c r="N432" s="2415"/>
      <c r="O432" s="2415"/>
      <c r="P432" s="2"/>
      <c r="Q432" s="2415"/>
      <c r="R432" s="2415"/>
      <c r="S432" s="2415"/>
      <c r="T432" s="2415"/>
      <c r="U432" s="2415"/>
      <c r="V432" s="2415"/>
      <c r="W432" t="s">
        <v>2062</v>
      </c>
    </row>
    <row r="433" spans="1:23" ht="13.15" customHeight="1">
      <c r="A433" s="2" t="s">
        <v>2192</v>
      </c>
      <c r="B433" s="2">
        <f t="shared" si="12"/>
        <v>2020</v>
      </c>
      <c r="C433" s="2" t="str">
        <f t="shared" si="13"/>
        <v>LIM333</v>
      </c>
      <c r="D433" s="2417">
        <v>2113</v>
      </c>
      <c r="E433" s="2">
        <v>71</v>
      </c>
      <c r="F433" s="2" t="s">
        <v>1460</v>
      </c>
      <c r="G433" s="2415"/>
      <c r="H433" s="2415"/>
      <c r="I433" s="2415"/>
      <c r="J433" s="2415"/>
      <c r="K433" s="2415"/>
      <c r="L433" s="2415"/>
      <c r="M433" s="2415"/>
      <c r="N433" s="2415"/>
      <c r="O433" s="2415"/>
      <c r="P433" s="2"/>
      <c r="Q433" s="2415"/>
      <c r="R433" s="2415"/>
      <c r="S433" s="2415"/>
      <c r="T433" s="2415"/>
      <c r="U433" s="2415"/>
      <c r="V433" s="2415"/>
      <c r="W433" t="s">
        <v>2062</v>
      </c>
    </row>
    <row r="434" spans="1:23" ht="13.15" customHeight="1">
      <c r="A434" s="2" t="s">
        <v>2192</v>
      </c>
      <c r="B434" s="2">
        <f t="shared" si="12"/>
        <v>2020</v>
      </c>
      <c r="C434" s="2" t="str">
        <f t="shared" si="13"/>
        <v>LIM333</v>
      </c>
      <c r="D434" s="2417">
        <v>2190</v>
      </c>
      <c r="E434" s="2">
        <v>72</v>
      </c>
      <c r="F434" s="2" t="s">
        <v>239</v>
      </c>
      <c r="G434" s="2415"/>
      <c r="H434" s="2415"/>
      <c r="I434" s="2415"/>
      <c r="J434" s="2415"/>
      <c r="K434" s="2415"/>
      <c r="L434" s="2415"/>
      <c r="M434" s="2415"/>
      <c r="N434" s="2415"/>
      <c r="O434" s="2415"/>
      <c r="P434" s="2"/>
      <c r="Q434" s="2415"/>
      <c r="R434" s="2415"/>
      <c r="S434" s="2415"/>
      <c r="T434" s="2415"/>
      <c r="U434" s="2415"/>
      <c r="V434" s="2415"/>
      <c r="W434" t="s">
        <v>2062</v>
      </c>
    </row>
    <row r="435" spans="1:23" ht="13.15" customHeight="1">
      <c r="A435" s="2" t="s">
        <v>2192</v>
      </c>
      <c r="B435" s="2">
        <f t="shared" si="12"/>
        <v>2020</v>
      </c>
      <c r="C435" s="2" t="str">
        <f t="shared" si="13"/>
        <v>LIM333</v>
      </c>
      <c r="D435" s="2417">
        <v>2191</v>
      </c>
      <c r="E435" s="2">
        <v>73</v>
      </c>
      <c r="F435" s="2" t="s">
        <v>799</v>
      </c>
      <c r="G435" s="2447"/>
      <c r="H435" s="2447"/>
      <c r="I435" s="2447"/>
      <c r="J435" s="2447"/>
      <c r="K435" s="2447"/>
      <c r="L435" s="2447"/>
      <c r="M435" s="2447"/>
      <c r="N435" s="2447"/>
      <c r="O435" s="2447"/>
      <c r="P435" s="2"/>
      <c r="Q435" s="2415"/>
      <c r="R435" s="2415"/>
      <c r="S435" s="2415"/>
      <c r="T435" s="2415"/>
      <c r="U435" s="2415"/>
      <c r="V435" s="2415"/>
      <c r="W435" t="s">
        <v>2062</v>
      </c>
    </row>
    <row r="436" spans="1:23" ht="13.15" customHeight="1">
      <c r="A436" s="2" t="s">
        <v>2192</v>
      </c>
      <c r="B436" s="2">
        <f t="shared" si="12"/>
        <v>2020</v>
      </c>
      <c r="C436" s="2" t="str">
        <f t="shared" si="13"/>
        <v>LIM333</v>
      </c>
      <c r="D436" s="2417"/>
      <c r="E436" s="2"/>
      <c r="F436" s="2"/>
      <c r="G436" s="2415"/>
      <c r="H436" s="2415"/>
      <c r="I436" s="2415"/>
      <c r="J436" s="2415"/>
      <c r="K436" s="2415"/>
      <c r="L436" s="2415"/>
      <c r="M436" s="2415"/>
      <c r="N436" s="2415"/>
      <c r="O436" s="2415"/>
      <c r="P436" s="2"/>
      <c r="Q436" s="2415"/>
      <c r="R436" s="2415"/>
      <c r="S436" s="2415"/>
      <c r="T436" s="2415"/>
      <c r="U436" s="2415"/>
      <c r="V436" s="2415"/>
      <c r="W436" t="s">
        <v>2062</v>
      </c>
    </row>
    <row r="437" spans="1:23" ht="13.15" customHeight="1">
      <c r="A437" s="2" t="s">
        <v>2192</v>
      </c>
      <c r="B437" s="2">
        <f t="shared" si="12"/>
        <v>2020</v>
      </c>
      <c r="C437" s="2" t="str">
        <f t="shared" si="13"/>
        <v>LIM333</v>
      </c>
      <c r="D437" s="2417">
        <v>2200</v>
      </c>
      <c r="E437" s="2">
        <v>74</v>
      </c>
      <c r="F437" s="2" t="s">
        <v>240</v>
      </c>
      <c r="G437" s="2415"/>
      <c r="H437" s="2415"/>
      <c r="I437" s="2415"/>
      <c r="J437" s="2415"/>
      <c r="K437" s="2415"/>
      <c r="L437" s="2415"/>
      <c r="M437" s="2415"/>
      <c r="N437" s="2415"/>
      <c r="O437" s="2415"/>
      <c r="P437" s="2"/>
      <c r="Q437" s="2415"/>
      <c r="R437" s="2415"/>
      <c r="S437" s="2415"/>
      <c r="T437" s="2415"/>
      <c r="U437" s="2415"/>
      <c r="V437" s="2415"/>
      <c r="W437" t="s">
        <v>2062</v>
      </c>
    </row>
    <row r="438" spans="1:23" ht="13.15" customHeight="1">
      <c r="A438" s="2" t="s">
        <v>2192</v>
      </c>
      <c r="B438" s="2">
        <f t="shared" si="12"/>
        <v>2020</v>
      </c>
      <c r="C438" s="2" t="str">
        <f t="shared" si="13"/>
        <v>LIM333</v>
      </c>
      <c r="D438" s="2417">
        <v>2201</v>
      </c>
      <c r="E438" s="2">
        <v>75</v>
      </c>
      <c r="F438" s="2" t="s">
        <v>1142</v>
      </c>
      <c r="G438" s="2415"/>
      <c r="H438" s="2415"/>
      <c r="I438" s="2415"/>
      <c r="J438" s="2415"/>
      <c r="K438" s="2415"/>
      <c r="L438" s="2415"/>
      <c r="M438" s="2415"/>
      <c r="N438" s="2415"/>
      <c r="O438" s="2415"/>
      <c r="P438" s="2"/>
      <c r="Q438" s="2415"/>
      <c r="R438" s="2415"/>
      <c r="S438" s="2415"/>
      <c r="T438" s="2415"/>
      <c r="U438" s="2415"/>
      <c r="V438" s="2415"/>
      <c r="W438" t="s">
        <v>2062</v>
      </c>
    </row>
    <row r="439" spans="1:23" ht="13.15" customHeight="1">
      <c r="A439" s="2" t="s">
        <v>2192</v>
      </c>
      <c r="B439" s="2">
        <f t="shared" si="12"/>
        <v>2020</v>
      </c>
      <c r="C439" s="2" t="str">
        <f t="shared" si="13"/>
        <v>LIM333</v>
      </c>
      <c r="D439" s="2417">
        <v>2202</v>
      </c>
      <c r="E439" s="2">
        <v>76</v>
      </c>
      <c r="F439" s="2" t="s">
        <v>1799</v>
      </c>
      <c r="G439" s="2415"/>
      <c r="H439" s="2415"/>
      <c r="I439" s="2415"/>
      <c r="J439" s="2415"/>
      <c r="K439" s="2415"/>
      <c r="L439" s="2415"/>
      <c r="M439" s="2415"/>
      <c r="N439" s="2415"/>
      <c r="O439" s="2415"/>
      <c r="P439" s="2"/>
      <c r="Q439" s="2415"/>
      <c r="R439" s="2415"/>
      <c r="S439" s="2415"/>
      <c r="T439" s="2415"/>
      <c r="U439" s="2415"/>
      <c r="V439" s="2415"/>
      <c r="W439" t="s">
        <v>2062</v>
      </c>
    </row>
    <row r="440" spans="1:23" ht="13.15" customHeight="1">
      <c r="A440" s="2" t="s">
        <v>2192</v>
      </c>
      <c r="B440" s="2">
        <f t="shared" si="12"/>
        <v>2020</v>
      </c>
      <c r="C440" s="2" t="str">
        <f t="shared" si="13"/>
        <v>LIM333</v>
      </c>
      <c r="D440" s="2417">
        <v>2203</v>
      </c>
      <c r="E440" s="2">
        <v>77</v>
      </c>
      <c r="F440" s="2" t="s">
        <v>653</v>
      </c>
      <c r="G440" s="2415"/>
      <c r="H440" s="2415"/>
      <c r="I440" s="2415"/>
      <c r="J440" s="2415"/>
      <c r="K440" s="2415"/>
      <c r="L440" s="2415"/>
      <c r="M440" s="2415"/>
      <c r="N440" s="2415"/>
      <c r="O440" s="2415"/>
      <c r="P440" s="2"/>
      <c r="Q440" s="2415"/>
      <c r="R440" s="2415"/>
      <c r="S440" s="2415"/>
      <c r="T440" s="2415"/>
      <c r="U440" s="2415"/>
      <c r="V440" s="2415"/>
      <c r="W440" t="s">
        <v>2062</v>
      </c>
    </row>
    <row r="441" spans="1:23" ht="13.15" customHeight="1">
      <c r="A441" s="2" t="s">
        <v>2192</v>
      </c>
      <c r="B441" s="2">
        <f t="shared" si="12"/>
        <v>2020</v>
      </c>
      <c r="C441" s="2" t="str">
        <f t="shared" si="13"/>
        <v>LIM333</v>
      </c>
      <c r="D441" s="2417">
        <v>2207</v>
      </c>
      <c r="E441" s="2">
        <v>78</v>
      </c>
      <c r="F441" s="2" t="s">
        <v>953</v>
      </c>
      <c r="G441" s="2415"/>
      <c r="H441" s="2415"/>
      <c r="I441" s="2415"/>
      <c r="J441" s="2415"/>
      <c r="K441" s="2415"/>
      <c r="L441" s="2415"/>
      <c r="M441" s="2415"/>
      <c r="N441" s="2415"/>
      <c r="O441" s="2415"/>
      <c r="P441" s="2"/>
      <c r="Q441" s="2415"/>
      <c r="R441" s="2415"/>
      <c r="S441" s="2415"/>
      <c r="T441" s="2415"/>
      <c r="U441" s="2415"/>
      <c r="V441" s="2415"/>
      <c r="W441" t="s">
        <v>2062</v>
      </c>
    </row>
    <row r="442" spans="1:23" ht="13.15" customHeight="1">
      <c r="A442" s="2" t="s">
        <v>2192</v>
      </c>
      <c r="B442" s="2">
        <f t="shared" si="12"/>
        <v>2020</v>
      </c>
      <c r="C442" s="2" t="str">
        <f t="shared" si="13"/>
        <v>LIM333</v>
      </c>
      <c r="D442" s="2417">
        <v>2208</v>
      </c>
      <c r="E442" s="2">
        <v>79</v>
      </c>
      <c r="F442" s="2" t="s">
        <v>655</v>
      </c>
      <c r="G442" s="2415"/>
      <c r="H442" s="2415"/>
      <c r="I442" s="2415"/>
      <c r="J442" s="2415"/>
      <c r="K442" s="2415"/>
      <c r="L442" s="2415"/>
      <c r="M442" s="2415"/>
      <c r="N442" s="2415"/>
      <c r="O442" s="2415"/>
      <c r="P442" s="2"/>
      <c r="Q442" s="2415"/>
      <c r="R442" s="2415"/>
      <c r="S442" s="2415"/>
      <c r="T442" s="2415"/>
      <c r="U442" s="2415"/>
      <c r="V442" s="2415"/>
      <c r="W442" t="s">
        <v>2062</v>
      </c>
    </row>
    <row r="443" spans="1:23" ht="13.15" customHeight="1">
      <c r="A443" s="2" t="s">
        <v>2192</v>
      </c>
      <c r="B443" s="2">
        <f t="shared" si="12"/>
        <v>2020</v>
      </c>
      <c r="C443" s="2" t="str">
        <f t="shared" si="13"/>
        <v>LIM333</v>
      </c>
      <c r="D443" s="2417">
        <v>2204</v>
      </c>
      <c r="E443" s="2">
        <v>80</v>
      </c>
      <c r="F443" s="2" t="s">
        <v>1947</v>
      </c>
      <c r="G443" s="2415"/>
      <c r="H443" s="2415"/>
      <c r="I443" s="2415"/>
      <c r="J443" s="2415"/>
      <c r="K443" s="2415"/>
      <c r="L443" s="2415"/>
      <c r="M443" s="2415"/>
      <c r="N443" s="2415"/>
      <c r="O443" s="2415"/>
      <c r="P443" s="2"/>
      <c r="Q443" s="2415"/>
      <c r="R443" s="2415"/>
      <c r="S443" s="2415"/>
      <c r="T443" s="2415"/>
      <c r="U443" s="2415"/>
      <c r="V443" s="2415"/>
      <c r="W443" t="s">
        <v>2062</v>
      </c>
    </row>
    <row r="444" spans="1:23" ht="13.15" customHeight="1">
      <c r="A444" s="2" t="s">
        <v>2192</v>
      </c>
      <c r="B444" s="2">
        <f t="shared" si="12"/>
        <v>2020</v>
      </c>
      <c r="C444" s="2" t="str">
        <f t="shared" si="13"/>
        <v>LIM333</v>
      </c>
      <c r="D444" s="2417">
        <v>2205</v>
      </c>
      <c r="E444" s="2">
        <v>81</v>
      </c>
      <c r="F444" s="2" t="s">
        <v>1800</v>
      </c>
      <c r="G444" s="2415"/>
      <c r="H444" s="2415"/>
      <c r="I444" s="2415"/>
      <c r="J444" s="2415"/>
      <c r="K444" s="2415"/>
      <c r="L444" s="2415"/>
      <c r="M444" s="2415"/>
      <c r="N444" s="2415"/>
      <c r="O444" s="2415"/>
      <c r="P444" s="2"/>
      <c r="Q444" s="2415"/>
      <c r="R444" s="2415"/>
      <c r="S444" s="2415"/>
      <c r="T444" s="2415"/>
      <c r="U444" s="2415"/>
      <c r="V444" s="2415"/>
      <c r="W444" t="s">
        <v>2062</v>
      </c>
    </row>
    <row r="445" spans="1:23" ht="13.15" customHeight="1">
      <c r="A445" s="2" t="s">
        <v>2192</v>
      </c>
      <c r="B445" s="2">
        <f t="shared" si="12"/>
        <v>2020</v>
      </c>
      <c r="C445" s="2" t="str">
        <f t="shared" si="13"/>
        <v>LIM333</v>
      </c>
      <c r="D445" s="2417">
        <v>2206</v>
      </c>
      <c r="E445" s="2">
        <v>82</v>
      </c>
      <c r="F445" s="2" t="s">
        <v>1948</v>
      </c>
      <c r="G445" s="2415"/>
      <c r="H445" s="2415"/>
      <c r="I445" s="2415"/>
      <c r="J445" s="2415"/>
      <c r="K445" s="2415"/>
      <c r="L445" s="2415"/>
      <c r="M445" s="2415"/>
      <c r="N445" s="2415"/>
      <c r="O445" s="2415"/>
      <c r="P445" s="2"/>
      <c r="Q445" s="2415"/>
      <c r="R445" s="2415"/>
      <c r="S445" s="2415"/>
      <c r="T445" s="2415"/>
      <c r="U445" s="2415"/>
      <c r="V445" s="2415"/>
      <c r="W445" t="s">
        <v>2062</v>
      </c>
    </row>
    <row r="446" spans="1:23" ht="13.15" customHeight="1">
      <c r="A446" s="2" t="s">
        <v>2192</v>
      </c>
      <c r="B446" s="2">
        <f t="shared" si="12"/>
        <v>2020</v>
      </c>
      <c r="C446" s="2" t="str">
        <f t="shared" si="13"/>
        <v>LIM333</v>
      </c>
      <c r="D446" s="2417">
        <v>2209</v>
      </c>
      <c r="E446" s="2">
        <v>83</v>
      </c>
      <c r="F446" s="2" t="s">
        <v>1348</v>
      </c>
      <c r="G446" s="2415"/>
      <c r="H446" s="2415"/>
      <c r="I446" s="2415"/>
      <c r="J446" s="2415"/>
      <c r="K446" s="2415"/>
      <c r="L446" s="2415"/>
      <c r="M446" s="2415"/>
      <c r="N446" s="2415"/>
      <c r="O446" s="2415"/>
      <c r="P446" s="2"/>
      <c r="Q446" s="2415"/>
      <c r="R446" s="2415"/>
      <c r="S446" s="2415"/>
      <c r="T446" s="2415"/>
      <c r="U446" s="2415"/>
      <c r="V446" s="2415"/>
      <c r="W446" t="s">
        <v>2062</v>
      </c>
    </row>
    <row r="447" spans="1:23" ht="13.15" customHeight="1">
      <c r="A447" s="2" t="s">
        <v>2192</v>
      </c>
      <c r="B447" s="2">
        <f t="shared" si="12"/>
        <v>2020</v>
      </c>
      <c r="C447" s="2" t="str">
        <f t="shared" si="13"/>
        <v>LIM333</v>
      </c>
      <c r="D447" s="2417">
        <v>2211</v>
      </c>
      <c r="E447" s="2">
        <v>84</v>
      </c>
      <c r="F447" s="2" t="s">
        <v>1459</v>
      </c>
      <c r="G447" s="2415"/>
      <c r="H447" s="2415"/>
      <c r="I447" s="2415"/>
      <c r="J447" s="2415"/>
      <c r="K447" s="2415"/>
      <c r="L447" s="2415"/>
      <c r="M447" s="2415"/>
      <c r="N447" s="2415"/>
      <c r="O447" s="2415"/>
      <c r="P447" s="2"/>
      <c r="Q447" s="2415"/>
      <c r="R447" s="2415"/>
      <c r="S447" s="2415"/>
      <c r="T447" s="2415"/>
      <c r="U447" s="2415"/>
      <c r="V447" s="2415"/>
      <c r="W447" t="s">
        <v>2062</v>
      </c>
    </row>
    <row r="448" spans="1:23" ht="13.15" customHeight="1">
      <c r="A448" s="2" t="s">
        <v>2192</v>
      </c>
      <c r="B448" s="2">
        <f t="shared" si="12"/>
        <v>2020</v>
      </c>
      <c r="C448" s="2" t="str">
        <f t="shared" si="13"/>
        <v>LIM333</v>
      </c>
      <c r="D448" s="2417">
        <v>2212</v>
      </c>
      <c r="E448" s="2">
        <v>85</v>
      </c>
      <c r="F448" s="2" t="s">
        <v>954</v>
      </c>
      <c r="G448" s="2415"/>
      <c r="H448" s="2415"/>
      <c r="I448" s="2415"/>
      <c r="J448" s="2415"/>
      <c r="K448" s="2415"/>
      <c r="L448" s="2415"/>
      <c r="M448" s="2415"/>
      <c r="N448" s="2415"/>
      <c r="O448" s="2415"/>
      <c r="P448" s="2"/>
      <c r="Q448" s="2415"/>
      <c r="R448" s="2415"/>
      <c r="S448" s="2415"/>
      <c r="T448" s="2415"/>
      <c r="U448" s="2415"/>
      <c r="V448" s="2415"/>
      <c r="W448" t="s">
        <v>2062</v>
      </c>
    </row>
    <row r="449" spans="1:23" ht="13.15" customHeight="1">
      <c r="A449" s="2" t="s">
        <v>2192</v>
      </c>
      <c r="B449" s="2">
        <f t="shared" si="12"/>
        <v>2020</v>
      </c>
      <c r="C449" s="2" t="str">
        <f t="shared" si="13"/>
        <v>LIM333</v>
      </c>
      <c r="D449" s="2417">
        <v>2213</v>
      </c>
      <c r="E449" s="2">
        <v>86</v>
      </c>
      <c r="F449" s="2" t="s">
        <v>1460</v>
      </c>
      <c r="G449" s="2415"/>
      <c r="H449" s="2415"/>
      <c r="I449" s="2415"/>
      <c r="J449" s="2415"/>
      <c r="K449" s="2415"/>
      <c r="L449" s="2415"/>
      <c r="M449" s="2415"/>
      <c r="N449" s="2415"/>
      <c r="O449" s="2415"/>
      <c r="P449" s="2"/>
      <c r="Q449" s="2415"/>
      <c r="R449" s="2415"/>
      <c r="S449" s="2415"/>
      <c r="T449" s="2415"/>
      <c r="U449" s="2415"/>
      <c r="V449" s="2415"/>
      <c r="W449" t="s">
        <v>2062</v>
      </c>
    </row>
    <row r="450" spans="1:23" ht="13.15" customHeight="1">
      <c r="A450" s="2" t="s">
        <v>2192</v>
      </c>
      <c r="B450" s="2">
        <f t="shared" ref="B450:B513" si="14">+MTREF</f>
        <v>2020</v>
      </c>
      <c r="C450" s="2" t="str">
        <f t="shared" ref="C450:C513" si="15">LEFT(muni,(FIND(" ",muni,1)-1))</f>
        <v>LIM333</v>
      </c>
      <c r="D450" s="2417">
        <v>2290</v>
      </c>
      <c r="E450" s="2">
        <v>87</v>
      </c>
      <c r="F450" s="2" t="s">
        <v>1140</v>
      </c>
      <c r="G450" s="2415"/>
      <c r="H450" s="2415"/>
      <c r="I450" s="2415"/>
      <c r="J450" s="2415"/>
      <c r="K450" s="2415"/>
      <c r="L450" s="2415"/>
      <c r="M450" s="2415"/>
      <c r="N450" s="2415"/>
      <c r="O450" s="2415"/>
      <c r="P450" s="2"/>
      <c r="Q450" s="2415"/>
      <c r="R450" s="2415"/>
      <c r="S450" s="2415"/>
      <c r="T450" s="2415"/>
      <c r="U450" s="2415"/>
      <c r="V450" s="2415"/>
      <c r="W450" t="s">
        <v>2062</v>
      </c>
    </row>
    <row r="451" spans="1:23" ht="13.15" customHeight="1">
      <c r="A451" s="2" t="s">
        <v>2192</v>
      </c>
      <c r="B451" s="2">
        <f t="shared" si="14"/>
        <v>2020</v>
      </c>
      <c r="C451" s="2" t="str">
        <f t="shared" si="15"/>
        <v>LIM333</v>
      </c>
      <c r="D451" s="2417">
        <v>2291</v>
      </c>
      <c r="E451" s="2">
        <v>89</v>
      </c>
      <c r="F451" s="2" t="s">
        <v>799</v>
      </c>
      <c r="G451" s="2447"/>
      <c r="H451" s="2447"/>
      <c r="I451" s="2447"/>
      <c r="J451" s="2447"/>
      <c r="K451" s="2447"/>
      <c r="L451" s="2447"/>
      <c r="M451" s="2447"/>
      <c r="N451" s="2447"/>
      <c r="O451" s="2447"/>
      <c r="P451" s="2"/>
      <c r="Q451" s="2415"/>
      <c r="R451" s="2415"/>
      <c r="S451" s="2415"/>
      <c r="T451" s="2415"/>
      <c r="U451" s="2415"/>
      <c r="V451" s="2415"/>
      <c r="W451" t="s">
        <v>2062</v>
      </c>
    </row>
    <row r="452" spans="1:23" ht="13.15" customHeight="1">
      <c r="A452" s="2" t="s">
        <v>2192</v>
      </c>
      <c r="B452" s="2">
        <f t="shared" si="14"/>
        <v>2020</v>
      </c>
      <c r="C452" s="2" t="str">
        <f t="shared" si="15"/>
        <v>LIM333</v>
      </c>
      <c r="D452" s="2417"/>
      <c r="E452" s="2"/>
      <c r="F452" s="2"/>
      <c r="G452" s="2415"/>
      <c r="H452" s="2415"/>
      <c r="I452" s="2415"/>
      <c r="J452" s="2415"/>
      <c r="K452" s="2415"/>
      <c r="L452" s="2415"/>
      <c r="M452" s="2415"/>
      <c r="N452" s="2415"/>
      <c r="O452" s="2415"/>
      <c r="P452" s="2"/>
      <c r="Q452" s="2415"/>
      <c r="R452" s="2415"/>
      <c r="S452" s="2415"/>
      <c r="T452" s="2415"/>
      <c r="U452" s="2415"/>
      <c r="V452" s="2415"/>
      <c r="W452" t="s">
        <v>2062</v>
      </c>
    </row>
    <row r="453" spans="1:23" ht="13.15" customHeight="1">
      <c r="A453" s="2" t="s">
        <v>2192</v>
      </c>
      <c r="B453" s="2">
        <f t="shared" si="14"/>
        <v>2020</v>
      </c>
      <c r="C453" s="2" t="str">
        <f t="shared" si="15"/>
        <v>LIM333</v>
      </c>
      <c r="D453" s="2417">
        <v>2295</v>
      </c>
      <c r="E453" s="2">
        <v>90</v>
      </c>
      <c r="F453" s="2" t="s">
        <v>1366</v>
      </c>
      <c r="G453" s="2415"/>
      <c r="H453" s="2415"/>
      <c r="I453" s="2415"/>
      <c r="J453" s="2415"/>
      <c r="K453" s="2415"/>
      <c r="L453" s="2415"/>
      <c r="M453" s="2415"/>
      <c r="N453" s="2415"/>
      <c r="O453" s="2415"/>
      <c r="P453" s="2"/>
      <c r="Q453" s="2415"/>
      <c r="R453" s="2415"/>
      <c r="S453" s="2415"/>
      <c r="T453" s="2415"/>
      <c r="U453" s="2415"/>
      <c r="V453" s="2415"/>
      <c r="W453" t="s">
        <v>2062</v>
      </c>
    </row>
    <row r="454" spans="1:23" ht="13.15" customHeight="1">
      <c r="A454" s="2" t="s">
        <v>2192</v>
      </c>
      <c r="B454" s="2">
        <f t="shared" si="14"/>
        <v>2020</v>
      </c>
      <c r="C454" s="2" t="str">
        <f t="shared" si="15"/>
        <v>LIM333</v>
      </c>
      <c r="D454" s="2417"/>
      <c r="E454" s="2"/>
      <c r="F454" s="2"/>
      <c r="G454" s="2415"/>
      <c r="H454" s="2415"/>
      <c r="I454" s="2415"/>
      <c r="J454" s="2415"/>
      <c r="K454" s="2415"/>
      <c r="L454" s="2415"/>
      <c r="M454" s="2415"/>
      <c r="N454" s="2415"/>
      <c r="O454" s="2415"/>
      <c r="P454" s="2"/>
      <c r="Q454" s="2415"/>
      <c r="R454" s="2415"/>
      <c r="S454" s="2415"/>
      <c r="T454" s="2415"/>
      <c r="U454" s="2415"/>
      <c r="V454" s="2415"/>
      <c r="W454" t="s">
        <v>2062</v>
      </c>
    </row>
    <row r="455" spans="1:23" ht="13.15" customHeight="1">
      <c r="A455" s="2" t="s">
        <v>2192</v>
      </c>
      <c r="B455" s="2">
        <f t="shared" si="14"/>
        <v>2020</v>
      </c>
      <c r="C455" s="2" t="str">
        <f t="shared" si="15"/>
        <v>LIM333</v>
      </c>
      <c r="D455" s="2417">
        <v>2296</v>
      </c>
      <c r="E455" s="2">
        <v>91</v>
      </c>
      <c r="F455" s="2" t="s">
        <v>492</v>
      </c>
      <c r="G455" s="2415"/>
      <c r="H455" s="2415"/>
      <c r="I455" s="2415"/>
      <c r="J455" s="2415"/>
      <c r="K455" s="2415"/>
      <c r="L455" s="2415"/>
      <c r="M455" s="2415"/>
      <c r="N455" s="2415"/>
      <c r="O455" s="2415"/>
      <c r="P455" s="2"/>
      <c r="Q455" s="2415"/>
      <c r="R455" s="2415"/>
      <c r="S455" s="2415"/>
      <c r="T455" s="2415"/>
      <c r="U455" s="2415"/>
      <c r="V455" s="2415"/>
      <c r="W455" t="s">
        <v>2062</v>
      </c>
    </row>
    <row r="456" spans="1:23" ht="13.15" customHeight="1">
      <c r="A456" s="2" t="s">
        <v>2192</v>
      </c>
      <c r="B456" s="2">
        <f t="shared" si="14"/>
        <v>2020</v>
      </c>
      <c r="C456" s="2" t="str">
        <f t="shared" si="15"/>
        <v>LIM333</v>
      </c>
      <c r="D456" s="2417">
        <v>2297</v>
      </c>
      <c r="E456" s="2">
        <v>92</v>
      </c>
      <c r="F456" s="2" t="s">
        <v>799</v>
      </c>
      <c r="G456" s="2447"/>
      <c r="H456" s="2447"/>
      <c r="I456" s="2447"/>
      <c r="J456" s="2447"/>
      <c r="K456" s="2447"/>
      <c r="L456" s="2447"/>
      <c r="M456" s="2447"/>
      <c r="N456" s="2447"/>
      <c r="O456" s="2447"/>
      <c r="P456" s="2"/>
      <c r="Q456" s="2415"/>
      <c r="R456" s="2415"/>
      <c r="S456" s="2415"/>
      <c r="T456" s="2415"/>
      <c r="U456" s="2415"/>
      <c r="V456" s="2415"/>
      <c r="W456" t="s">
        <v>2062</v>
      </c>
    </row>
    <row r="457" spans="1:23" ht="13.15" customHeight="1">
      <c r="A457" s="2" t="s">
        <v>2192</v>
      </c>
      <c r="B457" s="2">
        <f t="shared" si="14"/>
        <v>2020</v>
      </c>
      <c r="C457" s="2" t="str">
        <f t="shared" si="15"/>
        <v>LIM333</v>
      </c>
      <c r="D457" s="2417">
        <v>2298</v>
      </c>
      <c r="E457" s="2">
        <v>93</v>
      </c>
      <c r="F457" s="2" t="s">
        <v>1266</v>
      </c>
      <c r="G457" s="2415"/>
      <c r="H457" s="2415"/>
      <c r="I457" s="2415"/>
      <c r="J457" s="2415"/>
      <c r="K457" s="2415"/>
      <c r="L457" s="2415"/>
      <c r="M457" s="2415"/>
      <c r="N457" s="2415"/>
      <c r="O457" s="2415"/>
      <c r="P457" s="2"/>
      <c r="Q457" s="2415"/>
      <c r="R457" s="2415"/>
      <c r="S457" s="2415"/>
      <c r="T457" s="2415"/>
      <c r="U457" s="2415"/>
      <c r="V457" s="2415"/>
      <c r="W457" t="s">
        <v>2062</v>
      </c>
    </row>
    <row r="458" spans="1:23" ht="13.15" customHeight="1">
      <c r="A458" s="2" t="s">
        <v>2193</v>
      </c>
      <c r="B458" s="2">
        <f t="shared" si="14"/>
        <v>2020</v>
      </c>
      <c r="C458" s="2" t="str">
        <f t="shared" si="15"/>
        <v>LIM333</v>
      </c>
      <c r="D458" s="2417">
        <v>1000</v>
      </c>
      <c r="E458" s="2">
        <v>1</v>
      </c>
      <c r="F458" s="2448"/>
      <c r="G458" s="2415"/>
      <c r="H458" s="2415"/>
      <c r="I458" s="2415"/>
      <c r="J458" s="2415"/>
      <c r="K458" s="2415"/>
      <c r="L458" s="2415"/>
      <c r="M458" s="2415"/>
      <c r="N458" s="2"/>
      <c r="W458" t="s">
        <v>2062</v>
      </c>
    </row>
    <row r="459" spans="1:23" ht="13.15" customHeight="1">
      <c r="A459" s="2" t="s">
        <v>2193</v>
      </c>
      <c r="B459" s="2">
        <f t="shared" si="14"/>
        <v>2020</v>
      </c>
      <c r="C459" s="2" t="str">
        <f t="shared" si="15"/>
        <v>LIM333</v>
      </c>
      <c r="D459" s="2417">
        <v>1001</v>
      </c>
      <c r="E459" s="2">
        <v>2</v>
      </c>
      <c r="F459" s="2448"/>
      <c r="G459" s="2415"/>
      <c r="H459" s="2415"/>
      <c r="I459" s="2415"/>
      <c r="J459" s="2415"/>
      <c r="K459" s="2415"/>
      <c r="L459" s="2415"/>
      <c r="M459" s="2415"/>
      <c r="N459" s="2"/>
      <c r="W459" t="s">
        <v>2062</v>
      </c>
    </row>
    <row r="460" spans="1:23" ht="13.15" customHeight="1">
      <c r="A460" s="2" t="s">
        <v>2193</v>
      </c>
      <c r="B460" s="2">
        <f t="shared" si="14"/>
        <v>2020</v>
      </c>
      <c r="C460" s="2" t="str">
        <f t="shared" si="15"/>
        <v>LIM333</v>
      </c>
      <c r="D460" s="2417">
        <v>1002</v>
      </c>
      <c r="E460" s="2">
        <v>3</v>
      </c>
      <c r="F460" s="2448"/>
      <c r="G460" s="2415"/>
      <c r="H460" s="2415"/>
      <c r="I460" s="2415"/>
      <c r="J460" s="2415"/>
      <c r="K460" s="2415"/>
      <c r="L460" s="2415"/>
      <c r="M460" s="2415"/>
      <c r="N460" s="2"/>
      <c r="W460" t="s">
        <v>2062</v>
      </c>
    </row>
    <row r="461" spans="1:23" ht="13.15" customHeight="1">
      <c r="A461" s="2" t="s">
        <v>2193</v>
      </c>
      <c r="B461" s="2">
        <f t="shared" si="14"/>
        <v>2020</v>
      </c>
      <c r="C461" s="2" t="str">
        <f t="shared" si="15"/>
        <v>LIM333</v>
      </c>
      <c r="D461" s="2417">
        <v>1003</v>
      </c>
      <c r="E461" s="2">
        <v>4</v>
      </c>
      <c r="F461" s="2448"/>
      <c r="G461" s="2415"/>
      <c r="H461" s="2415"/>
      <c r="I461" s="2415"/>
      <c r="J461" s="2415"/>
      <c r="K461" s="2415"/>
      <c r="L461" s="2415"/>
      <c r="M461" s="2415"/>
      <c r="N461" s="2"/>
      <c r="W461" t="s">
        <v>2062</v>
      </c>
    </row>
    <row r="462" spans="1:23" ht="13.15" customHeight="1">
      <c r="A462" s="2" t="s">
        <v>2193</v>
      </c>
      <c r="B462" s="2">
        <f t="shared" si="14"/>
        <v>2020</v>
      </c>
      <c r="C462" s="2" t="str">
        <f t="shared" si="15"/>
        <v>LIM333</v>
      </c>
      <c r="D462" s="2417">
        <v>1004</v>
      </c>
      <c r="E462" s="2">
        <v>5</v>
      </c>
      <c r="F462" s="2448"/>
      <c r="G462" s="2415"/>
      <c r="H462" s="2415"/>
      <c r="I462" s="2415"/>
      <c r="J462" s="2415"/>
      <c r="K462" s="2415"/>
      <c r="L462" s="2415"/>
      <c r="M462" s="2415"/>
      <c r="N462" s="2"/>
      <c r="W462" t="s">
        <v>2062</v>
      </c>
    </row>
    <row r="463" spans="1:23" ht="13.15" customHeight="1">
      <c r="A463" s="2" t="s">
        <v>2193</v>
      </c>
      <c r="B463" s="2">
        <f t="shared" si="14"/>
        <v>2020</v>
      </c>
      <c r="C463" s="2" t="str">
        <f t="shared" si="15"/>
        <v>LIM333</v>
      </c>
      <c r="D463" s="2417">
        <v>1005</v>
      </c>
      <c r="E463" s="2">
        <v>6</v>
      </c>
      <c r="F463" s="2448"/>
      <c r="G463" s="2415"/>
      <c r="H463" s="2415"/>
      <c r="I463" s="2415"/>
      <c r="J463" s="2415"/>
      <c r="K463" s="2415"/>
      <c r="L463" s="2415"/>
      <c r="M463" s="2415"/>
      <c r="N463" s="2"/>
      <c r="W463" t="s">
        <v>2062</v>
      </c>
    </row>
    <row r="464" spans="1:23" ht="13.15" customHeight="1">
      <c r="A464" s="2" t="s">
        <v>2193</v>
      </c>
      <c r="B464" s="2">
        <f t="shared" si="14"/>
        <v>2020</v>
      </c>
      <c r="C464" s="2" t="str">
        <f t="shared" si="15"/>
        <v>LIM333</v>
      </c>
      <c r="D464" s="2417">
        <v>1006</v>
      </c>
      <c r="E464" s="2">
        <v>7</v>
      </c>
      <c r="F464" s="2448"/>
      <c r="G464" s="2415"/>
      <c r="H464" s="2415"/>
      <c r="I464" s="2415"/>
      <c r="J464" s="2415"/>
      <c r="K464" s="2415"/>
      <c r="L464" s="2415"/>
      <c r="M464" s="2415"/>
      <c r="N464" s="2"/>
      <c r="W464" t="s">
        <v>2062</v>
      </c>
    </row>
    <row r="465" spans="1:23" ht="13.15" customHeight="1">
      <c r="A465" s="2" t="s">
        <v>2193</v>
      </c>
      <c r="B465" s="2">
        <f t="shared" si="14"/>
        <v>2020</v>
      </c>
      <c r="C465" s="2" t="str">
        <f t="shared" si="15"/>
        <v>LIM333</v>
      </c>
      <c r="D465" s="2417">
        <v>1090</v>
      </c>
      <c r="E465" s="2">
        <v>8</v>
      </c>
      <c r="F465" s="2448"/>
      <c r="G465" s="2415"/>
      <c r="H465" s="2415"/>
      <c r="I465" s="2415"/>
      <c r="J465" s="2415"/>
      <c r="K465" s="2415"/>
      <c r="L465" s="2415"/>
      <c r="M465" s="2415"/>
      <c r="N465" s="2"/>
      <c r="W465" t="s">
        <v>2062</v>
      </c>
    </row>
    <row r="466" spans="1:23" ht="13.15" customHeight="1">
      <c r="A466" s="2" t="s">
        <v>2193</v>
      </c>
      <c r="B466" s="2">
        <f t="shared" si="14"/>
        <v>2020</v>
      </c>
      <c r="C466" s="2" t="str">
        <f t="shared" si="15"/>
        <v>LIM333</v>
      </c>
      <c r="D466" s="2417"/>
      <c r="E466" s="2"/>
      <c r="F466" s="2448"/>
      <c r="G466" s="2415"/>
      <c r="H466" s="2415"/>
      <c r="I466" s="2415"/>
      <c r="J466" s="2415"/>
      <c r="K466" s="2415"/>
      <c r="L466" s="2415"/>
      <c r="M466" s="2415"/>
      <c r="N466" s="2"/>
      <c r="W466" t="s">
        <v>2062</v>
      </c>
    </row>
    <row r="467" spans="1:23" ht="13.15" customHeight="1">
      <c r="A467" s="2" t="s">
        <v>2193</v>
      </c>
      <c r="B467" s="2">
        <f t="shared" si="14"/>
        <v>2020</v>
      </c>
      <c r="C467" s="2" t="str">
        <f t="shared" si="15"/>
        <v>LIM333</v>
      </c>
      <c r="D467" s="2417"/>
      <c r="E467" s="2"/>
      <c r="F467" s="2448"/>
      <c r="G467" s="2415"/>
      <c r="H467" s="2415"/>
      <c r="I467" s="2415"/>
      <c r="J467" s="2415"/>
      <c r="K467" s="2415"/>
      <c r="L467" s="2415"/>
      <c r="M467" s="2415"/>
      <c r="N467" s="2"/>
      <c r="W467" t="s">
        <v>2062</v>
      </c>
    </row>
    <row r="468" spans="1:23" ht="13.15" customHeight="1">
      <c r="A468" s="2" t="s">
        <v>2193</v>
      </c>
      <c r="B468" s="2">
        <f t="shared" si="14"/>
        <v>2020</v>
      </c>
      <c r="C468" s="2" t="str">
        <f t="shared" si="15"/>
        <v>LIM333</v>
      </c>
      <c r="D468" s="2417"/>
      <c r="E468" s="2"/>
      <c r="F468" s="2448"/>
      <c r="G468" s="2415"/>
      <c r="H468" s="2415"/>
      <c r="I468" s="2415"/>
      <c r="J468" s="2415"/>
      <c r="K468" s="2415"/>
      <c r="L468" s="2415"/>
      <c r="M468" s="2415"/>
      <c r="N468" s="2"/>
      <c r="W468" t="s">
        <v>2062</v>
      </c>
    </row>
    <row r="469" spans="1:23" ht="13.15" customHeight="1">
      <c r="A469" s="2" t="s">
        <v>2193</v>
      </c>
      <c r="B469" s="2">
        <f t="shared" si="14"/>
        <v>2020</v>
      </c>
      <c r="C469" s="2" t="str">
        <f t="shared" si="15"/>
        <v>LIM333</v>
      </c>
      <c r="D469" s="2417"/>
      <c r="E469" s="2"/>
      <c r="F469" s="2448"/>
      <c r="G469" s="2415"/>
      <c r="H469" s="2415"/>
      <c r="I469" s="2415"/>
      <c r="J469" s="2415"/>
      <c r="K469" s="2415"/>
      <c r="L469" s="2415"/>
      <c r="M469" s="2415"/>
      <c r="N469" s="2"/>
      <c r="W469" t="s">
        <v>2062</v>
      </c>
    </row>
    <row r="470" spans="1:23" ht="13.15" customHeight="1">
      <c r="A470" s="2" t="s">
        <v>2193</v>
      </c>
      <c r="B470" s="2">
        <f t="shared" si="14"/>
        <v>2020</v>
      </c>
      <c r="C470" s="2" t="str">
        <f t="shared" si="15"/>
        <v>LIM333</v>
      </c>
      <c r="D470" s="2417"/>
      <c r="E470" s="2"/>
      <c r="F470" s="2448"/>
      <c r="G470" s="2415"/>
      <c r="H470" s="2415"/>
      <c r="I470" s="2415"/>
      <c r="J470" s="2415"/>
      <c r="K470" s="2415"/>
      <c r="L470" s="2415"/>
      <c r="M470" s="2415"/>
      <c r="N470" s="2"/>
      <c r="W470" t="s">
        <v>2062</v>
      </c>
    </row>
    <row r="471" spans="1:23" ht="13.15" customHeight="1">
      <c r="A471" s="2" t="s">
        <v>2193</v>
      </c>
      <c r="B471" s="2">
        <f t="shared" si="14"/>
        <v>2020</v>
      </c>
      <c r="C471" s="2" t="str">
        <f t="shared" si="15"/>
        <v>LIM333</v>
      </c>
      <c r="D471" s="2417"/>
      <c r="E471" s="2"/>
      <c r="F471" s="2448"/>
      <c r="G471" s="2415"/>
      <c r="H471" s="2415"/>
      <c r="I471" s="2415"/>
      <c r="J471" s="2415"/>
      <c r="K471" s="2415"/>
      <c r="L471" s="2415"/>
      <c r="M471" s="2415"/>
      <c r="N471" s="2"/>
      <c r="W471" t="s">
        <v>2062</v>
      </c>
    </row>
    <row r="472" spans="1:23" ht="13.15" customHeight="1">
      <c r="A472" s="2" t="s">
        <v>2193</v>
      </c>
      <c r="B472" s="2">
        <f t="shared" si="14"/>
        <v>2020</v>
      </c>
      <c r="C472" s="2" t="str">
        <f t="shared" si="15"/>
        <v>LIM333</v>
      </c>
      <c r="D472" s="2417"/>
      <c r="E472" s="2"/>
      <c r="F472" s="2448"/>
      <c r="G472" s="2415"/>
      <c r="H472" s="2415"/>
      <c r="I472" s="2415"/>
      <c r="J472" s="2415"/>
      <c r="K472" s="2415"/>
      <c r="L472" s="2415"/>
      <c r="M472" s="2415"/>
      <c r="N472" s="2"/>
      <c r="W472" t="s">
        <v>2062</v>
      </c>
    </row>
    <row r="473" spans="1:23" ht="13.15" customHeight="1">
      <c r="A473" s="2" t="s">
        <v>2193</v>
      </c>
      <c r="B473" s="2">
        <f t="shared" si="14"/>
        <v>2020</v>
      </c>
      <c r="C473" s="2" t="str">
        <f t="shared" si="15"/>
        <v>LIM333</v>
      </c>
      <c r="D473" s="2417"/>
      <c r="E473" s="2"/>
      <c r="F473" s="2448"/>
      <c r="G473" s="2415"/>
      <c r="H473" s="2415"/>
      <c r="I473" s="2415"/>
      <c r="J473" s="2415"/>
      <c r="K473" s="2415"/>
      <c r="L473" s="2415"/>
      <c r="M473" s="2415"/>
      <c r="N473" s="2"/>
      <c r="W473" t="s">
        <v>2062</v>
      </c>
    </row>
    <row r="474" spans="1:23" ht="13.15" customHeight="1">
      <c r="A474" s="2" t="s">
        <v>2193</v>
      </c>
      <c r="B474" s="2">
        <f t="shared" si="14"/>
        <v>2020</v>
      </c>
      <c r="C474" s="2" t="str">
        <f t="shared" si="15"/>
        <v>LIM333</v>
      </c>
      <c r="D474" s="2417"/>
      <c r="E474" s="2"/>
      <c r="F474" s="2448"/>
      <c r="G474" s="2415"/>
      <c r="H474" s="2415"/>
      <c r="I474" s="2415"/>
      <c r="J474" s="2415"/>
      <c r="K474" s="2415"/>
      <c r="L474" s="2415"/>
      <c r="M474" s="2415"/>
      <c r="N474" s="2"/>
      <c r="W474" t="s">
        <v>2062</v>
      </c>
    </row>
    <row r="475" spans="1:23" ht="13.15" customHeight="1">
      <c r="A475" s="2" t="s">
        <v>2193</v>
      </c>
      <c r="B475" s="2">
        <f t="shared" si="14"/>
        <v>2020</v>
      </c>
      <c r="C475" s="2" t="str">
        <f t="shared" si="15"/>
        <v>LIM333</v>
      </c>
      <c r="D475" s="2417"/>
      <c r="E475" s="2"/>
      <c r="F475" s="2449"/>
      <c r="G475" s="2415"/>
      <c r="H475" s="2415"/>
      <c r="I475" s="2415"/>
      <c r="J475" s="2415"/>
      <c r="K475" s="2415"/>
      <c r="L475" s="2415"/>
      <c r="M475" s="2415"/>
      <c r="N475" s="2"/>
      <c r="W475" t="s">
        <v>2062</v>
      </c>
    </row>
    <row r="476" spans="1:23" ht="13.15" customHeight="1">
      <c r="A476" s="2" t="s">
        <v>2193</v>
      </c>
      <c r="B476" s="2">
        <f t="shared" si="14"/>
        <v>2020</v>
      </c>
      <c r="C476" s="2" t="str">
        <f t="shared" si="15"/>
        <v>LIM333</v>
      </c>
      <c r="D476" s="2417"/>
      <c r="E476" s="2"/>
      <c r="F476" s="2449"/>
      <c r="G476" s="2415"/>
      <c r="H476" s="2415"/>
      <c r="I476" s="2415"/>
      <c r="J476" s="2415"/>
      <c r="K476" s="2415"/>
      <c r="L476" s="2415"/>
      <c r="M476" s="2415"/>
      <c r="N476" s="2"/>
      <c r="W476" t="s">
        <v>2062</v>
      </c>
    </row>
    <row r="477" spans="1:23" ht="13.15" customHeight="1">
      <c r="A477" s="2" t="s">
        <v>2193</v>
      </c>
      <c r="B477" s="2">
        <f t="shared" si="14"/>
        <v>2020</v>
      </c>
      <c r="C477" s="2" t="str">
        <f t="shared" si="15"/>
        <v>LIM333</v>
      </c>
      <c r="D477" s="2417"/>
      <c r="E477" s="2"/>
      <c r="F477" s="2449"/>
      <c r="G477" s="2415"/>
      <c r="H477" s="2415"/>
      <c r="I477" s="2415"/>
      <c r="J477" s="2415"/>
      <c r="K477" s="2415"/>
      <c r="L477" s="2415"/>
      <c r="M477" s="2415"/>
      <c r="N477" s="2"/>
      <c r="W477" t="s">
        <v>2062</v>
      </c>
    </row>
    <row r="478" spans="1:23" ht="13.15" customHeight="1">
      <c r="A478" s="2" t="s">
        <v>2193</v>
      </c>
      <c r="B478" s="2">
        <f t="shared" si="14"/>
        <v>2020</v>
      </c>
      <c r="C478" s="2" t="str">
        <f t="shared" si="15"/>
        <v>LIM333</v>
      </c>
      <c r="D478" s="2417"/>
      <c r="E478" s="2"/>
      <c r="F478" s="2449"/>
      <c r="G478" s="2415"/>
      <c r="H478" s="2415"/>
      <c r="I478" s="2415"/>
      <c r="J478" s="2415"/>
      <c r="K478" s="2415"/>
      <c r="L478" s="2415"/>
      <c r="M478" s="2415"/>
      <c r="N478" s="2"/>
      <c r="W478" t="s">
        <v>2062</v>
      </c>
    </row>
    <row r="479" spans="1:23" ht="13.15" customHeight="1">
      <c r="A479" s="2" t="s">
        <v>2193</v>
      </c>
      <c r="B479" s="2">
        <f t="shared" si="14"/>
        <v>2020</v>
      </c>
      <c r="C479" s="2" t="str">
        <f t="shared" si="15"/>
        <v>LIM333</v>
      </c>
      <c r="D479" s="2417"/>
      <c r="E479" s="2"/>
      <c r="F479" s="2449"/>
      <c r="G479" s="2415"/>
      <c r="H479" s="2415"/>
      <c r="I479" s="2415"/>
      <c r="J479" s="2415"/>
      <c r="K479" s="2415"/>
      <c r="L479" s="2415"/>
      <c r="M479" s="2415"/>
      <c r="N479" s="2"/>
      <c r="W479" t="s">
        <v>2062</v>
      </c>
    </row>
    <row r="480" spans="1:23" ht="13.15" customHeight="1">
      <c r="A480" s="2" t="s">
        <v>2193</v>
      </c>
      <c r="B480" s="2">
        <f t="shared" si="14"/>
        <v>2020</v>
      </c>
      <c r="C480" s="2" t="str">
        <f t="shared" si="15"/>
        <v>LIM333</v>
      </c>
      <c r="D480" s="2417"/>
      <c r="E480" s="2"/>
      <c r="F480" s="2449"/>
      <c r="G480" s="2415"/>
      <c r="H480" s="2415"/>
      <c r="I480" s="2415"/>
      <c r="J480" s="2415"/>
      <c r="K480" s="2415"/>
      <c r="L480" s="2415"/>
      <c r="M480" s="2415"/>
      <c r="N480" s="2"/>
      <c r="W480" t="s">
        <v>2062</v>
      </c>
    </row>
    <row r="481" spans="1:23" ht="13.15" customHeight="1">
      <c r="A481" s="2" t="s">
        <v>2193</v>
      </c>
      <c r="B481" s="2">
        <f t="shared" si="14"/>
        <v>2020</v>
      </c>
      <c r="C481" s="2" t="str">
        <f t="shared" si="15"/>
        <v>LIM333</v>
      </c>
      <c r="D481" s="2417"/>
      <c r="E481" s="2"/>
      <c r="F481" s="2449"/>
      <c r="G481" s="2415"/>
      <c r="H481" s="2415"/>
      <c r="I481" s="2415"/>
      <c r="J481" s="2415"/>
      <c r="K481" s="2415"/>
      <c r="L481" s="2415"/>
      <c r="M481" s="2415"/>
      <c r="N481" s="2"/>
      <c r="W481" t="s">
        <v>2062</v>
      </c>
    </row>
    <row r="482" spans="1:23" ht="13.15" customHeight="1">
      <c r="A482" s="2" t="s">
        <v>2193</v>
      </c>
      <c r="B482" s="2">
        <f t="shared" si="14"/>
        <v>2020</v>
      </c>
      <c r="C482" s="2" t="str">
        <f t="shared" si="15"/>
        <v>LIM333</v>
      </c>
      <c r="D482" s="2417"/>
      <c r="E482" s="2"/>
      <c r="F482" s="2449"/>
      <c r="G482" s="2415"/>
      <c r="H482" s="2415"/>
      <c r="I482" s="2415"/>
      <c r="J482" s="2415"/>
      <c r="K482" s="2415"/>
      <c r="L482" s="2415"/>
      <c r="M482" s="2415"/>
      <c r="N482" s="2"/>
      <c r="W482" t="s">
        <v>2062</v>
      </c>
    </row>
    <row r="483" spans="1:23" ht="13.15" customHeight="1">
      <c r="A483" s="2" t="s">
        <v>2193</v>
      </c>
      <c r="B483" s="2">
        <f t="shared" si="14"/>
        <v>2020</v>
      </c>
      <c r="C483" s="2" t="str">
        <f t="shared" si="15"/>
        <v>LIM333</v>
      </c>
      <c r="D483" s="2417"/>
      <c r="E483" s="2"/>
      <c r="F483" s="2449"/>
      <c r="G483" s="2415"/>
      <c r="H483" s="2415"/>
      <c r="I483" s="2415"/>
      <c r="J483" s="2415"/>
      <c r="K483" s="2415"/>
      <c r="L483" s="2415"/>
      <c r="M483" s="2415"/>
      <c r="N483" s="2"/>
      <c r="W483" t="s">
        <v>2062</v>
      </c>
    </row>
    <row r="484" spans="1:23" ht="13.15" customHeight="1">
      <c r="A484" s="2" t="s">
        <v>2193</v>
      </c>
      <c r="B484" s="2">
        <f t="shared" si="14"/>
        <v>2020</v>
      </c>
      <c r="C484" s="2" t="str">
        <f t="shared" si="15"/>
        <v>LIM333</v>
      </c>
      <c r="D484" s="2417"/>
      <c r="E484" s="2"/>
      <c r="F484" s="2449"/>
      <c r="G484" s="2415"/>
      <c r="H484" s="2415"/>
      <c r="I484" s="2415"/>
      <c r="J484" s="2415"/>
      <c r="K484" s="2415"/>
      <c r="L484" s="2415"/>
      <c r="M484" s="2415"/>
      <c r="N484" s="2"/>
      <c r="W484" t="s">
        <v>2062</v>
      </c>
    </row>
    <row r="485" spans="1:23" ht="13.15" customHeight="1">
      <c r="A485" s="2" t="s">
        <v>2193</v>
      </c>
      <c r="B485" s="2">
        <f t="shared" si="14"/>
        <v>2020</v>
      </c>
      <c r="C485" s="2" t="str">
        <f t="shared" si="15"/>
        <v>LIM333</v>
      </c>
      <c r="D485" s="2417"/>
      <c r="E485" s="2"/>
      <c r="F485" s="2449"/>
      <c r="G485" s="2415"/>
      <c r="H485" s="2415"/>
      <c r="I485" s="2415"/>
      <c r="J485" s="2415"/>
      <c r="K485" s="2415"/>
      <c r="L485" s="2415"/>
      <c r="M485" s="2415"/>
      <c r="N485" s="2"/>
      <c r="W485" t="s">
        <v>2062</v>
      </c>
    </row>
    <row r="486" spans="1:23" ht="13.15" customHeight="1">
      <c r="A486" s="2" t="s">
        <v>2193</v>
      </c>
      <c r="B486" s="2">
        <f t="shared" si="14"/>
        <v>2020</v>
      </c>
      <c r="C486" s="2" t="str">
        <f t="shared" si="15"/>
        <v>LIM333</v>
      </c>
      <c r="D486" s="2417"/>
      <c r="E486" s="2"/>
      <c r="F486" s="2449"/>
      <c r="G486" s="2415"/>
      <c r="H486" s="2415"/>
      <c r="I486" s="2415"/>
      <c r="J486" s="2415"/>
      <c r="K486" s="2415"/>
      <c r="L486" s="2415"/>
      <c r="M486" s="2415"/>
      <c r="N486" s="2"/>
      <c r="W486" t="s">
        <v>2062</v>
      </c>
    </row>
    <row r="487" spans="1:23" ht="13.15" customHeight="1">
      <c r="A487" s="2" t="s">
        <v>2193</v>
      </c>
      <c r="B487" s="2">
        <f t="shared" si="14"/>
        <v>2020</v>
      </c>
      <c r="C487" s="2" t="str">
        <f t="shared" si="15"/>
        <v>LIM333</v>
      </c>
      <c r="D487" s="2417"/>
      <c r="E487" s="2"/>
      <c r="F487" s="2449"/>
      <c r="G487" s="2415"/>
      <c r="H487" s="2415"/>
      <c r="I487" s="2415"/>
      <c r="J487" s="2415"/>
      <c r="K487" s="2415"/>
      <c r="L487" s="2415"/>
      <c r="M487" s="2415"/>
      <c r="N487" s="2"/>
      <c r="W487" t="s">
        <v>2062</v>
      </c>
    </row>
    <row r="488" spans="1:23" ht="13.15" customHeight="1">
      <c r="A488" s="2" t="s">
        <v>2193</v>
      </c>
      <c r="B488" s="2">
        <f t="shared" si="14"/>
        <v>2020</v>
      </c>
      <c r="C488" s="2" t="str">
        <f t="shared" si="15"/>
        <v>LIM333</v>
      </c>
      <c r="D488" s="2417"/>
      <c r="E488" s="2"/>
      <c r="F488" s="2448"/>
      <c r="G488" s="2415"/>
      <c r="H488" s="2415"/>
      <c r="I488" s="2415"/>
      <c r="J488" s="2415"/>
      <c r="K488" s="2415"/>
      <c r="L488" s="2415"/>
      <c r="M488" s="2415"/>
      <c r="N488" s="2"/>
      <c r="W488" t="s">
        <v>2062</v>
      </c>
    </row>
    <row r="489" spans="1:23" ht="13.15" customHeight="1">
      <c r="A489" s="2" t="s">
        <v>2193</v>
      </c>
      <c r="B489" s="2">
        <f t="shared" si="14"/>
        <v>2020</v>
      </c>
      <c r="C489" s="2" t="str">
        <f t="shared" si="15"/>
        <v>LIM333</v>
      </c>
      <c r="D489" s="2417"/>
      <c r="E489" s="2"/>
      <c r="F489" s="2448"/>
      <c r="G489" s="2415"/>
      <c r="H489" s="2415"/>
      <c r="I489" s="2415"/>
      <c r="J489" s="2415"/>
      <c r="K489" s="2415"/>
      <c r="L489" s="2415"/>
      <c r="M489" s="2415"/>
      <c r="N489" s="2"/>
      <c r="W489" t="s">
        <v>2062</v>
      </c>
    </row>
    <row r="490" spans="1:23" ht="13.15" customHeight="1">
      <c r="A490" s="2" t="s">
        <v>2193</v>
      </c>
      <c r="B490" s="2">
        <f t="shared" si="14"/>
        <v>2020</v>
      </c>
      <c r="C490" s="2" t="str">
        <f t="shared" si="15"/>
        <v>LIM333</v>
      </c>
      <c r="D490" s="2417"/>
      <c r="E490" s="2"/>
      <c r="F490" s="2448"/>
      <c r="G490" s="2415"/>
      <c r="H490" s="2415"/>
      <c r="I490" s="2415"/>
      <c r="J490" s="2415"/>
      <c r="K490" s="2415"/>
      <c r="L490" s="2415"/>
      <c r="M490" s="2415"/>
      <c r="N490" s="2"/>
      <c r="W490" t="s">
        <v>2062</v>
      </c>
    </row>
    <row r="491" spans="1:23" ht="13.15" customHeight="1">
      <c r="A491" s="2" t="s">
        <v>2193</v>
      </c>
      <c r="B491" s="2">
        <f t="shared" si="14"/>
        <v>2020</v>
      </c>
      <c r="C491" s="2" t="str">
        <f t="shared" si="15"/>
        <v>LIM333</v>
      </c>
      <c r="D491" s="2417"/>
      <c r="E491" s="2"/>
      <c r="F491" s="2448"/>
      <c r="G491" s="2415"/>
      <c r="H491" s="2415"/>
      <c r="I491" s="2415"/>
      <c r="J491" s="2415"/>
      <c r="K491" s="2415"/>
      <c r="L491" s="2415"/>
      <c r="M491" s="2415"/>
      <c r="N491" s="2"/>
      <c r="W491" t="s">
        <v>2062</v>
      </c>
    </row>
    <row r="492" spans="1:23" ht="13.15" customHeight="1">
      <c r="A492" s="2" t="s">
        <v>2193</v>
      </c>
      <c r="B492" s="2">
        <f t="shared" si="14"/>
        <v>2020</v>
      </c>
      <c r="C492" s="2" t="str">
        <f t="shared" si="15"/>
        <v>LIM333</v>
      </c>
      <c r="D492" s="2417"/>
      <c r="E492" s="2"/>
      <c r="F492" s="2448"/>
      <c r="G492" s="2415"/>
      <c r="H492" s="2415"/>
      <c r="I492" s="2415"/>
      <c r="J492" s="2415"/>
      <c r="K492" s="2415"/>
      <c r="L492" s="2415"/>
      <c r="M492" s="2415"/>
      <c r="N492" s="2"/>
      <c r="W492" t="s">
        <v>2062</v>
      </c>
    </row>
    <row r="493" spans="1:23" ht="13.15" customHeight="1">
      <c r="A493" s="2" t="s">
        <v>2193</v>
      </c>
      <c r="B493" s="2">
        <f t="shared" si="14"/>
        <v>2020</v>
      </c>
      <c r="C493" s="2" t="str">
        <f t="shared" si="15"/>
        <v>LIM333</v>
      </c>
      <c r="D493" s="2417"/>
      <c r="E493" s="2"/>
      <c r="F493" s="2448"/>
      <c r="G493" s="2415"/>
      <c r="H493" s="2415"/>
      <c r="I493" s="2415"/>
      <c r="J493" s="2415"/>
      <c r="K493" s="2415"/>
      <c r="L493" s="2415"/>
      <c r="M493" s="2415"/>
      <c r="N493" s="2"/>
      <c r="W493" t="s">
        <v>2062</v>
      </c>
    </row>
    <row r="494" spans="1:23" ht="13.15" customHeight="1">
      <c r="A494" s="2" t="s">
        <v>2193</v>
      </c>
      <c r="B494" s="2">
        <f t="shared" si="14"/>
        <v>2020</v>
      </c>
      <c r="C494" s="2" t="str">
        <f t="shared" si="15"/>
        <v>LIM333</v>
      </c>
      <c r="D494" s="2417"/>
      <c r="E494" s="2"/>
      <c r="F494" s="2449"/>
      <c r="G494" s="2415"/>
      <c r="H494" s="2415"/>
      <c r="I494" s="2415"/>
      <c r="J494" s="2415"/>
      <c r="K494" s="2415"/>
      <c r="L494" s="2415"/>
      <c r="M494" s="2415"/>
      <c r="N494" s="2"/>
      <c r="W494" t="s">
        <v>2062</v>
      </c>
    </row>
    <row r="495" spans="1:23" ht="13.15" customHeight="1">
      <c r="A495" s="2" t="s">
        <v>2193</v>
      </c>
      <c r="B495" s="2">
        <f t="shared" si="14"/>
        <v>2020</v>
      </c>
      <c r="C495" s="2" t="str">
        <f t="shared" si="15"/>
        <v>LIM333</v>
      </c>
      <c r="D495" s="2417"/>
      <c r="E495" s="2"/>
      <c r="F495" s="2449"/>
      <c r="G495" s="2415"/>
      <c r="H495" s="2415"/>
      <c r="I495" s="2415"/>
      <c r="J495" s="2415"/>
      <c r="K495" s="2415"/>
      <c r="L495" s="2415"/>
      <c r="M495" s="2415"/>
      <c r="N495" s="2"/>
      <c r="W495" t="s">
        <v>2062</v>
      </c>
    </row>
    <row r="496" spans="1:23" ht="13.15" customHeight="1">
      <c r="A496" s="2" t="s">
        <v>2193</v>
      </c>
      <c r="B496" s="2">
        <f t="shared" si="14"/>
        <v>2020</v>
      </c>
      <c r="C496" s="2" t="str">
        <f t="shared" si="15"/>
        <v>LIM333</v>
      </c>
      <c r="D496" s="2417"/>
      <c r="E496" s="2"/>
      <c r="F496" s="2449"/>
      <c r="G496" s="2415"/>
      <c r="H496" s="2415"/>
      <c r="I496" s="2415"/>
      <c r="J496" s="2415"/>
      <c r="K496" s="2415"/>
      <c r="L496" s="2415"/>
      <c r="M496" s="2415"/>
      <c r="N496" s="2"/>
      <c r="W496" t="s">
        <v>2062</v>
      </c>
    </row>
    <row r="497" spans="1:23" ht="13.15" customHeight="1">
      <c r="A497" s="2" t="s">
        <v>2193</v>
      </c>
      <c r="B497" s="2">
        <f t="shared" si="14"/>
        <v>2020</v>
      </c>
      <c r="C497" s="2" t="str">
        <f t="shared" si="15"/>
        <v>LIM333</v>
      </c>
      <c r="D497" s="2417"/>
      <c r="E497" s="2"/>
      <c r="F497" s="2449"/>
      <c r="G497" s="2415"/>
      <c r="H497" s="2415"/>
      <c r="I497" s="2415"/>
      <c r="J497" s="2415"/>
      <c r="K497" s="2415"/>
      <c r="L497" s="2415"/>
      <c r="M497" s="2415"/>
      <c r="N497" s="2"/>
      <c r="W497" t="s">
        <v>2062</v>
      </c>
    </row>
    <row r="498" spans="1:23" ht="13.15" customHeight="1">
      <c r="A498" s="2" t="s">
        <v>2193</v>
      </c>
      <c r="B498" s="2">
        <f t="shared" si="14"/>
        <v>2020</v>
      </c>
      <c r="C498" s="2" t="str">
        <f t="shared" si="15"/>
        <v>LIM333</v>
      </c>
      <c r="D498" s="2417"/>
      <c r="E498" s="2"/>
      <c r="F498" s="2449"/>
      <c r="G498" s="2415"/>
      <c r="H498" s="2415"/>
      <c r="I498" s="2415"/>
      <c r="J498" s="2415"/>
      <c r="K498" s="2415"/>
      <c r="L498" s="2415"/>
      <c r="M498" s="2415"/>
      <c r="N498" s="2"/>
      <c r="W498" t="s">
        <v>2062</v>
      </c>
    </row>
    <row r="499" spans="1:23" ht="13.15" customHeight="1">
      <c r="A499" s="2" t="s">
        <v>2193</v>
      </c>
      <c r="B499" s="2">
        <f t="shared" si="14"/>
        <v>2020</v>
      </c>
      <c r="C499" s="2" t="str">
        <f t="shared" si="15"/>
        <v>LIM333</v>
      </c>
      <c r="D499" s="2417"/>
      <c r="E499" s="2"/>
      <c r="F499" s="2449"/>
      <c r="G499" s="2415"/>
      <c r="H499" s="2415"/>
      <c r="I499" s="2415"/>
      <c r="J499" s="2415"/>
      <c r="K499" s="2415"/>
      <c r="L499" s="2415"/>
      <c r="M499" s="2415"/>
      <c r="N499" s="2"/>
      <c r="W499" t="s">
        <v>2062</v>
      </c>
    </row>
    <row r="500" spans="1:23" ht="13.15" customHeight="1">
      <c r="A500" s="2" t="s">
        <v>2193</v>
      </c>
      <c r="B500" s="2">
        <f t="shared" si="14"/>
        <v>2020</v>
      </c>
      <c r="C500" s="2" t="str">
        <f t="shared" si="15"/>
        <v>LIM333</v>
      </c>
      <c r="D500" s="2417"/>
      <c r="E500" s="2"/>
      <c r="F500" s="2449"/>
      <c r="G500" s="2415"/>
      <c r="H500" s="2415"/>
      <c r="I500" s="2415"/>
      <c r="J500" s="2415"/>
      <c r="K500" s="2415"/>
      <c r="L500" s="2415"/>
      <c r="M500" s="2415"/>
      <c r="N500" s="2"/>
      <c r="W500" t="s">
        <v>2062</v>
      </c>
    </row>
    <row r="501" spans="1:23" ht="13.15" customHeight="1">
      <c r="A501" s="2" t="s">
        <v>2193</v>
      </c>
      <c r="B501" s="2">
        <f t="shared" si="14"/>
        <v>2020</v>
      </c>
      <c r="C501" s="2" t="str">
        <f t="shared" si="15"/>
        <v>LIM333</v>
      </c>
      <c r="D501" s="2417"/>
      <c r="E501" s="2"/>
      <c r="F501" s="2449"/>
      <c r="G501" s="2415"/>
      <c r="H501" s="2415"/>
      <c r="I501" s="2415"/>
      <c r="J501" s="2415"/>
      <c r="K501" s="2415"/>
      <c r="L501" s="2415"/>
      <c r="M501" s="2415"/>
      <c r="N501" s="2"/>
      <c r="W501" t="s">
        <v>2062</v>
      </c>
    </row>
    <row r="502" spans="1:23" ht="13.15" customHeight="1">
      <c r="A502" s="2" t="s">
        <v>2193</v>
      </c>
      <c r="B502" s="2">
        <f t="shared" si="14"/>
        <v>2020</v>
      </c>
      <c r="C502" s="2" t="str">
        <f t="shared" si="15"/>
        <v>LIM333</v>
      </c>
      <c r="D502" s="2417"/>
      <c r="E502" s="2"/>
      <c r="F502" s="2449"/>
      <c r="G502" s="2415"/>
      <c r="H502" s="2415"/>
      <c r="I502" s="2415"/>
      <c r="J502" s="2415"/>
      <c r="K502" s="2415"/>
      <c r="L502" s="2415"/>
      <c r="M502" s="2415"/>
      <c r="N502" s="2"/>
      <c r="W502" t="s">
        <v>2062</v>
      </c>
    </row>
    <row r="503" spans="1:23" ht="13.15" customHeight="1">
      <c r="A503" s="2" t="s">
        <v>2193</v>
      </c>
      <c r="B503" s="2">
        <f t="shared" si="14"/>
        <v>2020</v>
      </c>
      <c r="C503" s="2" t="str">
        <f t="shared" si="15"/>
        <v>LIM333</v>
      </c>
      <c r="D503" s="2417"/>
      <c r="E503" s="2"/>
      <c r="F503" s="2449"/>
      <c r="G503" s="2415"/>
      <c r="H503" s="2415"/>
      <c r="I503" s="2415"/>
      <c r="J503" s="2415"/>
      <c r="K503" s="2415"/>
      <c r="L503" s="2415"/>
      <c r="M503" s="2415"/>
      <c r="N503" s="2"/>
      <c r="W503" t="s">
        <v>2062</v>
      </c>
    </row>
    <row r="504" spans="1:23" ht="13.15" customHeight="1">
      <c r="A504" s="2" t="s">
        <v>2193</v>
      </c>
      <c r="B504" s="2">
        <f t="shared" si="14"/>
        <v>2020</v>
      </c>
      <c r="C504" s="2" t="str">
        <f t="shared" si="15"/>
        <v>LIM333</v>
      </c>
      <c r="D504" s="2417"/>
      <c r="E504" s="2"/>
      <c r="F504" s="2449"/>
      <c r="G504" s="2415"/>
      <c r="H504" s="2415"/>
      <c r="I504" s="2415"/>
      <c r="J504" s="2415"/>
      <c r="K504" s="2415"/>
      <c r="L504" s="2415"/>
      <c r="M504" s="2415"/>
      <c r="N504" s="2"/>
      <c r="W504" t="s">
        <v>2062</v>
      </c>
    </row>
    <row r="505" spans="1:23" ht="13.15" customHeight="1">
      <c r="A505" s="2" t="s">
        <v>2193</v>
      </c>
      <c r="B505" s="2">
        <f t="shared" si="14"/>
        <v>2020</v>
      </c>
      <c r="C505" s="2" t="str">
        <f t="shared" si="15"/>
        <v>LIM333</v>
      </c>
      <c r="D505" s="2417"/>
      <c r="E505" s="2"/>
      <c r="F505" s="2449"/>
      <c r="G505" s="2415"/>
      <c r="H505" s="2415"/>
      <c r="I505" s="2415"/>
      <c r="J505" s="2415"/>
      <c r="K505" s="2415"/>
      <c r="L505" s="2415"/>
      <c r="M505" s="2415"/>
      <c r="N505" s="2"/>
      <c r="W505" t="s">
        <v>2062</v>
      </c>
    </row>
    <row r="506" spans="1:23" ht="13.15" customHeight="1">
      <c r="A506" s="2" t="s">
        <v>2193</v>
      </c>
      <c r="B506" s="2">
        <f t="shared" si="14"/>
        <v>2020</v>
      </c>
      <c r="C506" s="2" t="str">
        <f t="shared" si="15"/>
        <v>LIM333</v>
      </c>
      <c r="D506" s="2417"/>
      <c r="E506" s="2"/>
      <c r="F506" s="2449"/>
      <c r="G506" s="2415"/>
      <c r="H506" s="2415"/>
      <c r="I506" s="2415"/>
      <c r="J506" s="2415"/>
      <c r="K506" s="2415"/>
      <c r="L506" s="2415"/>
      <c r="M506" s="2415"/>
      <c r="N506" s="2"/>
      <c r="W506" t="s">
        <v>2062</v>
      </c>
    </row>
    <row r="507" spans="1:23" ht="13.15" customHeight="1">
      <c r="A507" s="2" t="s">
        <v>2193</v>
      </c>
      <c r="B507" s="2">
        <f t="shared" si="14"/>
        <v>2020</v>
      </c>
      <c r="C507" s="2" t="str">
        <f t="shared" si="15"/>
        <v>LIM333</v>
      </c>
      <c r="D507" s="2417"/>
      <c r="E507" s="2"/>
      <c r="F507" s="2449"/>
      <c r="G507" s="2415"/>
      <c r="H507" s="2415"/>
      <c r="I507" s="2415"/>
      <c r="J507" s="2415"/>
      <c r="K507" s="2415"/>
      <c r="L507" s="2415"/>
      <c r="M507" s="2415"/>
      <c r="N507" s="2"/>
      <c r="W507" t="s">
        <v>2062</v>
      </c>
    </row>
    <row r="508" spans="1:23" ht="13.15" customHeight="1">
      <c r="A508" s="2" t="s">
        <v>2193</v>
      </c>
      <c r="B508" s="2">
        <f t="shared" si="14"/>
        <v>2020</v>
      </c>
      <c r="C508" s="2" t="str">
        <f t="shared" si="15"/>
        <v>LIM333</v>
      </c>
      <c r="D508" s="2417"/>
      <c r="E508" s="2"/>
      <c r="F508" s="2449"/>
      <c r="G508" s="2415"/>
      <c r="H508" s="2415"/>
      <c r="I508" s="2415"/>
      <c r="J508" s="2415"/>
      <c r="K508" s="2415"/>
      <c r="L508" s="2415"/>
      <c r="M508" s="2415"/>
      <c r="N508" s="2"/>
      <c r="W508" t="s">
        <v>2062</v>
      </c>
    </row>
    <row r="509" spans="1:23" ht="13.15" customHeight="1">
      <c r="A509" s="2" t="s">
        <v>2193</v>
      </c>
      <c r="B509" s="2">
        <f t="shared" si="14"/>
        <v>2020</v>
      </c>
      <c r="C509" s="2" t="str">
        <f t="shared" si="15"/>
        <v>LIM333</v>
      </c>
      <c r="D509" s="2417"/>
      <c r="E509" s="2"/>
      <c r="F509" s="2449"/>
      <c r="G509" s="2415"/>
      <c r="H509" s="2415"/>
      <c r="I509" s="2415"/>
      <c r="J509" s="2415"/>
      <c r="K509" s="2415"/>
      <c r="L509" s="2415"/>
      <c r="M509" s="2415"/>
      <c r="N509" s="2"/>
      <c r="W509" t="s">
        <v>2062</v>
      </c>
    </row>
    <row r="510" spans="1:23" ht="13.15" customHeight="1">
      <c r="A510" s="2" t="s">
        <v>2193</v>
      </c>
      <c r="B510" s="2">
        <f t="shared" si="14"/>
        <v>2020</v>
      </c>
      <c r="C510" s="2" t="str">
        <f t="shared" si="15"/>
        <v>LIM333</v>
      </c>
      <c r="D510" s="2417"/>
      <c r="E510" s="2"/>
      <c r="F510" s="2449"/>
      <c r="G510" s="2415"/>
      <c r="H510" s="2415"/>
      <c r="I510" s="2415"/>
      <c r="J510" s="2415"/>
      <c r="K510" s="2415"/>
      <c r="L510" s="2415"/>
      <c r="M510" s="2415"/>
      <c r="N510" s="2"/>
      <c r="W510" t="s">
        <v>2062</v>
      </c>
    </row>
    <row r="511" spans="1:23" ht="13.15" customHeight="1">
      <c r="A511" s="2" t="s">
        <v>2193</v>
      </c>
      <c r="B511" s="2">
        <f t="shared" si="14"/>
        <v>2020</v>
      </c>
      <c r="C511" s="2" t="str">
        <f t="shared" si="15"/>
        <v>LIM333</v>
      </c>
      <c r="D511" s="2417"/>
      <c r="E511" s="2"/>
      <c r="F511" s="2448"/>
      <c r="G511" s="2415"/>
      <c r="H511" s="2415"/>
      <c r="I511" s="2415"/>
      <c r="J511" s="2415"/>
      <c r="K511" s="2415"/>
      <c r="L511" s="2415"/>
      <c r="M511" s="2415"/>
      <c r="N511" s="2"/>
      <c r="W511" t="s">
        <v>2062</v>
      </c>
    </row>
    <row r="512" spans="1:23" ht="13.15" customHeight="1">
      <c r="A512" s="2" t="s">
        <v>2193</v>
      </c>
      <c r="B512" s="2">
        <f t="shared" si="14"/>
        <v>2020</v>
      </c>
      <c r="C512" s="2" t="str">
        <f t="shared" si="15"/>
        <v>LIM333</v>
      </c>
      <c r="D512" s="2417"/>
      <c r="E512" s="2"/>
      <c r="F512" s="2448"/>
      <c r="G512" s="2415"/>
      <c r="H512" s="2415"/>
      <c r="I512" s="2415"/>
      <c r="J512" s="2415"/>
      <c r="K512" s="2415"/>
      <c r="L512" s="2415"/>
      <c r="M512" s="2415"/>
      <c r="N512" s="2"/>
      <c r="W512" t="s">
        <v>2062</v>
      </c>
    </row>
    <row r="513" spans="1:23" ht="13.15" customHeight="1">
      <c r="A513" s="2" t="s">
        <v>2193</v>
      </c>
      <c r="B513" s="2">
        <f t="shared" si="14"/>
        <v>2020</v>
      </c>
      <c r="C513" s="2" t="str">
        <f t="shared" si="15"/>
        <v>LIM333</v>
      </c>
      <c r="D513" s="2417"/>
      <c r="E513" s="2"/>
      <c r="F513" s="2448"/>
      <c r="G513" s="2415"/>
      <c r="H513" s="2415"/>
      <c r="I513" s="2415"/>
      <c r="J513" s="2415"/>
      <c r="K513" s="2415"/>
      <c r="L513" s="2415"/>
      <c r="M513" s="2415"/>
      <c r="N513" s="2"/>
      <c r="W513" t="s">
        <v>2062</v>
      </c>
    </row>
    <row r="514" spans="1:23" ht="13.15" customHeight="1">
      <c r="A514" s="2" t="s">
        <v>2193</v>
      </c>
      <c r="B514" s="2">
        <f t="shared" ref="B514:B577" si="16">+MTREF</f>
        <v>2020</v>
      </c>
      <c r="C514" s="2" t="str">
        <f t="shared" ref="C514:C577" si="17">LEFT(muni,(FIND(" ",muni,1)-1))</f>
        <v>LIM333</v>
      </c>
      <c r="D514" s="2417"/>
      <c r="E514" s="2"/>
      <c r="F514" s="2"/>
      <c r="G514" s="2415"/>
      <c r="H514" s="2415"/>
      <c r="I514" s="2415"/>
      <c r="J514" s="2415"/>
      <c r="K514" s="2415"/>
      <c r="L514" s="2415"/>
      <c r="M514" s="2415"/>
      <c r="N514" s="2"/>
      <c r="W514" t="s">
        <v>2062</v>
      </c>
    </row>
    <row r="515" spans="1:23" ht="13.15" customHeight="1">
      <c r="A515" s="2" t="s">
        <v>2193</v>
      </c>
      <c r="B515" s="2">
        <f t="shared" si="16"/>
        <v>2020</v>
      </c>
      <c r="C515" s="2" t="str">
        <f t="shared" si="17"/>
        <v>LIM333</v>
      </c>
      <c r="D515" s="2417"/>
      <c r="E515" s="2"/>
      <c r="F515" s="2"/>
      <c r="G515" s="2415"/>
      <c r="H515" s="2415"/>
      <c r="I515" s="2415"/>
      <c r="J515" s="2415"/>
      <c r="K515" s="2415"/>
      <c r="L515" s="2415"/>
      <c r="M515" s="2415"/>
      <c r="N515" s="2"/>
      <c r="W515" t="s">
        <v>2062</v>
      </c>
    </row>
    <row r="516" spans="1:23" ht="13.15" customHeight="1">
      <c r="A516" s="2" t="s">
        <v>2193</v>
      </c>
      <c r="B516" s="2">
        <f t="shared" si="16"/>
        <v>2020</v>
      </c>
      <c r="C516" s="2" t="str">
        <f t="shared" si="17"/>
        <v>LIM333</v>
      </c>
      <c r="D516" s="2417"/>
      <c r="E516" s="2"/>
      <c r="F516" s="2"/>
      <c r="G516" s="2415"/>
      <c r="H516" s="2415"/>
      <c r="I516" s="2415"/>
      <c r="J516" s="2415"/>
      <c r="K516" s="2415"/>
      <c r="L516" s="2415"/>
      <c r="M516" s="2415"/>
      <c r="N516" s="2"/>
      <c r="W516" t="s">
        <v>2062</v>
      </c>
    </row>
    <row r="517" spans="1:23" ht="13.15" customHeight="1">
      <c r="A517" s="2" t="s">
        <v>2193</v>
      </c>
      <c r="B517" s="2">
        <f t="shared" si="16"/>
        <v>2020</v>
      </c>
      <c r="C517" s="2" t="str">
        <f t="shared" si="17"/>
        <v>LIM333</v>
      </c>
      <c r="D517" s="2417"/>
      <c r="E517" s="2"/>
      <c r="F517" s="2"/>
      <c r="G517" s="2415"/>
      <c r="H517" s="2415"/>
      <c r="I517" s="2415"/>
      <c r="J517" s="2415"/>
      <c r="K517" s="2415"/>
      <c r="L517" s="2415"/>
      <c r="M517" s="2415"/>
      <c r="N517" s="2"/>
      <c r="W517" t="s">
        <v>2062</v>
      </c>
    </row>
    <row r="518" spans="1:23" ht="13.15" customHeight="1">
      <c r="A518" s="2" t="s">
        <v>2193</v>
      </c>
      <c r="B518" s="2">
        <f t="shared" si="16"/>
        <v>2020</v>
      </c>
      <c r="C518" s="2" t="str">
        <f t="shared" si="17"/>
        <v>LIM333</v>
      </c>
      <c r="D518" s="2417"/>
      <c r="E518" s="2"/>
      <c r="F518" s="2"/>
      <c r="G518" s="2415"/>
      <c r="H518" s="2415"/>
      <c r="I518" s="2415"/>
      <c r="J518" s="2415"/>
      <c r="K518" s="2415"/>
      <c r="L518" s="2415"/>
      <c r="M518" s="2415"/>
      <c r="N518" s="2"/>
      <c r="W518" t="s">
        <v>2062</v>
      </c>
    </row>
    <row r="519" spans="1:23" ht="13.15" customHeight="1">
      <c r="A519" s="2" t="s">
        <v>2193</v>
      </c>
      <c r="B519" s="2">
        <f t="shared" si="16"/>
        <v>2020</v>
      </c>
      <c r="C519" s="2" t="str">
        <f t="shared" si="17"/>
        <v>LIM333</v>
      </c>
      <c r="D519" s="2417"/>
      <c r="E519" s="2"/>
      <c r="F519" s="2"/>
      <c r="G519" s="2415"/>
      <c r="H519" s="2415"/>
      <c r="I519" s="2415"/>
      <c r="J519" s="2415"/>
      <c r="K519" s="2415"/>
      <c r="L519" s="2415"/>
      <c r="M519" s="2415"/>
      <c r="N519" s="2"/>
      <c r="W519" t="s">
        <v>2062</v>
      </c>
    </row>
    <row r="520" spans="1:23" ht="13.15" customHeight="1">
      <c r="A520" s="2" t="s">
        <v>2193</v>
      </c>
      <c r="B520" s="2">
        <f t="shared" si="16"/>
        <v>2020</v>
      </c>
      <c r="C520" s="2" t="str">
        <f t="shared" si="17"/>
        <v>LIM333</v>
      </c>
      <c r="D520" s="2417"/>
      <c r="E520" s="2"/>
      <c r="F520" s="2"/>
      <c r="G520" s="2415"/>
      <c r="H520" s="2415"/>
      <c r="I520" s="2415"/>
      <c r="J520" s="2415"/>
      <c r="K520" s="2415"/>
      <c r="L520" s="2415"/>
      <c r="M520" s="2415"/>
      <c r="N520" s="2"/>
      <c r="W520" t="s">
        <v>2062</v>
      </c>
    </row>
    <row r="521" spans="1:23" ht="13.15" customHeight="1">
      <c r="A521" s="2" t="s">
        <v>2193</v>
      </c>
      <c r="B521" s="2">
        <f t="shared" si="16"/>
        <v>2020</v>
      </c>
      <c r="C521" s="2" t="str">
        <f t="shared" si="17"/>
        <v>LIM333</v>
      </c>
      <c r="D521" s="2417"/>
      <c r="E521" s="2"/>
      <c r="F521" s="2"/>
      <c r="G521" s="2415"/>
      <c r="H521" s="2415"/>
      <c r="I521" s="2415"/>
      <c r="J521" s="2415"/>
      <c r="K521" s="2415"/>
      <c r="L521" s="2415"/>
      <c r="M521" s="2415"/>
      <c r="N521" s="2"/>
      <c r="W521" t="s">
        <v>2062</v>
      </c>
    </row>
    <row r="522" spans="1:23" ht="13.15" customHeight="1">
      <c r="A522" s="2" t="s">
        <v>2193</v>
      </c>
      <c r="B522" s="2">
        <f t="shared" si="16"/>
        <v>2020</v>
      </c>
      <c r="C522" s="2" t="str">
        <f t="shared" si="17"/>
        <v>LIM333</v>
      </c>
      <c r="D522" s="2417"/>
      <c r="E522" s="2"/>
      <c r="F522" s="2"/>
      <c r="G522" s="2415"/>
      <c r="H522" s="2415"/>
      <c r="I522" s="2415"/>
      <c r="J522" s="2415"/>
      <c r="K522" s="2415"/>
      <c r="L522" s="2415"/>
      <c r="M522" s="2415"/>
      <c r="N522" s="2"/>
      <c r="W522" t="s">
        <v>2062</v>
      </c>
    </row>
    <row r="523" spans="1:23" ht="13.15" customHeight="1">
      <c r="A523" s="2" t="s">
        <v>2193</v>
      </c>
      <c r="B523" s="2">
        <f t="shared" si="16"/>
        <v>2020</v>
      </c>
      <c r="C523" s="2" t="str">
        <f t="shared" si="17"/>
        <v>LIM333</v>
      </c>
      <c r="D523" s="2417"/>
      <c r="E523" s="2"/>
      <c r="F523" s="2"/>
      <c r="G523" s="2415"/>
      <c r="H523" s="2415"/>
      <c r="I523" s="2415"/>
      <c r="J523" s="2415"/>
      <c r="K523" s="2415"/>
      <c r="L523" s="2415"/>
      <c r="M523" s="2415"/>
      <c r="N523" s="2"/>
      <c r="W523" t="s">
        <v>2062</v>
      </c>
    </row>
    <row r="524" spans="1:23" ht="13.15" customHeight="1">
      <c r="A524" s="2" t="s">
        <v>2193</v>
      </c>
      <c r="B524" s="2">
        <f t="shared" si="16"/>
        <v>2020</v>
      </c>
      <c r="C524" s="2" t="str">
        <f t="shared" si="17"/>
        <v>LIM333</v>
      </c>
      <c r="D524" s="2417"/>
      <c r="E524" s="2"/>
      <c r="F524" s="2"/>
      <c r="G524" s="2415"/>
      <c r="H524" s="2415"/>
      <c r="I524" s="2415"/>
      <c r="J524" s="2415"/>
      <c r="K524" s="2415"/>
      <c r="L524" s="2415"/>
      <c r="M524" s="2415"/>
      <c r="N524" s="2"/>
      <c r="W524" t="s">
        <v>2062</v>
      </c>
    </row>
    <row r="525" spans="1:23" ht="13.15" customHeight="1">
      <c r="A525" s="2" t="s">
        <v>2193</v>
      </c>
      <c r="B525" s="2">
        <f t="shared" si="16"/>
        <v>2020</v>
      </c>
      <c r="C525" s="2" t="str">
        <f t="shared" si="17"/>
        <v>LIM333</v>
      </c>
      <c r="D525" s="2417"/>
      <c r="E525" s="2"/>
      <c r="F525" s="2"/>
      <c r="G525" s="2415"/>
      <c r="H525" s="2415"/>
      <c r="I525" s="2415"/>
      <c r="J525" s="2415"/>
      <c r="K525" s="2415"/>
      <c r="L525" s="2415"/>
      <c r="M525" s="2415"/>
      <c r="N525" s="2"/>
      <c r="W525" t="s">
        <v>2062</v>
      </c>
    </row>
    <row r="526" spans="1:23" ht="13.15" customHeight="1">
      <c r="A526" s="2" t="s">
        <v>2193</v>
      </c>
      <c r="B526" s="2">
        <f t="shared" si="16"/>
        <v>2020</v>
      </c>
      <c r="C526" s="2" t="str">
        <f t="shared" si="17"/>
        <v>LIM333</v>
      </c>
      <c r="D526" s="2417"/>
      <c r="E526" s="2"/>
      <c r="F526" s="2"/>
      <c r="G526" s="2415"/>
      <c r="H526" s="2415"/>
      <c r="I526" s="2415"/>
      <c r="J526" s="2415"/>
      <c r="K526" s="2415"/>
      <c r="L526" s="2415"/>
      <c r="M526" s="2415"/>
      <c r="N526" s="2"/>
      <c r="W526" t="s">
        <v>2062</v>
      </c>
    </row>
    <row r="527" spans="1:23" ht="13.15" customHeight="1">
      <c r="A527" s="2" t="s">
        <v>2193</v>
      </c>
      <c r="B527" s="2">
        <f t="shared" si="16"/>
        <v>2020</v>
      </c>
      <c r="C527" s="2" t="str">
        <f t="shared" si="17"/>
        <v>LIM333</v>
      </c>
      <c r="D527" s="2417"/>
      <c r="E527" s="2"/>
      <c r="F527" s="2"/>
      <c r="G527" s="2415"/>
      <c r="H527" s="2415"/>
      <c r="I527" s="2415"/>
      <c r="J527" s="2415"/>
      <c r="K527" s="2415"/>
      <c r="L527" s="2415"/>
      <c r="M527" s="2415"/>
      <c r="N527" s="2"/>
      <c r="W527" t="s">
        <v>2062</v>
      </c>
    </row>
    <row r="528" spans="1:23" ht="13.15" customHeight="1">
      <c r="A528" s="2" t="s">
        <v>2193</v>
      </c>
      <c r="B528" s="2">
        <f t="shared" si="16"/>
        <v>2020</v>
      </c>
      <c r="C528" s="2" t="str">
        <f t="shared" si="17"/>
        <v>LIM333</v>
      </c>
      <c r="D528" s="2417"/>
      <c r="E528" s="2"/>
      <c r="F528" s="2"/>
      <c r="G528" s="2415"/>
      <c r="H528" s="2415"/>
      <c r="I528" s="2415"/>
      <c r="J528" s="2415"/>
      <c r="K528" s="2415"/>
      <c r="L528" s="2415"/>
      <c r="M528" s="2415"/>
      <c r="N528" s="2"/>
      <c r="W528" t="s">
        <v>2062</v>
      </c>
    </row>
    <row r="529" spans="1:23" ht="13.15" customHeight="1">
      <c r="A529" s="2" t="s">
        <v>2193</v>
      </c>
      <c r="B529" s="2">
        <f t="shared" si="16"/>
        <v>2020</v>
      </c>
      <c r="C529" s="2" t="str">
        <f t="shared" si="17"/>
        <v>LIM333</v>
      </c>
      <c r="D529" s="2417"/>
      <c r="E529" s="2"/>
      <c r="F529" s="2"/>
      <c r="G529" s="2415"/>
      <c r="H529" s="2415"/>
      <c r="I529" s="2415"/>
      <c r="J529" s="2415"/>
      <c r="K529" s="2415"/>
      <c r="L529" s="2415"/>
      <c r="M529" s="2415"/>
      <c r="N529" s="2"/>
      <c r="W529" t="s">
        <v>2062</v>
      </c>
    </row>
    <row r="530" spans="1:23" ht="13.15" customHeight="1">
      <c r="A530" s="2" t="s">
        <v>2193</v>
      </c>
      <c r="B530" s="2">
        <f t="shared" si="16"/>
        <v>2020</v>
      </c>
      <c r="C530" s="2" t="str">
        <f t="shared" si="17"/>
        <v>LIM333</v>
      </c>
      <c r="D530" s="2417"/>
      <c r="E530" s="2"/>
      <c r="F530" s="2"/>
      <c r="G530" s="2415"/>
      <c r="H530" s="2415"/>
      <c r="I530" s="2415"/>
      <c r="J530" s="2415"/>
      <c r="K530" s="2415"/>
      <c r="L530" s="2415"/>
      <c r="M530" s="2415"/>
      <c r="N530" s="2"/>
      <c r="W530" t="s">
        <v>2062</v>
      </c>
    </row>
    <row r="531" spans="1:23" ht="13.15" customHeight="1">
      <c r="A531" s="2" t="s">
        <v>2193</v>
      </c>
      <c r="B531" s="2">
        <f t="shared" si="16"/>
        <v>2020</v>
      </c>
      <c r="C531" s="2" t="str">
        <f t="shared" si="17"/>
        <v>LIM333</v>
      </c>
      <c r="D531" s="2417"/>
      <c r="E531" s="2"/>
      <c r="F531" s="2"/>
      <c r="G531" s="2415"/>
      <c r="H531" s="2415"/>
      <c r="I531" s="2415"/>
      <c r="J531" s="2415"/>
      <c r="K531" s="2415"/>
      <c r="L531" s="2415"/>
      <c r="M531" s="2415"/>
      <c r="N531" s="2"/>
      <c r="W531" t="s">
        <v>2062</v>
      </c>
    </row>
    <row r="532" spans="1:23" ht="13.15" customHeight="1">
      <c r="A532" s="2" t="s">
        <v>2193</v>
      </c>
      <c r="B532" s="2">
        <f t="shared" si="16"/>
        <v>2020</v>
      </c>
      <c r="C532" s="2" t="str">
        <f t="shared" si="17"/>
        <v>LIM333</v>
      </c>
      <c r="D532" s="2417"/>
      <c r="E532" s="2"/>
      <c r="F532" s="2"/>
      <c r="G532" s="2415"/>
      <c r="H532" s="2415"/>
      <c r="I532" s="2415"/>
      <c r="J532" s="2415"/>
      <c r="K532" s="2415"/>
      <c r="L532" s="2415"/>
      <c r="M532" s="2415"/>
      <c r="N532" s="2"/>
      <c r="W532" t="s">
        <v>2062</v>
      </c>
    </row>
    <row r="533" spans="1:23" ht="13.15" customHeight="1">
      <c r="A533" s="2" t="s">
        <v>2193</v>
      </c>
      <c r="B533" s="2">
        <f t="shared" si="16"/>
        <v>2020</v>
      </c>
      <c r="C533" s="2" t="str">
        <f t="shared" si="17"/>
        <v>LIM333</v>
      </c>
      <c r="D533" s="2417"/>
      <c r="E533" s="2"/>
      <c r="F533" s="2"/>
      <c r="G533" s="2415"/>
      <c r="H533" s="2415"/>
      <c r="I533" s="2415"/>
      <c r="J533" s="2415"/>
      <c r="K533" s="2415"/>
      <c r="L533" s="2415"/>
      <c r="M533" s="2415"/>
      <c r="N533" s="2"/>
      <c r="W533" t="s">
        <v>2062</v>
      </c>
    </row>
    <row r="534" spans="1:23" ht="13.15" customHeight="1">
      <c r="A534" s="2" t="s">
        <v>2193</v>
      </c>
      <c r="B534" s="2">
        <f t="shared" si="16"/>
        <v>2020</v>
      </c>
      <c r="C534" s="2" t="str">
        <f t="shared" si="17"/>
        <v>LIM333</v>
      </c>
      <c r="D534" s="2417"/>
      <c r="E534" s="2"/>
      <c r="F534" s="2"/>
      <c r="G534" s="2415"/>
      <c r="H534" s="2415"/>
      <c r="I534" s="2415"/>
      <c r="J534" s="2415"/>
      <c r="K534" s="2415"/>
      <c r="L534" s="2415"/>
      <c r="M534" s="2415"/>
      <c r="N534" s="2"/>
      <c r="W534" t="s">
        <v>2062</v>
      </c>
    </row>
    <row r="535" spans="1:23" ht="13.15" customHeight="1">
      <c r="A535" s="2" t="s">
        <v>2193</v>
      </c>
      <c r="B535" s="2">
        <f t="shared" si="16"/>
        <v>2020</v>
      </c>
      <c r="C535" s="2" t="str">
        <f t="shared" si="17"/>
        <v>LIM333</v>
      </c>
      <c r="D535" s="2417"/>
      <c r="E535" s="2"/>
      <c r="F535" s="2"/>
      <c r="G535" s="2415"/>
      <c r="H535" s="2415"/>
      <c r="I535" s="2415"/>
      <c r="J535" s="2415"/>
      <c r="K535" s="2415"/>
      <c r="L535" s="2415"/>
      <c r="M535" s="2415"/>
      <c r="N535" s="2"/>
      <c r="W535" t="s">
        <v>2062</v>
      </c>
    </row>
    <row r="536" spans="1:23" ht="13.15" customHeight="1">
      <c r="A536" s="2" t="s">
        <v>2193</v>
      </c>
      <c r="B536" s="2">
        <f t="shared" si="16"/>
        <v>2020</v>
      </c>
      <c r="C536" s="2" t="str">
        <f t="shared" si="17"/>
        <v>LIM333</v>
      </c>
      <c r="D536" s="2417"/>
      <c r="E536" s="2"/>
      <c r="F536" s="2"/>
      <c r="G536" s="2415"/>
      <c r="H536" s="2415"/>
      <c r="I536" s="2415"/>
      <c r="J536" s="2415"/>
      <c r="K536" s="2415"/>
      <c r="L536" s="2415"/>
      <c r="M536" s="2415"/>
      <c r="N536" s="2"/>
      <c r="W536" t="s">
        <v>2062</v>
      </c>
    </row>
    <row r="537" spans="1:23" ht="13.15" customHeight="1">
      <c r="A537" s="2" t="s">
        <v>2193</v>
      </c>
      <c r="B537" s="2">
        <f t="shared" si="16"/>
        <v>2020</v>
      </c>
      <c r="C537" s="2" t="str">
        <f t="shared" si="17"/>
        <v>LIM333</v>
      </c>
      <c r="D537" s="2417"/>
      <c r="E537" s="2"/>
      <c r="F537" s="2"/>
      <c r="G537" s="2415"/>
      <c r="H537" s="2415"/>
      <c r="I537" s="2415"/>
      <c r="J537" s="2415"/>
      <c r="K537" s="2415"/>
      <c r="L537" s="2415"/>
      <c r="M537" s="2415"/>
      <c r="N537" s="2"/>
      <c r="W537" t="s">
        <v>2062</v>
      </c>
    </row>
    <row r="538" spans="1:23" ht="13.15" customHeight="1">
      <c r="A538" s="2" t="s">
        <v>2193</v>
      </c>
      <c r="B538" s="2">
        <f t="shared" si="16"/>
        <v>2020</v>
      </c>
      <c r="C538" s="2" t="str">
        <f t="shared" si="17"/>
        <v>LIM333</v>
      </c>
      <c r="D538" s="2417"/>
      <c r="E538" s="2"/>
      <c r="F538" s="2"/>
      <c r="G538" s="2415"/>
      <c r="H538" s="2415"/>
      <c r="I538" s="2415"/>
      <c r="J538" s="2415"/>
      <c r="K538" s="2415"/>
      <c r="L538" s="2415"/>
      <c r="M538" s="2415"/>
      <c r="N538" s="2"/>
      <c r="W538" t="s">
        <v>2062</v>
      </c>
    </row>
    <row r="539" spans="1:23" ht="13.15" customHeight="1">
      <c r="A539" s="2" t="s">
        <v>2193</v>
      </c>
      <c r="B539" s="2">
        <f t="shared" si="16"/>
        <v>2020</v>
      </c>
      <c r="C539" s="2" t="str">
        <f t="shared" si="17"/>
        <v>LIM333</v>
      </c>
      <c r="D539" s="2417"/>
      <c r="E539" s="2"/>
      <c r="F539" s="2"/>
      <c r="G539" s="2415"/>
      <c r="H539" s="2415"/>
      <c r="I539" s="2415"/>
      <c r="J539" s="2415"/>
      <c r="K539" s="2415"/>
      <c r="L539" s="2415"/>
      <c r="M539" s="2415"/>
      <c r="N539" s="2"/>
      <c r="W539" t="s">
        <v>2062</v>
      </c>
    </row>
    <row r="540" spans="1:23" ht="13.15" customHeight="1">
      <c r="A540" s="2" t="s">
        <v>2193</v>
      </c>
      <c r="B540" s="2">
        <f t="shared" si="16"/>
        <v>2020</v>
      </c>
      <c r="C540" s="2" t="str">
        <f t="shared" si="17"/>
        <v>LIM333</v>
      </c>
      <c r="D540" s="2417"/>
      <c r="E540" s="2"/>
      <c r="F540" s="2"/>
      <c r="G540" s="2415"/>
      <c r="H540" s="2415"/>
      <c r="I540" s="2415"/>
      <c r="J540" s="2415"/>
      <c r="K540" s="2415"/>
      <c r="L540" s="2415"/>
      <c r="M540" s="2415"/>
      <c r="N540" s="2"/>
      <c r="W540" t="s">
        <v>2062</v>
      </c>
    </row>
    <row r="541" spans="1:23" ht="13.15" customHeight="1">
      <c r="A541" s="2" t="s">
        <v>2193</v>
      </c>
      <c r="B541" s="2">
        <f t="shared" si="16"/>
        <v>2020</v>
      </c>
      <c r="C541" s="2" t="str">
        <f t="shared" si="17"/>
        <v>LIM333</v>
      </c>
      <c r="D541" s="2417"/>
      <c r="E541" s="2"/>
      <c r="F541" s="2"/>
      <c r="G541" s="2415"/>
      <c r="H541" s="2415"/>
      <c r="I541" s="2415"/>
      <c r="J541" s="2415"/>
      <c r="K541" s="2415"/>
      <c r="L541" s="2415"/>
      <c r="M541" s="2415"/>
      <c r="N541" s="2"/>
      <c r="W541" t="s">
        <v>2062</v>
      </c>
    </row>
    <row r="542" spans="1:23" ht="13.15" customHeight="1">
      <c r="A542" s="2" t="s">
        <v>2193</v>
      </c>
      <c r="B542" s="2">
        <f t="shared" si="16"/>
        <v>2020</v>
      </c>
      <c r="C542" s="2" t="str">
        <f t="shared" si="17"/>
        <v>LIM333</v>
      </c>
      <c r="D542" s="2417"/>
      <c r="E542" s="2"/>
      <c r="F542" s="2"/>
      <c r="G542" s="2415"/>
      <c r="H542" s="2415"/>
      <c r="I542" s="2415"/>
      <c r="J542" s="2415"/>
      <c r="K542" s="2415"/>
      <c r="L542" s="2415"/>
      <c r="M542" s="2415"/>
      <c r="N542" s="2"/>
      <c r="W542" t="s">
        <v>2062</v>
      </c>
    </row>
    <row r="543" spans="1:23" ht="13.15" customHeight="1">
      <c r="A543" s="2" t="s">
        <v>2193</v>
      </c>
      <c r="B543" s="2">
        <f t="shared" si="16"/>
        <v>2020</v>
      </c>
      <c r="C543" s="2" t="str">
        <f t="shared" si="17"/>
        <v>LIM333</v>
      </c>
      <c r="D543" s="2417"/>
      <c r="E543" s="2"/>
      <c r="F543" s="2"/>
      <c r="G543" s="2415"/>
      <c r="H543" s="2415"/>
      <c r="I543" s="2415"/>
      <c r="J543" s="2415"/>
      <c r="K543" s="2415"/>
      <c r="L543" s="2415"/>
      <c r="M543" s="2415"/>
      <c r="N543" s="2"/>
      <c r="W543" t="s">
        <v>2062</v>
      </c>
    </row>
    <row r="544" spans="1:23" ht="13.15" customHeight="1">
      <c r="A544" s="2" t="s">
        <v>2193</v>
      </c>
      <c r="B544" s="2">
        <f t="shared" si="16"/>
        <v>2020</v>
      </c>
      <c r="C544" s="2" t="str">
        <f t="shared" si="17"/>
        <v>LIM333</v>
      </c>
      <c r="D544" s="2417"/>
      <c r="E544" s="2"/>
      <c r="F544" s="2"/>
      <c r="G544" s="2415"/>
      <c r="H544" s="2415"/>
      <c r="I544" s="2415"/>
      <c r="J544" s="2415"/>
      <c r="K544" s="2415"/>
      <c r="L544" s="2415"/>
      <c r="M544" s="2415"/>
      <c r="N544" s="2"/>
      <c r="W544" t="s">
        <v>2062</v>
      </c>
    </row>
    <row r="545" spans="1:23" ht="13.15" customHeight="1">
      <c r="A545" s="2" t="s">
        <v>2193</v>
      </c>
      <c r="B545" s="2">
        <f t="shared" si="16"/>
        <v>2020</v>
      </c>
      <c r="C545" s="2" t="str">
        <f t="shared" si="17"/>
        <v>LIM333</v>
      </c>
      <c r="D545" s="2417"/>
      <c r="E545" s="2"/>
      <c r="F545" s="2"/>
      <c r="G545" s="2415"/>
      <c r="H545" s="2415"/>
      <c r="I545" s="2415"/>
      <c r="J545" s="2415"/>
      <c r="K545" s="2415"/>
      <c r="L545" s="2415"/>
      <c r="M545" s="2415"/>
      <c r="N545" s="2"/>
      <c r="W545" t="s">
        <v>2062</v>
      </c>
    </row>
    <row r="546" spans="1:23" ht="13.15" customHeight="1">
      <c r="A546" s="2" t="s">
        <v>2193</v>
      </c>
      <c r="B546" s="2">
        <f t="shared" si="16"/>
        <v>2020</v>
      </c>
      <c r="C546" s="2" t="str">
        <f t="shared" si="17"/>
        <v>LIM333</v>
      </c>
      <c r="D546" s="2417"/>
      <c r="E546" s="2"/>
      <c r="F546" s="2"/>
      <c r="G546" s="2415"/>
      <c r="H546" s="2415"/>
      <c r="I546" s="2415"/>
      <c r="J546" s="2415"/>
      <c r="K546" s="2415"/>
      <c r="L546" s="2415"/>
      <c r="M546" s="2415"/>
      <c r="N546" s="2"/>
      <c r="W546" t="s">
        <v>2062</v>
      </c>
    </row>
    <row r="547" spans="1:23" ht="13.15" customHeight="1">
      <c r="A547" s="2" t="s">
        <v>2193</v>
      </c>
      <c r="B547" s="2">
        <f t="shared" si="16"/>
        <v>2020</v>
      </c>
      <c r="C547" s="2" t="str">
        <f t="shared" si="17"/>
        <v>LIM333</v>
      </c>
      <c r="D547" s="2417"/>
      <c r="E547" s="2"/>
      <c r="F547" s="2"/>
      <c r="G547" s="2415"/>
      <c r="H547" s="2415"/>
      <c r="I547" s="2415"/>
      <c r="J547" s="2415"/>
      <c r="K547" s="2415"/>
      <c r="L547" s="2415"/>
      <c r="M547" s="2415"/>
      <c r="N547" s="2"/>
      <c r="W547" t="s">
        <v>2062</v>
      </c>
    </row>
    <row r="548" spans="1:23" ht="13.15" customHeight="1">
      <c r="A548" s="2" t="s">
        <v>2193</v>
      </c>
      <c r="B548" s="2">
        <f t="shared" si="16"/>
        <v>2020</v>
      </c>
      <c r="C548" s="2" t="str">
        <f t="shared" si="17"/>
        <v>LIM333</v>
      </c>
      <c r="D548" s="2417"/>
      <c r="E548" s="2"/>
      <c r="F548" s="2"/>
      <c r="G548" s="2415"/>
      <c r="H548" s="2415"/>
      <c r="I548" s="2415"/>
      <c r="J548" s="2415"/>
      <c r="K548" s="2415"/>
      <c r="L548" s="2415"/>
      <c r="M548" s="2415"/>
      <c r="N548" s="2"/>
      <c r="W548" t="s">
        <v>2062</v>
      </c>
    </row>
    <row r="549" spans="1:23" ht="13.15" customHeight="1">
      <c r="A549" s="2" t="s">
        <v>2193</v>
      </c>
      <c r="B549" s="2">
        <f t="shared" si="16"/>
        <v>2020</v>
      </c>
      <c r="C549" s="2" t="str">
        <f t="shared" si="17"/>
        <v>LIM333</v>
      </c>
      <c r="D549" s="2417"/>
      <c r="E549" s="2"/>
      <c r="F549" s="2"/>
      <c r="G549" s="2415"/>
      <c r="H549" s="2415"/>
      <c r="I549" s="2415"/>
      <c r="J549" s="2415"/>
      <c r="K549" s="2415"/>
      <c r="L549" s="2415"/>
      <c r="M549" s="2415"/>
      <c r="N549" s="2"/>
      <c r="W549" t="s">
        <v>2062</v>
      </c>
    </row>
    <row r="550" spans="1:23" ht="13.15" customHeight="1">
      <c r="A550" s="2" t="s">
        <v>2193</v>
      </c>
      <c r="B550" s="2">
        <f t="shared" si="16"/>
        <v>2020</v>
      </c>
      <c r="C550" s="2" t="str">
        <f t="shared" si="17"/>
        <v>LIM333</v>
      </c>
      <c r="D550" s="2417"/>
      <c r="E550" s="2"/>
      <c r="F550" s="2"/>
      <c r="G550" s="2415"/>
      <c r="H550" s="2415"/>
      <c r="I550" s="2415"/>
      <c r="J550" s="2415"/>
      <c r="K550" s="2415"/>
      <c r="L550" s="2415"/>
      <c r="M550" s="2415"/>
      <c r="N550" s="2"/>
      <c r="W550" t="s">
        <v>2062</v>
      </c>
    </row>
    <row r="551" spans="1:23" ht="13.15" customHeight="1">
      <c r="A551" s="2" t="s">
        <v>2193</v>
      </c>
      <c r="B551" s="2">
        <f t="shared" si="16"/>
        <v>2020</v>
      </c>
      <c r="C551" s="2" t="str">
        <f t="shared" si="17"/>
        <v>LIM333</v>
      </c>
      <c r="D551" s="2417"/>
      <c r="E551" s="2"/>
      <c r="F551" s="2"/>
      <c r="G551" s="2415"/>
      <c r="H551" s="2415"/>
      <c r="I551" s="2415"/>
      <c r="J551" s="2415"/>
      <c r="K551" s="2415"/>
      <c r="L551" s="2415"/>
      <c r="M551" s="2415"/>
      <c r="N551" s="2"/>
      <c r="W551" t="s">
        <v>2062</v>
      </c>
    </row>
    <row r="552" spans="1:23" ht="13.15" customHeight="1">
      <c r="A552" s="2" t="s">
        <v>2193</v>
      </c>
      <c r="B552" s="2">
        <f t="shared" si="16"/>
        <v>2020</v>
      </c>
      <c r="C552" s="2" t="str">
        <f t="shared" si="17"/>
        <v>LIM333</v>
      </c>
      <c r="D552" s="2417"/>
      <c r="E552" s="2"/>
      <c r="F552" s="2"/>
      <c r="G552" s="2415"/>
      <c r="H552" s="2415"/>
      <c r="I552" s="2415"/>
      <c r="J552" s="2415"/>
      <c r="K552" s="2415"/>
      <c r="L552" s="2415"/>
      <c r="M552" s="2415"/>
      <c r="N552" s="2"/>
      <c r="W552" t="s">
        <v>2062</v>
      </c>
    </row>
    <row r="553" spans="1:23" ht="13.15" customHeight="1">
      <c r="A553" s="2" t="s">
        <v>2193</v>
      </c>
      <c r="B553" s="2">
        <f t="shared" si="16"/>
        <v>2020</v>
      </c>
      <c r="C553" s="2" t="str">
        <f t="shared" si="17"/>
        <v>LIM333</v>
      </c>
      <c r="D553" s="2417"/>
      <c r="E553" s="2"/>
      <c r="F553" s="2"/>
      <c r="G553" s="2415"/>
      <c r="H553" s="2415"/>
      <c r="I553" s="2415"/>
      <c r="J553" s="2415"/>
      <c r="K553" s="2415"/>
      <c r="L553" s="2415"/>
      <c r="M553" s="2415"/>
      <c r="N553" s="2"/>
      <c r="W553" t="s">
        <v>2062</v>
      </c>
    </row>
    <row r="554" spans="1:23" ht="13.15" customHeight="1">
      <c r="A554" s="2" t="s">
        <v>2193</v>
      </c>
      <c r="B554" s="2">
        <f t="shared" si="16"/>
        <v>2020</v>
      </c>
      <c r="C554" s="2" t="str">
        <f t="shared" si="17"/>
        <v>LIM333</v>
      </c>
      <c r="D554" s="2417"/>
      <c r="E554" s="2"/>
      <c r="F554" s="2"/>
      <c r="G554" s="2415"/>
      <c r="H554" s="2415"/>
      <c r="I554" s="2415"/>
      <c r="J554" s="2415"/>
      <c r="K554" s="2415"/>
      <c r="L554" s="2415"/>
      <c r="M554" s="2415"/>
      <c r="N554" s="2"/>
      <c r="W554" t="s">
        <v>2062</v>
      </c>
    </row>
    <row r="555" spans="1:23" ht="13.15" customHeight="1">
      <c r="A555" s="2" t="s">
        <v>2193</v>
      </c>
      <c r="B555" s="2">
        <f t="shared" si="16"/>
        <v>2020</v>
      </c>
      <c r="C555" s="2" t="str">
        <f t="shared" si="17"/>
        <v>LIM333</v>
      </c>
      <c r="D555" s="2417"/>
      <c r="E555" s="2"/>
      <c r="F555" s="2"/>
      <c r="G555" s="2415"/>
      <c r="H555" s="2415"/>
      <c r="I555" s="2415"/>
      <c r="J555" s="2415"/>
      <c r="K555" s="2415"/>
      <c r="L555" s="2415"/>
      <c r="M555" s="2415"/>
      <c r="N555" s="2"/>
      <c r="W555" t="s">
        <v>2062</v>
      </c>
    </row>
    <row r="556" spans="1:23" ht="13.15" customHeight="1">
      <c r="A556" s="2" t="s">
        <v>2193</v>
      </c>
      <c r="B556" s="2">
        <f t="shared" si="16"/>
        <v>2020</v>
      </c>
      <c r="C556" s="2" t="str">
        <f t="shared" si="17"/>
        <v>LIM333</v>
      </c>
      <c r="D556" s="2417"/>
      <c r="E556" s="2"/>
      <c r="F556" s="2"/>
      <c r="G556" s="2415"/>
      <c r="H556" s="2415"/>
      <c r="I556" s="2415"/>
      <c r="J556" s="2415"/>
      <c r="K556" s="2415"/>
      <c r="L556" s="2415"/>
      <c r="M556" s="2415"/>
      <c r="N556" s="2"/>
      <c r="W556" t="s">
        <v>2062</v>
      </c>
    </row>
    <row r="557" spans="1:23" ht="13.15" customHeight="1">
      <c r="A557" s="2" t="s">
        <v>2194</v>
      </c>
      <c r="B557" s="2">
        <f t="shared" si="16"/>
        <v>2020</v>
      </c>
      <c r="C557" s="2" t="str">
        <f t="shared" si="17"/>
        <v>LIM333</v>
      </c>
      <c r="D557" s="2417">
        <v>1000</v>
      </c>
      <c r="E557" s="2">
        <v>1</v>
      </c>
      <c r="F557" s="2448" t="s">
        <v>383</v>
      </c>
      <c r="G557" s="2415"/>
      <c r="H557" s="2415"/>
      <c r="I557" s="2415"/>
      <c r="J557" s="2415"/>
      <c r="K557" s="2415"/>
      <c r="L557" s="2415"/>
      <c r="M557" s="2415"/>
      <c r="N557" s="2415"/>
      <c r="O557" s="2415"/>
      <c r="P557" s="2"/>
      <c r="Q557" s="2"/>
      <c r="T557" s="2"/>
      <c r="U557" s="2"/>
      <c r="V557" s="2"/>
      <c r="W557" t="s">
        <v>2062</v>
      </c>
    </row>
    <row r="558" spans="1:23" ht="13.15" customHeight="1">
      <c r="A558" s="2" t="s">
        <v>2194</v>
      </c>
      <c r="B558" s="2">
        <f t="shared" si="16"/>
        <v>2020</v>
      </c>
      <c r="C558" s="2" t="str">
        <f t="shared" si="17"/>
        <v>LIM333</v>
      </c>
      <c r="D558" s="2417">
        <v>1001</v>
      </c>
      <c r="E558" s="2">
        <v>2</v>
      </c>
      <c r="F558" s="2450" t="s">
        <v>2195</v>
      </c>
      <c r="G558" s="2415"/>
      <c r="H558" s="2415"/>
      <c r="I558" s="2415"/>
      <c r="J558" s="2415"/>
      <c r="K558" s="2415"/>
      <c r="L558" s="2415"/>
      <c r="M558" s="2415"/>
      <c r="N558" s="2415"/>
      <c r="O558" s="2415"/>
      <c r="P558" s="2"/>
      <c r="Q558" s="2"/>
      <c r="T558" s="2"/>
      <c r="U558" s="2"/>
      <c r="V558" s="2"/>
      <c r="W558" t="s">
        <v>2062</v>
      </c>
    </row>
    <row r="559" spans="1:23" ht="13.15" customHeight="1">
      <c r="A559" s="2" t="s">
        <v>2194</v>
      </c>
      <c r="B559" s="2">
        <f t="shared" si="16"/>
        <v>2020</v>
      </c>
      <c r="C559" s="2" t="str">
        <f t="shared" si="17"/>
        <v>LIM333</v>
      </c>
      <c r="D559" s="2417">
        <v>1002</v>
      </c>
      <c r="E559" s="2">
        <v>3</v>
      </c>
      <c r="F559" s="2448" t="s">
        <v>1243</v>
      </c>
      <c r="G559" s="2415"/>
      <c r="H559" s="2415"/>
      <c r="I559" s="2415"/>
      <c r="J559" s="2415"/>
      <c r="K559" s="2415"/>
      <c r="L559" s="2415"/>
      <c r="M559" s="2415"/>
      <c r="N559" s="2415"/>
      <c r="O559" s="2415"/>
      <c r="P559" s="2"/>
      <c r="Q559" s="2"/>
      <c r="T559" s="2"/>
      <c r="U559" s="2"/>
      <c r="V559" s="2"/>
      <c r="W559" t="s">
        <v>2062</v>
      </c>
    </row>
    <row r="560" spans="1:23" ht="13.15" customHeight="1">
      <c r="A560" s="2" t="s">
        <v>2194</v>
      </c>
      <c r="B560" s="2">
        <f t="shared" si="16"/>
        <v>2020</v>
      </c>
      <c r="C560" s="2" t="str">
        <f t="shared" si="17"/>
        <v>LIM333</v>
      </c>
      <c r="D560" s="2417">
        <v>1100</v>
      </c>
      <c r="E560" s="2">
        <v>4</v>
      </c>
      <c r="F560" s="2448" t="s">
        <v>1244</v>
      </c>
      <c r="G560" s="2415"/>
      <c r="H560" s="2415"/>
      <c r="I560" s="2415"/>
      <c r="J560" s="2415"/>
      <c r="K560" s="2415"/>
      <c r="L560" s="2415"/>
      <c r="M560" s="2415"/>
      <c r="N560" s="2415"/>
      <c r="O560" s="2415"/>
      <c r="P560" s="2"/>
      <c r="Q560" s="2"/>
      <c r="T560" s="2"/>
      <c r="U560" s="2"/>
      <c r="V560" s="2"/>
      <c r="W560" t="s">
        <v>2062</v>
      </c>
    </row>
    <row r="561" spans="1:23" ht="13.15" customHeight="1">
      <c r="A561" s="2" t="s">
        <v>2194</v>
      </c>
      <c r="B561" s="2">
        <f t="shared" si="16"/>
        <v>2020</v>
      </c>
      <c r="C561" s="2" t="str">
        <f t="shared" si="17"/>
        <v>LIM333</v>
      </c>
      <c r="D561" s="2417">
        <v>1101</v>
      </c>
      <c r="E561" s="2">
        <v>5</v>
      </c>
      <c r="F561" s="2448" t="s">
        <v>1245</v>
      </c>
      <c r="G561" s="2415"/>
      <c r="H561" s="2415"/>
      <c r="I561" s="2415"/>
      <c r="J561" s="2415"/>
      <c r="K561" s="2415"/>
      <c r="L561" s="2415"/>
      <c r="M561" s="2415"/>
      <c r="N561" s="2415"/>
      <c r="O561" s="2415"/>
      <c r="P561" s="2"/>
      <c r="Q561" s="2"/>
      <c r="T561" s="2"/>
      <c r="U561" s="2"/>
      <c r="V561" s="2"/>
      <c r="W561" t="s">
        <v>2062</v>
      </c>
    </row>
    <row r="562" spans="1:23" ht="13.15" customHeight="1">
      <c r="A562" s="2" t="s">
        <v>2194</v>
      </c>
      <c r="B562" s="2">
        <f t="shared" si="16"/>
        <v>2020</v>
      </c>
      <c r="C562" s="2" t="str">
        <f t="shared" si="17"/>
        <v>LIM333</v>
      </c>
      <c r="D562" s="2417">
        <v>1102</v>
      </c>
      <c r="E562" s="2">
        <v>6</v>
      </c>
      <c r="F562" s="2448" t="s">
        <v>488</v>
      </c>
      <c r="G562" s="2415"/>
      <c r="H562" s="2415"/>
      <c r="I562" s="2415"/>
      <c r="J562" s="2415"/>
      <c r="K562" s="2415"/>
      <c r="L562" s="2415"/>
      <c r="M562" s="2415"/>
      <c r="N562" s="2415"/>
      <c r="O562" s="2415"/>
      <c r="P562" s="2"/>
      <c r="Q562" s="2"/>
      <c r="T562" s="2"/>
      <c r="U562" s="2"/>
      <c r="V562" s="2"/>
      <c r="W562" t="s">
        <v>2062</v>
      </c>
    </row>
    <row r="563" spans="1:23" ht="13.15" customHeight="1">
      <c r="A563" s="2" t="s">
        <v>2194</v>
      </c>
      <c r="B563" s="2">
        <f t="shared" si="16"/>
        <v>2020</v>
      </c>
      <c r="C563" s="2" t="str">
        <f t="shared" si="17"/>
        <v>LIM333</v>
      </c>
      <c r="D563" s="2417">
        <v>1103</v>
      </c>
      <c r="E563" s="2">
        <v>7</v>
      </c>
      <c r="F563" s="2448" t="s">
        <v>1246</v>
      </c>
      <c r="G563" s="2415"/>
      <c r="H563" s="2415"/>
      <c r="I563" s="2415"/>
      <c r="J563" s="2415"/>
      <c r="K563" s="2415"/>
      <c r="L563" s="2415"/>
      <c r="M563" s="2415"/>
      <c r="N563" s="2415"/>
      <c r="O563" s="2415"/>
      <c r="P563" s="2"/>
      <c r="Q563" s="2"/>
      <c r="T563" s="2"/>
      <c r="U563" s="2"/>
      <c r="V563" s="2"/>
      <c r="W563" t="s">
        <v>2062</v>
      </c>
    </row>
    <row r="564" spans="1:23" ht="13.15" customHeight="1">
      <c r="A564" s="2" t="s">
        <v>2194</v>
      </c>
      <c r="B564" s="2">
        <f t="shared" si="16"/>
        <v>2020</v>
      </c>
      <c r="C564" s="2" t="str">
        <f t="shared" si="17"/>
        <v>LIM333</v>
      </c>
      <c r="D564" s="2417">
        <v>1104</v>
      </c>
      <c r="E564" s="2">
        <v>8</v>
      </c>
      <c r="F564" s="2448" t="s">
        <v>1580</v>
      </c>
      <c r="G564" s="2415"/>
      <c r="H564" s="2415"/>
      <c r="I564" s="2415"/>
      <c r="J564" s="2415"/>
      <c r="K564" s="2415"/>
      <c r="L564" s="2415"/>
      <c r="M564" s="2415"/>
      <c r="N564" s="2415"/>
      <c r="O564" s="2415"/>
      <c r="P564" s="2"/>
      <c r="Q564" s="2"/>
      <c r="T564" s="2"/>
      <c r="U564" s="2"/>
      <c r="V564" s="2"/>
      <c r="W564" t="s">
        <v>2062</v>
      </c>
    </row>
    <row r="565" spans="1:23" ht="13.15" customHeight="1">
      <c r="A565" s="2" t="s">
        <v>2194</v>
      </c>
      <c r="B565" s="2">
        <f t="shared" si="16"/>
        <v>2020</v>
      </c>
      <c r="C565" s="2" t="str">
        <f t="shared" si="17"/>
        <v>LIM333</v>
      </c>
      <c r="D565" s="2417">
        <v>1105</v>
      </c>
      <c r="E565" s="2">
        <v>9</v>
      </c>
      <c r="F565" s="2448" t="s">
        <v>1247</v>
      </c>
      <c r="G565" s="2415"/>
      <c r="H565" s="2415"/>
      <c r="I565" s="2415"/>
      <c r="J565" s="2415"/>
      <c r="K565" s="2415"/>
      <c r="L565" s="2415"/>
      <c r="M565" s="2415"/>
      <c r="N565" s="2415"/>
      <c r="O565" s="2415"/>
      <c r="P565" s="2"/>
      <c r="Q565" s="2"/>
      <c r="T565" s="2"/>
      <c r="U565" s="2"/>
      <c r="V565" s="2"/>
      <c r="W565" t="s">
        <v>2062</v>
      </c>
    </row>
    <row r="566" spans="1:23" ht="13.15" customHeight="1">
      <c r="A566" s="2" t="s">
        <v>2194</v>
      </c>
      <c r="B566" s="2">
        <f t="shared" si="16"/>
        <v>2020</v>
      </c>
      <c r="C566" s="2" t="str">
        <f t="shared" si="17"/>
        <v>LIM333</v>
      </c>
      <c r="D566" s="2417">
        <v>1106</v>
      </c>
      <c r="E566" s="2">
        <v>10</v>
      </c>
      <c r="F566" s="2448" t="s">
        <v>286</v>
      </c>
      <c r="G566" s="2415"/>
      <c r="H566" s="2415"/>
      <c r="I566" s="2415"/>
      <c r="J566" s="2415"/>
      <c r="K566" s="2415"/>
      <c r="L566" s="2415"/>
      <c r="M566" s="2415"/>
      <c r="N566" s="2415"/>
      <c r="O566" s="2415"/>
      <c r="P566" s="2"/>
      <c r="Q566" s="2"/>
      <c r="T566" s="2"/>
      <c r="U566" s="2"/>
      <c r="V566" s="2"/>
      <c r="W566" t="s">
        <v>2062</v>
      </c>
    </row>
    <row r="567" spans="1:23" ht="13.15" customHeight="1">
      <c r="A567" s="2" t="s">
        <v>2194</v>
      </c>
      <c r="B567" s="2">
        <f t="shared" si="16"/>
        <v>2020</v>
      </c>
      <c r="C567" s="2" t="str">
        <f t="shared" si="17"/>
        <v>LIM333</v>
      </c>
      <c r="D567" s="2417">
        <v>1107</v>
      </c>
      <c r="E567" s="2">
        <v>11</v>
      </c>
      <c r="F567" s="2448" t="s">
        <v>632</v>
      </c>
      <c r="G567" s="2415"/>
      <c r="H567" s="2415"/>
      <c r="I567" s="2415"/>
      <c r="J567" s="2415"/>
      <c r="K567" s="2415"/>
      <c r="L567" s="2415"/>
      <c r="M567" s="2415"/>
      <c r="N567" s="2415"/>
      <c r="O567" s="2415"/>
      <c r="P567" s="2"/>
      <c r="Q567" s="2"/>
      <c r="T567" s="2"/>
      <c r="U567" s="2"/>
      <c r="V567" s="2"/>
      <c r="W567" t="s">
        <v>2062</v>
      </c>
    </row>
    <row r="568" spans="1:23" ht="13.15" customHeight="1">
      <c r="A568" s="2" t="s">
        <v>2194</v>
      </c>
      <c r="B568" s="2">
        <f t="shared" si="16"/>
        <v>2020</v>
      </c>
      <c r="C568" s="2" t="str">
        <f t="shared" si="17"/>
        <v>LIM333</v>
      </c>
      <c r="D568" s="2417">
        <v>1108</v>
      </c>
      <c r="E568" s="2">
        <v>12</v>
      </c>
      <c r="F568" s="2448" t="s">
        <v>556</v>
      </c>
      <c r="G568" s="2415"/>
      <c r="H568" s="2415"/>
      <c r="I568" s="2415"/>
      <c r="J568" s="2415"/>
      <c r="K568" s="2415"/>
      <c r="L568" s="2415"/>
      <c r="M568" s="2415"/>
      <c r="N568" s="2415"/>
      <c r="O568" s="2415"/>
      <c r="P568" s="2"/>
      <c r="Q568" s="2"/>
      <c r="T568" s="2"/>
      <c r="U568" s="2"/>
      <c r="V568" s="2"/>
      <c r="W568" t="s">
        <v>2062</v>
      </c>
    </row>
    <row r="569" spans="1:23" ht="13.15" customHeight="1">
      <c r="A569" s="2" t="s">
        <v>2194</v>
      </c>
      <c r="B569" s="2">
        <f t="shared" si="16"/>
        <v>2020</v>
      </c>
      <c r="C569" s="2" t="str">
        <f t="shared" si="17"/>
        <v>LIM333</v>
      </c>
      <c r="D569" s="2417">
        <v>1109</v>
      </c>
      <c r="E569" s="2">
        <v>13</v>
      </c>
      <c r="F569" s="2448" t="s">
        <v>827</v>
      </c>
      <c r="G569" s="2415"/>
      <c r="H569" s="2415"/>
      <c r="I569" s="2415"/>
      <c r="J569" s="2415"/>
      <c r="K569" s="2415"/>
      <c r="L569" s="2415"/>
      <c r="M569" s="2415"/>
      <c r="N569" s="2415"/>
      <c r="O569" s="2415"/>
      <c r="P569" s="2"/>
      <c r="Q569" s="2"/>
      <c r="T569" s="2"/>
      <c r="U569" s="2"/>
      <c r="V569" s="2"/>
      <c r="W569" t="s">
        <v>2062</v>
      </c>
    </row>
    <row r="570" spans="1:23" ht="13.15" customHeight="1">
      <c r="A570" s="2" t="s">
        <v>2194</v>
      </c>
      <c r="B570" s="2">
        <f t="shared" si="16"/>
        <v>2020</v>
      </c>
      <c r="C570" s="2" t="str">
        <f t="shared" si="17"/>
        <v>LIM333</v>
      </c>
      <c r="D570" s="2417">
        <v>1110</v>
      </c>
      <c r="E570" s="2">
        <v>14</v>
      </c>
      <c r="F570" s="2448" t="s">
        <v>828</v>
      </c>
      <c r="G570" s="2415"/>
      <c r="H570" s="2415"/>
      <c r="I570" s="2415"/>
      <c r="J570" s="2415"/>
      <c r="K570" s="2415"/>
      <c r="L570" s="2415"/>
      <c r="M570" s="2415"/>
      <c r="N570" s="2415"/>
      <c r="O570" s="2415"/>
      <c r="P570" s="2"/>
      <c r="Q570" s="2"/>
      <c r="T570" s="2"/>
      <c r="U570" s="2"/>
      <c r="V570" s="2"/>
      <c r="W570" t="s">
        <v>2062</v>
      </c>
    </row>
    <row r="571" spans="1:23" ht="13.15" customHeight="1">
      <c r="A571" s="2" t="s">
        <v>2194</v>
      </c>
      <c r="B571" s="2">
        <f t="shared" si="16"/>
        <v>2020</v>
      </c>
      <c r="C571" s="2" t="str">
        <f t="shared" si="17"/>
        <v>LIM333</v>
      </c>
      <c r="D571" s="2417">
        <v>1111</v>
      </c>
      <c r="E571" s="2">
        <v>15</v>
      </c>
      <c r="F571" s="2448" t="s">
        <v>1129</v>
      </c>
      <c r="G571" s="2415"/>
      <c r="H571" s="2415"/>
      <c r="I571" s="2415"/>
      <c r="J571" s="2415"/>
      <c r="K571" s="2415"/>
      <c r="L571" s="2415"/>
      <c r="M571" s="2415"/>
      <c r="N571" s="2415"/>
      <c r="O571" s="2415"/>
      <c r="P571" s="2"/>
      <c r="Q571" s="2"/>
      <c r="T571" s="2"/>
      <c r="U571" s="2"/>
      <c r="V571" s="2"/>
      <c r="W571" t="s">
        <v>2062</v>
      </c>
    </row>
    <row r="572" spans="1:23" ht="13.15" customHeight="1">
      <c r="A572" s="2" t="s">
        <v>2194</v>
      </c>
      <c r="B572" s="2">
        <f t="shared" si="16"/>
        <v>2020</v>
      </c>
      <c r="C572" s="2" t="str">
        <f t="shared" si="17"/>
        <v>LIM333</v>
      </c>
      <c r="D572" s="2417">
        <v>1112</v>
      </c>
      <c r="E572" s="2">
        <v>16</v>
      </c>
      <c r="F572" s="2448" t="s">
        <v>245</v>
      </c>
      <c r="G572" s="2415"/>
      <c r="H572" s="2415"/>
      <c r="I572" s="2415"/>
      <c r="J572" s="2415"/>
      <c r="K572" s="2415"/>
      <c r="L572" s="2415"/>
      <c r="M572" s="2415"/>
      <c r="N572" s="2415"/>
      <c r="O572" s="2415"/>
      <c r="P572" s="2"/>
      <c r="Q572" s="2"/>
      <c r="T572" s="2"/>
      <c r="U572" s="2"/>
      <c r="V572" s="2"/>
      <c r="W572" t="s">
        <v>2062</v>
      </c>
    </row>
    <row r="573" spans="1:23" ht="13.15" customHeight="1">
      <c r="A573" s="2" t="s">
        <v>2194</v>
      </c>
      <c r="B573" s="2">
        <f t="shared" si="16"/>
        <v>2020</v>
      </c>
      <c r="C573" s="2" t="str">
        <f t="shared" si="17"/>
        <v>LIM333</v>
      </c>
      <c r="D573" s="2417">
        <v>1113</v>
      </c>
      <c r="E573" s="2">
        <v>17</v>
      </c>
      <c r="F573" s="2448" t="s">
        <v>1248</v>
      </c>
      <c r="G573" s="2415"/>
      <c r="H573" s="2415"/>
      <c r="I573" s="2415"/>
      <c r="J573" s="2415"/>
      <c r="K573" s="2415"/>
      <c r="L573" s="2415"/>
      <c r="M573" s="2415"/>
      <c r="N573" s="2415"/>
      <c r="O573" s="2415"/>
      <c r="P573" s="2"/>
      <c r="Q573" s="2"/>
      <c r="T573" s="2"/>
      <c r="U573" s="2"/>
      <c r="V573" s="2"/>
      <c r="W573" t="s">
        <v>2062</v>
      </c>
    </row>
    <row r="574" spans="1:23" ht="13.15" customHeight="1">
      <c r="A574" s="2" t="s">
        <v>2194</v>
      </c>
      <c r="B574" s="2">
        <f t="shared" si="16"/>
        <v>2020</v>
      </c>
      <c r="C574" s="2" t="str">
        <f t="shared" si="17"/>
        <v>LIM333</v>
      </c>
      <c r="D574" s="2417">
        <v>1114</v>
      </c>
      <c r="E574" s="2">
        <v>18</v>
      </c>
      <c r="F574" s="2448" t="s">
        <v>1580</v>
      </c>
      <c r="G574" s="2415"/>
      <c r="H574" s="2415"/>
      <c r="I574" s="2415"/>
      <c r="J574" s="2415"/>
      <c r="K574" s="2415"/>
      <c r="L574" s="2415"/>
      <c r="M574" s="2415"/>
      <c r="N574" s="2415"/>
      <c r="O574" s="2415"/>
      <c r="P574" s="2"/>
      <c r="Q574" s="2"/>
      <c r="T574" s="2"/>
      <c r="U574" s="2"/>
      <c r="V574" s="2"/>
      <c r="W574" t="s">
        <v>2062</v>
      </c>
    </row>
    <row r="575" spans="1:23" ht="13.15" customHeight="1">
      <c r="A575" s="2" t="s">
        <v>2194</v>
      </c>
      <c r="B575" s="2">
        <f t="shared" si="16"/>
        <v>2020</v>
      </c>
      <c r="C575" s="2" t="str">
        <f t="shared" si="17"/>
        <v>LIM333</v>
      </c>
      <c r="D575" s="2417">
        <v>1115</v>
      </c>
      <c r="E575" s="2">
        <v>19</v>
      </c>
      <c r="F575" s="2448" t="s">
        <v>1247</v>
      </c>
      <c r="G575" s="2415"/>
      <c r="H575" s="2415"/>
      <c r="I575" s="2415"/>
      <c r="J575" s="2415"/>
      <c r="K575" s="2415"/>
      <c r="L575" s="2415"/>
      <c r="M575" s="2415"/>
      <c r="N575" s="2415"/>
      <c r="O575" s="2415"/>
      <c r="P575" s="2"/>
      <c r="Q575" s="2"/>
      <c r="T575" s="2"/>
      <c r="U575" s="2"/>
      <c r="V575" s="2"/>
      <c r="W575" t="s">
        <v>2062</v>
      </c>
    </row>
    <row r="576" spans="1:23" ht="13.15" customHeight="1">
      <c r="A576" s="2" t="s">
        <v>2194</v>
      </c>
      <c r="B576" s="2">
        <f t="shared" si="16"/>
        <v>2020</v>
      </c>
      <c r="C576" s="2" t="str">
        <f t="shared" si="17"/>
        <v>LIM333</v>
      </c>
      <c r="D576" s="2417">
        <v>1116</v>
      </c>
      <c r="E576" s="2">
        <v>20</v>
      </c>
      <c r="F576" s="2448" t="s">
        <v>286</v>
      </c>
      <c r="G576" s="2415"/>
      <c r="H576" s="2415"/>
      <c r="I576" s="2415"/>
      <c r="J576" s="2415"/>
      <c r="K576" s="2415"/>
      <c r="L576" s="2415"/>
      <c r="M576" s="2415"/>
      <c r="N576" s="2415"/>
      <c r="O576" s="2415"/>
      <c r="P576" s="2"/>
      <c r="Q576" s="2"/>
      <c r="T576" s="2"/>
      <c r="U576" s="2"/>
      <c r="V576" s="2"/>
      <c r="W576" t="s">
        <v>2062</v>
      </c>
    </row>
    <row r="577" spans="1:23" ht="13.15" customHeight="1">
      <c r="A577" s="2" t="s">
        <v>2194</v>
      </c>
      <c r="B577" s="2">
        <f t="shared" si="16"/>
        <v>2020</v>
      </c>
      <c r="C577" s="2" t="str">
        <f t="shared" si="17"/>
        <v>LIM333</v>
      </c>
      <c r="D577" s="2417">
        <v>1117</v>
      </c>
      <c r="E577" s="2">
        <v>21</v>
      </c>
      <c r="F577" s="2448" t="s">
        <v>632</v>
      </c>
      <c r="G577" s="2415"/>
      <c r="H577" s="2415"/>
      <c r="I577" s="2415"/>
      <c r="J577" s="2415"/>
      <c r="K577" s="2415"/>
      <c r="L577" s="2415"/>
      <c r="M577" s="2415"/>
      <c r="N577" s="2415"/>
      <c r="O577" s="2415"/>
      <c r="P577" s="2"/>
      <c r="Q577" s="2"/>
      <c r="T577" s="2"/>
      <c r="U577" s="2"/>
      <c r="V577" s="2"/>
      <c r="W577" t="s">
        <v>2062</v>
      </c>
    </row>
    <row r="578" spans="1:23" ht="13.15" customHeight="1">
      <c r="A578" s="2" t="s">
        <v>2194</v>
      </c>
      <c r="B578" s="2">
        <f t="shared" ref="B578:B641" si="18">+MTREF</f>
        <v>2020</v>
      </c>
      <c r="C578" s="2" t="str">
        <f t="shared" ref="C578:C641" si="19">LEFT(muni,(FIND(" ",muni,1)-1))</f>
        <v>LIM333</v>
      </c>
      <c r="D578" s="2417">
        <v>1118</v>
      </c>
      <c r="E578" s="2">
        <v>22</v>
      </c>
      <c r="F578" s="2448" t="s">
        <v>556</v>
      </c>
      <c r="G578" s="2415"/>
      <c r="H578" s="2415"/>
      <c r="I578" s="2415"/>
      <c r="J578" s="2415"/>
      <c r="K578" s="2415"/>
      <c r="L578" s="2415"/>
      <c r="M578" s="2415"/>
      <c r="N578" s="2415"/>
      <c r="O578" s="2415"/>
      <c r="P578" s="2"/>
      <c r="Q578" s="2"/>
      <c r="T578" s="2"/>
      <c r="U578" s="2"/>
      <c r="V578" s="2"/>
      <c r="W578" t="s">
        <v>2062</v>
      </c>
    </row>
    <row r="579" spans="1:23" ht="13.15" customHeight="1">
      <c r="A579" s="2" t="s">
        <v>2194</v>
      </c>
      <c r="B579" s="2">
        <f t="shared" si="18"/>
        <v>2020</v>
      </c>
      <c r="C579" s="2" t="str">
        <f t="shared" si="19"/>
        <v>LIM333</v>
      </c>
      <c r="D579" s="2417">
        <v>1119</v>
      </c>
      <c r="E579" s="2">
        <v>23</v>
      </c>
      <c r="F579" s="2448" t="s">
        <v>827</v>
      </c>
      <c r="G579" s="2415"/>
      <c r="H579" s="2415"/>
      <c r="I579" s="2415"/>
      <c r="J579" s="2415"/>
      <c r="K579" s="2415"/>
      <c r="L579" s="2415"/>
      <c r="M579" s="2415"/>
      <c r="N579" s="2415"/>
      <c r="O579" s="2415"/>
      <c r="P579" s="2"/>
      <c r="Q579" s="2"/>
      <c r="T579" s="2"/>
      <c r="U579" s="2"/>
      <c r="V579" s="2"/>
      <c r="W579" t="s">
        <v>2062</v>
      </c>
    </row>
    <row r="580" spans="1:23" ht="13.15" customHeight="1">
      <c r="A580" s="2" t="s">
        <v>2194</v>
      </c>
      <c r="B580" s="2">
        <f t="shared" si="18"/>
        <v>2020</v>
      </c>
      <c r="C580" s="2" t="str">
        <f t="shared" si="19"/>
        <v>LIM333</v>
      </c>
      <c r="D580" s="2417">
        <v>1120</v>
      </c>
      <c r="E580" s="2">
        <v>24</v>
      </c>
      <c r="F580" s="2448" t="s">
        <v>828</v>
      </c>
      <c r="G580" s="2415"/>
      <c r="H580" s="2415"/>
      <c r="I580" s="2415"/>
      <c r="J580" s="2415"/>
      <c r="K580" s="2415"/>
      <c r="L580" s="2415"/>
      <c r="M580" s="2415"/>
      <c r="N580" s="2415"/>
      <c r="O580" s="2415"/>
      <c r="P580" s="2"/>
      <c r="Q580" s="2"/>
      <c r="T580" s="2"/>
      <c r="U580" s="2"/>
      <c r="V580" s="2"/>
      <c r="W580" t="s">
        <v>2062</v>
      </c>
    </row>
    <row r="581" spans="1:23" ht="13.15" customHeight="1">
      <c r="A581" s="2" t="s">
        <v>2194</v>
      </c>
      <c r="B581" s="2">
        <f t="shared" si="18"/>
        <v>2020</v>
      </c>
      <c r="C581" s="2" t="str">
        <f t="shared" si="19"/>
        <v>LIM333</v>
      </c>
      <c r="D581" s="2417">
        <v>1121</v>
      </c>
      <c r="E581" s="2">
        <v>25</v>
      </c>
      <c r="F581" s="2448" t="s">
        <v>1129</v>
      </c>
      <c r="G581" s="2415"/>
      <c r="H581" s="2415"/>
      <c r="I581" s="2415"/>
      <c r="J581" s="2415"/>
      <c r="K581" s="2415"/>
      <c r="L581" s="2415"/>
      <c r="M581" s="2415"/>
      <c r="N581" s="2415"/>
      <c r="O581" s="2415"/>
      <c r="P581" s="2"/>
      <c r="Q581" s="2"/>
      <c r="T581" s="2"/>
      <c r="U581" s="2"/>
      <c r="V581" s="2"/>
      <c r="W581" t="s">
        <v>2062</v>
      </c>
    </row>
    <row r="582" spans="1:23" ht="13.15" customHeight="1">
      <c r="A582" s="2" t="s">
        <v>2194</v>
      </c>
      <c r="B582" s="2">
        <f t="shared" si="18"/>
        <v>2020</v>
      </c>
      <c r="C582" s="2" t="str">
        <f t="shared" si="19"/>
        <v>LIM333</v>
      </c>
      <c r="D582" s="2417">
        <v>1122</v>
      </c>
      <c r="E582" s="2">
        <v>26</v>
      </c>
      <c r="F582" s="2448" t="s">
        <v>245</v>
      </c>
      <c r="G582" s="2415"/>
      <c r="H582" s="2415"/>
      <c r="I582" s="2415"/>
      <c r="J582" s="2415"/>
      <c r="K582" s="2415"/>
      <c r="L582" s="2415"/>
      <c r="M582" s="2415"/>
      <c r="N582" s="2415"/>
      <c r="O582" s="2415"/>
      <c r="P582" s="2"/>
      <c r="Q582" s="2"/>
      <c r="T582" s="2"/>
      <c r="U582" s="2"/>
      <c r="V582" s="2"/>
      <c r="W582" t="s">
        <v>2062</v>
      </c>
    </row>
    <row r="583" spans="1:23" ht="13.15" customHeight="1">
      <c r="A583" s="2" t="s">
        <v>2194</v>
      </c>
      <c r="B583" s="2">
        <f t="shared" si="18"/>
        <v>2020</v>
      </c>
      <c r="C583" s="2" t="str">
        <f t="shared" si="19"/>
        <v>LIM333</v>
      </c>
      <c r="D583" s="2417">
        <v>1123</v>
      </c>
      <c r="E583" s="2">
        <v>27</v>
      </c>
      <c r="F583" s="2448" t="s">
        <v>1249</v>
      </c>
      <c r="G583" s="2415"/>
      <c r="H583" s="2415"/>
      <c r="I583" s="2415"/>
      <c r="J583" s="2415"/>
      <c r="K583" s="2415"/>
      <c r="L583" s="2415"/>
      <c r="M583" s="2415"/>
      <c r="N583" s="2415"/>
      <c r="O583" s="2415"/>
      <c r="P583" s="2"/>
      <c r="Q583" s="2"/>
      <c r="T583" s="2"/>
      <c r="U583" s="2"/>
      <c r="V583" s="2"/>
      <c r="W583" t="s">
        <v>2062</v>
      </c>
    </row>
    <row r="584" spans="1:23" ht="13.15" customHeight="1">
      <c r="A584" s="2" t="s">
        <v>2194</v>
      </c>
      <c r="B584" s="2">
        <f t="shared" si="18"/>
        <v>2020</v>
      </c>
      <c r="C584" s="2" t="str">
        <f t="shared" si="19"/>
        <v>LIM333</v>
      </c>
      <c r="D584" s="2417">
        <v>1124</v>
      </c>
      <c r="E584" s="2">
        <v>28</v>
      </c>
      <c r="F584" s="2448" t="s">
        <v>1250</v>
      </c>
      <c r="G584" s="2415"/>
      <c r="H584" s="2415"/>
      <c r="I584" s="2415"/>
      <c r="J584" s="2415"/>
      <c r="K584" s="2415"/>
      <c r="L584" s="2415"/>
      <c r="M584" s="2415"/>
      <c r="N584" s="2415"/>
      <c r="O584" s="2415"/>
      <c r="P584" s="2"/>
      <c r="Q584" s="2"/>
      <c r="T584" s="2"/>
      <c r="U584" s="2"/>
      <c r="V584" s="2"/>
      <c r="W584" t="s">
        <v>2062</v>
      </c>
    </row>
    <row r="585" spans="1:23" ht="13.15" customHeight="1">
      <c r="A585" s="2" t="s">
        <v>2194</v>
      </c>
      <c r="B585" s="2">
        <f t="shared" si="18"/>
        <v>2020</v>
      </c>
      <c r="C585" s="2" t="str">
        <f t="shared" si="19"/>
        <v>LIM333</v>
      </c>
      <c r="D585" s="2417">
        <v>1125</v>
      </c>
      <c r="E585" s="2">
        <v>29</v>
      </c>
      <c r="F585" s="2448" t="s">
        <v>701</v>
      </c>
      <c r="G585" s="2415"/>
      <c r="H585" s="2415"/>
      <c r="I585" s="2415"/>
      <c r="J585" s="2415"/>
      <c r="K585" s="2415"/>
      <c r="L585" s="2415"/>
      <c r="M585" s="2415"/>
      <c r="N585" s="2415"/>
      <c r="O585" s="2415"/>
      <c r="P585" s="2"/>
      <c r="Q585" s="2"/>
      <c r="T585" s="2"/>
      <c r="U585" s="2"/>
      <c r="V585" s="2"/>
      <c r="W585" t="s">
        <v>2062</v>
      </c>
    </row>
    <row r="586" spans="1:23" ht="13.15" customHeight="1">
      <c r="A586" s="2" t="s">
        <v>2194</v>
      </c>
      <c r="B586" s="2">
        <f t="shared" si="18"/>
        <v>2020</v>
      </c>
      <c r="C586" s="2" t="str">
        <f t="shared" si="19"/>
        <v>LIM333</v>
      </c>
      <c r="D586" s="2417">
        <v>1126</v>
      </c>
      <c r="E586" s="2">
        <v>30</v>
      </c>
      <c r="F586" s="2448" t="s">
        <v>1251</v>
      </c>
      <c r="G586" s="2415"/>
      <c r="H586" s="2415"/>
      <c r="I586" s="2415"/>
      <c r="J586" s="2415"/>
      <c r="K586" s="2415"/>
      <c r="L586" s="2415"/>
      <c r="M586" s="2415"/>
      <c r="N586" s="2415"/>
      <c r="O586" s="2415"/>
      <c r="P586" s="2"/>
      <c r="Q586" s="2"/>
      <c r="T586" s="2"/>
      <c r="U586" s="2"/>
      <c r="V586" s="2"/>
      <c r="W586" t="s">
        <v>2062</v>
      </c>
    </row>
    <row r="587" spans="1:23" ht="13.15" customHeight="1">
      <c r="A587" s="2" t="s">
        <v>2194</v>
      </c>
      <c r="B587" s="2">
        <f t="shared" si="18"/>
        <v>2020</v>
      </c>
      <c r="C587" s="2" t="str">
        <f t="shared" si="19"/>
        <v>LIM333</v>
      </c>
      <c r="D587" s="2417">
        <v>1127</v>
      </c>
      <c r="E587" s="2">
        <v>31</v>
      </c>
      <c r="F587" s="2448" t="s">
        <v>1252</v>
      </c>
      <c r="G587" s="2415"/>
      <c r="H587" s="2415"/>
      <c r="I587" s="2415"/>
      <c r="J587" s="2415"/>
      <c r="K587" s="2415"/>
      <c r="L587" s="2415"/>
      <c r="M587" s="2415"/>
      <c r="N587" s="2415"/>
      <c r="O587" s="2415"/>
      <c r="P587" s="2"/>
      <c r="Q587" s="2"/>
      <c r="T587" s="2"/>
      <c r="U587" s="2"/>
      <c r="V587" s="2"/>
      <c r="W587" t="s">
        <v>2062</v>
      </c>
    </row>
    <row r="588" spans="1:23" ht="13.15" customHeight="1">
      <c r="A588" s="2" t="s">
        <v>2194</v>
      </c>
      <c r="B588" s="2">
        <f t="shared" si="18"/>
        <v>2020</v>
      </c>
      <c r="C588" s="2" t="str">
        <f t="shared" si="19"/>
        <v>LIM333</v>
      </c>
      <c r="D588" s="2417">
        <v>1128</v>
      </c>
      <c r="E588" s="2">
        <v>32</v>
      </c>
      <c r="F588" s="2448" t="s">
        <v>1253</v>
      </c>
      <c r="G588" s="2415"/>
      <c r="H588" s="2415"/>
      <c r="I588" s="2415"/>
      <c r="J588" s="2415"/>
      <c r="K588" s="2415"/>
      <c r="L588" s="2415"/>
      <c r="M588" s="2415"/>
      <c r="N588" s="2415"/>
      <c r="O588" s="2415"/>
      <c r="P588" s="2"/>
      <c r="Q588" s="2"/>
      <c r="T588" s="2"/>
      <c r="U588" s="2"/>
      <c r="V588" s="2"/>
      <c r="W588" t="s">
        <v>2062</v>
      </c>
    </row>
    <row r="589" spans="1:23" ht="13.15" customHeight="1">
      <c r="A589" s="2" t="s">
        <v>2194</v>
      </c>
      <c r="B589" s="2">
        <f t="shared" si="18"/>
        <v>2020</v>
      </c>
      <c r="C589" s="2" t="str">
        <f t="shared" si="19"/>
        <v>LIM333</v>
      </c>
      <c r="D589" s="2417">
        <v>1190</v>
      </c>
      <c r="E589" s="2">
        <v>33</v>
      </c>
      <c r="F589" s="2448" t="s">
        <v>582</v>
      </c>
      <c r="G589" s="2415"/>
      <c r="H589" s="2415"/>
      <c r="I589" s="2415"/>
      <c r="J589" s="2415"/>
      <c r="K589" s="2415"/>
      <c r="L589" s="2415"/>
      <c r="M589" s="2415"/>
      <c r="N589" s="2415"/>
      <c r="O589" s="2415"/>
      <c r="P589" s="2"/>
      <c r="Q589" s="2"/>
      <c r="T589" s="2"/>
      <c r="U589" s="2"/>
      <c r="V589" s="2"/>
      <c r="W589" t="s">
        <v>2062</v>
      </c>
    </row>
    <row r="590" spans="1:23" ht="13.15" customHeight="1">
      <c r="A590" s="2" t="s">
        <v>2194</v>
      </c>
      <c r="B590" s="2">
        <f t="shared" si="18"/>
        <v>2020</v>
      </c>
      <c r="C590" s="2" t="str">
        <f t="shared" si="19"/>
        <v>LIM333</v>
      </c>
      <c r="D590" s="2417">
        <v>1191</v>
      </c>
      <c r="E590" s="2">
        <v>34</v>
      </c>
      <c r="F590" s="2448" t="s">
        <v>799</v>
      </c>
      <c r="G590" s="2447"/>
      <c r="H590" s="2447"/>
      <c r="I590" s="2447"/>
      <c r="J590" s="2447"/>
      <c r="K590" s="2447"/>
      <c r="L590" s="2447"/>
      <c r="M590" s="2447"/>
      <c r="N590" s="2447"/>
      <c r="O590" s="2447"/>
      <c r="P590" s="2"/>
      <c r="Q590" s="2415"/>
      <c r="T590" s="2415"/>
      <c r="U590" s="2415"/>
      <c r="V590" s="2415"/>
      <c r="W590" t="s">
        <v>2062</v>
      </c>
    </row>
    <row r="591" spans="1:23" ht="13.15" customHeight="1">
      <c r="A591" s="2" t="s">
        <v>2194</v>
      </c>
      <c r="B591" s="2">
        <f t="shared" si="18"/>
        <v>2020</v>
      </c>
      <c r="C591" s="2" t="str">
        <f t="shared" si="19"/>
        <v>LIM333</v>
      </c>
      <c r="D591" s="2417"/>
      <c r="E591" s="2"/>
      <c r="F591" s="2448"/>
      <c r="G591" s="2415"/>
      <c r="H591" s="2415"/>
      <c r="I591" s="2415"/>
      <c r="J591" s="2415"/>
      <c r="K591" s="2415"/>
      <c r="L591" s="2415"/>
      <c r="M591" s="2415"/>
      <c r="N591" s="2415"/>
      <c r="O591" s="2415"/>
      <c r="P591" s="2"/>
      <c r="Q591" s="2"/>
      <c r="T591" s="2"/>
      <c r="U591" s="2"/>
      <c r="V591" s="2"/>
      <c r="W591" t="s">
        <v>2062</v>
      </c>
    </row>
    <row r="592" spans="1:23" ht="13.15" customHeight="1">
      <c r="A592" s="2" t="s">
        <v>2194</v>
      </c>
      <c r="B592" s="2">
        <f t="shared" si="18"/>
        <v>2020</v>
      </c>
      <c r="C592" s="2" t="str">
        <f t="shared" si="19"/>
        <v>LIM333</v>
      </c>
      <c r="D592" s="2417">
        <v>1200</v>
      </c>
      <c r="E592" s="2">
        <v>35</v>
      </c>
      <c r="F592" s="2448" t="s">
        <v>1254</v>
      </c>
      <c r="G592" s="2415"/>
      <c r="H592" s="2415"/>
      <c r="I592" s="2415"/>
      <c r="J592" s="2415"/>
      <c r="K592" s="2415"/>
      <c r="L592" s="2415"/>
      <c r="M592" s="2415"/>
      <c r="N592" s="2415"/>
      <c r="O592" s="2415"/>
      <c r="P592" s="2"/>
      <c r="Q592" s="2"/>
      <c r="T592" s="2"/>
      <c r="U592" s="2"/>
      <c r="V592" s="2"/>
      <c r="W592" t="s">
        <v>2062</v>
      </c>
    </row>
    <row r="593" spans="1:23" ht="13.15" customHeight="1">
      <c r="A593" s="2" t="s">
        <v>2194</v>
      </c>
      <c r="B593" s="2">
        <f t="shared" si="18"/>
        <v>2020</v>
      </c>
      <c r="C593" s="2" t="str">
        <f t="shared" si="19"/>
        <v>LIM333</v>
      </c>
      <c r="D593" s="2417">
        <v>1201</v>
      </c>
      <c r="E593" s="2">
        <v>36</v>
      </c>
      <c r="F593" s="2450" t="s">
        <v>1255</v>
      </c>
      <c r="G593" s="2415"/>
      <c r="H593" s="2415"/>
      <c r="I593" s="2415"/>
      <c r="J593" s="2415"/>
      <c r="K593" s="2415"/>
      <c r="L593" s="2415"/>
      <c r="M593" s="2415"/>
      <c r="N593" s="2415"/>
      <c r="O593" s="2415"/>
      <c r="P593" s="2"/>
      <c r="Q593" s="2"/>
      <c r="T593" s="2"/>
      <c r="U593" s="2"/>
      <c r="V593" s="2"/>
      <c r="W593" t="s">
        <v>2062</v>
      </c>
    </row>
    <row r="594" spans="1:23" ht="13.15" customHeight="1">
      <c r="A594" s="2" t="s">
        <v>2194</v>
      </c>
      <c r="B594" s="2">
        <f t="shared" si="18"/>
        <v>2020</v>
      </c>
      <c r="C594" s="2" t="str">
        <f t="shared" si="19"/>
        <v>LIM333</v>
      </c>
      <c r="D594" s="2417">
        <v>1202</v>
      </c>
      <c r="E594" s="2">
        <v>37</v>
      </c>
      <c r="F594" s="2450" t="s">
        <v>1256</v>
      </c>
      <c r="G594" s="2415"/>
      <c r="H594" s="2415"/>
      <c r="I594" s="2415"/>
      <c r="J594" s="2415"/>
      <c r="K594" s="2415"/>
      <c r="L594" s="2415"/>
      <c r="M594" s="2415"/>
      <c r="N594" s="2415"/>
      <c r="O594" s="2415"/>
      <c r="P594" s="2"/>
      <c r="Q594" s="2"/>
      <c r="T594" s="2"/>
      <c r="U594" s="2"/>
      <c r="V594" s="2"/>
      <c r="W594" t="s">
        <v>2062</v>
      </c>
    </row>
    <row r="595" spans="1:23" ht="13.15" customHeight="1">
      <c r="A595" s="2" t="s">
        <v>2196</v>
      </c>
      <c r="B595" s="2">
        <f t="shared" si="18"/>
        <v>2020</v>
      </c>
      <c r="C595" s="2" t="str">
        <f t="shared" si="19"/>
        <v>LIM333</v>
      </c>
      <c r="D595" s="2414" t="s">
        <v>2197</v>
      </c>
      <c r="E595" s="2">
        <v>1</v>
      </c>
      <c r="F595" s="2" t="s">
        <v>932</v>
      </c>
      <c r="G595" s="2415"/>
      <c r="H595" s="2415"/>
      <c r="I595" s="2415"/>
      <c r="J595" s="2415"/>
      <c r="K595" s="2415"/>
      <c r="L595" s="2415"/>
      <c r="M595" s="2415"/>
      <c r="N595" s="2415"/>
      <c r="O595" s="2415"/>
      <c r="P595" s="2415"/>
      <c r="Q595" s="2"/>
      <c r="W595" t="s">
        <v>2062</v>
      </c>
    </row>
    <row r="596" spans="1:23" ht="13.15" customHeight="1">
      <c r="A596" s="2" t="s">
        <v>2196</v>
      </c>
      <c r="B596" s="2">
        <f t="shared" si="18"/>
        <v>2020</v>
      </c>
      <c r="C596" s="2" t="str">
        <f t="shared" si="19"/>
        <v>LIM333</v>
      </c>
      <c r="D596" s="2414" t="s">
        <v>2198</v>
      </c>
      <c r="E596" s="2">
        <v>2</v>
      </c>
      <c r="F596" s="2" t="s">
        <v>132</v>
      </c>
      <c r="G596" s="2415"/>
      <c r="H596" s="2415"/>
      <c r="I596" s="2415"/>
      <c r="J596" s="2415"/>
      <c r="K596" s="2415"/>
      <c r="L596" s="2415"/>
      <c r="M596" s="2415"/>
      <c r="N596" s="2415"/>
      <c r="O596" s="2415"/>
      <c r="P596" s="2415"/>
      <c r="Q596" s="2"/>
      <c r="W596" t="s">
        <v>2062</v>
      </c>
    </row>
    <row r="597" spans="1:23" ht="13.15" customHeight="1">
      <c r="A597" s="2" t="s">
        <v>2196</v>
      </c>
      <c r="B597" s="2">
        <f t="shared" si="18"/>
        <v>2020</v>
      </c>
      <c r="C597" s="2" t="str">
        <f t="shared" si="19"/>
        <v>LIM333</v>
      </c>
      <c r="D597" s="2414" t="s">
        <v>2199</v>
      </c>
      <c r="E597" s="2">
        <v>3</v>
      </c>
      <c r="F597" s="2" t="s">
        <v>989</v>
      </c>
      <c r="G597" s="2415"/>
      <c r="H597" s="2415"/>
      <c r="I597" s="2415"/>
      <c r="J597" s="2415"/>
      <c r="K597" s="2415"/>
      <c r="L597" s="2415"/>
      <c r="M597" s="2415"/>
      <c r="N597" s="2415"/>
      <c r="O597" s="2415"/>
      <c r="P597" s="2415"/>
      <c r="Q597" s="2"/>
      <c r="W597" t="s">
        <v>2062</v>
      </c>
    </row>
    <row r="598" spans="1:23" ht="13.15" customHeight="1">
      <c r="A598" s="2" t="s">
        <v>2196</v>
      </c>
      <c r="B598" s="2">
        <f t="shared" si="18"/>
        <v>2020</v>
      </c>
      <c r="C598" s="2" t="str">
        <f t="shared" si="19"/>
        <v>LIM333</v>
      </c>
      <c r="D598" s="2414" t="s">
        <v>2200</v>
      </c>
      <c r="E598" s="2">
        <v>5</v>
      </c>
      <c r="F598" s="2" t="s">
        <v>508</v>
      </c>
      <c r="G598" s="2415"/>
      <c r="H598" s="2415"/>
      <c r="I598" s="2415"/>
      <c r="J598" s="2415"/>
      <c r="K598" s="2415"/>
      <c r="L598" s="2415"/>
      <c r="M598" s="2415"/>
      <c r="N598" s="2415"/>
      <c r="O598" s="2415"/>
      <c r="P598" s="2415"/>
      <c r="Q598" s="2"/>
      <c r="W598" t="s">
        <v>2062</v>
      </c>
    </row>
    <row r="599" spans="1:23" ht="13.15" customHeight="1">
      <c r="A599" s="2" t="s">
        <v>2196</v>
      </c>
      <c r="B599" s="2">
        <f t="shared" si="18"/>
        <v>2020</v>
      </c>
      <c r="C599" s="2" t="str">
        <f t="shared" si="19"/>
        <v>LIM333</v>
      </c>
      <c r="D599" s="2414" t="s">
        <v>2201</v>
      </c>
      <c r="E599" s="2">
        <v>6</v>
      </c>
      <c r="F599" s="2" t="s">
        <v>335</v>
      </c>
      <c r="G599" s="2415"/>
      <c r="H599" s="2415"/>
      <c r="I599" s="2415"/>
      <c r="J599" s="2415"/>
      <c r="K599" s="2415"/>
      <c r="L599" s="2415"/>
      <c r="M599" s="2415"/>
      <c r="N599" s="2415"/>
      <c r="O599" s="2415"/>
      <c r="P599" s="2415"/>
      <c r="Q599" s="2"/>
      <c r="W599" t="s">
        <v>2062</v>
      </c>
    </row>
    <row r="600" spans="1:23" ht="13.15" customHeight="1">
      <c r="A600" s="2" t="s">
        <v>2196</v>
      </c>
      <c r="B600" s="2">
        <f t="shared" si="18"/>
        <v>2020</v>
      </c>
      <c r="C600" s="2" t="str">
        <f t="shared" si="19"/>
        <v>LIM333</v>
      </c>
      <c r="D600" s="2414" t="s">
        <v>2202</v>
      </c>
      <c r="E600" s="2">
        <v>7</v>
      </c>
      <c r="F600" s="2" t="s">
        <v>1062</v>
      </c>
      <c r="G600" s="2415"/>
      <c r="H600" s="2415"/>
      <c r="I600" s="2415"/>
      <c r="J600" s="2415"/>
      <c r="K600" s="2415"/>
      <c r="L600" s="2415"/>
      <c r="M600" s="2415"/>
      <c r="N600" s="2415"/>
      <c r="O600" s="2415"/>
      <c r="P600" s="2415"/>
      <c r="Q600" s="2"/>
      <c r="W600" t="s">
        <v>2062</v>
      </c>
    </row>
    <row r="601" spans="1:23" ht="13.15" customHeight="1">
      <c r="A601" s="2" t="s">
        <v>2196</v>
      </c>
      <c r="B601" s="2">
        <f t="shared" si="18"/>
        <v>2020</v>
      </c>
      <c r="C601" s="2" t="str">
        <f t="shared" si="19"/>
        <v>LIM333</v>
      </c>
      <c r="D601" s="2414" t="s">
        <v>2203</v>
      </c>
      <c r="E601" s="2">
        <v>8</v>
      </c>
      <c r="F601" s="2" t="s">
        <v>2204</v>
      </c>
      <c r="G601" s="2415"/>
      <c r="H601" s="2415"/>
      <c r="I601" s="2415"/>
      <c r="J601" s="2415"/>
      <c r="K601" s="2415"/>
      <c r="L601" s="2415"/>
      <c r="M601" s="2415"/>
      <c r="N601" s="2415"/>
      <c r="O601" s="2415"/>
      <c r="P601" s="2415"/>
      <c r="Q601" s="2"/>
      <c r="W601" t="s">
        <v>2062</v>
      </c>
    </row>
    <row r="602" spans="1:23" ht="13.15" customHeight="1">
      <c r="A602" s="2" t="s">
        <v>2196</v>
      </c>
      <c r="B602" s="2">
        <f t="shared" si="18"/>
        <v>2020</v>
      </c>
      <c r="C602" s="2" t="str">
        <f t="shared" si="19"/>
        <v>LIM333</v>
      </c>
      <c r="D602" s="2417">
        <v>2001</v>
      </c>
      <c r="E602" s="2">
        <v>9</v>
      </c>
      <c r="F602" s="2" t="s">
        <v>702</v>
      </c>
      <c r="G602" s="2415"/>
      <c r="H602" s="2415"/>
      <c r="I602" s="2415"/>
      <c r="J602" s="2415"/>
      <c r="K602" s="2415"/>
      <c r="L602" s="2415"/>
      <c r="M602" s="2415"/>
      <c r="N602" s="2415"/>
      <c r="O602" s="2415"/>
      <c r="P602" s="2415"/>
      <c r="Q602" s="2"/>
      <c r="W602" t="s">
        <v>2062</v>
      </c>
    </row>
    <row r="603" spans="1:23" ht="13.15" customHeight="1">
      <c r="A603" s="2" t="s">
        <v>2196</v>
      </c>
      <c r="B603" s="2">
        <f t="shared" si="18"/>
        <v>2020</v>
      </c>
      <c r="C603" s="2" t="str">
        <f t="shared" si="19"/>
        <v>LIM333</v>
      </c>
      <c r="D603" s="2414" t="s">
        <v>2205</v>
      </c>
      <c r="E603" s="2">
        <v>10</v>
      </c>
      <c r="F603" s="2" t="s">
        <v>1172</v>
      </c>
      <c r="G603" s="2415"/>
      <c r="H603" s="2415"/>
      <c r="I603" s="2415"/>
      <c r="J603" s="2415"/>
      <c r="K603" s="2415"/>
      <c r="L603" s="2415"/>
      <c r="M603" s="2415"/>
      <c r="N603" s="2415"/>
      <c r="O603" s="2415"/>
      <c r="P603" s="2415"/>
      <c r="Q603" s="2"/>
      <c r="W603" t="s">
        <v>2062</v>
      </c>
    </row>
    <row r="604" spans="1:23" ht="13.15" customHeight="1">
      <c r="A604" s="2" t="s">
        <v>2196</v>
      </c>
      <c r="B604" s="2">
        <f t="shared" si="18"/>
        <v>2020</v>
      </c>
      <c r="C604" s="2" t="str">
        <f t="shared" si="19"/>
        <v>LIM333</v>
      </c>
      <c r="D604" s="2414" t="s">
        <v>2206</v>
      </c>
      <c r="E604" s="2">
        <v>11</v>
      </c>
      <c r="F604" s="2" t="s">
        <v>1275</v>
      </c>
      <c r="G604" s="2447"/>
      <c r="H604" s="2447"/>
      <c r="I604" s="2447"/>
      <c r="J604" s="2447"/>
      <c r="K604" s="2447"/>
      <c r="L604" s="2447"/>
      <c r="M604" s="2447"/>
      <c r="N604" s="2447"/>
      <c r="O604" s="2447"/>
      <c r="P604" s="2447"/>
      <c r="Q604" s="2"/>
      <c r="W604" t="s">
        <v>2062</v>
      </c>
    </row>
    <row r="605" spans="1:23" ht="13.15" customHeight="1">
      <c r="A605" s="2" t="s">
        <v>2196</v>
      </c>
      <c r="B605" s="2">
        <f t="shared" si="18"/>
        <v>2020</v>
      </c>
      <c r="C605" s="2" t="str">
        <f t="shared" si="19"/>
        <v>LIM333</v>
      </c>
      <c r="D605" s="2417">
        <v>5000</v>
      </c>
      <c r="E605" s="2">
        <v>50</v>
      </c>
      <c r="F605" s="2" t="s">
        <v>2207</v>
      </c>
      <c r="G605" s="2415"/>
      <c r="H605" s="2415"/>
      <c r="I605" s="2415"/>
      <c r="J605" s="2415"/>
      <c r="K605" s="2415"/>
      <c r="L605" s="2415"/>
      <c r="M605" s="2415"/>
      <c r="N605" s="2415"/>
      <c r="O605" s="2415"/>
      <c r="P605" s="2415"/>
      <c r="Q605" s="2"/>
      <c r="W605" t="s">
        <v>2062</v>
      </c>
    </row>
    <row r="606" spans="1:23" ht="13.15" customHeight="1">
      <c r="A606" s="2" t="s">
        <v>2196</v>
      </c>
      <c r="B606" s="2">
        <f t="shared" si="18"/>
        <v>2020</v>
      </c>
      <c r="C606" s="2" t="str">
        <f t="shared" si="19"/>
        <v>LIM333</v>
      </c>
      <c r="D606" s="2417">
        <v>5001</v>
      </c>
      <c r="E606" s="2">
        <v>51</v>
      </c>
      <c r="F606" s="2" t="s">
        <v>408</v>
      </c>
      <c r="G606" s="2415"/>
      <c r="H606" s="2415"/>
      <c r="I606" s="2415"/>
      <c r="J606" s="2415"/>
      <c r="K606" s="2415"/>
      <c r="L606" s="2415"/>
      <c r="M606" s="2415"/>
      <c r="N606" s="2415"/>
      <c r="O606" s="2415"/>
      <c r="P606" s="2415"/>
      <c r="Q606" s="2"/>
      <c r="W606" t="s">
        <v>2062</v>
      </c>
    </row>
    <row r="607" spans="1:23" ht="13.15" customHeight="1">
      <c r="A607" s="2" t="s">
        <v>2196</v>
      </c>
      <c r="B607" s="2">
        <f t="shared" si="18"/>
        <v>2020</v>
      </c>
      <c r="C607" s="2" t="str">
        <f t="shared" si="19"/>
        <v>LIM333</v>
      </c>
      <c r="D607" s="2417">
        <v>5002</v>
      </c>
      <c r="E607" s="2">
        <v>52</v>
      </c>
      <c r="F607" s="2" t="s">
        <v>1342</v>
      </c>
      <c r="G607" s="2415"/>
      <c r="H607" s="2415"/>
      <c r="I607" s="2415"/>
      <c r="J607" s="2415"/>
      <c r="K607" s="2415"/>
      <c r="L607" s="2415"/>
      <c r="M607" s="2415"/>
      <c r="N607" s="2415"/>
      <c r="O607" s="2415"/>
      <c r="P607" s="2415"/>
      <c r="Q607" s="2"/>
      <c r="W607" t="s">
        <v>2062</v>
      </c>
    </row>
    <row r="608" spans="1:23" ht="13.15" customHeight="1">
      <c r="A608" s="2" t="s">
        <v>2196</v>
      </c>
      <c r="B608" s="2">
        <f t="shared" si="18"/>
        <v>2020</v>
      </c>
      <c r="C608" s="2" t="str">
        <f t="shared" si="19"/>
        <v>LIM333</v>
      </c>
      <c r="D608" s="2417">
        <v>5003</v>
      </c>
      <c r="E608" s="2">
        <v>53</v>
      </c>
      <c r="F608" s="2" t="s">
        <v>1695</v>
      </c>
      <c r="G608" s="2415"/>
      <c r="H608" s="2415"/>
      <c r="I608" s="2415"/>
      <c r="J608" s="2415"/>
      <c r="K608" s="2415"/>
      <c r="L608" s="2415"/>
      <c r="M608" s="2415"/>
      <c r="N608" s="2415"/>
      <c r="O608" s="2415"/>
      <c r="P608" s="2415"/>
      <c r="Q608" s="2415"/>
      <c r="W608" t="s">
        <v>2062</v>
      </c>
    </row>
    <row r="609" spans="1:23" ht="13.15" customHeight="1">
      <c r="A609" s="2" t="s">
        <v>2196</v>
      </c>
      <c r="B609" s="2">
        <f t="shared" si="18"/>
        <v>2020</v>
      </c>
      <c r="C609" s="2" t="str">
        <f t="shared" si="19"/>
        <v>LIM333</v>
      </c>
      <c r="D609" s="2417">
        <v>5004</v>
      </c>
      <c r="E609" s="2">
        <v>54</v>
      </c>
      <c r="F609" s="2" t="s">
        <v>1696</v>
      </c>
      <c r="G609" s="2415"/>
      <c r="H609" s="2415"/>
      <c r="I609" s="2415"/>
      <c r="J609" s="2415"/>
      <c r="K609" s="2415"/>
      <c r="L609" s="2415"/>
      <c r="M609" s="2415"/>
      <c r="N609" s="2415"/>
      <c r="O609" s="2415"/>
      <c r="P609" s="2415"/>
      <c r="Q609" s="2"/>
      <c r="W609" t="s">
        <v>2062</v>
      </c>
    </row>
    <row r="610" spans="1:23" ht="13.15" customHeight="1">
      <c r="A610" s="2" t="s">
        <v>2196</v>
      </c>
      <c r="B610" s="2">
        <f t="shared" si="18"/>
        <v>2020</v>
      </c>
      <c r="C610" s="2" t="str">
        <f t="shared" si="19"/>
        <v>LIM333</v>
      </c>
      <c r="D610" s="2417">
        <v>5005</v>
      </c>
      <c r="E610" s="2">
        <v>55</v>
      </c>
      <c r="F610" s="2" t="s">
        <v>1074</v>
      </c>
      <c r="G610" s="2415"/>
      <c r="H610" s="2415"/>
      <c r="I610" s="2415"/>
      <c r="J610" s="2415"/>
      <c r="K610" s="2415"/>
      <c r="L610" s="2415"/>
      <c r="M610" s="2415"/>
      <c r="N610" s="2415"/>
      <c r="O610" s="2415"/>
      <c r="P610" s="2415"/>
      <c r="Q610" s="2"/>
      <c r="W610" t="s">
        <v>2062</v>
      </c>
    </row>
    <row r="611" spans="1:23" ht="13.15" customHeight="1">
      <c r="A611" s="2" t="s">
        <v>2196</v>
      </c>
      <c r="B611" s="2">
        <f t="shared" si="18"/>
        <v>2020</v>
      </c>
      <c r="C611" s="2" t="str">
        <f t="shared" si="19"/>
        <v>LIM333</v>
      </c>
      <c r="D611" s="2417">
        <v>6001</v>
      </c>
      <c r="E611" s="2">
        <v>61</v>
      </c>
      <c r="F611" s="2" t="s">
        <v>2208</v>
      </c>
      <c r="G611" s="2415"/>
      <c r="H611" s="2415"/>
      <c r="I611" s="2415"/>
      <c r="J611" s="2415"/>
      <c r="K611" s="2415"/>
      <c r="L611" s="2415"/>
      <c r="M611" s="2415"/>
      <c r="N611" s="2415"/>
      <c r="O611" s="2415"/>
      <c r="P611" s="2415"/>
      <c r="Q611" s="2"/>
      <c r="W611" t="s">
        <v>2062</v>
      </c>
    </row>
    <row r="612" spans="1:23" ht="13.15" customHeight="1">
      <c r="A612" s="2" t="s">
        <v>2196</v>
      </c>
      <c r="B612" s="2">
        <f t="shared" si="18"/>
        <v>2020</v>
      </c>
      <c r="C612" s="2" t="str">
        <f t="shared" si="19"/>
        <v>LIM333</v>
      </c>
      <c r="D612" s="2417">
        <v>6002</v>
      </c>
      <c r="E612" s="2">
        <v>62</v>
      </c>
      <c r="F612" s="2" t="s">
        <v>2209</v>
      </c>
      <c r="G612" s="2415"/>
      <c r="H612" s="2415"/>
      <c r="I612" s="2415"/>
      <c r="J612" s="2415"/>
      <c r="K612" s="2415"/>
      <c r="L612" s="2415"/>
      <c r="M612" s="2415"/>
      <c r="N612" s="2415"/>
      <c r="O612" s="2415"/>
      <c r="P612" s="2415"/>
      <c r="Q612" s="2"/>
      <c r="W612" t="s">
        <v>2062</v>
      </c>
    </row>
    <row r="613" spans="1:23" ht="13.15" customHeight="1">
      <c r="A613" s="2" t="s">
        <v>2196</v>
      </c>
      <c r="B613" s="2">
        <f t="shared" si="18"/>
        <v>2020</v>
      </c>
      <c r="C613" s="2" t="str">
        <f t="shared" si="19"/>
        <v>LIM333</v>
      </c>
      <c r="D613" s="2417"/>
      <c r="E613" s="2"/>
      <c r="F613" s="2"/>
      <c r="G613" s="2415"/>
      <c r="H613" s="2415"/>
      <c r="I613" s="2415"/>
      <c r="J613" s="2415"/>
      <c r="K613" s="2415"/>
      <c r="L613" s="2415"/>
      <c r="M613" s="2415"/>
      <c r="N613" s="2415"/>
      <c r="O613" s="2415"/>
      <c r="P613" s="2415"/>
      <c r="Q613" s="2"/>
      <c r="W613" t="s">
        <v>2062</v>
      </c>
    </row>
    <row r="614" spans="1:23" ht="13.15" customHeight="1">
      <c r="A614" s="2" t="s">
        <v>2196</v>
      </c>
      <c r="B614" s="2">
        <f t="shared" si="18"/>
        <v>2020</v>
      </c>
      <c r="C614" s="2" t="str">
        <f t="shared" si="19"/>
        <v>LIM333</v>
      </c>
      <c r="D614" s="2417">
        <v>6003</v>
      </c>
      <c r="E614" s="2">
        <v>63</v>
      </c>
      <c r="F614" s="2" t="s">
        <v>2210</v>
      </c>
      <c r="G614" s="2415"/>
      <c r="H614" s="2415"/>
      <c r="I614" s="2415"/>
      <c r="J614" s="2415"/>
      <c r="K614" s="2415"/>
      <c r="L614" s="2415"/>
      <c r="M614" s="2415"/>
      <c r="N614" s="2415"/>
      <c r="O614" s="2415"/>
      <c r="P614" s="2415"/>
      <c r="Q614" s="2"/>
      <c r="W614" t="s">
        <v>2062</v>
      </c>
    </row>
    <row r="615" spans="1:23" ht="13.15" customHeight="1">
      <c r="A615" s="2" t="s">
        <v>2196</v>
      </c>
      <c r="B615" s="2">
        <f t="shared" si="18"/>
        <v>2020</v>
      </c>
      <c r="C615" s="2" t="str">
        <f t="shared" si="19"/>
        <v>LIM333</v>
      </c>
      <c r="D615" s="2417">
        <v>6004</v>
      </c>
      <c r="E615" s="2">
        <v>64</v>
      </c>
      <c r="F615" s="2" t="s">
        <v>2211</v>
      </c>
      <c r="G615" s="2415"/>
      <c r="H615" s="2415"/>
      <c r="I615" s="2415"/>
      <c r="J615" s="2415"/>
      <c r="K615" s="2415"/>
      <c r="L615" s="2415"/>
      <c r="M615" s="2415"/>
      <c r="N615" s="2415"/>
      <c r="O615" s="2415"/>
      <c r="P615" s="2415"/>
      <c r="Q615" s="2"/>
      <c r="W615" t="s">
        <v>2062</v>
      </c>
    </row>
    <row r="616" spans="1:23" ht="13.15" customHeight="1">
      <c r="A616" s="2" t="s">
        <v>2196</v>
      </c>
      <c r="B616" s="2">
        <f t="shared" si="18"/>
        <v>2020</v>
      </c>
      <c r="C616" s="2" t="str">
        <f t="shared" si="19"/>
        <v>LIM333</v>
      </c>
      <c r="D616" s="2417"/>
      <c r="E616" s="2"/>
      <c r="F616" s="2"/>
      <c r="G616" s="2415"/>
      <c r="H616" s="2415"/>
      <c r="I616" s="2415"/>
      <c r="J616" s="2415"/>
      <c r="K616" s="2415"/>
      <c r="L616" s="2415"/>
      <c r="M616" s="2415"/>
      <c r="N616" s="2415"/>
      <c r="O616" s="2415"/>
      <c r="P616" s="2415"/>
      <c r="Q616" s="2"/>
      <c r="W616" t="s">
        <v>2062</v>
      </c>
    </row>
    <row r="617" spans="1:23" ht="13.15" customHeight="1">
      <c r="A617" s="2" t="s">
        <v>2196</v>
      </c>
      <c r="B617" s="2">
        <f t="shared" si="18"/>
        <v>2020</v>
      </c>
      <c r="C617" s="2" t="str">
        <f t="shared" si="19"/>
        <v>LIM333</v>
      </c>
      <c r="D617" s="2417">
        <v>7001</v>
      </c>
      <c r="E617" s="2">
        <v>71</v>
      </c>
      <c r="F617" s="2" t="s">
        <v>2212</v>
      </c>
      <c r="G617" s="2415"/>
      <c r="H617" s="2415"/>
      <c r="I617" s="2415"/>
      <c r="J617" s="2415"/>
      <c r="K617" s="2415"/>
      <c r="L617" s="2415"/>
      <c r="M617" s="2415"/>
      <c r="N617" s="2415"/>
      <c r="O617" s="2415"/>
      <c r="P617" s="2415"/>
      <c r="Q617" s="2"/>
      <c r="W617" t="s">
        <v>2062</v>
      </c>
    </row>
    <row r="618" spans="1:23" ht="13.15" customHeight="1">
      <c r="A618" s="2" t="s">
        <v>2196</v>
      </c>
      <c r="B618" s="2">
        <f t="shared" si="18"/>
        <v>2020</v>
      </c>
      <c r="C618" s="2" t="str">
        <f t="shared" si="19"/>
        <v>LIM333</v>
      </c>
      <c r="D618" s="2417">
        <v>7002</v>
      </c>
      <c r="E618" s="2">
        <v>72</v>
      </c>
      <c r="F618" s="2" t="s">
        <v>2213</v>
      </c>
      <c r="G618" s="2415"/>
      <c r="H618" s="2415"/>
      <c r="I618" s="2415"/>
      <c r="J618" s="2415"/>
      <c r="K618" s="2415"/>
      <c r="L618" s="2415"/>
      <c r="M618" s="2415"/>
      <c r="N618" s="2415"/>
      <c r="O618" s="2415"/>
      <c r="P618" s="2415"/>
      <c r="Q618" s="2"/>
      <c r="W618" t="s">
        <v>2062</v>
      </c>
    </row>
    <row r="619" spans="1:23" ht="13.15" customHeight="1">
      <c r="A619" s="2" t="s">
        <v>2214</v>
      </c>
      <c r="B619" s="2">
        <f t="shared" si="18"/>
        <v>2020</v>
      </c>
      <c r="C619" s="2" t="str">
        <f t="shared" si="19"/>
        <v>LIM333</v>
      </c>
      <c r="D619" s="2">
        <v>1</v>
      </c>
      <c r="F619" s="2451"/>
      <c r="G619" s="2451"/>
      <c r="H619" s="2451"/>
      <c r="I619" s="2451"/>
      <c r="J619" s="2451"/>
      <c r="K619" s="2451"/>
      <c r="L619" s="2451"/>
      <c r="M619" s="2452"/>
      <c r="N619" s="2452"/>
      <c r="O619" s="2452"/>
      <c r="P619" s="2452"/>
      <c r="Q619" s="2452"/>
      <c r="W619" t="s">
        <v>2062</v>
      </c>
    </row>
    <row r="620" spans="1:23" ht="13.15" customHeight="1">
      <c r="A620" s="2" t="s">
        <v>2214</v>
      </c>
      <c r="B620" s="2">
        <f t="shared" si="18"/>
        <v>2020</v>
      </c>
      <c r="C620" s="2" t="str">
        <f t="shared" si="19"/>
        <v>LIM333</v>
      </c>
      <c r="D620" s="2">
        <v>2</v>
      </c>
      <c r="F620" s="2451"/>
      <c r="G620" s="2451"/>
      <c r="H620" s="2451"/>
      <c r="I620" s="2451"/>
      <c r="J620" s="2451"/>
      <c r="K620" s="2451"/>
      <c r="L620" s="2451"/>
      <c r="M620" s="2452"/>
      <c r="N620" s="2452"/>
      <c r="O620" s="2452"/>
      <c r="P620" s="2452"/>
      <c r="Q620" s="2452"/>
      <c r="W620" t="s">
        <v>2062</v>
      </c>
    </row>
    <row r="621" spans="1:23" ht="13.15" customHeight="1">
      <c r="A621" s="2" t="s">
        <v>2214</v>
      </c>
      <c r="B621" s="2">
        <f t="shared" si="18"/>
        <v>2020</v>
      </c>
      <c r="C621" s="2" t="str">
        <f t="shared" si="19"/>
        <v>LIM333</v>
      </c>
      <c r="D621" s="2">
        <v>3</v>
      </c>
      <c r="F621" s="2451"/>
      <c r="G621" s="2451"/>
      <c r="H621" s="2451"/>
      <c r="I621" s="2451"/>
      <c r="J621" s="2451"/>
      <c r="K621" s="2451"/>
      <c r="L621" s="2451"/>
      <c r="M621" s="2452"/>
      <c r="N621" s="2452"/>
      <c r="O621" s="2452"/>
      <c r="P621" s="2452"/>
      <c r="Q621" s="2452"/>
      <c r="W621" t="s">
        <v>2062</v>
      </c>
    </row>
    <row r="622" spans="1:23" ht="13.15" customHeight="1">
      <c r="A622" s="2" t="s">
        <v>2214</v>
      </c>
      <c r="B622" s="2">
        <f t="shared" si="18"/>
        <v>2020</v>
      </c>
      <c r="C622" s="2" t="str">
        <f t="shared" si="19"/>
        <v>LIM333</v>
      </c>
      <c r="D622" s="2">
        <v>4</v>
      </c>
      <c r="F622" s="2451"/>
      <c r="G622" s="2451"/>
      <c r="H622" s="2451"/>
      <c r="I622" s="2451"/>
      <c r="J622" s="2451"/>
      <c r="K622" s="2451"/>
      <c r="L622" s="2451"/>
      <c r="M622" s="2452"/>
      <c r="N622" s="2452"/>
      <c r="O622" s="2452"/>
      <c r="P622" s="2452"/>
      <c r="Q622" s="2452"/>
      <c r="W622" t="s">
        <v>2062</v>
      </c>
    </row>
    <row r="623" spans="1:23" ht="13.15" customHeight="1">
      <c r="A623" s="2" t="s">
        <v>2214</v>
      </c>
      <c r="B623" s="2">
        <f t="shared" si="18"/>
        <v>2020</v>
      </c>
      <c r="C623" s="2" t="str">
        <f t="shared" si="19"/>
        <v>LIM333</v>
      </c>
      <c r="D623" s="2">
        <v>5</v>
      </c>
      <c r="F623" s="2451"/>
      <c r="G623" s="2451"/>
      <c r="H623" s="2451"/>
      <c r="I623" s="2451"/>
      <c r="J623" s="2451"/>
      <c r="K623" s="2451"/>
      <c r="L623" s="2451"/>
      <c r="M623" s="2452"/>
      <c r="N623" s="2452"/>
      <c r="O623" s="2452"/>
      <c r="P623" s="2452"/>
      <c r="Q623" s="2452"/>
      <c r="W623" t="s">
        <v>2062</v>
      </c>
    </row>
    <row r="624" spans="1:23" ht="13.15" customHeight="1">
      <c r="A624" s="2" t="s">
        <v>2214</v>
      </c>
      <c r="B624" s="2">
        <f t="shared" si="18"/>
        <v>2020</v>
      </c>
      <c r="C624" s="2" t="str">
        <f t="shared" si="19"/>
        <v>LIM333</v>
      </c>
      <c r="D624" s="2">
        <v>6</v>
      </c>
      <c r="F624" s="2451"/>
      <c r="G624" s="2451"/>
      <c r="H624" s="2451"/>
      <c r="I624" s="2451"/>
      <c r="J624" s="2451"/>
      <c r="K624" s="2451"/>
      <c r="L624" s="2451"/>
      <c r="M624" s="2452"/>
      <c r="N624" s="2452"/>
      <c r="O624" s="2452"/>
      <c r="P624" s="2452"/>
      <c r="Q624" s="2452"/>
      <c r="W624" t="s">
        <v>2062</v>
      </c>
    </row>
    <row r="625" spans="1:23" ht="13.15" customHeight="1">
      <c r="A625" s="2" t="s">
        <v>2214</v>
      </c>
      <c r="B625" s="2">
        <f t="shared" si="18"/>
        <v>2020</v>
      </c>
      <c r="C625" s="2" t="str">
        <f t="shared" si="19"/>
        <v>LIM333</v>
      </c>
      <c r="D625" s="2">
        <v>7</v>
      </c>
      <c r="F625" s="2451"/>
      <c r="G625" s="2451"/>
      <c r="H625" s="2451"/>
      <c r="I625" s="2451"/>
      <c r="J625" s="2451"/>
      <c r="K625" s="2451"/>
      <c r="L625" s="2451"/>
      <c r="M625" s="2452"/>
      <c r="N625" s="2452"/>
      <c r="O625" s="2452"/>
      <c r="P625" s="2452"/>
      <c r="Q625" s="2452"/>
      <c r="W625" t="s">
        <v>2062</v>
      </c>
    </row>
    <row r="626" spans="1:23" ht="13.15" customHeight="1">
      <c r="A626" s="2" t="s">
        <v>2214</v>
      </c>
      <c r="B626" s="2">
        <f t="shared" si="18"/>
        <v>2020</v>
      </c>
      <c r="C626" s="2" t="str">
        <f t="shared" si="19"/>
        <v>LIM333</v>
      </c>
      <c r="D626" s="2">
        <v>8</v>
      </c>
      <c r="F626" s="2451"/>
      <c r="G626" s="2451"/>
      <c r="H626" s="2451"/>
      <c r="I626" s="2451"/>
      <c r="J626" s="2451"/>
      <c r="K626" s="2451"/>
      <c r="L626" s="2451"/>
      <c r="M626" s="2452"/>
      <c r="N626" s="2452"/>
      <c r="O626" s="2452"/>
      <c r="P626" s="2452"/>
      <c r="Q626" s="2452"/>
      <c r="W626" t="s">
        <v>2062</v>
      </c>
    </row>
    <row r="627" spans="1:23" ht="13.15" customHeight="1">
      <c r="A627" s="2" t="s">
        <v>2214</v>
      </c>
      <c r="B627" s="2">
        <f t="shared" si="18"/>
        <v>2020</v>
      </c>
      <c r="C627" s="2" t="str">
        <f t="shared" si="19"/>
        <v>LIM333</v>
      </c>
      <c r="D627" s="2">
        <v>9</v>
      </c>
      <c r="F627" s="2451"/>
      <c r="G627" s="2451"/>
      <c r="H627" s="2451"/>
      <c r="I627" s="2451"/>
      <c r="J627" s="2451"/>
      <c r="K627" s="2451"/>
      <c r="L627" s="2451"/>
      <c r="M627" s="2452"/>
      <c r="N627" s="2452"/>
      <c r="O627" s="2452"/>
      <c r="P627" s="2452"/>
      <c r="Q627" s="2452"/>
      <c r="W627" t="s">
        <v>2062</v>
      </c>
    </row>
    <row r="628" spans="1:23" ht="13.15" customHeight="1">
      <c r="A628" s="2" t="s">
        <v>2214</v>
      </c>
      <c r="B628" s="2">
        <f t="shared" si="18"/>
        <v>2020</v>
      </c>
      <c r="C628" s="2" t="str">
        <f t="shared" si="19"/>
        <v>LIM333</v>
      </c>
      <c r="D628" s="2">
        <v>10</v>
      </c>
      <c r="F628" s="2451"/>
      <c r="G628" s="2451"/>
      <c r="H628" s="2451"/>
      <c r="I628" s="2451"/>
      <c r="J628" s="2451"/>
      <c r="K628" s="2451"/>
      <c r="L628" s="2451"/>
      <c r="M628" s="2452"/>
      <c r="N628" s="2452"/>
      <c r="O628" s="2452"/>
      <c r="P628" s="2452"/>
      <c r="Q628" s="2452"/>
      <c r="W628" t="s">
        <v>2062</v>
      </c>
    </row>
    <row r="629" spans="1:23" ht="13.15" customHeight="1">
      <c r="A629" s="2" t="s">
        <v>2214</v>
      </c>
      <c r="B629" s="2">
        <f t="shared" si="18"/>
        <v>2020</v>
      </c>
      <c r="C629" s="2" t="str">
        <f t="shared" si="19"/>
        <v>LIM333</v>
      </c>
      <c r="D629" s="2">
        <v>11</v>
      </c>
      <c r="F629" s="2451"/>
      <c r="G629" s="2451"/>
      <c r="H629" s="2451"/>
      <c r="I629" s="2451"/>
      <c r="J629" s="2451"/>
      <c r="K629" s="2451"/>
      <c r="L629" s="2451"/>
      <c r="M629" s="2452"/>
      <c r="N629" s="2452"/>
      <c r="O629" s="2452"/>
      <c r="P629" s="2452"/>
      <c r="Q629" s="2452"/>
      <c r="W629" t="s">
        <v>2062</v>
      </c>
    </row>
    <row r="630" spans="1:23" ht="13.15" customHeight="1">
      <c r="A630" s="2" t="s">
        <v>2214</v>
      </c>
      <c r="B630" s="2">
        <f t="shared" si="18"/>
        <v>2020</v>
      </c>
      <c r="C630" s="2" t="str">
        <f t="shared" si="19"/>
        <v>LIM333</v>
      </c>
      <c r="D630" s="2">
        <v>12</v>
      </c>
      <c r="F630" s="2451"/>
      <c r="G630" s="2451"/>
      <c r="H630" s="2451"/>
      <c r="I630" s="2451"/>
      <c r="J630" s="2451"/>
      <c r="K630" s="2451"/>
      <c r="L630" s="2451"/>
      <c r="M630" s="2452"/>
      <c r="N630" s="2452"/>
      <c r="O630" s="2452"/>
      <c r="P630" s="2452"/>
      <c r="Q630" s="2452"/>
      <c r="W630" t="s">
        <v>2062</v>
      </c>
    </row>
    <row r="631" spans="1:23" ht="13.15" customHeight="1">
      <c r="A631" s="2" t="s">
        <v>2214</v>
      </c>
      <c r="B631" s="2">
        <f t="shared" si="18"/>
        <v>2020</v>
      </c>
      <c r="C631" s="2" t="str">
        <f t="shared" si="19"/>
        <v>LIM333</v>
      </c>
      <c r="D631" s="2">
        <v>13</v>
      </c>
      <c r="F631" s="2451"/>
      <c r="G631" s="2451"/>
      <c r="H631" s="2451"/>
      <c r="I631" s="2451"/>
      <c r="J631" s="2451"/>
      <c r="K631" s="2451"/>
      <c r="L631" s="2451"/>
      <c r="M631" s="2452"/>
      <c r="N631" s="2452"/>
      <c r="O631" s="2452"/>
      <c r="P631" s="2452"/>
      <c r="Q631" s="2452"/>
      <c r="W631" t="s">
        <v>2062</v>
      </c>
    </row>
    <row r="632" spans="1:23" ht="13.15" customHeight="1">
      <c r="A632" s="2" t="s">
        <v>2214</v>
      </c>
      <c r="B632" s="2">
        <f t="shared" si="18"/>
        <v>2020</v>
      </c>
      <c r="C632" s="2" t="str">
        <f t="shared" si="19"/>
        <v>LIM333</v>
      </c>
      <c r="D632" s="2">
        <v>14</v>
      </c>
      <c r="F632" s="2451"/>
      <c r="G632" s="2451"/>
      <c r="H632" s="2451"/>
      <c r="I632" s="2451"/>
      <c r="J632" s="2451"/>
      <c r="K632" s="2451"/>
      <c r="L632" s="2451"/>
      <c r="M632" s="2452"/>
      <c r="N632" s="2452"/>
      <c r="O632" s="2452"/>
      <c r="P632" s="2452"/>
      <c r="Q632" s="2452"/>
      <c r="W632" t="s">
        <v>2062</v>
      </c>
    </row>
    <row r="633" spans="1:23" ht="13.15" customHeight="1">
      <c r="A633" s="2" t="s">
        <v>2214</v>
      </c>
      <c r="B633" s="2">
        <f t="shared" si="18"/>
        <v>2020</v>
      </c>
      <c r="C633" s="2" t="str">
        <f t="shared" si="19"/>
        <v>LIM333</v>
      </c>
      <c r="D633" s="2">
        <v>15</v>
      </c>
      <c r="F633" s="2451"/>
      <c r="G633" s="2451"/>
      <c r="H633" s="2451"/>
      <c r="I633" s="2451"/>
      <c r="J633" s="2451"/>
      <c r="K633" s="2451"/>
      <c r="L633" s="2451"/>
      <c r="M633" s="2452"/>
      <c r="N633" s="2452"/>
      <c r="O633" s="2452"/>
      <c r="P633" s="2452"/>
      <c r="Q633" s="2452"/>
      <c r="W633" t="s">
        <v>2062</v>
      </c>
    </row>
    <row r="634" spans="1:23" ht="13.15" customHeight="1">
      <c r="A634" s="2" t="s">
        <v>2214</v>
      </c>
      <c r="B634" s="2">
        <f t="shared" si="18"/>
        <v>2020</v>
      </c>
      <c r="C634" s="2" t="str">
        <f t="shared" si="19"/>
        <v>LIM333</v>
      </c>
      <c r="D634" s="2">
        <v>16</v>
      </c>
      <c r="F634" s="2451"/>
      <c r="G634" s="2451"/>
      <c r="H634" s="2451"/>
      <c r="I634" s="2451"/>
      <c r="J634" s="2451"/>
      <c r="K634" s="2451"/>
      <c r="L634" s="2451"/>
      <c r="M634" s="2452"/>
      <c r="N634" s="2452"/>
      <c r="O634" s="2452"/>
      <c r="P634" s="2452"/>
      <c r="Q634" s="2452"/>
      <c r="W634" t="s">
        <v>2062</v>
      </c>
    </row>
    <row r="635" spans="1:23" ht="13.15" customHeight="1">
      <c r="A635" s="2" t="s">
        <v>2214</v>
      </c>
      <c r="B635" s="2">
        <f t="shared" si="18"/>
        <v>2020</v>
      </c>
      <c r="C635" s="2" t="str">
        <f t="shared" si="19"/>
        <v>LIM333</v>
      </c>
      <c r="D635" s="2">
        <v>17</v>
      </c>
      <c r="F635" s="2451"/>
      <c r="G635" s="2451"/>
      <c r="H635" s="2451"/>
      <c r="I635" s="2451"/>
      <c r="J635" s="2451"/>
      <c r="K635" s="2451"/>
      <c r="L635" s="2451"/>
      <c r="M635" s="2452"/>
      <c r="N635" s="2452"/>
      <c r="O635" s="2452"/>
      <c r="P635" s="2452">
        <v>0</v>
      </c>
      <c r="Q635" s="2452">
        <v>0</v>
      </c>
      <c r="T635">
        <v>0</v>
      </c>
      <c r="W635" t="s">
        <v>2062</v>
      </c>
    </row>
    <row r="636" spans="1:23" ht="13.15" customHeight="1">
      <c r="A636" s="2" t="s">
        <v>2214</v>
      </c>
      <c r="B636" s="2">
        <f t="shared" si="18"/>
        <v>2020</v>
      </c>
      <c r="C636" s="2" t="str">
        <f t="shared" si="19"/>
        <v>LIM333</v>
      </c>
      <c r="D636" s="2">
        <v>18</v>
      </c>
      <c r="F636" s="2451"/>
      <c r="G636" s="2451"/>
      <c r="H636" s="2451"/>
      <c r="I636" s="2451"/>
      <c r="J636" s="2451"/>
      <c r="K636" s="2451"/>
      <c r="L636" s="2451"/>
      <c r="M636" s="2452"/>
      <c r="N636" s="2452"/>
      <c r="O636" s="2452"/>
      <c r="P636" s="2452"/>
      <c r="Q636" s="2452"/>
      <c r="W636" t="s">
        <v>2062</v>
      </c>
    </row>
    <row r="637" spans="1:23" ht="13.15" customHeight="1">
      <c r="A637" s="2" t="s">
        <v>2214</v>
      </c>
      <c r="B637" s="2">
        <f t="shared" si="18"/>
        <v>2020</v>
      </c>
      <c r="C637" s="2" t="str">
        <f t="shared" si="19"/>
        <v>LIM333</v>
      </c>
      <c r="D637" s="2">
        <v>19</v>
      </c>
      <c r="F637" s="2451"/>
      <c r="G637" s="2451"/>
      <c r="H637" s="2451"/>
      <c r="I637" s="2451"/>
      <c r="J637" s="2451"/>
      <c r="K637" s="2451"/>
      <c r="L637" s="2451"/>
      <c r="M637" s="2452"/>
      <c r="N637" s="2452"/>
      <c r="O637" s="2452"/>
      <c r="P637" s="2452"/>
      <c r="Q637" s="2452"/>
      <c r="W637" t="s">
        <v>2062</v>
      </c>
    </row>
    <row r="638" spans="1:23" ht="13.15" customHeight="1">
      <c r="A638" s="2" t="s">
        <v>2214</v>
      </c>
      <c r="B638" s="2">
        <f t="shared" si="18"/>
        <v>2020</v>
      </c>
      <c r="C638" s="2" t="str">
        <f t="shared" si="19"/>
        <v>LIM333</v>
      </c>
      <c r="D638" s="2">
        <v>20</v>
      </c>
      <c r="F638" s="2451"/>
      <c r="G638" s="2451"/>
      <c r="H638" s="2451"/>
      <c r="I638" s="2451"/>
      <c r="J638" s="2451"/>
      <c r="K638" s="2451"/>
      <c r="L638" s="2451"/>
      <c r="M638" s="2452"/>
      <c r="N638" s="2452"/>
      <c r="O638" s="2452"/>
      <c r="P638" s="2452"/>
      <c r="Q638" s="2452"/>
      <c r="W638" t="s">
        <v>2062</v>
      </c>
    </row>
    <row r="639" spans="1:23" ht="13.15" customHeight="1">
      <c r="A639" s="2" t="s">
        <v>2214</v>
      </c>
      <c r="B639" s="2">
        <f t="shared" si="18"/>
        <v>2020</v>
      </c>
      <c r="C639" s="2" t="str">
        <f t="shared" si="19"/>
        <v>LIM333</v>
      </c>
      <c r="D639" s="2">
        <v>21</v>
      </c>
      <c r="F639" s="2451"/>
      <c r="G639" s="2451"/>
      <c r="H639" s="2451"/>
      <c r="I639" s="2451"/>
      <c r="J639" s="2451"/>
      <c r="K639" s="2451"/>
      <c r="L639" s="2451"/>
      <c r="M639" s="2452"/>
      <c r="N639" s="2452"/>
      <c r="O639" s="2452"/>
      <c r="P639" s="2452"/>
      <c r="Q639" s="2452"/>
      <c r="W639" t="s">
        <v>2062</v>
      </c>
    </row>
    <row r="640" spans="1:23" ht="13.15" customHeight="1">
      <c r="A640" s="2" t="s">
        <v>2214</v>
      </c>
      <c r="B640" s="2">
        <f t="shared" si="18"/>
        <v>2020</v>
      </c>
      <c r="C640" s="2" t="str">
        <f t="shared" si="19"/>
        <v>LIM333</v>
      </c>
      <c r="D640" s="2">
        <v>22</v>
      </c>
      <c r="F640" s="2451"/>
      <c r="G640" s="2451"/>
      <c r="H640" s="2451"/>
      <c r="I640" s="2451"/>
      <c r="J640" s="2451"/>
      <c r="K640" s="2451"/>
      <c r="L640" s="2451"/>
      <c r="M640" s="2452"/>
      <c r="N640" s="2452"/>
      <c r="O640" s="2452"/>
      <c r="P640" s="2452"/>
      <c r="Q640" s="2452"/>
      <c r="W640" t="s">
        <v>2062</v>
      </c>
    </row>
    <row r="641" spans="1:23" ht="13.15" customHeight="1">
      <c r="A641" s="2" t="s">
        <v>2214</v>
      </c>
      <c r="B641" s="2">
        <f t="shared" si="18"/>
        <v>2020</v>
      </c>
      <c r="C641" s="2" t="str">
        <f t="shared" si="19"/>
        <v>LIM333</v>
      </c>
      <c r="D641" s="2">
        <v>23</v>
      </c>
      <c r="F641" s="2451"/>
      <c r="G641" s="2451"/>
      <c r="H641" s="2451"/>
      <c r="I641" s="2451"/>
      <c r="J641" s="2451"/>
      <c r="K641" s="2451"/>
      <c r="L641" s="2451"/>
      <c r="M641" s="2452"/>
      <c r="N641" s="2452"/>
      <c r="O641" s="2452"/>
      <c r="P641" s="2452"/>
      <c r="Q641" s="2452"/>
      <c r="W641" t="s">
        <v>2062</v>
      </c>
    </row>
    <row r="642" spans="1:23" ht="13.15" customHeight="1">
      <c r="A642" s="2" t="s">
        <v>2214</v>
      </c>
      <c r="B642" s="2">
        <f t="shared" ref="B642:B705" si="20">+MTREF</f>
        <v>2020</v>
      </c>
      <c r="C642" s="2" t="str">
        <f t="shared" ref="C642:C705" si="21">LEFT(muni,(FIND(" ",muni,1)-1))</f>
        <v>LIM333</v>
      </c>
      <c r="D642" s="2">
        <v>24</v>
      </c>
      <c r="F642" s="2451"/>
      <c r="G642" s="2451"/>
      <c r="H642" s="2451"/>
      <c r="I642" s="2451"/>
      <c r="J642" s="2451"/>
      <c r="K642" s="2451"/>
      <c r="L642" s="2451"/>
      <c r="M642" s="2452"/>
      <c r="N642" s="2452"/>
      <c r="O642" s="2452"/>
      <c r="P642" s="2452"/>
      <c r="Q642" s="2452"/>
      <c r="W642" t="s">
        <v>2062</v>
      </c>
    </row>
    <row r="643" spans="1:23" ht="13.15" customHeight="1">
      <c r="A643" s="2" t="s">
        <v>2214</v>
      </c>
      <c r="B643" s="2">
        <f t="shared" si="20"/>
        <v>2020</v>
      </c>
      <c r="C643" s="2" t="str">
        <f t="shared" si="21"/>
        <v>LIM333</v>
      </c>
      <c r="D643" s="2">
        <v>25</v>
      </c>
      <c r="F643" s="2451"/>
      <c r="G643" s="2451"/>
      <c r="H643" s="2451"/>
      <c r="I643" s="2451"/>
      <c r="J643" s="2451"/>
      <c r="K643" s="2451"/>
      <c r="L643" s="2451"/>
      <c r="M643" s="2452"/>
      <c r="N643" s="2452"/>
      <c r="O643" s="2452"/>
      <c r="P643" s="2452"/>
      <c r="Q643" s="2452"/>
      <c r="W643" t="s">
        <v>2062</v>
      </c>
    </row>
    <row r="644" spans="1:23" ht="13.15" customHeight="1">
      <c r="A644" s="2" t="s">
        <v>2214</v>
      </c>
      <c r="B644" s="2">
        <f t="shared" si="20"/>
        <v>2020</v>
      </c>
      <c r="C644" s="2" t="str">
        <f t="shared" si="21"/>
        <v>LIM333</v>
      </c>
      <c r="D644" s="2">
        <v>26</v>
      </c>
      <c r="F644" s="2451"/>
      <c r="G644" s="2451"/>
      <c r="H644" s="2451"/>
      <c r="I644" s="2451"/>
      <c r="J644" s="2451"/>
      <c r="K644" s="2451"/>
      <c r="L644" s="2451"/>
      <c r="M644" s="2452"/>
      <c r="N644" s="2452"/>
      <c r="O644" s="2452"/>
      <c r="P644" s="2452"/>
      <c r="Q644" s="2452"/>
      <c r="W644" t="s">
        <v>2062</v>
      </c>
    </row>
    <row r="645" spans="1:23" ht="13.15" customHeight="1">
      <c r="A645" s="2" t="s">
        <v>2214</v>
      </c>
      <c r="B645" s="2">
        <f t="shared" si="20"/>
        <v>2020</v>
      </c>
      <c r="C645" s="2" t="str">
        <f t="shared" si="21"/>
        <v>LIM333</v>
      </c>
      <c r="D645" s="2">
        <v>27</v>
      </c>
      <c r="F645" s="2451"/>
      <c r="G645" s="2451"/>
      <c r="H645" s="2451"/>
      <c r="I645" s="2451"/>
      <c r="J645" s="2451"/>
      <c r="K645" s="2451"/>
      <c r="L645" s="2451"/>
      <c r="M645" s="2452"/>
      <c r="N645" s="2452"/>
      <c r="O645" s="2452"/>
      <c r="P645" s="2452"/>
      <c r="Q645" s="2452"/>
      <c r="W645" t="s">
        <v>2062</v>
      </c>
    </row>
    <row r="646" spans="1:23" ht="13.15" customHeight="1">
      <c r="A646" s="2" t="s">
        <v>2214</v>
      </c>
      <c r="B646" s="2">
        <f t="shared" si="20"/>
        <v>2020</v>
      </c>
      <c r="C646" s="2" t="str">
        <f t="shared" si="21"/>
        <v>LIM333</v>
      </c>
      <c r="D646" s="2">
        <v>28</v>
      </c>
      <c r="F646" s="2451"/>
      <c r="G646" s="2451"/>
      <c r="H646" s="2451"/>
      <c r="I646" s="2451"/>
      <c r="J646" s="2451"/>
      <c r="K646" s="2451"/>
      <c r="L646" s="2451"/>
      <c r="M646" s="2452"/>
      <c r="N646" s="2452"/>
      <c r="O646" s="2452"/>
      <c r="P646" s="2452"/>
      <c r="Q646" s="2452"/>
      <c r="W646" t="s">
        <v>2062</v>
      </c>
    </row>
    <row r="647" spans="1:23" ht="13.15" customHeight="1">
      <c r="A647" s="2" t="s">
        <v>2214</v>
      </c>
      <c r="B647" s="2">
        <f t="shared" si="20"/>
        <v>2020</v>
      </c>
      <c r="C647" s="2" t="str">
        <f t="shared" si="21"/>
        <v>LIM333</v>
      </c>
      <c r="D647" s="2">
        <v>29</v>
      </c>
      <c r="F647" s="2451"/>
      <c r="G647" s="2451"/>
      <c r="H647" s="2451"/>
      <c r="I647" s="2451"/>
      <c r="J647" s="2451"/>
      <c r="K647" s="2451"/>
      <c r="L647" s="2451"/>
      <c r="M647" s="2452"/>
      <c r="N647" s="2452"/>
      <c r="O647" s="2452"/>
      <c r="P647" s="2452"/>
      <c r="Q647" s="2452"/>
      <c r="W647" t="s">
        <v>2062</v>
      </c>
    </row>
    <row r="648" spans="1:23" ht="13.15" customHeight="1">
      <c r="A648" s="2" t="s">
        <v>2214</v>
      </c>
      <c r="B648" s="2">
        <f t="shared" si="20"/>
        <v>2020</v>
      </c>
      <c r="C648" s="2" t="str">
        <f t="shared" si="21"/>
        <v>LIM333</v>
      </c>
      <c r="D648" s="2">
        <v>30</v>
      </c>
      <c r="F648" s="2451"/>
      <c r="G648" s="2451"/>
      <c r="H648" s="2451"/>
      <c r="I648" s="2451"/>
      <c r="J648" s="2451"/>
      <c r="K648" s="2451"/>
      <c r="L648" s="2451"/>
      <c r="M648" s="2452"/>
      <c r="N648" s="2452">
        <v>0</v>
      </c>
      <c r="O648" s="2452">
        <v>0</v>
      </c>
      <c r="P648" s="2452">
        <v>0</v>
      </c>
      <c r="Q648" s="2452">
        <v>0</v>
      </c>
      <c r="W648" t="s">
        <v>2062</v>
      </c>
    </row>
    <row r="649" spans="1:23" ht="13.15" customHeight="1">
      <c r="A649" s="2" t="s">
        <v>2214</v>
      </c>
      <c r="B649" s="2">
        <f t="shared" si="20"/>
        <v>2020</v>
      </c>
      <c r="C649" s="2" t="str">
        <f t="shared" si="21"/>
        <v>LIM333</v>
      </c>
      <c r="D649" s="2">
        <v>31</v>
      </c>
      <c r="F649" s="2451"/>
      <c r="G649" s="2451"/>
      <c r="H649" s="2451"/>
      <c r="I649" s="2451"/>
      <c r="J649" s="2451"/>
      <c r="K649" s="2451"/>
      <c r="L649" s="2451"/>
      <c r="M649" s="2452"/>
      <c r="N649" s="2452">
        <v>0</v>
      </c>
      <c r="O649" s="2452">
        <v>0</v>
      </c>
      <c r="P649" s="2452">
        <v>0</v>
      </c>
      <c r="Q649" s="2452">
        <v>0</v>
      </c>
      <c r="W649" t="s">
        <v>2062</v>
      </c>
    </row>
    <row r="650" spans="1:23" ht="13.15" customHeight="1">
      <c r="A650" s="2" t="s">
        <v>2214</v>
      </c>
      <c r="B650" s="2">
        <f t="shared" si="20"/>
        <v>2020</v>
      </c>
      <c r="C650" s="2" t="str">
        <f t="shared" si="21"/>
        <v>LIM333</v>
      </c>
      <c r="D650" s="2">
        <v>32</v>
      </c>
      <c r="F650" s="2451"/>
      <c r="G650" s="2451"/>
      <c r="H650" s="2451"/>
      <c r="I650" s="2451"/>
      <c r="J650" s="2451"/>
      <c r="K650" s="2451"/>
      <c r="L650" s="2451"/>
      <c r="M650" s="2452"/>
      <c r="N650" s="2452"/>
      <c r="O650" s="2452"/>
      <c r="P650" s="2452"/>
      <c r="Q650" s="2452"/>
      <c r="W650" t="s">
        <v>2062</v>
      </c>
    </row>
    <row r="651" spans="1:23" ht="13.15" customHeight="1">
      <c r="A651" s="2" t="s">
        <v>2214</v>
      </c>
      <c r="B651" s="2">
        <f t="shared" si="20"/>
        <v>2020</v>
      </c>
      <c r="C651" s="2" t="str">
        <f t="shared" si="21"/>
        <v>LIM333</v>
      </c>
      <c r="D651" s="2">
        <v>33</v>
      </c>
      <c r="F651" s="2451"/>
      <c r="G651" s="2451"/>
      <c r="H651" s="2451"/>
      <c r="I651" s="2451"/>
      <c r="J651" s="2451"/>
      <c r="K651" s="2451"/>
      <c r="L651" s="2451"/>
      <c r="M651" s="2452"/>
      <c r="N651" s="2452"/>
      <c r="O651" s="2452"/>
      <c r="P651" s="2452"/>
      <c r="Q651" s="2452"/>
      <c r="W651" t="s">
        <v>2062</v>
      </c>
    </row>
    <row r="652" spans="1:23" ht="13.15" customHeight="1">
      <c r="A652" s="2" t="s">
        <v>2214</v>
      </c>
      <c r="B652" s="2">
        <f t="shared" si="20"/>
        <v>2020</v>
      </c>
      <c r="C652" s="2" t="str">
        <f t="shared" si="21"/>
        <v>LIM333</v>
      </c>
      <c r="D652" s="2">
        <v>34</v>
      </c>
      <c r="F652" s="2451"/>
      <c r="G652" s="2451"/>
      <c r="H652" s="2451"/>
      <c r="I652" s="2451"/>
      <c r="J652" s="2451"/>
      <c r="K652" s="2451"/>
      <c r="L652" s="2451"/>
      <c r="M652" s="2452"/>
      <c r="N652" s="2452"/>
      <c r="O652" s="2452"/>
      <c r="P652" s="2452"/>
      <c r="Q652" s="2452"/>
      <c r="W652" t="s">
        <v>2062</v>
      </c>
    </row>
    <row r="653" spans="1:23" ht="13.15" customHeight="1">
      <c r="A653" s="2" t="s">
        <v>2214</v>
      </c>
      <c r="B653" s="2">
        <f t="shared" si="20"/>
        <v>2020</v>
      </c>
      <c r="C653" s="2" t="str">
        <f t="shared" si="21"/>
        <v>LIM333</v>
      </c>
      <c r="D653" s="2">
        <v>35</v>
      </c>
      <c r="F653" s="2451"/>
      <c r="G653" s="2451"/>
      <c r="H653" s="2451"/>
      <c r="I653" s="2451"/>
      <c r="J653" s="2451"/>
      <c r="K653" s="2451"/>
      <c r="L653" s="2451"/>
      <c r="M653" s="2452"/>
      <c r="N653" s="2452"/>
      <c r="O653" s="2452"/>
      <c r="P653" s="2452"/>
      <c r="Q653" s="2452"/>
      <c r="W653" t="s">
        <v>2062</v>
      </c>
    </row>
    <row r="654" spans="1:23" ht="13.15" customHeight="1">
      <c r="A654" s="2" t="s">
        <v>2214</v>
      </c>
      <c r="B654" s="2">
        <f t="shared" si="20"/>
        <v>2020</v>
      </c>
      <c r="C654" s="2" t="str">
        <f t="shared" si="21"/>
        <v>LIM333</v>
      </c>
      <c r="D654" s="2">
        <v>36</v>
      </c>
      <c r="F654" s="2451"/>
      <c r="G654" s="2451"/>
      <c r="H654" s="2451"/>
      <c r="I654" s="2451"/>
      <c r="J654" s="2451"/>
      <c r="K654" s="2451"/>
      <c r="L654" s="2451"/>
      <c r="M654" s="2452"/>
      <c r="N654" s="2452"/>
      <c r="O654" s="2452"/>
      <c r="P654" s="2452"/>
      <c r="Q654" s="2452"/>
      <c r="W654" t="s">
        <v>2062</v>
      </c>
    </row>
    <row r="655" spans="1:23" ht="13.15" customHeight="1">
      <c r="A655" s="2" t="s">
        <v>2214</v>
      </c>
      <c r="B655" s="2">
        <f t="shared" si="20"/>
        <v>2020</v>
      </c>
      <c r="C655" s="2" t="str">
        <f t="shared" si="21"/>
        <v>LIM333</v>
      </c>
      <c r="D655" s="2">
        <v>37</v>
      </c>
      <c r="F655" s="2451"/>
      <c r="G655" s="2451"/>
      <c r="H655" s="2451"/>
      <c r="I655" s="2451"/>
      <c r="J655" s="2451"/>
      <c r="K655" s="2451"/>
      <c r="L655" s="2451"/>
      <c r="M655" s="2452"/>
      <c r="N655" s="2452"/>
      <c r="O655" s="2452"/>
      <c r="P655" s="2452"/>
      <c r="Q655" s="2452"/>
      <c r="W655" t="s">
        <v>2062</v>
      </c>
    </row>
    <row r="656" spans="1:23" ht="13.15" customHeight="1">
      <c r="A656" s="2" t="s">
        <v>2214</v>
      </c>
      <c r="B656" s="2">
        <f t="shared" si="20"/>
        <v>2020</v>
      </c>
      <c r="C656" s="2" t="str">
        <f t="shared" si="21"/>
        <v>LIM333</v>
      </c>
      <c r="D656" s="2">
        <v>38</v>
      </c>
      <c r="F656" s="2451"/>
      <c r="G656" s="2451"/>
      <c r="H656" s="2451"/>
      <c r="I656" s="2451"/>
      <c r="J656" s="2451"/>
      <c r="K656" s="2451"/>
      <c r="L656" s="2451"/>
      <c r="M656" s="2452" t="s">
        <v>475</v>
      </c>
      <c r="N656" s="2452">
        <v>0</v>
      </c>
      <c r="O656" s="2452"/>
      <c r="P656" s="2452"/>
      <c r="Q656" s="2452"/>
      <c r="W656" t="s">
        <v>2062</v>
      </c>
    </row>
    <row r="657" spans="1:23" ht="13.15" customHeight="1">
      <c r="A657" s="2" t="s">
        <v>2214</v>
      </c>
      <c r="B657" s="2">
        <f t="shared" si="20"/>
        <v>2020</v>
      </c>
      <c r="C657" s="2" t="str">
        <f t="shared" si="21"/>
        <v>LIM333</v>
      </c>
      <c r="D657" s="2">
        <v>39</v>
      </c>
      <c r="F657" s="2451"/>
      <c r="G657" s="2451"/>
      <c r="H657" s="2451"/>
      <c r="I657" s="2451"/>
      <c r="J657" s="2451"/>
      <c r="K657" s="2451"/>
      <c r="L657" s="2451"/>
      <c r="M657" s="2452"/>
      <c r="N657" s="2452"/>
      <c r="O657" s="2452"/>
      <c r="P657" s="2452"/>
      <c r="Q657" s="2452"/>
      <c r="W657" t="s">
        <v>2062</v>
      </c>
    </row>
    <row r="658" spans="1:23" ht="13.15" customHeight="1">
      <c r="A658" s="2" t="s">
        <v>2214</v>
      </c>
      <c r="B658" s="2">
        <f t="shared" si="20"/>
        <v>2020</v>
      </c>
      <c r="C658" s="2" t="str">
        <f t="shared" si="21"/>
        <v>LIM333</v>
      </c>
      <c r="D658" s="2">
        <v>40</v>
      </c>
      <c r="F658" s="2451"/>
      <c r="G658" s="2451"/>
      <c r="H658" s="2451"/>
      <c r="I658" s="2451"/>
      <c r="J658" s="2451"/>
      <c r="K658" s="2451"/>
      <c r="L658" s="2451"/>
      <c r="M658" s="2452"/>
      <c r="N658" s="2452"/>
      <c r="O658" s="2452"/>
      <c r="P658" s="2452"/>
      <c r="Q658" s="2452"/>
      <c r="W658" t="s">
        <v>2062</v>
      </c>
    </row>
    <row r="659" spans="1:23" ht="13.15" customHeight="1">
      <c r="A659" s="2" t="s">
        <v>2214</v>
      </c>
      <c r="B659" s="2">
        <f t="shared" si="20"/>
        <v>2020</v>
      </c>
      <c r="C659" s="2" t="str">
        <f t="shared" si="21"/>
        <v>LIM333</v>
      </c>
      <c r="D659" s="2">
        <v>41</v>
      </c>
      <c r="F659" s="2451"/>
      <c r="G659" s="2451"/>
      <c r="H659" s="2451"/>
      <c r="I659" s="2451"/>
      <c r="J659" s="2451"/>
      <c r="K659" s="2451"/>
      <c r="L659" s="2451"/>
      <c r="M659" s="2452"/>
      <c r="N659" s="2452"/>
      <c r="O659" s="2452"/>
      <c r="P659" s="2452"/>
      <c r="Q659" s="2452"/>
      <c r="W659" t="s">
        <v>2062</v>
      </c>
    </row>
    <row r="660" spans="1:23" ht="13.15" customHeight="1">
      <c r="A660" s="2" t="s">
        <v>2214</v>
      </c>
      <c r="B660" s="2">
        <f t="shared" si="20"/>
        <v>2020</v>
      </c>
      <c r="C660" s="2" t="str">
        <f t="shared" si="21"/>
        <v>LIM333</v>
      </c>
      <c r="D660" s="2">
        <v>42</v>
      </c>
      <c r="F660" s="2451"/>
      <c r="G660" s="2451"/>
      <c r="H660" s="2451"/>
      <c r="I660" s="2451"/>
      <c r="J660" s="2451"/>
      <c r="K660" s="2451"/>
      <c r="L660" s="2451"/>
      <c r="M660" s="2452"/>
      <c r="N660" s="2452"/>
      <c r="O660" s="2452"/>
      <c r="P660" s="2452"/>
      <c r="Q660" s="2452"/>
      <c r="W660" t="s">
        <v>2062</v>
      </c>
    </row>
    <row r="661" spans="1:23" ht="13.15" customHeight="1">
      <c r="A661" s="2" t="s">
        <v>2214</v>
      </c>
      <c r="B661" s="2">
        <f t="shared" si="20"/>
        <v>2020</v>
      </c>
      <c r="C661" s="2" t="str">
        <f t="shared" si="21"/>
        <v>LIM333</v>
      </c>
      <c r="D661" s="2">
        <v>43</v>
      </c>
      <c r="F661" s="2451"/>
      <c r="G661" s="2451"/>
      <c r="H661" s="2451"/>
      <c r="I661" s="2451"/>
      <c r="J661" s="2451"/>
      <c r="K661" s="2451"/>
      <c r="L661" s="2451"/>
      <c r="M661" s="2452"/>
      <c r="N661" s="2452"/>
      <c r="O661" s="2452"/>
      <c r="P661" s="2452"/>
      <c r="Q661" s="2452"/>
      <c r="W661" t="s">
        <v>2062</v>
      </c>
    </row>
    <row r="662" spans="1:23" ht="13.15" customHeight="1">
      <c r="A662" s="2" t="s">
        <v>2214</v>
      </c>
      <c r="B662" s="2">
        <f t="shared" si="20"/>
        <v>2020</v>
      </c>
      <c r="C662" s="2" t="str">
        <f t="shared" si="21"/>
        <v>LIM333</v>
      </c>
      <c r="D662" s="2">
        <v>44</v>
      </c>
      <c r="F662" s="2451"/>
      <c r="G662" s="2451"/>
      <c r="H662" s="2451"/>
      <c r="I662" s="2451"/>
      <c r="J662" s="2451"/>
      <c r="K662" s="2451"/>
      <c r="L662" s="2451"/>
      <c r="M662" s="2452"/>
      <c r="N662" s="2452"/>
      <c r="O662" s="2452"/>
      <c r="P662" s="2452"/>
      <c r="Q662" s="2452"/>
      <c r="W662" t="s">
        <v>2062</v>
      </c>
    </row>
    <row r="663" spans="1:23" ht="13.15" customHeight="1">
      <c r="A663" s="2" t="s">
        <v>2214</v>
      </c>
      <c r="B663" s="2">
        <f t="shared" si="20"/>
        <v>2020</v>
      </c>
      <c r="C663" s="2" t="str">
        <f t="shared" si="21"/>
        <v>LIM333</v>
      </c>
      <c r="D663" s="2">
        <v>45</v>
      </c>
      <c r="F663" s="2451"/>
      <c r="G663" s="2451"/>
      <c r="H663" s="2451"/>
      <c r="I663" s="2451"/>
      <c r="J663" s="2451"/>
      <c r="K663" s="2451"/>
      <c r="L663" s="2451"/>
      <c r="M663" s="2452"/>
      <c r="N663" s="2452"/>
      <c r="O663" s="2452"/>
      <c r="P663" s="2452"/>
      <c r="Q663" s="2452"/>
      <c r="W663" t="s">
        <v>2062</v>
      </c>
    </row>
    <row r="664" spans="1:23" ht="13.15" customHeight="1">
      <c r="A664" s="2" t="s">
        <v>2214</v>
      </c>
      <c r="B664" s="2">
        <f t="shared" si="20"/>
        <v>2020</v>
      </c>
      <c r="C664" s="2" t="str">
        <f t="shared" si="21"/>
        <v>LIM333</v>
      </c>
      <c r="D664" s="2">
        <v>46</v>
      </c>
      <c r="F664" s="2451"/>
      <c r="G664" s="2451"/>
      <c r="H664" s="2451"/>
      <c r="I664" s="2451"/>
      <c r="J664" s="2451"/>
      <c r="K664" s="2451"/>
      <c r="L664" s="2451"/>
      <c r="M664" s="2452"/>
      <c r="N664" s="2452"/>
      <c r="O664" s="2452"/>
      <c r="P664" s="2452"/>
      <c r="Q664" s="2452"/>
      <c r="W664" t="s">
        <v>2062</v>
      </c>
    </row>
    <row r="665" spans="1:23" ht="13.15" customHeight="1">
      <c r="A665" s="2" t="s">
        <v>2214</v>
      </c>
      <c r="B665" s="2">
        <f t="shared" si="20"/>
        <v>2020</v>
      </c>
      <c r="C665" s="2" t="str">
        <f t="shared" si="21"/>
        <v>LIM333</v>
      </c>
      <c r="D665" s="2">
        <v>47</v>
      </c>
      <c r="F665" s="2451"/>
      <c r="G665" s="2451"/>
      <c r="H665" s="2451"/>
      <c r="I665" s="2451"/>
      <c r="J665" s="2451"/>
      <c r="K665" s="2451"/>
      <c r="L665" s="2451"/>
      <c r="M665" s="2452"/>
      <c r="N665" s="2452"/>
      <c r="O665" s="2452"/>
      <c r="P665" s="2452"/>
      <c r="Q665" s="2452"/>
      <c r="W665" t="s">
        <v>2062</v>
      </c>
    </row>
    <row r="666" spans="1:23" ht="13.15" customHeight="1">
      <c r="A666" s="2" t="s">
        <v>2214</v>
      </c>
      <c r="B666" s="2">
        <f t="shared" si="20"/>
        <v>2020</v>
      </c>
      <c r="C666" s="2" t="str">
        <f t="shared" si="21"/>
        <v>LIM333</v>
      </c>
      <c r="D666" s="2">
        <v>48</v>
      </c>
      <c r="F666" s="2451"/>
      <c r="G666" s="2451"/>
      <c r="H666" s="2451"/>
      <c r="I666" s="2451"/>
      <c r="J666" s="2451"/>
      <c r="K666" s="2451"/>
      <c r="L666" s="2451"/>
      <c r="M666" s="2452"/>
      <c r="N666" s="2452"/>
      <c r="O666" s="2452"/>
      <c r="P666" s="2452"/>
      <c r="Q666" s="2452"/>
      <c r="W666" t="s">
        <v>2062</v>
      </c>
    </row>
    <row r="667" spans="1:23" ht="13.15" customHeight="1">
      <c r="A667" s="2" t="s">
        <v>2214</v>
      </c>
      <c r="B667" s="2">
        <f t="shared" si="20"/>
        <v>2020</v>
      </c>
      <c r="C667" s="2" t="str">
        <f t="shared" si="21"/>
        <v>LIM333</v>
      </c>
      <c r="D667" s="2">
        <v>49</v>
      </c>
      <c r="F667" s="2451"/>
      <c r="G667" s="2451"/>
      <c r="H667" s="2451"/>
      <c r="I667" s="2451"/>
      <c r="J667" s="2451"/>
      <c r="K667" s="2451"/>
      <c r="L667" s="2451"/>
      <c r="M667" s="2452"/>
      <c r="N667" s="2452"/>
      <c r="O667" s="2452"/>
      <c r="P667" s="2452"/>
      <c r="Q667" s="2452"/>
      <c r="W667" t="s">
        <v>2062</v>
      </c>
    </row>
    <row r="668" spans="1:23" ht="13.15" customHeight="1">
      <c r="A668" s="2" t="s">
        <v>2214</v>
      </c>
      <c r="B668" s="2">
        <f t="shared" si="20"/>
        <v>2020</v>
      </c>
      <c r="C668" s="2" t="str">
        <f t="shared" si="21"/>
        <v>LIM333</v>
      </c>
      <c r="D668" s="2">
        <v>50</v>
      </c>
      <c r="F668" s="2451"/>
      <c r="G668" s="2451"/>
      <c r="H668" s="2451"/>
      <c r="I668" s="2451"/>
      <c r="J668" s="2451"/>
      <c r="K668" s="2451"/>
      <c r="L668" s="2451"/>
      <c r="M668" s="2452"/>
      <c r="N668" s="2452"/>
      <c r="O668" s="2452"/>
      <c r="P668" s="2452"/>
      <c r="Q668" s="2452"/>
      <c r="W668" t="s">
        <v>2062</v>
      </c>
    </row>
    <row r="669" spans="1:23" ht="13.15" customHeight="1">
      <c r="A669" s="2" t="s">
        <v>2214</v>
      </c>
      <c r="B669" s="2">
        <f t="shared" si="20"/>
        <v>2020</v>
      </c>
      <c r="C669" s="2" t="str">
        <f t="shared" si="21"/>
        <v>LIM333</v>
      </c>
      <c r="D669" s="2">
        <v>51</v>
      </c>
      <c r="F669" s="2451"/>
      <c r="G669" s="2451"/>
      <c r="H669" s="2451"/>
      <c r="I669" s="2451"/>
      <c r="J669" s="2451"/>
      <c r="K669" s="2451"/>
      <c r="L669" s="2451"/>
      <c r="M669" s="2452"/>
      <c r="N669" s="2452"/>
      <c r="O669" s="2452"/>
      <c r="P669" s="2452"/>
      <c r="Q669" s="2452"/>
      <c r="W669" t="s">
        <v>2062</v>
      </c>
    </row>
    <row r="670" spans="1:23" ht="13.15" customHeight="1">
      <c r="A670" s="2" t="s">
        <v>2214</v>
      </c>
      <c r="B670" s="2">
        <f t="shared" si="20"/>
        <v>2020</v>
      </c>
      <c r="C670" s="2" t="str">
        <f t="shared" si="21"/>
        <v>LIM333</v>
      </c>
      <c r="D670" s="2">
        <v>52</v>
      </c>
      <c r="F670" s="2451"/>
      <c r="G670" s="2451"/>
      <c r="H670" s="2451"/>
      <c r="I670" s="2451"/>
      <c r="J670" s="2451"/>
      <c r="K670" s="2451"/>
      <c r="L670" s="2451"/>
      <c r="M670" s="2452"/>
      <c r="N670" s="2452"/>
      <c r="O670" s="2452"/>
      <c r="P670" s="2452"/>
      <c r="Q670" s="2452"/>
      <c r="W670" t="s">
        <v>2062</v>
      </c>
    </row>
    <row r="671" spans="1:23" ht="13.15" customHeight="1">
      <c r="A671" s="2" t="s">
        <v>2214</v>
      </c>
      <c r="B671" s="2">
        <f t="shared" si="20"/>
        <v>2020</v>
      </c>
      <c r="C671" s="2" t="str">
        <f t="shared" si="21"/>
        <v>LIM333</v>
      </c>
      <c r="D671" s="2">
        <v>53</v>
      </c>
      <c r="F671" s="2451"/>
      <c r="G671" s="2451"/>
      <c r="H671" s="2451"/>
      <c r="I671" s="2451"/>
      <c r="J671" s="2451"/>
      <c r="K671" s="2451"/>
      <c r="L671" s="2451"/>
      <c r="M671" s="2452"/>
      <c r="N671" s="2452"/>
      <c r="O671" s="2452"/>
      <c r="P671" s="2452"/>
      <c r="Q671" s="2452"/>
      <c r="W671" t="s">
        <v>2062</v>
      </c>
    </row>
    <row r="672" spans="1:23" ht="13.15" customHeight="1">
      <c r="A672" s="2" t="s">
        <v>2214</v>
      </c>
      <c r="B672" s="2">
        <f t="shared" si="20"/>
        <v>2020</v>
      </c>
      <c r="C672" s="2" t="str">
        <f t="shared" si="21"/>
        <v>LIM333</v>
      </c>
      <c r="D672" s="2">
        <v>54</v>
      </c>
      <c r="F672" s="2451"/>
      <c r="G672" s="2451"/>
      <c r="H672" s="2451"/>
      <c r="I672" s="2451"/>
      <c r="J672" s="2451"/>
      <c r="K672" s="2451"/>
      <c r="L672" s="2451"/>
      <c r="M672" s="2452"/>
      <c r="N672" s="2452"/>
      <c r="O672" s="2452"/>
      <c r="P672" s="2452"/>
      <c r="Q672" s="2452"/>
      <c r="W672" t="s">
        <v>2062</v>
      </c>
    </row>
    <row r="673" spans="1:23" ht="13.15" customHeight="1">
      <c r="A673" s="2" t="s">
        <v>2214</v>
      </c>
      <c r="B673" s="2">
        <f t="shared" si="20"/>
        <v>2020</v>
      </c>
      <c r="C673" s="2" t="str">
        <f t="shared" si="21"/>
        <v>LIM333</v>
      </c>
      <c r="D673" s="2">
        <v>55</v>
      </c>
      <c r="F673" s="2451"/>
      <c r="G673" s="2451"/>
      <c r="H673" s="2451"/>
      <c r="I673" s="2451"/>
      <c r="J673" s="2451"/>
      <c r="K673" s="2451"/>
      <c r="L673" s="2451"/>
      <c r="M673" s="2452"/>
      <c r="N673" s="2452"/>
      <c r="O673" s="2452"/>
      <c r="P673" s="2452"/>
      <c r="Q673" s="2452"/>
      <c r="W673" t="s">
        <v>2062</v>
      </c>
    </row>
    <row r="674" spans="1:23" ht="13.15" customHeight="1">
      <c r="A674" s="2" t="s">
        <v>2214</v>
      </c>
      <c r="B674" s="2">
        <f t="shared" si="20"/>
        <v>2020</v>
      </c>
      <c r="C674" s="2" t="str">
        <f t="shared" si="21"/>
        <v>LIM333</v>
      </c>
      <c r="D674" s="2">
        <v>56</v>
      </c>
      <c r="F674" s="2451"/>
      <c r="G674" s="2451"/>
      <c r="H674" s="2451"/>
      <c r="I674" s="2451"/>
      <c r="J674" s="2451"/>
      <c r="K674" s="2451"/>
      <c r="L674" s="2451"/>
      <c r="M674" s="2452"/>
      <c r="N674" s="2452"/>
      <c r="O674" s="2452"/>
      <c r="P674" s="2452"/>
      <c r="Q674" s="2452"/>
      <c r="W674" t="s">
        <v>2062</v>
      </c>
    </row>
    <row r="675" spans="1:23" ht="13.15" customHeight="1">
      <c r="A675" s="2" t="s">
        <v>2214</v>
      </c>
      <c r="B675" s="2">
        <f t="shared" si="20"/>
        <v>2020</v>
      </c>
      <c r="C675" s="2" t="str">
        <f t="shared" si="21"/>
        <v>LIM333</v>
      </c>
      <c r="D675" s="2">
        <v>57</v>
      </c>
      <c r="F675" s="2451"/>
      <c r="G675" s="2451"/>
      <c r="H675" s="2451"/>
      <c r="I675" s="2451"/>
      <c r="J675" s="2451"/>
      <c r="K675" s="2451"/>
      <c r="L675" s="2451"/>
      <c r="M675" s="2452"/>
      <c r="N675" s="2452"/>
      <c r="O675" s="2452"/>
      <c r="P675" s="2452"/>
      <c r="Q675" s="2452"/>
      <c r="W675" t="s">
        <v>2062</v>
      </c>
    </row>
    <row r="676" spans="1:23" ht="13.15" customHeight="1">
      <c r="A676" s="2" t="s">
        <v>2214</v>
      </c>
      <c r="B676" s="2">
        <f t="shared" si="20"/>
        <v>2020</v>
      </c>
      <c r="C676" s="2" t="str">
        <f t="shared" si="21"/>
        <v>LIM333</v>
      </c>
      <c r="D676" s="2">
        <v>58</v>
      </c>
      <c r="F676" s="2451"/>
      <c r="G676" s="2451"/>
      <c r="H676" s="2451"/>
      <c r="I676" s="2451"/>
      <c r="J676" s="2451"/>
      <c r="K676" s="2451"/>
      <c r="L676" s="2451"/>
      <c r="M676" s="2452"/>
      <c r="N676" s="2452"/>
      <c r="O676" s="2452"/>
      <c r="P676" s="2452"/>
      <c r="Q676" s="2452"/>
      <c r="W676" t="s">
        <v>2062</v>
      </c>
    </row>
    <row r="677" spans="1:23" ht="13.15" customHeight="1">
      <c r="A677" s="2" t="s">
        <v>2214</v>
      </c>
      <c r="B677" s="2">
        <f t="shared" si="20"/>
        <v>2020</v>
      </c>
      <c r="C677" s="2" t="str">
        <f t="shared" si="21"/>
        <v>LIM333</v>
      </c>
      <c r="D677" s="2">
        <v>59</v>
      </c>
      <c r="F677" s="2451"/>
      <c r="G677" s="2451"/>
      <c r="H677" s="2451"/>
      <c r="I677" s="2451"/>
      <c r="J677" s="2451"/>
      <c r="K677" s="2451"/>
      <c r="L677" s="2451"/>
      <c r="M677" s="2452"/>
      <c r="N677" s="2452"/>
      <c r="O677" s="2452"/>
      <c r="P677" s="2452"/>
      <c r="Q677" s="2452"/>
      <c r="W677" t="s">
        <v>2062</v>
      </c>
    </row>
    <row r="678" spans="1:23" ht="13.15" customHeight="1">
      <c r="A678" s="2" t="s">
        <v>2214</v>
      </c>
      <c r="B678" s="2">
        <f t="shared" si="20"/>
        <v>2020</v>
      </c>
      <c r="C678" s="2" t="str">
        <f t="shared" si="21"/>
        <v>LIM333</v>
      </c>
      <c r="D678" s="2">
        <v>60</v>
      </c>
      <c r="F678" s="2451"/>
      <c r="G678" s="2451"/>
      <c r="H678" s="2451"/>
      <c r="I678" s="2451"/>
      <c r="J678" s="2451"/>
      <c r="K678" s="2451"/>
      <c r="L678" s="2451"/>
      <c r="M678" s="2452"/>
      <c r="N678" s="2452"/>
      <c r="O678" s="2452"/>
      <c r="P678" s="2452"/>
      <c r="Q678" s="2452"/>
      <c r="W678" t="s">
        <v>2062</v>
      </c>
    </row>
    <row r="679" spans="1:23" ht="13.15" customHeight="1">
      <c r="A679" s="2" t="s">
        <v>2214</v>
      </c>
      <c r="B679" s="2">
        <f t="shared" si="20"/>
        <v>2020</v>
      </c>
      <c r="C679" s="2" t="str">
        <f t="shared" si="21"/>
        <v>LIM333</v>
      </c>
      <c r="D679" s="2">
        <v>61</v>
      </c>
      <c r="F679" s="2451"/>
      <c r="G679" s="2451"/>
      <c r="H679" s="2451"/>
      <c r="I679" s="2451"/>
      <c r="J679" s="2451"/>
      <c r="K679" s="2451"/>
      <c r="L679" s="2451"/>
      <c r="M679" s="2452"/>
      <c r="N679" s="2452"/>
      <c r="O679" s="2452"/>
      <c r="P679" s="2452"/>
      <c r="Q679" s="2452"/>
      <c r="W679" t="s">
        <v>2062</v>
      </c>
    </row>
    <row r="680" spans="1:23" ht="13.15" customHeight="1">
      <c r="A680" s="2" t="s">
        <v>2214</v>
      </c>
      <c r="B680" s="2">
        <f t="shared" si="20"/>
        <v>2020</v>
      </c>
      <c r="C680" s="2" t="str">
        <f t="shared" si="21"/>
        <v>LIM333</v>
      </c>
      <c r="D680" s="2">
        <v>62</v>
      </c>
      <c r="F680" s="2451"/>
      <c r="G680" s="2451"/>
      <c r="H680" s="2451"/>
      <c r="I680" s="2451"/>
      <c r="J680" s="2451"/>
      <c r="K680" s="2451"/>
      <c r="L680" s="2451"/>
      <c r="M680" s="2452"/>
      <c r="N680" s="2452"/>
      <c r="O680" s="2452"/>
      <c r="P680" s="2452"/>
      <c r="Q680" s="2452"/>
      <c r="W680" t="s">
        <v>2062</v>
      </c>
    </row>
    <row r="681" spans="1:23" ht="13.15" customHeight="1">
      <c r="A681" s="2" t="s">
        <v>2214</v>
      </c>
      <c r="B681" s="2">
        <f t="shared" si="20"/>
        <v>2020</v>
      </c>
      <c r="C681" s="2" t="str">
        <f t="shared" si="21"/>
        <v>LIM333</v>
      </c>
      <c r="D681" s="2">
        <v>63</v>
      </c>
      <c r="F681" s="2451"/>
      <c r="G681" s="2451"/>
      <c r="H681" s="2451"/>
      <c r="I681" s="2451"/>
      <c r="J681" s="2451"/>
      <c r="K681" s="2451"/>
      <c r="L681" s="2451"/>
      <c r="M681" s="2452"/>
      <c r="N681" s="2452"/>
      <c r="O681" s="2452"/>
      <c r="P681" s="2452"/>
      <c r="Q681" s="2452"/>
      <c r="W681" t="s">
        <v>2062</v>
      </c>
    </row>
    <row r="682" spans="1:23" ht="13.15" customHeight="1">
      <c r="A682" s="2" t="s">
        <v>2214</v>
      </c>
      <c r="B682" s="2">
        <f t="shared" si="20"/>
        <v>2020</v>
      </c>
      <c r="C682" s="2" t="str">
        <f t="shared" si="21"/>
        <v>LIM333</v>
      </c>
      <c r="D682" s="2">
        <v>64</v>
      </c>
      <c r="F682" s="2451"/>
      <c r="G682" s="2451"/>
      <c r="H682" s="2451"/>
      <c r="I682" s="2451"/>
      <c r="J682" s="2451"/>
      <c r="K682" s="2451"/>
      <c r="L682" s="2451"/>
      <c r="M682" s="2452"/>
      <c r="N682" s="2452"/>
      <c r="O682" s="2452"/>
      <c r="P682" s="2452"/>
      <c r="Q682" s="2452"/>
      <c r="W682" t="s">
        <v>2062</v>
      </c>
    </row>
    <row r="683" spans="1:23" ht="13.15" customHeight="1">
      <c r="A683" s="2" t="s">
        <v>2214</v>
      </c>
      <c r="B683" s="2">
        <f t="shared" si="20"/>
        <v>2020</v>
      </c>
      <c r="C683" s="2" t="str">
        <f t="shared" si="21"/>
        <v>LIM333</v>
      </c>
      <c r="D683" s="2">
        <v>65</v>
      </c>
      <c r="F683" s="2451"/>
      <c r="G683" s="2451"/>
      <c r="H683" s="2451"/>
      <c r="I683" s="2451"/>
      <c r="J683" s="2451"/>
      <c r="K683" s="2451"/>
      <c r="L683" s="2451"/>
      <c r="M683" s="2452"/>
      <c r="N683" s="2452"/>
      <c r="O683" s="2452"/>
      <c r="P683" s="2452"/>
      <c r="Q683" s="2452"/>
      <c r="W683" t="s">
        <v>2062</v>
      </c>
    </row>
    <row r="684" spans="1:23" ht="13.15" customHeight="1">
      <c r="A684" s="2" t="s">
        <v>2214</v>
      </c>
      <c r="B684" s="2">
        <f t="shared" si="20"/>
        <v>2020</v>
      </c>
      <c r="C684" s="2" t="str">
        <f t="shared" si="21"/>
        <v>LIM333</v>
      </c>
      <c r="D684" s="2">
        <v>66</v>
      </c>
      <c r="F684" s="2451"/>
      <c r="G684" s="2451"/>
      <c r="H684" s="2451"/>
      <c r="I684" s="2451"/>
      <c r="J684" s="2451"/>
      <c r="K684" s="2451"/>
      <c r="L684" s="2451"/>
      <c r="M684" s="2452"/>
      <c r="N684" s="2452"/>
      <c r="O684" s="2452"/>
      <c r="P684" s="2452"/>
      <c r="Q684" s="2452"/>
      <c r="W684" t="s">
        <v>2062</v>
      </c>
    </row>
    <row r="685" spans="1:23" ht="13.15" customHeight="1">
      <c r="A685" s="2" t="s">
        <v>2214</v>
      </c>
      <c r="B685" s="2">
        <f t="shared" si="20"/>
        <v>2020</v>
      </c>
      <c r="C685" s="2" t="str">
        <f t="shared" si="21"/>
        <v>LIM333</v>
      </c>
      <c r="D685" s="2">
        <v>67</v>
      </c>
      <c r="F685" s="2451"/>
      <c r="G685" s="2451"/>
      <c r="H685" s="2451"/>
      <c r="I685" s="2451"/>
      <c r="J685" s="2451"/>
      <c r="K685" s="2451"/>
      <c r="L685" s="2451"/>
      <c r="M685" s="2452"/>
      <c r="N685" s="2452"/>
      <c r="O685" s="2452"/>
      <c r="P685" s="2452"/>
      <c r="Q685" s="2452"/>
      <c r="W685" t="s">
        <v>2062</v>
      </c>
    </row>
    <row r="686" spans="1:23" ht="13.15" customHeight="1">
      <c r="A686" s="2" t="s">
        <v>2214</v>
      </c>
      <c r="B686" s="2">
        <f t="shared" si="20"/>
        <v>2020</v>
      </c>
      <c r="C686" s="2" t="str">
        <f t="shared" si="21"/>
        <v>LIM333</v>
      </c>
      <c r="D686" s="2">
        <v>68</v>
      </c>
      <c r="F686" s="2451"/>
      <c r="G686" s="2451"/>
      <c r="H686" s="2451"/>
      <c r="I686" s="2451"/>
      <c r="J686" s="2451"/>
      <c r="K686" s="2451"/>
      <c r="L686" s="2451"/>
      <c r="M686" s="2452"/>
      <c r="N686" s="2452"/>
      <c r="O686" s="2452"/>
      <c r="P686" s="2452"/>
      <c r="Q686" s="2452"/>
      <c r="W686" t="s">
        <v>2062</v>
      </c>
    </row>
    <row r="687" spans="1:23" ht="13.15" customHeight="1">
      <c r="A687" s="2" t="s">
        <v>2214</v>
      </c>
      <c r="B687" s="2">
        <f t="shared" si="20"/>
        <v>2020</v>
      </c>
      <c r="C687" s="2" t="str">
        <f t="shared" si="21"/>
        <v>LIM333</v>
      </c>
      <c r="D687" s="2">
        <v>69</v>
      </c>
      <c r="F687" s="2451"/>
      <c r="G687" s="2451"/>
      <c r="H687" s="2451"/>
      <c r="I687" s="2451"/>
      <c r="J687" s="2451"/>
      <c r="K687" s="2451"/>
      <c r="L687" s="2451"/>
      <c r="M687" s="2452"/>
      <c r="N687" s="2452"/>
      <c r="O687" s="2452"/>
      <c r="P687" s="2452"/>
      <c r="Q687" s="2452"/>
      <c r="W687" t="s">
        <v>2062</v>
      </c>
    </row>
    <row r="688" spans="1:23" ht="13.15" customHeight="1">
      <c r="A688" s="2" t="s">
        <v>2214</v>
      </c>
      <c r="B688" s="2">
        <f t="shared" si="20"/>
        <v>2020</v>
      </c>
      <c r="C688" s="2" t="str">
        <f t="shared" si="21"/>
        <v>LIM333</v>
      </c>
      <c r="D688" s="2">
        <v>70</v>
      </c>
      <c r="F688" s="2451"/>
      <c r="G688" s="2451"/>
      <c r="H688" s="2451"/>
      <c r="I688" s="2451"/>
      <c r="J688" s="2451"/>
      <c r="K688" s="2451"/>
      <c r="L688" s="2451"/>
      <c r="M688" s="2452"/>
      <c r="N688" s="2452"/>
      <c r="O688" s="2452"/>
      <c r="P688" s="2452"/>
      <c r="Q688" s="2452"/>
      <c r="W688" t="s">
        <v>2062</v>
      </c>
    </row>
    <row r="689" spans="1:23" ht="13.15" customHeight="1">
      <c r="A689" s="2" t="s">
        <v>2214</v>
      </c>
      <c r="B689" s="2">
        <f t="shared" si="20"/>
        <v>2020</v>
      </c>
      <c r="C689" s="2" t="str">
        <f t="shared" si="21"/>
        <v>LIM333</v>
      </c>
      <c r="D689" s="2">
        <v>71</v>
      </c>
      <c r="F689" s="2451"/>
      <c r="G689" s="2451"/>
      <c r="H689" s="2451"/>
      <c r="I689" s="2451"/>
      <c r="J689" s="2451"/>
      <c r="K689" s="2451"/>
      <c r="L689" s="2451"/>
      <c r="M689" s="2452"/>
      <c r="N689" s="2452"/>
      <c r="O689" s="2452"/>
      <c r="P689" s="2452"/>
      <c r="Q689" s="2452"/>
      <c r="W689" t="s">
        <v>2062</v>
      </c>
    </row>
    <row r="690" spans="1:23" ht="13.15" customHeight="1">
      <c r="A690" s="2" t="s">
        <v>2214</v>
      </c>
      <c r="B690" s="2">
        <f t="shared" si="20"/>
        <v>2020</v>
      </c>
      <c r="C690" s="2" t="str">
        <f t="shared" si="21"/>
        <v>LIM333</v>
      </c>
      <c r="D690" s="2">
        <v>72</v>
      </c>
      <c r="F690" s="2451"/>
      <c r="G690" s="2451"/>
      <c r="H690" s="2451"/>
      <c r="I690" s="2451"/>
      <c r="J690" s="2451"/>
      <c r="K690" s="2451"/>
      <c r="L690" s="2451"/>
      <c r="M690" s="2452"/>
      <c r="N690" s="2452"/>
      <c r="O690" s="2452"/>
      <c r="P690" s="2452"/>
      <c r="Q690" s="2452"/>
      <c r="W690" t="s">
        <v>2062</v>
      </c>
    </row>
    <row r="691" spans="1:23" ht="13.15" customHeight="1">
      <c r="A691" s="2" t="s">
        <v>2214</v>
      </c>
      <c r="B691" s="2">
        <f t="shared" si="20"/>
        <v>2020</v>
      </c>
      <c r="C691" s="2" t="str">
        <f t="shared" si="21"/>
        <v>LIM333</v>
      </c>
      <c r="D691" s="2">
        <v>73</v>
      </c>
      <c r="F691" s="2451"/>
      <c r="G691" s="2451"/>
      <c r="H691" s="2451"/>
      <c r="I691" s="2451"/>
      <c r="J691" s="2451"/>
      <c r="K691" s="2451"/>
      <c r="L691" s="2451"/>
      <c r="M691" s="2452"/>
      <c r="N691" s="2452"/>
      <c r="O691" s="2452"/>
      <c r="P691" s="2452"/>
      <c r="Q691" s="2452"/>
      <c r="W691" t="s">
        <v>2062</v>
      </c>
    </row>
    <row r="692" spans="1:23" ht="13.15" customHeight="1">
      <c r="A692" s="2" t="s">
        <v>2214</v>
      </c>
      <c r="B692" s="2">
        <f t="shared" si="20"/>
        <v>2020</v>
      </c>
      <c r="C692" s="2" t="str">
        <f t="shared" si="21"/>
        <v>LIM333</v>
      </c>
      <c r="D692" s="2">
        <v>74</v>
      </c>
      <c r="F692" s="2451"/>
      <c r="G692" s="2451"/>
      <c r="H692" s="2451"/>
      <c r="I692" s="2451"/>
      <c r="J692" s="2451"/>
      <c r="K692" s="2451"/>
      <c r="L692" s="2451"/>
      <c r="M692" s="2452"/>
      <c r="N692" s="2452"/>
      <c r="O692" s="2452"/>
      <c r="P692" s="2452"/>
      <c r="Q692" s="2452"/>
      <c r="W692" t="s">
        <v>2062</v>
      </c>
    </row>
    <row r="693" spans="1:23" ht="13.15" customHeight="1">
      <c r="A693" s="2" t="s">
        <v>2214</v>
      </c>
      <c r="B693" s="2">
        <f t="shared" si="20"/>
        <v>2020</v>
      </c>
      <c r="C693" s="2" t="str">
        <f t="shared" si="21"/>
        <v>LIM333</v>
      </c>
      <c r="D693" s="2">
        <v>75</v>
      </c>
      <c r="F693" s="2451"/>
      <c r="G693" s="2451"/>
      <c r="H693" s="2451"/>
      <c r="I693" s="2451"/>
      <c r="J693" s="2451"/>
      <c r="K693" s="2451"/>
      <c r="L693" s="2451"/>
      <c r="M693" s="2452"/>
      <c r="N693" s="2452"/>
      <c r="O693" s="2452"/>
      <c r="P693" s="2452"/>
      <c r="Q693" s="2452"/>
      <c r="W693" t="s">
        <v>2062</v>
      </c>
    </row>
    <row r="694" spans="1:23" ht="13.15" customHeight="1">
      <c r="A694" s="2" t="s">
        <v>2214</v>
      </c>
      <c r="B694" s="2">
        <f t="shared" si="20"/>
        <v>2020</v>
      </c>
      <c r="C694" s="2" t="str">
        <f t="shared" si="21"/>
        <v>LIM333</v>
      </c>
      <c r="D694" s="2">
        <v>76</v>
      </c>
      <c r="F694" s="2451"/>
      <c r="G694" s="2451"/>
      <c r="H694" s="2451"/>
      <c r="I694" s="2451"/>
      <c r="J694" s="2451"/>
      <c r="K694" s="2451"/>
      <c r="L694" s="2451"/>
      <c r="M694" s="2452"/>
      <c r="N694" s="2452"/>
      <c r="O694" s="2452"/>
      <c r="P694" s="2452"/>
      <c r="Q694" s="2452"/>
      <c r="W694" t="s">
        <v>2062</v>
      </c>
    </row>
    <row r="695" spans="1:23" ht="13.15" customHeight="1">
      <c r="A695" s="2" t="s">
        <v>2214</v>
      </c>
      <c r="B695" s="2">
        <f t="shared" si="20"/>
        <v>2020</v>
      </c>
      <c r="C695" s="2" t="str">
        <f t="shared" si="21"/>
        <v>LIM333</v>
      </c>
      <c r="D695" s="2">
        <v>77</v>
      </c>
      <c r="F695" s="2451"/>
      <c r="G695" s="2451"/>
      <c r="H695" s="2451"/>
      <c r="I695" s="2451"/>
      <c r="J695" s="2451"/>
      <c r="K695" s="2451"/>
      <c r="L695" s="2451"/>
      <c r="M695" s="2452"/>
      <c r="N695" s="2452"/>
      <c r="O695" s="2452"/>
      <c r="P695" s="2452"/>
      <c r="Q695" s="2452"/>
      <c r="W695" t="s">
        <v>2062</v>
      </c>
    </row>
    <row r="696" spans="1:23" ht="13.15" customHeight="1">
      <c r="A696" s="2" t="s">
        <v>2214</v>
      </c>
      <c r="B696" s="2">
        <f t="shared" si="20"/>
        <v>2020</v>
      </c>
      <c r="C696" s="2" t="str">
        <f t="shared" si="21"/>
        <v>LIM333</v>
      </c>
      <c r="D696" s="2">
        <v>78</v>
      </c>
      <c r="F696" s="2451"/>
      <c r="G696" s="2451"/>
      <c r="H696" s="2451"/>
      <c r="I696" s="2451"/>
      <c r="J696" s="2451"/>
      <c r="K696" s="2451"/>
      <c r="L696" s="2451"/>
      <c r="M696" s="2452"/>
      <c r="N696" s="2452"/>
      <c r="O696" s="2452"/>
      <c r="P696" s="2452"/>
      <c r="Q696" s="2452"/>
      <c r="W696" t="s">
        <v>2062</v>
      </c>
    </row>
    <row r="697" spans="1:23" ht="13.15" customHeight="1">
      <c r="A697" s="2" t="s">
        <v>2214</v>
      </c>
      <c r="B697" s="2">
        <f t="shared" si="20"/>
        <v>2020</v>
      </c>
      <c r="C697" s="2" t="str">
        <f t="shared" si="21"/>
        <v>LIM333</v>
      </c>
      <c r="D697" s="2">
        <v>79</v>
      </c>
      <c r="F697" s="2451"/>
      <c r="G697" s="2451"/>
      <c r="H697" s="2451"/>
      <c r="I697" s="2451"/>
      <c r="J697" s="2451"/>
      <c r="K697" s="2451"/>
      <c r="L697" s="2451"/>
      <c r="M697" s="2452"/>
      <c r="N697" s="2452"/>
      <c r="O697" s="2452"/>
      <c r="P697" s="2452"/>
      <c r="Q697" s="2452"/>
      <c r="W697" t="s">
        <v>2062</v>
      </c>
    </row>
    <row r="698" spans="1:23" ht="13.15" customHeight="1">
      <c r="A698" s="2" t="s">
        <v>2214</v>
      </c>
      <c r="B698" s="2">
        <f t="shared" si="20"/>
        <v>2020</v>
      </c>
      <c r="C698" s="2" t="str">
        <f t="shared" si="21"/>
        <v>LIM333</v>
      </c>
      <c r="D698" s="2">
        <v>80</v>
      </c>
      <c r="F698" s="2451"/>
      <c r="G698" s="2451"/>
      <c r="H698" s="2451"/>
      <c r="I698" s="2451"/>
      <c r="J698" s="2451"/>
      <c r="K698" s="2451"/>
      <c r="L698" s="2451"/>
      <c r="M698" s="2452"/>
      <c r="N698" s="2452"/>
      <c r="O698" s="2452"/>
      <c r="P698" s="2452"/>
      <c r="Q698" s="2452"/>
      <c r="W698" t="s">
        <v>2062</v>
      </c>
    </row>
    <row r="699" spans="1:23" ht="13.15" customHeight="1">
      <c r="A699" s="2" t="s">
        <v>2214</v>
      </c>
      <c r="B699" s="2">
        <f t="shared" si="20"/>
        <v>2020</v>
      </c>
      <c r="C699" s="2" t="str">
        <f t="shared" si="21"/>
        <v>LIM333</v>
      </c>
      <c r="D699" s="2">
        <v>81</v>
      </c>
      <c r="F699" s="2451"/>
      <c r="G699" s="2451"/>
      <c r="H699" s="2451"/>
      <c r="I699" s="2451"/>
      <c r="J699" s="2451"/>
      <c r="K699" s="2451"/>
      <c r="L699" s="2451"/>
      <c r="M699" s="2452"/>
      <c r="N699" s="2452"/>
      <c r="O699" s="2452"/>
      <c r="P699" s="2452"/>
      <c r="Q699" s="2452"/>
      <c r="W699" t="s">
        <v>2062</v>
      </c>
    </row>
    <row r="700" spans="1:23" ht="13.15" customHeight="1">
      <c r="A700" s="2" t="s">
        <v>2214</v>
      </c>
      <c r="B700" s="2">
        <f t="shared" si="20"/>
        <v>2020</v>
      </c>
      <c r="C700" s="2" t="str">
        <f t="shared" si="21"/>
        <v>LIM333</v>
      </c>
      <c r="D700" s="2">
        <v>82</v>
      </c>
      <c r="F700" s="2451"/>
      <c r="G700" s="2451"/>
      <c r="H700" s="2451"/>
      <c r="I700" s="2451"/>
      <c r="J700" s="2451"/>
      <c r="K700" s="2451"/>
      <c r="L700" s="2451"/>
      <c r="M700" s="2452"/>
      <c r="N700" s="2452"/>
      <c r="O700" s="2452"/>
      <c r="P700" s="2452"/>
      <c r="Q700" s="2452"/>
      <c r="W700" t="s">
        <v>2062</v>
      </c>
    </row>
    <row r="701" spans="1:23" ht="13.15" customHeight="1">
      <c r="A701" s="2" t="s">
        <v>2214</v>
      </c>
      <c r="B701" s="2">
        <f t="shared" si="20"/>
        <v>2020</v>
      </c>
      <c r="C701" s="2" t="str">
        <f t="shared" si="21"/>
        <v>LIM333</v>
      </c>
      <c r="D701" s="2">
        <v>83</v>
      </c>
      <c r="F701" s="2451"/>
      <c r="G701" s="2451"/>
      <c r="H701" s="2451"/>
      <c r="I701" s="2451"/>
      <c r="J701" s="2451"/>
      <c r="K701" s="2451"/>
      <c r="L701" s="2451"/>
      <c r="M701" s="2452"/>
      <c r="N701" s="2452"/>
      <c r="O701" s="2452"/>
      <c r="P701" s="2452"/>
      <c r="Q701" s="2452"/>
      <c r="W701" t="s">
        <v>2062</v>
      </c>
    </row>
    <row r="702" spans="1:23" ht="13.15" customHeight="1">
      <c r="A702" s="2" t="s">
        <v>2214</v>
      </c>
      <c r="B702" s="2">
        <f t="shared" si="20"/>
        <v>2020</v>
      </c>
      <c r="C702" s="2" t="str">
        <f t="shared" si="21"/>
        <v>LIM333</v>
      </c>
      <c r="D702" s="2">
        <v>84</v>
      </c>
      <c r="F702" s="2451"/>
      <c r="G702" s="2451"/>
      <c r="H702" s="2451"/>
      <c r="I702" s="2451"/>
      <c r="J702" s="2451"/>
      <c r="K702" s="2451"/>
      <c r="L702" s="2451"/>
      <c r="M702" s="2452"/>
      <c r="N702" s="2452"/>
      <c r="O702" s="2452"/>
      <c r="P702" s="2452"/>
      <c r="Q702" s="2452"/>
      <c r="W702" t="s">
        <v>2062</v>
      </c>
    </row>
    <row r="703" spans="1:23" ht="13.15" customHeight="1">
      <c r="A703" s="2" t="s">
        <v>2214</v>
      </c>
      <c r="B703" s="2">
        <f t="shared" si="20"/>
        <v>2020</v>
      </c>
      <c r="C703" s="2" t="str">
        <f t="shared" si="21"/>
        <v>LIM333</v>
      </c>
      <c r="D703" s="2">
        <v>85</v>
      </c>
      <c r="F703" s="2451"/>
      <c r="G703" s="2451"/>
      <c r="H703" s="2451"/>
      <c r="I703" s="2451"/>
      <c r="J703" s="2451"/>
      <c r="K703" s="2451"/>
      <c r="L703" s="2451"/>
      <c r="M703" s="2452"/>
      <c r="N703" s="2452"/>
      <c r="O703" s="2452"/>
      <c r="P703" s="2452"/>
      <c r="Q703" s="2452"/>
      <c r="W703" t="s">
        <v>2062</v>
      </c>
    </row>
    <row r="704" spans="1:23" ht="13.15" customHeight="1">
      <c r="A704" s="2" t="s">
        <v>2214</v>
      </c>
      <c r="B704" s="2">
        <f t="shared" si="20"/>
        <v>2020</v>
      </c>
      <c r="C704" s="2" t="str">
        <f t="shared" si="21"/>
        <v>LIM333</v>
      </c>
      <c r="D704" s="2">
        <v>86</v>
      </c>
      <c r="F704" s="2451"/>
      <c r="G704" s="2451"/>
      <c r="H704" s="2451"/>
      <c r="I704" s="2451"/>
      <c r="J704" s="2451"/>
      <c r="K704" s="2451"/>
      <c r="L704" s="2451"/>
      <c r="M704" s="2452"/>
      <c r="N704" s="2452"/>
      <c r="O704" s="2452"/>
      <c r="P704" s="2452"/>
      <c r="Q704" s="2452"/>
      <c r="W704" t="s">
        <v>2062</v>
      </c>
    </row>
    <row r="705" spans="1:23" ht="13.15" customHeight="1">
      <c r="A705" s="2" t="s">
        <v>2214</v>
      </c>
      <c r="B705" s="2">
        <f t="shared" si="20"/>
        <v>2020</v>
      </c>
      <c r="C705" s="2" t="str">
        <f t="shared" si="21"/>
        <v>LIM333</v>
      </c>
      <c r="D705" s="2">
        <v>87</v>
      </c>
      <c r="F705" s="2451"/>
      <c r="G705" s="2451"/>
      <c r="H705" s="2451"/>
      <c r="I705" s="2451"/>
      <c r="J705" s="2451"/>
      <c r="K705" s="2451"/>
      <c r="L705" s="2451"/>
      <c r="M705" s="2452"/>
      <c r="N705" s="2452"/>
      <c r="O705" s="2452"/>
      <c r="P705" s="2452"/>
      <c r="Q705" s="2452"/>
      <c r="W705" t="s">
        <v>2062</v>
      </c>
    </row>
    <row r="706" spans="1:23" ht="13.15" customHeight="1">
      <c r="A706" s="2" t="s">
        <v>2214</v>
      </c>
      <c r="B706" s="2">
        <f t="shared" ref="B706:B769" si="22">+MTREF</f>
        <v>2020</v>
      </c>
      <c r="C706" s="2" t="str">
        <f t="shared" ref="C706:C769" si="23">LEFT(muni,(FIND(" ",muni,1)-1))</f>
        <v>LIM333</v>
      </c>
      <c r="D706" s="2">
        <v>88</v>
      </c>
      <c r="F706" s="2451"/>
      <c r="G706" s="2451"/>
      <c r="H706" s="2451"/>
      <c r="I706" s="2451"/>
      <c r="J706" s="2451"/>
      <c r="K706" s="2451"/>
      <c r="L706" s="2451"/>
      <c r="M706" s="2452"/>
      <c r="N706" s="2452"/>
      <c r="O706" s="2452"/>
      <c r="P706" s="2452"/>
      <c r="Q706" s="2452"/>
      <c r="W706" t="s">
        <v>2062</v>
      </c>
    </row>
    <row r="707" spans="1:23" ht="13.15" customHeight="1">
      <c r="A707" s="2" t="s">
        <v>2214</v>
      </c>
      <c r="B707" s="2">
        <f t="shared" si="22"/>
        <v>2020</v>
      </c>
      <c r="C707" s="2" t="str">
        <f t="shared" si="23"/>
        <v>LIM333</v>
      </c>
      <c r="D707" s="2">
        <v>89</v>
      </c>
      <c r="F707" s="2451"/>
      <c r="G707" s="2451"/>
      <c r="H707" s="2451"/>
      <c r="I707" s="2451"/>
      <c r="J707" s="2451"/>
      <c r="K707" s="2451"/>
      <c r="L707" s="2451"/>
      <c r="M707" s="2452"/>
      <c r="N707" s="2452"/>
      <c r="O707" s="2452"/>
      <c r="P707" s="2452"/>
      <c r="Q707" s="2452"/>
      <c r="W707" t="s">
        <v>2062</v>
      </c>
    </row>
    <row r="708" spans="1:23" ht="13.15" customHeight="1">
      <c r="A708" s="2" t="s">
        <v>2214</v>
      </c>
      <c r="B708" s="2">
        <f t="shared" si="22"/>
        <v>2020</v>
      </c>
      <c r="C708" s="2" t="str">
        <f t="shared" si="23"/>
        <v>LIM333</v>
      </c>
      <c r="D708" s="2">
        <v>90</v>
      </c>
      <c r="F708" s="2451"/>
      <c r="G708" s="2451"/>
      <c r="H708" s="2451"/>
      <c r="I708" s="2451"/>
      <c r="J708" s="2451"/>
      <c r="K708" s="2451"/>
      <c r="L708" s="2451"/>
      <c r="M708" s="2452"/>
      <c r="N708" s="2452"/>
      <c r="O708" s="2452"/>
      <c r="P708" s="2452"/>
      <c r="Q708" s="2452"/>
      <c r="W708" t="s">
        <v>2062</v>
      </c>
    </row>
    <row r="709" spans="1:23" ht="13.15" customHeight="1">
      <c r="A709" s="2" t="s">
        <v>2214</v>
      </c>
      <c r="B709" s="2">
        <f t="shared" si="22"/>
        <v>2020</v>
      </c>
      <c r="C709" s="2" t="str">
        <f t="shared" si="23"/>
        <v>LIM333</v>
      </c>
      <c r="D709" s="2">
        <v>91</v>
      </c>
      <c r="F709" s="2451"/>
      <c r="G709" s="2451"/>
      <c r="H709" s="2451"/>
      <c r="I709" s="2451"/>
      <c r="J709" s="2451"/>
      <c r="K709" s="2451"/>
      <c r="L709" s="2451"/>
      <c r="M709" s="2452"/>
      <c r="N709" s="2452"/>
      <c r="O709" s="2452"/>
      <c r="P709" s="2452"/>
      <c r="Q709" s="2452"/>
      <c r="W709" t="s">
        <v>2062</v>
      </c>
    </row>
    <row r="710" spans="1:23" ht="13.15" customHeight="1">
      <c r="A710" s="2" t="s">
        <v>2214</v>
      </c>
      <c r="B710" s="2">
        <f t="shared" si="22"/>
        <v>2020</v>
      </c>
      <c r="C710" s="2" t="str">
        <f t="shared" si="23"/>
        <v>LIM333</v>
      </c>
      <c r="D710" s="2">
        <v>92</v>
      </c>
      <c r="F710" s="2451"/>
      <c r="G710" s="2451"/>
      <c r="H710" s="2451"/>
      <c r="I710" s="2451"/>
      <c r="J710" s="2451"/>
      <c r="K710" s="2451"/>
      <c r="L710" s="2451"/>
      <c r="M710" s="2452"/>
      <c r="N710" s="2452"/>
      <c r="O710" s="2452"/>
      <c r="P710" s="2452"/>
      <c r="Q710" s="2452"/>
      <c r="W710" t="s">
        <v>2062</v>
      </c>
    </row>
    <row r="711" spans="1:23" ht="13.15" customHeight="1">
      <c r="A711" s="2" t="s">
        <v>2214</v>
      </c>
      <c r="B711" s="2">
        <f t="shared" si="22"/>
        <v>2020</v>
      </c>
      <c r="C711" s="2" t="str">
        <f t="shared" si="23"/>
        <v>LIM333</v>
      </c>
      <c r="D711" s="2">
        <v>93</v>
      </c>
      <c r="F711" s="2451"/>
      <c r="G711" s="2451"/>
      <c r="H711" s="2451"/>
      <c r="I711" s="2451"/>
      <c r="J711" s="2451"/>
      <c r="K711" s="2451"/>
      <c r="L711" s="2451"/>
      <c r="M711" s="2452"/>
      <c r="N711" s="2452"/>
      <c r="O711" s="2452"/>
      <c r="P711" s="2452"/>
      <c r="Q711" s="2452"/>
      <c r="W711" t="s">
        <v>2062</v>
      </c>
    </row>
    <row r="712" spans="1:23" ht="13.15" customHeight="1">
      <c r="A712" s="2" t="s">
        <v>2214</v>
      </c>
      <c r="B712" s="2">
        <f t="shared" si="22"/>
        <v>2020</v>
      </c>
      <c r="C712" s="2" t="str">
        <f t="shared" si="23"/>
        <v>LIM333</v>
      </c>
      <c r="D712" s="2">
        <v>94</v>
      </c>
      <c r="F712" s="2451"/>
      <c r="G712" s="2451"/>
      <c r="H712" s="2451"/>
      <c r="I712" s="2451"/>
      <c r="J712" s="2451"/>
      <c r="K712" s="2451"/>
      <c r="L712" s="2451"/>
      <c r="M712" s="2452"/>
      <c r="N712" s="2452"/>
      <c r="O712" s="2452"/>
      <c r="P712" s="2452"/>
      <c r="Q712" s="2452"/>
      <c r="W712" t="s">
        <v>2062</v>
      </c>
    </row>
    <row r="713" spans="1:23" ht="13.15" customHeight="1">
      <c r="A713" s="2" t="s">
        <v>2214</v>
      </c>
      <c r="B713" s="2">
        <f t="shared" si="22"/>
        <v>2020</v>
      </c>
      <c r="C713" s="2" t="str">
        <f t="shared" si="23"/>
        <v>LIM333</v>
      </c>
      <c r="D713" s="2">
        <v>95</v>
      </c>
      <c r="F713" s="2451"/>
      <c r="G713" s="2451"/>
      <c r="H713" s="2451"/>
      <c r="I713" s="2451"/>
      <c r="J713" s="2451"/>
      <c r="K713" s="2451"/>
      <c r="L713" s="2451"/>
      <c r="M713" s="2452"/>
      <c r="N713" s="2452"/>
      <c r="O713" s="2452"/>
      <c r="P713" s="2452"/>
      <c r="Q713" s="2452"/>
      <c r="W713" t="s">
        <v>2062</v>
      </c>
    </row>
    <row r="714" spans="1:23" ht="13.15" customHeight="1">
      <c r="A714" s="2" t="s">
        <v>2214</v>
      </c>
      <c r="B714" s="2">
        <f t="shared" si="22"/>
        <v>2020</v>
      </c>
      <c r="C714" s="2" t="str">
        <f t="shared" si="23"/>
        <v>LIM333</v>
      </c>
      <c r="D714" s="2">
        <v>96</v>
      </c>
      <c r="F714" s="2451"/>
      <c r="G714" s="2451"/>
      <c r="H714" s="2451"/>
      <c r="I714" s="2451"/>
      <c r="J714" s="2451"/>
      <c r="K714" s="2451"/>
      <c r="L714" s="2451"/>
      <c r="M714" s="2452"/>
      <c r="N714" s="2452"/>
      <c r="O714" s="2452"/>
      <c r="P714" s="2452"/>
      <c r="Q714" s="2452"/>
      <c r="W714" t="s">
        <v>2062</v>
      </c>
    </row>
    <row r="715" spans="1:23" ht="13.15" customHeight="1">
      <c r="A715" s="2" t="s">
        <v>2214</v>
      </c>
      <c r="B715" s="2">
        <f t="shared" si="22"/>
        <v>2020</v>
      </c>
      <c r="C715" s="2" t="str">
        <f t="shared" si="23"/>
        <v>LIM333</v>
      </c>
      <c r="D715" s="2">
        <v>97</v>
      </c>
      <c r="F715" s="2451"/>
      <c r="G715" s="2451"/>
      <c r="H715" s="2451"/>
      <c r="I715" s="2451"/>
      <c r="J715" s="2451"/>
      <c r="K715" s="2451"/>
      <c r="L715" s="2451"/>
      <c r="M715" s="2452"/>
      <c r="N715" s="2452"/>
      <c r="O715" s="2452"/>
      <c r="P715" s="2452"/>
      <c r="Q715" s="2452"/>
      <c r="W715" t="s">
        <v>2062</v>
      </c>
    </row>
    <row r="716" spans="1:23" ht="13.15" customHeight="1">
      <c r="A716" s="2" t="s">
        <v>2214</v>
      </c>
      <c r="B716" s="2">
        <f t="shared" si="22"/>
        <v>2020</v>
      </c>
      <c r="C716" s="2" t="str">
        <f t="shared" si="23"/>
        <v>LIM333</v>
      </c>
      <c r="D716" s="2">
        <v>98</v>
      </c>
      <c r="F716" s="2451"/>
      <c r="G716" s="2451"/>
      <c r="H716" s="2451"/>
      <c r="I716" s="2451"/>
      <c r="J716" s="2451"/>
      <c r="K716" s="2451"/>
      <c r="L716" s="2451"/>
      <c r="M716" s="2452"/>
      <c r="N716" s="2452"/>
      <c r="O716" s="2452"/>
      <c r="P716" s="2452"/>
      <c r="Q716" s="2452"/>
      <c r="W716" t="s">
        <v>2062</v>
      </c>
    </row>
    <row r="717" spans="1:23" ht="13.15" customHeight="1">
      <c r="A717" s="2" t="s">
        <v>2214</v>
      </c>
      <c r="B717" s="2">
        <f t="shared" si="22"/>
        <v>2020</v>
      </c>
      <c r="C717" s="2" t="str">
        <f t="shared" si="23"/>
        <v>LIM333</v>
      </c>
      <c r="D717" s="2">
        <v>99</v>
      </c>
      <c r="F717" s="2451"/>
      <c r="G717" s="2451"/>
      <c r="H717" s="2451"/>
      <c r="I717" s="2451"/>
      <c r="J717" s="2451"/>
      <c r="K717" s="2451"/>
      <c r="L717" s="2451"/>
      <c r="M717" s="2452"/>
      <c r="N717" s="2452"/>
      <c r="O717" s="2452"/>
      <c r="P717" s="2452"/>
      <c r="Q717" s="2452"/>
      <c r="W717" t="s">
        <v>2062</v>
      </c>
    </row>
    <row r="718" spans="1:23" ht="13.15" customHeight="1">
      <c r="A718" s="2" t="s">
        <v>2214</v>
      </c>
      <c r="B718" s="2">
        <f t="shared" si="22"/>
        <v>2020</v>
      </c>
      <c r="C718" s="2" t="str">
        <f t="shared" si="23"/>
        <v>LIM333</v>
      </c>
      <c r="D718" s="2">
        <v>100</v>
      </c>
      <c r="F718" s="2451"/>
      <c r="G718" s="2451"/>
      <c r="H718" s="2451"/>
      <c r="I718" s="2451"/>
      <c r="J718" s="2451"/>
      <c r="K718" s="2451"/>
      <c r="L718" s="2451"/>
      <c r="M718" s="2452"/>
      <c r="N718" s="2452"/>
      <c r="O718" s="2452"/>
      <c r="P718" s="2452"/>
      <c r="Q718" s="2452"/>
      <c r="W718" t="s">
        <v>2062</v>
      </c>
    </row>
    <row r="719" spans="1:23" ht="13.15" customHeight="1">
      <c r="A719" s="2" t="s">
        <v>2214</v>
      </c>
      <c r="B719" s="2">
        <f t="shared" si="22"/>
        <v>2020</v>
      </c>
      <c r="C719" s="2" t="str">
        <f t="shared" si="23"/>
        <v>LIM333</v>
      </c>
      <c r="D719" s="2">
        <v>101</v>
      </c>
      <c r="F719" s="2451"/>
      <c r="G719" s="2451"/>
      <c r="H719" s="2451"/>
      <c r="I719" s="2451"/>
      <c r="J719" s="2451"/>
      <c r="K719" s="2451"/>
      <c r="L719" s="2451"/>
      <c r="M719" s="2452"/>
      <c r="N719" s="2452"/>
      <c r="O719" s="2452"/>
      <c r="P719" s="2452"/>
      <c r="Q719" s="2452"/>
      <c r="W719" t="s">
        <v>2062</v>
      </c>
    </row>
    <row r="720" spans="1:23" ht="13.15" customHeight="1">
      <c r="A720" s="2" t="s">
        <v>2214</v>
      </c>
      <c r="B720" s="2">
        <f t="shared" si="22"/>
        <v>2020</v>
      </c>
      <c r="C720" s="2" t="str">
        <f t="shared" si="23"/>
        <v>LIM333</v>
      </c>
      <c r="D720" s="2">
        <v>102</v>
      </c>
      <c r="F720" s="2451"/>
      <c r="G720" s="2451"/>
      <c r="H720" s="2451"/>
      <c r="I720" s="2451"/>
      <c r="J720" s="2451"/>
      <c r="K720" s="2451"/>
      <c r="L720" s="2451"/>
      <c r="M720" s="2452"/>
      <c r="N720" s="2452"/>
      <c r="O720" s="2452"/>
      <c r="P720" s="2452"/>
      <c r="Q720" s="2452"/>
      <c r="W720" t="s">
        <v>2062</v>
      </c>
    </row>
    <row r="721" spans="1:23" ht="13.15" customHeight="1">
      <c r="A721" s="2" t="s">
        <v>2214</v>
      </c>
      <c r="B721" s="2">
        <f t="shared" si="22"/>
        <v>2020</v>
      </c>
      <c r="C721" s="2" t="str">
        <f t="shared" si="23"/>
        <v>LIM333</v>
      </c>
      <c r="D721" s="2">
        <v>103</v>
      </c>
      <c r="F721" s="2451"/>
      <c r="G721" s="2451"/>
      <c r="H721" s="2451"/>
      <c r="I721" s="2451"/>
      <c r="J721" s="2451"/>
      <c r="K721" s="2451"/>
      <c r="L721" s="2451"/>
      <c r="M721" s="2452"/>
      <c r="N721" s="2452"/>
      <c r="O721" s="2452"/>
      <c r="P721" s="2452"/>
      <c r="Q721" s="2452"/>
      <c r="W721" t="s">
        <v>2062</v>
      </c>
    </row>
    <row r="722" spans="1:23" ht="13.15" customHeight="1">
      <c r="A722" s="2" t="s">
        <v>2214</v>
      </c>
      <c r="B722" s="2">
        <f t="shared" si="22"/>
        <v>2020</v>
      </c>
      <c r="C722" s="2" t="str">
        <f t="shared" si="23"/>
        <v>LIM333</v>
      </c>
      <c r="D722" s="2">
        <v>104</v>
      </c>
      <c r="F722" s="2451"/>
      <c r="G722" s="2451"/>
      <c r="H722" s="2451"/>
      <c r="I722" s="2451"/>
      <c r="J722" s="2451"/>
      <c r="K722" s="2451"/>
      <c r="L722" s="2451"/>
      <c r="M722" s="2452"/>
      <c r="N722" s="2452"/>
      <c r="O722" s="2452"/>
      <c r="P722" s="2452"/>
      <c r="Q722" s="2452"/>
      <c r="W722" t="s">
        <v>2062</v>
      </c>
    </row>
    <row r="723" spans="1:23" ht="13.15" customHeight="1">
      <c r="A723" s="2" t="s">
        <v>2214</v>
      </c>
      <c r="B723" s="2">
        <f t="shared" si="22"/>
        <v>2020</v>
      </c>
      <c r="C723" s="2" t="str">
        <f t="shared" si="23"/>
        <v>LIM333</v>
      </c>
      <c r="D723" s="2">
        <v>105</v>
      </c>
      <c r="F723" s="2451"/>
      <c r="G723" s="2451"/>
      <c r="H723" s="2451"/>
      <c r="I723" s="2451"/>
      <c r="J723" s="2451"/>
      <c r="K723" s="2451"/>
      <c r="L723" s="2451"/>
      <c r="M723" s="2452"/>
      <c r="N723" s="2452"/>
      <c r="O723" s="2452"/>
      <c r="P723" s="2452"/>
      <c r="Q723" s="2452"/>
      <c r="W723" t="s">
        <v>2062</v>
      </c>
    </row>
    <row r="724" spans="1:23" ht="13.15" customHeight="1">
      <c r="A724" s="2" t="s">
        <v>2214</v>
      </c>
      <c r="B724" s="2">
        <f t="shared" si="22"/>
        <v>2020</v>
      </c>
      <c r="C724" s="2" t="str">
        <f t="shared" si="23"/>
        <v>LIM333</v>
      </c>
      <c r="D724" s="2">
        <v>106</v>
      </c>
      <c r="F724" s="2451"/>
      <c r="G724" s="2451"/>
      <c r="H724" s="2451"/>
      <c r="I724" s="2451"/>
      <c r="J724" s="2451"/>
      <c r="K724" s="2451"/>
      <c r="L724" s="2451"/>
      <c r="M724" s="2452"/>
      <c r="N724" s="2452"/>
      <c r="O724" s="2452"/>
      <c r="P724" s="2452"/>
      <c r="Q724" s="2452"/>
      <c r="W724" t="s">
        <v>2062</v>
      </c>
    </row>
    <row r="725" spans="1:23" ht="13.15" customHeight="1">
      <c r="A725" s="2" t="s">
        <v>2214</v>
      </c>
      <c r="B725" s="2">
        <f t="shared" si="22"/>
        <v>2020</v>
      </c>
      <c r="C725" s="2" t="str">
        <f t="shared" si="23"/>
        <v>LIM333</v>
      </c>
      <c r="D725" s="2">
        <v>107</v>
      </c>
      <c r="F725" s="2451"/>
      <c r="G725" s="2451"/>
      <c r="H725" s="2451"/>
      <c r="I725" s="2451"/>
      <c r="J725" s="2451"/>
      <c r="K725" s="2451"/>
      <c r="L725" s="2451"/>
      <c r="M725" s="2452"/>
      <c r="N725" s="2452"/>
      <c r="O725" s="2452"/>
      <c r="P725" s="2452"/>
      <c r="Q725" s="2452"/>
      <c r="W725" t="s">
        <v>2062</v>
      </c>
    </row>
    <row r="726" spans="1:23" ht="13.15" customHeight="1">
      <c r="A726" s="2" t="s">
        <v>2214</v>
      </c>
      <c r="B726" s="2">
        <f t="shared" si="22"/>
        <v>2020</v>
      </c>
      <c r="C726" s="2" t="str">
        <f t="shared" si="23"/>
        <v>LIM333</v>
      </c>
      <c r="D726" s="2">
        <v>108</v>
      </c>
      <c r="F726" s="2451"/>
      <c r="G726" s="2451"/>
      <c r="H726" s="2451"/>
      <c r="I726" s="2451"/>
      <c r="J726" s="2451"/>
      <c r="K726" s="2451"/>
      <c r="L726" s="2451"/>
      <c r="M726" s="2452"/>
      <c r="N726" s="2452"/>
      <c r="O726" s="2452"/>
      <c r="P726" s="2452"/>
      <c r="Q726" s="2452"/>
      <c r="W726" t="s">
        <v>2062</v>
      </c>
    </row>
    <row r="727" spans="1:23" ht="13.15" customHeight="1">
      <c r="A727" s="2" t="s">
        <v>2214</v>
      </c>
      <c r="B727" s="2">
        <f t="shared" si="22"/>
        <v>2020</v>
      </c>
      <c r="C727" s="2" t="str">
        <f t="shared" si="23"/>
        <v>LIM333</v>
      </c>
      <c r="D727" s="2">
        <v>109</v>
      </c>
      <c r="F727" s="2451"/>
      <c r="G727" s="2451"/>
      <c r="H727" s="2451"/>
      <c r="I727" s="2451"/>
      <c r="J727" s="2451"/>
      <c r="K727" s="2451"/>
      <c r="L727" s="2451"/>
      <c r="M727" s="2452"/>
      <c r="N727" s="2452"/>
      <c r="O727" s="2452"/>
      <c r="P727" s="2452"/>
      <c r="Q727" s="2452"/>
      <c r="W727" t="s">
        <v>2062</v>
      </c>
    </row>
    <row r="728" spans="1:23" ht="13.15" customHeight="1">
      <c r="A728" s="2" t="s">
        <v>2214</v>
      </c>
      <c r="B728" s="2">
        <f t="shared" si="22"/>
        <v>2020</v>
      </c>
      <c r="C728" s="2" t="str">
        <f t="shared" si="23"/>
        <v>LIM333</v>
      </c>
      <c r="D728" s="2">
        <v>110</v>
      </c>
      <c r="F728" s="2451"/>
      <c r="G728" s="2451"/>
      <c r="H728" s="2451"/>
      <c r="I728" s="2451"/>
      <c r="J728" s="2451"/>
      <c r="K728" s="2451"/>
      <c r="L728" s="2451"/>
      <c r="M728" s="2452"/>
      <c r="N728" s="2452"/>
      <c r="O728" s="2452"/>
      <c r="P728" s="2452"/>
      <c r="Q728" s="2452"/>
      <c r="W728" t="s">
        <v>2062</v>
      </c>
    </row>
    <row r="729" spans="1:23" ht="13.15" customHeight="1">
      <c r="A729" s="2" t="s">
        <v>2214</v>
      </c>
      <c r="B729" s="2">
        <f t="shared" si="22"/>
        <v>2020</v>
      </c>
      <c r="C729" s="2" t="str">
        <f t="shared" si="23"/>
        <v>LIM333</v>
      </c>
      <c r="D729" s="2">
        <v>111</v>
      </c>
      <c r="F729" s="2451"/>
      <c r="G729" s="2451"/>
      <c r="H729" s="2451"/>
      <c r="I729" s="2451"/>
      <c r="J729" s="2451"/>
      <c r="K729" s="2451"/>
      <c r="L729" s="2451"/>
      <c r="M729" s="2452"/>
      <c r="N729" s="2452"/>
      <c r="O729" s="2452"/>
      <c r="P729" s="2452"/>
      <c r="Q729" s="2452"/>
      <c r="W729" t="s">
        <v>2062</v>
      </c>
    </row>
    <row r="730" spans="1:23" ht="13.15" customHeight="1">
      <c r="A730" s="2" t="s">
        <v>2214</v>
      </c>
      <c r="B730" s="2">
        <f t="shared" si="22"/>
        <v>2020</v>
      </c>
      <c r="C730" s="2" t="str">
        <f t="shared" si="23"/>
        <v>LIM333</v>
      </c>
      <c r="D730" s="2">
        <v>112</v>
      </c>
      <c r="F730" s="2451"/>
      <c r="G730" s="2451"/>
      <c r="H730" s="2451"/>
      <c r="I730" s="2451"/>
      <c r="J730" s="2451"/>
      <c r="K730" s="2451"/>
      <c r="L730" s="2451"/>
      <c r="M730" s="2452"/>
      <c r="N730" s="2452"/>
      <c r="O730" s="2452"/>
      <c r="P730" s="2452"/>
      <c r="Q730" s="2452"/>
      <c r="W730" t="s">
        <v>2062</v>
      </c>
    </row>
    <row r="731" spans="1:23" ht="13.15" customHeight="1">
      <c r="A731" s="2" t="s">
        <v>2214</v>
      </c>
      <c r="B731" s="2">
        <f t="shared" si="22"/>
        <v>2020</v>
      </c>
      <c r="C731" s="2" t="str">
        <f t="shared" si="23"/>
        <v>LIM333</v>
      </c>
      <c r="D731" s="2">
        <v>113</v>
      </c>
      <c r="F731" s="2451"/>
      <c r="G731" s="2451"/>
      <c r="H731" s="2451"/>
      <c r="I731" s="2451"/>
      <c r="J731" s="2451"/>
      <c r="K731" s="2451"/>
      <c r="L731" s="2451"/>
      <c r="M731" s="2452"/>
      <c r="N731" s="2452"/>
      <c r="O731" s="2452"/>
      <c r="P731" s="2452"/>
      <c r="Q731" s="2452"/>
      <c r="W731" t="s">
        <v>2062</v>
      </c>
    </row>
    <row r="732" spans="1:23" ht="13.15" customHeight="1">
      <c r="A732" s="2" t="s">
        <v>2214</v>
      </c>
      <c r="B732" s="2">
        <f t="shared" si="22"/>
        <v>2020</v>
      </c>
      <c r="C732" s="2" t="str">
        <f t="shared" si="23"/>
        <v>LIM333</v>
      </c>
      <c r="D732" s="2">
        <v>114</v>
      </c>
      <c r="F732" s="2451"/>
      <c r="G732" s="2451"/>
      <c r="H732" s="2451"/>
      <c r="I732" s="2451"/>
      <c r="J732" s="2451"/>
      <c r="K732" s="2451"/>
      <c r="L732" s="2451"/>
      <c r="M732" s="2452"/>
      <c r="N732" s="2452"/>
      <c r="O732" s="2452"/>
      <c r="P732" s="2452"/>
      <c r="Q732" s="2452"/>
      <c r="W732" t="s">
        <v>2062</v>
      </c>
    </row>
    <row r="733" spans="1:23" ht="13.15" customHeight="1">
      <c r="A733" s="2" t="s">
        <v>2214</v>
      </c>
      <c r="B733" s="2">
        <f t="shared" si="22"/>
        <v>2020</v>
      </c>
      <c r="C733" s="2" t="str">
        <f t="shared" si="23"/>
        <v>LIM333</v>
      </c>
      <c r="D733" s="2">
        <v>115</v>
      </c>
      <c r="F733" s="2451"/>
      <c r="G733" s="2451"/>
      <c r="H733" s="2451"/>
      <c r="I733" s="2451"/>
      <c r="J733" s="2451"/>
      <c r="K733" s="2451"/>
      <c r="L733" s="2451"/>
      <c r="M733" s="2452"/>
      <c r="N733" s="2452"/>
      <c r="O733" s="2452"/>
      <c r="P733" s="2452"/>
      <c r="Q733" s="2452"/>
      <c r="W733" t="s">
        <v>2062</v>
      </c>
    </row>
    <row r="734" spans="1:23" ht="13.15" customHeight="1">
      <c r="A734" s="2" t="s">
        <v>2214</v>
      </c>
      <c r="B734" s="2">
        <f t="shared" si="22"/>
        <v>2020</v>
      </c>
      <c r="C734" s="2" t="str">
        <f t="shared" si="23"/>
        <v>LIM333</v>
      </c>
      <c r="D734" s="2">
        <v>116</v>
      </c>
      <c r="F734" s="2451"/>
      <c r="G734" s="2451"/>
      <c r="H734" s="2451"/>
      <c r="I734" s="2451"/>
      <c r="J734" s="2451"/>
      <c r="K734" s="2451"/>
      <c r="L734" s="2451"/>
      <c r="M734" s="2452"/>
      <c r="N734" s="2452"/>
      <c r="O734" s="2452"/>
      <c r="P734" s="2452"/>
      <c r="Q734" s="2452"/>
      <c r="W734" t="s">
        <v>2062</v>
      </c>
    </row>
    <row r="735" spans="1:23" ht="13.15" customHeight="1">
      <c r="A735" s="2" t="s">
        <v>2214</v>
      </c>
      <c r="B735" s="2">
        <f t="shared" si="22"/>
        <v>2020</v>
      </c>
      <c r="C735" s="2" t="str">
        <f t="shared" si="23"/>
        <v>LIM333</v>
      </c>
      <c r="D735" s="2">
        <v>117</v>
      </c>
      <c r="F735" s="2451"/>
      <c r="G735" s="2451"/>
      <c r="H735" s="2451"/>
      <c r="I735" s="2451"/>
      <c r="J735" s="2451"/>
      <c r="K735" s="2451"/>
      <c r="L735" s="2451"/>
      <c r="M735" s="2452"/>
      <c r="N735" s="2452"/>
      <c r="O735" s="2452"/>
      <c r="P735" s="2452"/>
      <c r="Q735" s="2452"/>
      <c r="W735" t="s">
        <v>2062</v>
      </c>
    </row>
    <row r="736" spans="1:23" ht="13.15" customHeight="1">
      <c r="A736" s="2" t="s">
        <v>2214</v>
      </c>
      <c r="B736" s="2">
        <f t="shared" si="22"/>
        <v>2020</v>
      </c>
      <c r="C736" s="2" t="str">
        <f t="shared" si="23"/>
        <v>LIM333</v>
      </c>
      <c r="D736" s="2">
        <v>118</v>
      </c>
      <c r="F736" s="2451"/>
      <c r="G736" s="2451"/>
      <c r="H736" s="2451"/>
      <c r="I736" s="2451"/>
      <c r="J736" s="2451"/>
      <c r="K736" s="2451"/>
      <c r="L736" s="2451"/>
      <c r="M736" s="2452"/>
      <c r="N736" s="2452"/>
      <c r="O736" s="2452"/>
      <c r="P736" s="2452"/>
      <c r="Q736" s="2452"/>
      <c r="W736" t="s">
        <v>2062</v>
      </c>
    </row>
    <row r="737" spans="1:23" ht="13.15" customHeight="1">
      <c r="A737" s="2" t="s">
        <v>2214</v>
      </c>
      <c r="B737" s="2">
        <f t="shared" si="22"/>
        <v>2020</v>
      </c>
      <c r="C737" s="2" t="str">
        <f t="shared" si="23"/>
        <v>LIM333</v>
      </c>
      <c r="D737" s="2">
        <v>119</v>
      </c>
      <c r="F737" s="2451"/>
      <c r="G737" s="2451"/>
      <c r="H737" s="2451"/>
      <c r="I737" s="2451"/>
      <c r="J737" s="2451"/>
      <c r="K737" s="2451"/>
      <c r="L737" s="2451"/>
      <c r="M737" s="2452"/>
      <c r="N737" s="2452"/>
      <c r="O737" s="2452"/>
      <c r="P737" s="2452"/>
      <c r="Q737" s="2452"/>
      <c r="W737" t="s">
        <v>2062</v>
      </c>
    </row>
    <row r="738" spans="1:23" ht="13.15" customHeight="1">
      <c r="A738" s="2" t="s">
        <v>2214</v>
      </c>
      <c r="B738" s="2">
        <f t="shared" si="22"/>
        <v>2020</v>
      </c>
      <c r="C738" s="2" t="str">
        <f t="shared" si="23"/>
        <v>LIM333</v>
      </c>
      <c r="D738" s="2">
        <v>120</v>
      </c>
      <c r="F738" s="2451"/>
      <c r="G738" s="2451"/>
      <c r="H738" s="2451"/>
      <c r="I738" s="2451"/>
      <c r="J738" s="2451"/>
      <c r="K738" s="2451"/>
      <c r="L738" s="2451"/>
      <c r="M738" s="2452"/>
      <c r="N738" s="2452"/>
      <c r="O738" s="2452"/>
      <c r="P738" s="2452"/>
      <c r="Q738" s="2452"/>
      <c r="W738" t="s">
        <v>2062</v>
      </c>
    </row>
    <row r="739" spans="1:23" ht="13.15" customHeight="1">
      <c r="A739" s="2" t="s">
        <v>2214</v>
      </c>
      <c r="B739" s="2">
        <f t="shared" si="22"/>
        <v>2020</v>
      </c>
      <c r="C739" s="2" t="str">
        <f t="shared" si="23"/>
        <v>LIM333</v>
      </c>
      <c r="D739" s="2">
        <v>121</v>
      </c>
      <c r="F739" s="2451"/>
      <c r="G739" s="2451"/>
      <c r="H739" s="2451"/>
      <c r="I739" s="2451"/>
      <c r="J739" s="2451"/>
      <c r="K739" s="2451"/>
      <c r="L739" s="2451"/>
      <c r="M739" s="2452"/>
      <c r="N739" s="2452"/>
      <c r="O739" s="2452"/>
      <c r="P739" s="2452"/>
      <c r="Q739" s="2452"/>
      <c r="W739" t="s">
        <v>2062</v>
      </c>
    </row>
    <row r="740" spans="1:23" ht="13.15" customHeight="1">
      <c r="A740" s="2" t="s">
        <v>2214</v>
      </c>
      <c r="B740" s="2">
        <f t="shared" si="22"/>
        <v>2020</v>
      </c>
      <c r="C740" s="2" t="str">
        <f t="shared" si="23"/>
        <v>LIM333</v>
      </c>
      <c r="D740" s="2">
        <v>122</v>
      </c>
      <c r="F740" s="2451"/>
      <c r="G740" s="2451"/>
      <c r="H740" s="2451"/>
      <c r="I740" s="2451"/>
      <c r="J740" s="2451"/>
      <c r="K740" s="2451"/>
      <c r="L740" s="2451"/>
      <c r="M740" s="2452"/>
      <c r="N740" s="2452"/>
      <c r="O740" s="2452"/>
      <c r="P740" s="2452"/>
      <c r="Q740" s="2452"/>
      <c r="W740" t="s">
        <v>2062</v>
      </c>
    </row>
    <row r="741" spans="1:23" ht="13.15" customHeight="1">
      <c r="A741" s="2" t="s">
        <v>2214</v>
      </c>
      <c r="B741" s="2">
        <f t="shared" si="22"/>
        <v>2020</v>
      </c>
      <c r="C741" s="2" t="str">
        <f t="shared" si="23"/>
        <v>LIM333</v>
      </c>
      <c r="D741" s="2">
        <v>123</v>
      </c>
      <c r="F741" s="2451"/>
      <c r="G741" s="2451"/>
      <c r="H741" s="2451"/>
      <c r="I741" s="2451"/>
      <c r="J741" s="2451"/>
      <c r="K741" s="2451"/>
      <c r="L741" s="2451"/>
      <c r="M741" s="2452"/>
      <c r="N741" s="2452"/>
      <c r="O741" s="2452"/>
      <c r="P741" s="2452"/>
      <c r="Q741" s="2452"/>
      <c r="W741" t="s">
        <v>2062</v>
      </c>
    </row>
    <row r="742" spans="1:23" ht="13.15" customHeight="1">
      <c r="A742" s="2" t="s">
        <v>2214</v>
      </c>
      <c r="B742" s="2">
        <f t="shared" si="22"/>
        <v>2020</v>
      </c>
      <c r="C742" s="2" t="str">
        <f t="shared" si="23"/>
        <v>LIM333</v>
      </c>
      <c r="D742" s="2">
        <v>124</v>
      </c>
      <c r="F742" s="2451"/>
      <c r="G742" s="2451"/>
      <c r="H742" s="2451"/>
      <c r="I742" s="2451"/>
      <c r="J742" s="2451"/>
      <c r="K742" s="2451"/>
      <c r="L742" s="2451"/>
      <c r="M742" s="2452"/>
      <c r="N742" s="2452"/>
      <c r="O742" s="2452"/>
      <c r="P742" s="2452"/>
      <c r="Q742" s="2452"/>
      <c r="W742" t="s">
        <v>2062</v>
      </c>
    </row>
    <row r="743" spans="1:23" ht="13.15" customHeight="1">
      <c r="A743" s="2" t="s">
        <v>2214</v>
      </c>
      <c r="B743" s="2">
        <f t="shared" si="22"/>
        <v>2020</v>
      </c>
      <c r="C743" s="2" t="str">
        <f t="shared" si="23"/>
        <v>LIM333</v>
      </c>
      <c r="D743" s="2">
        <v>125</v>
      </c>
      <c r="F743" s="2451"/>
      <c r="G743" s="2451"/>
      <c r="H743" s="2451"/>
      <c r="I743" s="2451"/>
      <c r="J743" s="2451"/>
      <c r="K743" s="2451"/>
      <c r="L743" s="2451"/>
      <c r="M743" s="2452"/>
      <c r="N743" s="2452"/>
      <c r="O743" s="2452"/>
      <c r="P743" s="2452"/>
      <c r="Q743" s="2452"/>
      <c r="W743" t="s">
        <v>2062</v>
      </c>
    </row>
    <row r="744" spans="1:23" ht="13.15" customHeight="1">
      <c r="A744" s="2" t="s">
        <v>2214</v>
      </c>
      <c r="B744" s="2">
        <f t="shared" si="22"/>
        <v>2020</v>
      </c>
      <c r="C744" s="2" t="str">
        <f t="shared" si="23"/>
        <v>LIM333</v>
      </c>
      <c r="D744" s="2">
        <v>126</v>
      </c>
      <c r="F744" s="2451"/>
      <c r="G744" s="2451"/>
      <c r="H744" s="2451"/>
      <c r="I744" s="2451"/>
      <c r="J744" s="2451"/>
      <c r="K744" s="2451"/>
      <c r="L744" s="2451"/>
      <c r="M744" s="2452"/>
      <c r="N744" s="2452"/>
      <c r="O744" s="2452"/>
      <c r="P744" s="2452"/>
      <c r="Q744" s="2452"/>
      <c r="W744" t="s">
        <v>2062</v>
      </c>
    </row>
    <row r="745" spans="1:23" ht="13.15" customHeight="1">
      <c r="A745" s="2" t="s">
        <v>2214</v>
      </c>
      <c r="B745" s="2">
        <f t="shared" si="22"/>
        <v>2020</v>
      </c>
      <c r="C745" s="2" t="str">
        <f t="shared" si="23"/>
        <v>LIM333</v>
      </c>
      <c r="D745" s="2">
        <v>127</v>
      </c>
      <c r="F745" s="2451"/>
      <c r="G745" s="2451"/>
      <c r="H745" s="2451"/>
      <c r="I745" s="2451"/>
      <c r="J745" s="2451"/>
      <c r="K745" s="2451"/>
      <c r="L745" s="2451"/>
      <c r="M745" s="2452"/>
      <c r="N745" s="2452"/>
      <c r="O745" s="2452"/>
      <c r="P745" s="2452"/>
      <c r="Q745" s="2452"/>
      <c r="W745" t="s">
        <v>2062</v>
      </c>
    </row>
    <row r="746" spans="1:23" ht="13.15" customHeight="1">
      <c r="A746" s="2" t="s">
        <v>2214</v>
      </c>
      <c r="B746" s="2">
        <f t="shared" si="22"/>
        <v>2020</v>
      </c>
      <c r="C746" s="2" t="str">
        <f t="shared" si="23"/>
        <v>LIM333</v>
      </c>
      <c r="D746" s="2">
        <v>128</v>
      </c>
      <c r="F746" s="2451"/>
      <c r="G746" s="2451"/>
      <c r="H746" s="2451"/>
      <c r="I746" s="2451"/>
      <c r="J746" s="2451"/>
      <c r="K746" s="2451"/>
      <c r="L746" s="2451"/>
      <c r="M746" s="2452"/>
      <c r="N746" s="2452"/>
      <c r="O746" s="2452"/>
      <c r="P746" s="2452"/>
      <c r="Q746" s="2452"/>
      <c r="W746" t="s">
        <v>2062</v>
      </c>
    </row>
    <row r="747" spans="1:23" ht="13.15" customHeight="1">
      <c r="A747" s="2" t="s">
        <v>2214</v>
      </c>
      <c r="B747" s="2">
        <f t="shared" si="22"/>
        <v>2020</v>
      </c>
      <c r="C747" s="2" t="str">
        <f t="shared" si="23"/>
        <v>LIM333</v>
      </c>
      <c r="D747" s="2">
        <v>129</v>
      </c>
      <c r="F747" s="2451"/>
      <c r="G747" s="2451"/>
      <c r="H747" s="2451"/>
      <c r="I747" s="2451"/>
      <c r="J747" s="2451"/>
      <c r="K747" s="2451"/>
      <c r="L747" s="2451"/>
      <c r="M747" s="2452"/>
      <c r="N747" s="2452"/>
      <c r="O747" s="2452"/>
      <c r="P747" s="2452"/>
      <c r="Q747" s="2452"/>
      <c r="W747" t="s">
        <v>2062</v>
      </c>
    </row>
    <row r="748" spans="1:23" ht="13.15" customHeight="1">
      <c r="A748" s="2" t="s">
        <v>2214</v>
      </c>
      <c r="B748" s="2">
        <f t="shared" si="22"/>
        <v>2020</v>
      </c>
      <c r="C748" s="2" t="str">
        <f t="shared" si="23"/>
        <v>LIM333</v>
      </c>
      <c r="D748" s="2">
        <v>130</v>
      </c>
      <c r="F748" s="2451"/>
      <c r="G748" s="2451"/>
      <c r="H748" s="2451"/>
      <c r="I748" s="2451"/>
      <c r="J748" s="2451"/>
      <c r="K748" s="2451"/>
      <c r="L748" s="2451"/>
      <c r="M748" s="2452"/>
      <c r="N748" s="2452"/>
      <c r="O748" s="2452"/>
      <c r="P748" s="2452"/>
      <c r="Q748" s="2452"/>
      <c r="W748" t="s">
        <v>2062</v>
      </c>
    </row>
    <row r="749" spans="1:23" ht="13.15" customHeight="1">
      <c r="A749" s="2" t="s">
        <v>2214</v>
      </c>
      <c r="B749" s="2">
        <f t="shared" si="22"/>
        <v>2020</v>
      </c>
      <c r="C749" s="2" t="str">
        <f t="shared" si="23"/>
        <v>LIM333</v>
      </c>
      <c r="D749" s="2">
        <v>131</v>
      </c>
      <c r="F749" s="2451"/>
      <c r="G749" s="2451"/>
      <c r="H749" s="2451"/>
      <c r="I749" s="2451"/>
      <c r="J749" s="2451"/>
      <c r="K749" s="2451"/>
      <c r="L749" s="2451"/>
      <c r="M749" s="2452"/>
      <c r="N749" s="2452"/>
      <c r="O749" s="2452"/>
      <c r="P749" s="2452"/>
      <c r="Q749" s="2452"/>
      <c r="W749" t="s">
        <v>2062</v>
      </c>
    </row>
    <row r="750" spans="1:23" ht="13.15" customHeight="1">
      <c r="A750" s="2" t="s">
        <v>2214</v>
      </c>
      <c r="B750" s="2">
        <f t="shared" si="22"/>
        <v>2020</v>
      </c>
      <c r="C750" s="2" t="str">
        <f t="shared" si="23"/>
        <v>LIM333</v>
      </c>
      <c r="D750" s="2">
        <v>132</v>
      </c>
      <c r="F750" s="2451"/>
      <c r="G750" s="2451"/>
      <c r="H750" s="2451"/>
      <c r="I750" s="2451"/>
      <c r="J750" s="2451"/>
      <c r="K750" s="2451"/>
      <c r="L750" s="2451"/>
      <c r="M750" s="2452"/>
      <c r="N750" s="2452"/>
      <c r="O750" s="2452"/>
      <c r="P750" s="2452"/>
      <c r="Q750" s="2452"/>
      <c r="W750" t="s">
        <v>2062</v>
      </c>
    </row>
    <row r="751" spans="1:23" ht="13.15" customHeight="1">
      <c r="A751" s="2" t="s">
        <v>2214</v>
      </c>
      <c r="B751" s="2">
        <f t="shared" si="22"/>
        <v>2020</v>
      </c>
      <c r="C751" s="2" t="str">
        <f t="shared" si="23"/>
        <v>LIM333</v>
      </c>
      <c r="D751" s="2">
        <v>133</v>
      </c>
      <c r="F751" s="2451"/>
      <c r="G751" s="2451"/>
      <c r="H751" s="2451"/>
      <c r="I751" s="2451"/>
      <c r="J751" s="2451"/>
      <c r="K751" s="2451"/>
      <c r="L751" s="2451"/>
      <c r="M751" s="2452"/>
      <c r="N751" s="2452"/>
      <c r="O751" s="2452"/>
      <c r="P751" s="2452"/>
      <c r="Q751" s="2452"/>
      <c r="W751" t="s">
        <v>2062</v>
      </c>
    </row>
    <row r="752" spans="1:23" ht="13.15" customHeight="1">
      <c r="A752" s="2" t="s">
        <v>2214</v>
      </c>
      <c r="B752" s="2">
        <f t="shared" si="22"/>
        <v>2020</v>
      </c>
      <c r="C752" s="2" t="str">
        <f t="shared" si="23"/>
        <v>LIM333</v>
      </c>
      <c r="D752" s="2">
        <v>134</v>
      </c>
      <c r="F752" s="2451"/>
      <c r="G752" s="2451"/>
      <c r="H752" s="2451"/>
      <c r="I752" s="2451"/>
      <c r="J752" s="2451"/>
      <c r="K752" s="2451"/>
      <c r="L752" s="2451"/>
      <c r="M752" s="2452"/>
      <c r="N752" s="2452"/>
      <c r="O752" s="2452"/>
      <c r="P752" s="2452"/>
      <c r="Q752" s="2452"/>
      <c r="W752" t="s">
        <v>2062</v>
      </c>
    </row>
    <row r="753" spans="1:23" ht="13.15" customHeight="1">
      <c r="A753" s="2" t="s">
        <v>2214</v>
      </c>
      <c r="B753" s="2">
        <f t="shared" si="22"/>
        <v>2020</v>
      </c>
      <c r="C753" s="2" t="str">
        <f t="shared" si="23"/>
        <v>LIM333</v>
      </c>
      <c r="D753" s="2">
        <v>135</v>
      </c>
      <c r="F753" s="2451"/>
      <c r="G753" s="2451"/>
      <c r="H753" s="2451"/>
      <c r="I753" s="2451"/>
      <c r="J753" s="2451"/>
      <c r="K753" s="2451"/>
      <c r="L753" s="2451"/>
      <c r="M753" s="2452"/>
      <c r="N753" s="2452"/>
      <c r="O753" s="2452"/>
      <c r="P753" s="2452"/>
      <c r="Q753" s="2452"/>
      <c r="W753" t="s">
        <v>2062</v>
      </c>
    </row>
    <row r="754" spans="1:23" ht="13.15" customHeight="1">
      <c r="A754" s="2" t="s">
        <v>2214</v>
      </c>
      <c r="B754" s="2">
        <f t="shared" si="22"/>
        <v>2020</v>
      </c>
      <c r="C754" s="2" t="str">
        <f t="shared" si="23"/>
        <v>LIM333</v>
      </c>
      <c r="D754" s="2">
        <v>136</v>
      </c>
      <c r="F754" s="2451"/>
      <c r="G754" s="2451"/>
      <c r="H754" s="2451"/>
      <c r="I754" s="2451"/>
      <c r="J754" s="2451"/>
      <c r="K754" s="2451"/>
      <c r="L754" s="2451"/>
      <c r="M754" s="2452"/>
      <c r="N754" s="2452"/>
      <c r="O754" s="2452"/>
      <c r="P754" s="2452"/>
      <c r="Q754" s="2452"/>
      <c r="W754" t="s">
        <v>2062</v>
      </c>
    </row>
    <row r="755" spans="1:23" ht="13.15" customHeight="1">
      <c r="A755" s="2" t="s">
        <v>2214</v>
      </c>
      <c r="B755" s="2">
        <f t="shared" si="22"/>
        <v>2020</v>
      </c>
      <c r="C755" s="2" t="str">
        <f t="shared" si="23"/>
        <v>LIM333</v>
      </c>
      <c r="D755" s="2">
        <v>137</v>
      </c>
      <c r="F755" s="2451"/>
      <c r="G755" s="2451"/>
      <c r="H755" s="2451"/>
      <c r="I755" s="2451"/>
      <c r="J755" s="2451"/>
      <c r="K755" s="2451"/>
      <c r="L755" s="2451"/>
      <c r="M755" s="2452"/>
      <c r="N755" s="2452"/>
      <c r="O755" s="2452"/>
      <c r="P755" s="2452"/>
      <c r="Q755" s="2452"/>
      <c r="W755" t="s">
        <v>2062</v>
      </c>
    </row>
    <row r="756" spans="1:23" ht="13.15" customHeight="1">
      <c r="A756" s="2" t="s">
        <v>2214</v>
      </c>
      <c r="B756" s="2">
        <f t="shared" si="22"/>
        <v>2020</v>
      </c>
      <c r="C756" s="2" t="str">
        <f t="shared" si="23"/>
        <v>LIM333</v>
      </c>
      <c r="D756" s="2">
        <v>138</v>
      </c>
      <c r="F756" s="2451"/>
      <c r="G756" s="2451"/>
      <c r="H756" s="2451"/>
      <c r="I756" s="2451"/>
      <c r="J756" s="2451"/>
      <c r="K756" s="2451"/>
      <c r="L756" s="2451"/>
      <c r="M756" s="2452"/>
      <c r="N756" s="2452"/>
      <c r="O756" s="2452"/>
      <c r="P756" s="2452"/>
      <c r="Q756" s="2452"/>
      <c r="W756" t="s">
        <v>2062</v>
      </c>
    </row>
    <row r="757" spans="1:23" ht="13.15" customHeight="1">
      <c r="A757" s="2" t="s">
        <v>2214</v>
      </c>
      <c r="B757" s="2">
        <f t="shared" si="22"/>
        <v>2020</v>
      </c>
      <c r="C757" s="2" t="str">
        <f t="shared" si="23"/>
        <v>LIM333</v>
      </c>
      <c r="D757" s="2">
        <v>139</v>
      </c>
      <c r="F757" s="2451"/>
      <c r="G757" s="2451"/>
      <c r="H757" s="2451"/>
      <c r="I757" s="2451"/>
      <c r="J757" s="2451"/>
      <c r="K757" s="2451"/>
      <c r="L757" s="2451"/>
      <c r="M757" s="2452"/>
      <c r="N757" s="2452"/>
      <c r="O757" s="2452"/>
      <c r="P757" s="2452"/>
      <c r="Q757" s="2452"/>
      <c r="W757" t="s">
        <v>2062</v>
      </c>
    </row>
    <row r="758" spans="1:23" ht="13.15" customHeight="1">
      <c r="A758" s="2" t="s">
        <v>2214</v>
      </c>
      <c r="B758" s="2">
        <f t="shared" si="22"/>
        <v>2020</v>
      </c>
      <c r="C758" s="2" t="str">
        <f t="shared" si="23"/>
        <v>LIM333</v>
      </c>
      <c r="D758" s="2">
        <v>140</v>
      </c>
      <c r="F758" s="2451"/>
      <c r="G758" s="2451"/>
      <c r="H758" s="2451"/>
      <c r="I758" s="2451"/>
      <c r="J758" s="2451"/>
      <c r="K758" s="2451"/>
      <c r="L758" s="2451"/>
      <c r="M758" s="2452"/>
      <c r="N758" s="2452"/>
      <c r="O758" s="2452"/>
      <c r="P758" s="2452"/>
      <c r="Q758" s="2452"/>
      <c r="W758" t="s">
        <v>2062</v>
      </c>
    </row>
    <row r="759" spans="1:23" ht="13.15" customHeight="1">
      <c r="A759" s="2" t="s">
        <v>2214</v>
      </c>
      <c r="B759" s="2">
        <f t="shared" si="22"/>
        <v>2020</v>
      </c>
      <c r="C759" s="2" t="str">
        <f t="shared" si="23"/>
        <v>LIM333</v>
      </c>
      <c r="D759" s="2">
        <v>141</v>
      </c>
      <c r="F759" s="2451"/>
      <c r="G759" s="2451"/>
      <c r="H759" s="2451"/>
      <c r="I759" s="2451"/>
      <c r="J759" s="2451"/>
      <c r="K759" s="2451"/>
      <c r="L759" s="2451"/>
      <c r="M759" s="2452"/>
      <c r="N759" s="2452"/>
      <c r="O759" s="2452"/>
      <c r="P759" s="2452"/>
      <c r="Q759" s="2452"/>
      <c r="W759" t="s">
        <v>2062</v>
      </c>
    </row>
    <row r="760" spans="1:23" ht="13.15" customHeight="1">
      <c r="A760" s="2" t="s">
        <v>2214</v>
      </c>
      <c r="B760" s="2">
        <f t="shared" si="22"/>
        <v>2020</v>
      </c>
      <c r="C760" s="2" t="str">
        <f t="shared" si="23"/>
        <v>LIM333</v>
      </c>
      <c r="D760" s="2">
        <v>142</v>
      </c>
      <c r="F760" s="2451"/>
      <c r="G760" s="2451"/>
      <c r="H760" s="2451"/>
      <c r="I760" s="2451"/>
      <c r="J760" s="2451"/>
      <c r="K760" s="2451"/>
      <c r="L760" s="2451"/>
      <c r="M760" s="2452"/>
      <c r="N760" s="2452"/>
      <c r="O760" s="2452"/>
      <c r="P760" s="2452"/>
      <c r="Q760" s="2452"/>
      <c r="W760" t="s">
        <v>2062</v>
      </c>
    </row>
    <row r="761" spans="1:23" ht="13.15" customHeight="1">
      <c r="A761" s="2" t="s">
        <v>2214</v>
      </c>
      <c r="B761" s="2">
        <f t="shared" si="22"/>
        <v>2020</v>
      </c>
      <c r="C761" s="2" t="str">
        <f t="shared" si="23"/>
        <v>LIM333</v>
      </c>
      <c r="D761" s="2">
        <v>143</v>
      </c>
      <c r="F761" s="2451"/>
      <c r="G761" s="2451"/>
      <c r="H761" s="2451"/>
      <c r="I761" s="2451"/>
      <c r="J761" s="2451"/>
      <c r="K761" s="2451"/>
      <c r="L761" s="2451"/>
      <c r="M761" s="2452"/>
      <c r="N761" s="2452"/>
      <c r="O761" s="2452"/>
      <c r="P761" s="2452"/>
      <c r="Q761" s="2452"/>
      <c r="W761" t="s">
        <v>2062</v>
      </c>
    </row>
    <row r="762" spans="1:23" ht="13.15" customHeight="1">
      <c r="A762" s="2" t="s">
        <v>2214</v>
      </c>
      <c r="B762" s="2">
        <f t="shared" si="22"/>
        <v>2020</v>
      </c>
      <c r="C762" s="2" t="str">
        <f t="shared" si="23"/>
        <v>LIM333</v>
      </c>
      <c r="D762" s="2">
        <v>144</v>
      </c>
      <c r="F762" s="2451"/>
      <c r="G762" s="2451"/>
      <c r="H762" s="2451"/>
      <c r="I762" s="2451"/>
      <c r="J762" s="2451"/>
      <c r="K762" s="2451"/>
      <c r="L762" s="2451"/>
      <c r="M762" s="2452"/>
      <c r="N762" s="2452"/>
      <c r="O762" s="2452"/>
      <c r="P762" s="2452"/>
      <c r="Q762" s="2452"/>
      <c r="W762" t="s">
        <v>2062</v>
      </c>
    </row>
    <row r="763" spans="1:23" ht="13.15" customHeight="1">
      <c r="A763" s="2" t="s">
        <v>2214</v>
      </c>
      <c r="B763" s="2">
        <f t="shared" si="22"/>
        <v>2020</v>
      </c>
      <c r="C763" s="2" t="str">
        <f t="shared" si="23"/>
        <v>LIM333</v>
      </c>
      <c r="D763" s="2">
        <v>145</v>
      </c>
      <c r="F763" s="2451"/>
      <c r="G763" s="2451"/>
      <c r="H763" s="2451"/>
      <c r="I763" s="2451"/>
      <c r="J763" s="2451"/>
      <c r="K763" s="2451"/>
      <c r="L763" s="2451"/>
      <c r="M763" s="2452"/>
      <c r="N763" s="2452"/>
      <c r="O763" s="2452"/>
      <c r="P763" s="2452"/>
      <c r="Q763" s="2452"/>
      <c r="W763" t="s">
        <v>2062</v>
      </c>
    </row>
    <row r="764" spans="1:23" ht="13.15" customHeight="1">
      <c r="A764" s="2" t="s">
        <v>2214</v>
      </c>
      <c r="B764" s="2">
        <f t="shared" si="22"/>
        <v>2020</v>
      </c>
      <c r="C764" s="2" t="str">
        <f t="shared" si="23"/>
        <v>LIM333</v>
      </c>
      <c r="D764" s="2">
        <v>146</v>
      </c>
      <c r="F764" s="2451"/>
      <c r="G764" s="2451"/>
      <c r="H764" s="2451"/>
      <c r="I764" s="2451"/>
      <c r="J764" s="2451"/>
      <c r="K764" s="2451"/>
      <c r="L764" s="2451"/>
      <c r="M764" s="2452"/>
      <c r="N764" s="2452"/>
      <c r="O764" s="2452"/>
      <c r="P764" s="2452"/>
      <c r="Q764" s="2452"/>
      <c r="W764" t="s">
        <v>2062</v>
      </c>
    </row>
    <row r="765" spans="1:23" ht="13.15" customHeight="1">
      <c r="A765" s="2" t="s">
        <v>2214</v>
      </c>
      <c r="B765" s="2">
        <f t="shared" si="22"/>
        <v>2020</v>
      </c>
      <c r="C765" s="2" t="str">
        <f t="shared" si="23"/>
        <v>LIM333</v>
      </c>
      <c r="D765" s="2">
        <v>147</v>
      </c>
      <c r="F765" s="2451"/>
      <c r="G765" s="2451"/>
      <c r="H765" s="2451"/>
      <c r="I765" s="2451"/>
      <c r="J765" s="2451"/>
      <c r="K765" s="2451"/>
      <c r="L765" s="2451"/>
      <c r="M765" s="2452"/>
      <c r="N765" s="2452"/>
      <c r="O765" s="2452"/>
      <c r="P765" s="2452"/>
      <c r="Q765" s="2452"/>
      <c r="W765" t="s">
        <v>2062</v>
      </c>
    </row>
    <row r="766" spans="1:23" ht="13.15" customHeight="1">
      <c r="A766" s="2" t="s">
        <v>2214</v>
      </c>
      <c r="B766" s="2">
        <f t="shared" si="22"/>
        <v>2020</v>
      </c>
      <c r="C766" s="2" t="str">
        <f t="shared" si="23"/>
        <v>LIM333</v>
      </c>
      <c r="D766" s="2">
        <v>148</v>
      </c>
      <c r="F766" s="2451"/>
      <c r="G766" s="2451"/>
      <c r="H766" s="2451"/>
      <c r="I766" s="2451"/>
      <c r="J766" s="2451"/>
      <c r="K766" s="2451"/>
      <c r="L766" s="2451"/>
      <c r="M766" s="2452"/>
      <c r="N766" s="2452"/>
      <c r="O766" s="2452"/>
      <c r="P766" s="2452"/>
      <c r="Q766" s="2452"/>
      <c r="W766" t="s">
        <v>2062</v>
      </c>
    </row>
    <row r="767" spans="1:23" ht="13.15" customHeight="1">
      <c r="A767" s="2" t="s">
        <v>2214</v>
      </c>
      <c r="B767" s="2">
        <f t="shared" si="22"/>
        <v>2020</v>
      </c>
      <c r="C767" s="2" t="str">
        <f t="shared" si="23"/>
        <v>LIM333</v>
      </c>
      <c r="D767" s="2">
        <v>149</v>
      </c>
      <c r="F767" s="2451"/>
      <c r="G767" s="2451"/>
      <c r="H767" s="2451"/>
      <c r="I767" s="2451"/>
      <c r="J767" s="2451"/>
      <c r="K767" s="2451"/>
      <c r="L767" s="2451"/>
      <c r="M767" s="2452"/>
      <c r="N767" s="2452"/>
      <c r="O767" s="2452"/>
      <c r="P767" s="2452"/>
      <c r="Q767" s="2452"/>
      <c r="W767" t="s">
        <v>2062</v>
      </c>
    </row>
    <row r="768" spans="1:23" ht="13.15" customHeight="1">
      <c r="A768" s="2" t="s">
        <v>2214</v>
      </c>
      <c r="B768" s="2">
        <f t="shared" si="22"/>
        <v>2020</v>
      </c>
      <c r="C768" s="2" t="str">
        <f t="shared" si="23"/>
        <v>LIM333</v>
      </c>
      <c r="D768" s="2">
        <v>150</v>
      </c>
      <c r="F768" s="2451"/>
      <c r="G768" s="2451"/>
      <c r="H768" s="2451"/>
      <c r="I768" s="2451"/>
      <c r="J768" s="2451"/>
      <c r="K768" s="2451"/>
      <c r="L768" s="2451"/>
      <c r="M768" s="2452"/>
      <c r="N768" s="2452"/>
      <c r="O768" s="2452"/>
      <c r="P768" s="2452"/>
      <c r="Q768" s="2452"/>
      <c r="W768" t="s">
        <v>2062</v>
      </c>
    </row>
    <row r="769" spans="1:23" ht="13.15" customHeight="1">
      <c r="A769" s="2" t="s">
        <v>2214</v>
      </c>
      <c r="B769" s="2">
        <f t="shared" si="22"/>
        <v>2020</v>
      </c>
      <c r="C769" s="2" t="str">
        <f t="shared" si="23"/>
        <v>LIM333</v>
      </c>
      <c r="D769" s="2">
        <v>151</v>
      </c>
      <c r="F769" s="2451"/>
      <c r="G769" s="2451"/>
      <c r="H769" s="2451"/>
      <c r="I769" s="2451"/>
      <c r="J769" s="2451"/>
      <c r="K769" s="2451"/>
      <c r="L769" s="2451"/>
      <c r="M769" s="2452"/>
      <c r="N769" s="2452"/>
      <c r="O769" s="2452"/>
      <c r="P769" s="2452"/>
      <c r="Q769" s="2452"/>
      <c r="W769" t="s">
        <v>2062</v>
      </c>
    </row>
    <row r="770" spans="1:23" ht="13.15" customHeight="1">
      <c r="A770" s="2" t="s">
        <v>2214</v>
      </c>
      <c r="B770" s="2">
        <f t="shared" ref="B770:B833" si="24">+MTREF</f>
        <v>2020</v>
      </c>
      <c r="C770" s="2" t="str">
        <f t="shared" ref="C770:C833" si="25">LEFT(muni,(FIND(" ",muni,1)-1))</f>
        <v>LIM333</v>
      </c>
      <c r="D770" s="2">
        <v>152</v>
      </c>
      <c r="F770" s="2451"/>
      <c r="G770" s="2451"/>
      <c r="H770" s="2451"/>
      <c r="I770" s="2451"/>
      <c r="J770" s="2451"/>
      <c r="K770" s="2451"/>
      <c r="L770" s="2451"/>
      <c r="M770" s="2452"/>
      <c r="N770" s="2452"/>
      <c r="O770" s="2452"/>
      <c r="P770" s="2452"/>
      <c r="Q770" s="2452"/>
      <c r="W770" t="s">
        <v>2062</v>
      </c>
    </row>
    <row r="771" spans="1:23" ht="13.15" customHeight="1">
      <c r="A771" s="2" t="s">
        <v>2214</v>
      </c>
      <c r="B771" s="2">
        <f t="shared" si="24"/>
        <v>2020</v>
      </c>
      <c r="C771" s="2" t="str">
        <f t="shared" si="25"/>
        <v>LIM333</v>
      </c>
      <c r="D771" s="2">
        <v>153</v>
      </c>
      <c r="F771" s="2451"/>
      <c r="G771" s="2451"/>
      <c r="H771" s="2451"/>
      <c r="I771" s="2451"/>
      <c r="J771" s="2451"/>
      <c r="K771" s="2451"/>
      <c r="L771" s="2451"/>
      <c r="M771" s="2452"/>
      <c r="N771" s="2452"/>
      <c r="O771" s="2452"/>
      <c r="P771" s="2452"/>
      <c r="Q771" s="2452"/>
      <c r="W771" t="s">
        <v>2062</v>
      </c>
    </row>
    <row r="772" spans="1:23" ht="13.15" customHeight="1">
      <c r="A772" s="2" t="s">
        <v>2214</v>
      </c>
      <c r="B772" s="2">
        <f t="shared" si="24"/>
        <v>2020</v>
      </c>
      <c r="C772" s="2" t="str">
        <f t="shared" si="25"/>
        <v>LIM333</v>
      </c>
      <c r="D772" s="2">
        <v>154</v>
      </c>
      <c r="F772" s="2451"/>
      <c r="G772" s="2451"/>
      <c r="H772" s="2451"/>
      <c r="I772" s="2451"/>
      <c r="J772" s="2451"/>
      <c r="K772" s="2451"/>
      <c r="L772" s="2451"/>
      <c r="M772" s="2452"/>
      <c r="N772" s="2452"/>
      <c r="O772" s="2452"/>
      <c r="P772" s="2452"/>
      <c r="Q772" s="2452"/>
      <c r="W772" t="s">
        <v>2062</v>
      </c>
    </row>
    <row r="773" spans="1:23" ht="13.15" customHeight="1">
      <c r="A773" s="2" t="s">
        <v>2214</v>
      </c>
      <c r="B773" s="2">
        <f t="shared" si="24"/>
        <v>2020</v>
      </c>
      <c r="C773" s="2" t="str">
        <f t="shared" si="25"/>
        <v>LIM333</v>
      </c>
      <c r="D773" s="2">
        <v>155</v>
      </c>
      <c r="F773" s="2451"/>
      <c r="G773" s="2451"/>
      <c r="H773" s="2451"/>
      <c r="I773" s="2451"/>
      <c r="J773" s="2451"/>
      <c r="K773" s="2451"/>
      <c r="L773" s="2451"/>
      <c r="M773" s="2452"/>
      <c r="N773" s="2452"/>
      <c r="O773" s="2452"/>
      <c r="P773" s="2452"/>
      <c r="Q773" s="2452"/>
      <c r="W773" t="s">
        <v>2062</v>
      </c>
    </row>
    <row r="774" spans="1:23" ht="13.15" customHeight="1">
      <c r="A774" s="2" t="s">
        <v>2214</v>
      </c>
      <c r="B774" s="2">
        <f t="shared" si="24"/>
        <v>2020</v>
      </c>
      <c r="C774" s="2" t="str">
        <f t="shared" si="25"/>
        <v>LIM333</v>
      </c>
      <c r="D774" s="2">
        <v>156</v>
      </c>
      <c r="F774" s="2451"/>
      <c r="G774" s="2451"/>
      <c r="H774" s="2451"/>
      <c r="I774" s="2451"/>
      <c r="J774" s="2451"/>
      <c r="K774" s="2451"/>
      <c r="L774" s="2451"/>
      <c r="M774" s="2452"/>
      <c r="N774" s="2452"/>
      <c r="O774" s="2452"/>
      <c r="P774" s="2452"/>
      <c r="Q774" s="2452"/>
      <c r="W774" t="s">
        <v>2062</v>
      </c>
    </row>
    <row r="775" spans="1:23" ht="13.15" customHeight="1">
      <c r="A775" s="2" t="s">
        <v>2214</v>
      </c>
      <c r="B775" s="2">
        <f t="shared" si="24"/>
        <v>2020</v>
      </c>
      <c r="C775" s="2" t="str">
        <f t="shared" si="25"/>
        <v>LIM333</v>
      </c>
      <c r="D775" s="2">
        <v>157</v>
      </c>
      <c r="F775" s="2451"/>
      <c r="G775" s="2451"/>
      <c r="H775" s="2451"/>
      <c r="I775" s="2451"/>
      <c r="J775" s="2451"/>
      <c r="K775" s="2451"/>
      <c r="L775" s="2451"/>
      <c r="M775" s="2452"/>
      <c r="N775" s="2452"/>
      <c r="O775" s="2452"/>
      <c r="P775" s="2452"/>
      <c r="Q775" s="2452"/>
      <c r="W775" t="s">
        <v>2062</v>
      </c>
    </row>
    <row r="776" spans="1:23" ht="13.15" customHeight="1">
      <c r="A776" s="2" t="s">
        <v>2214</v>
      </c>
      <c r="B776" s="2">
        <f t="shared" si="24"/>
        <v>2020</v>
      </c>
      <c r="C776" s="2" t="str">
        <f t="shared" si="25"/>
        <v>LIM333</v>
      </c>
      <c r="D776" s="2">
        <v>158</v>
      </c>
      <c r="F776" s="2451"/>
      <c r="G776" s="2451"/>
      <c r="H776" s="2451"/>
      <c r="I776" s="2451"/>
      <c r="J776" s="2451"/>
      <c r="K776" s="2451"/>
      <c r="L776" s="2451"/>
      <c r="M776" s="2452"/>
      <c r="N776" s="2452"/>
      <c r="O776" s="2452"/>
      <c r="P776" s="2452"/>
      <c r="Q776" s="2452"/>
      <c r="W776" t="s">
        <v>2062</v>
      </c>
    </row>
    <row r="777" spans="1:23" ht="13.15" customHeight="1">
      <c r="A777" s="2" t="s">
        <v>2214</v>
      </c>
      <c r="B777" s="2">
        <f t="shared" si="24"/>
        <v>2020</v>
      </c>
      <c r="C777" s="2" t="str">
        <f t="shared" si="25"/>
        <v>LIM333</v>
      </c>
      <c r="D777" s="2">
        <v>159</v>
      </c>
      <c r="F777" s="2451"/>
      <c r="G777" s="2451"/>
      <c r="H777" s="2451"/>
      <c r="I777" s="2451"/>
      <c r="J777" s="2451"/>
      <c r="K777" s="2451"/>
      <c r="L777" s="2451"/>
      <c r="M777" s="2452"/>
      <c r="N777" s="2452"/>
      <c r="O777" s="2452"/>
      <c r="P777" s="2452"/>
      <c r="Q777" s="2452"/>
      <c r="W777" t="s">
        <v>2062</v>
      </c>
    </row>
    <row r="778" spans="1:23" ht="13.15" customHeight="1">
      <c r="A778" s="2" t="s">
        <v>2214</v>
      </c>
      <c r="B778" s="2">
        <f t="shared" si="24"/>
        <v>2020</v>
      </c>
      <c r="C778" s="2" t="str">
        <f t="shared" si="25"/>
        <v>LIM333</v>
      </c>
      <c r="D778" s="2">
        <v>160</v>
      </c>
      <c r="F778" s="2451"/>
      <c r="G778" s="2451"/>
      <c r="H778" s="2451"/>
      <c r="I778" s="2451"/>
      <c r="J778" s="2451"/>
      <c r="K778" s="2451"/>
      <c r="L778" s="2451"/>
      <c r="M778" s="2452"/>
      <c r="N778" s="2452"/>
      <c r="O778" s="2452"/>
      <c r="P778" s="2452"/>
      <c r="Q778" s="2452"/>
      <c r="W778" t="s">
        <v>2062</v>
      </c>
    </row>
    <row r="779" spans="1:23" ht="13.15" customHeight="1">
      <c r="A779" s="2" t="s">
        <v>2214</v>
      </c>
      <c r="B779" s="2">
        <f t="shared" si="24"/>
        <v>2020</v>
      </c>
      <c r="C779" s="2" t="str">
        <f t="shared" si="25"/>
        <v>LIM333</v>
      </c>
      <c r="D779" s="2">
        <v>161</v>
      </c>
      <c r="F779" s="2451"/>
      <c r="G779" s="2451"/>
      <c r="H779" s="2451"/>
      <c r="I779" s="2451"/>
      <c r="J779" s="2451"/>
      <c r="K779" s="2451"/>
      <c r="L779" s="2451"/>
      <c r="M779" s="2452"/>
      <c r="N779" s="2452"/>
      <c r="O779" s="2452"/>
      <c r="P779" s="2452"/>
      <c r="Q779" s="2452"/>
      <c r="W779" t="s">
        <v>2062</v>
      </c>
    </row>
    <row r="780" spans="1:23" ht="13.15" customHeight="1">
      <c r="A780" s="2" t="s">
        <v>2214</v>
      </c>
      <c r="B780" s="2">
        <f t="shared" si="24"/>
        <v>2020</v>
      </c>
      <c r="C780" s="2" t="str">
        <f t="shared" si="25"/>
        <v>LIM333</v>
      </c>
      <c r="D780" s="2">
        <v>162</v>
      </c>
      <c r="F780" s="2451"/>
      <c r="G780" s="2451"/>
      <c r="H780" s="2451"/>
      <c r="I780" s="2451"/>
      <c r="J780" s="2451"/>
      <c r="K780" s="2451"/>
      <c r="L780" s="2451"/>
      <c r="M780" s="2452"/>
      <c r="N780" s="2452"/>
      <c r="O780" s="2452"/>
      <c r="P780" s="2452"/>
      <c r="Q780" s="2452"/>
      <c r="W780" t="s">
        <v>2062</v>
      </c>
    </row>
    <row r="781" spans="1:23" ht="13.15" customHeight="1">
      <c r="A781" s="2" t="s">
        <v>2214</v>
      </c>
      <c r="B781" s="2">
        <f t="shared" si="24"/>
        <v>2020</v>
      </c>
      <c r="C781" s="2" t="str">
        <f t="shared" si="25"/>
        <v>LIM333</v>
      </c>
      <c r="D781" s="2">
        <v>163</v>
      </c>
      <c r="F781" s="2451"/>
      <c r="G781" s="2451"/>
      <c r="H781" s="2451"/>
      <c r="I781" s="2451"/>
      <c r="J781" s="2451"/>
      <c r="K781" s="2451"/>
      <c r="L781" s="2451"/>
      <c r="M781" s="2452"/>
      <c r="N781" s="2452"/>
      <c r="O781" s="2452"/>
      <c r="P781" s="2452"/>
      <c r="Q781" s="2452"/>
      <c r="W781" t="s">
        <v>2062</v>
      </c>
    </row>
    <row r="782" spans="1:23" ht="13.15" customHeight="1">
      <c r="A782" s="2" t="s">
        <v>2214</v>
      </c>
      <c r="B782" s="2">
        <f t="shared" si="24"/>
        <v>2020</v>
      </c>
      <c r="C782" s="2" t="str">
        <f t="shared" si="25"/>
        <v>LIM333</v>
      </c>
      <c r="D782" s="2">
        <v>164</v>
      </c>
      <c r="F782" s="2451"/>
      <c r="G782" s="2451"/>
      <c r="H782" s="2451"/>
      <c r="I782" s="2451"/>
      <c r="J782" s="2451"/>
      <c r="K782" s="2451"/>
      <c r="L782" s="2451"/>
      <c r="M782" s="2452"/>
      <c r="N782" s="2452"/>
      <c r="O782" s="2452"/>
      <c r="P782" s="2452"/>
      <c r="Q782" s="2452"/>
      <c r="W782" t="s">
        <v>2062</v>
      </c>
    </row>
    <row r="783" spans="1:23" ht="13.15" customHeight="1">
      <c r="A783" s="2" t="s">
        <v>2214</v>
      </c>
      <c r="B783" s="2">
        <f t="shared" si="24"/>
        <v>2020</v>
      </c>
      <c r="C783" s="2" t="str">
        <f t="shared" si="25"/>
        <v>LIM333</v>
      </c>
      <c r="D783" s="2">
        <v>165</v>
      </c>
      <c r="F783" s="2451"/>
      <c r="G783" s="2451"/>
      <c r="H783" s="2451"/>
      <c r="I783" s="2451"/>
      <c r="J783" s="2451"/>
      <c r="K783" s="2451"/>
      <c r="L783" s="2451"/>
      <c r="M783" s="2452"/>
      <c r="N783" s="2452"/>
      <c r="O783" s="2452"/>
      <c r="P783" s="2452"/>
      <c r="Q783" s="2452"/>
      <c r="W783" t="s">
        <v>2062</v>
      </c>
    </row>
    <row r="784" spans="1:23" ht="13.15" customHeight="1">
      <c r="A784" s="2" t="s">
        <v>2214</v>
      </c>
      <c r="B784" s="2">
        <f t="shared" si="24"/>
        <v>2020</v>
      </c>
      <c r="C784" s="2" t="str">
        <f t="shared" si="25"/>
        <v>LIM333</v>
      </c>
      <c r="D784" s="2">
        <v>166</v>
      </c>
      <c r="F784" s="2451"/>
      <c r="G784" s="2451"/>
      <c r="H784" s="2451"/>
      <c r="I784" s="2451"/>
      <c r="J784" s="2451"/>
      <c r="K784" s="2451"/>
      <c r="L784" s="2451"/>
      <c r="M784" s="2452"/>
      <c r="N784" s="2452"/>
      <c r="O784" s="2452"/>
      <c r="P784" s="2452"/>
      <c r="Q784" s="2452"/>
      <c r="W784" t="s">
        <v>2062</v>
      </c>
    </row>
    <row r="785" spans="1:23" ht="13.15" customHeight="1">
      <c r="A785" s="2" t="s">
        <v>2214</v>
      </c>
      <c r="B785" s="2">
        <f t="shared" si="24"/>
        <v>2020</v>
      </c>
      <c r="C785" s="2" t="str">
        <f t="shared" si="25"/>
        <v>LIM333</v>
      </c>
      <c r="D785" s="2">
        <v>167</v>
      </c>
      <c r="F785" s="2451"/>
      <c r="G785" s="2451"/>
      <c r="H785" s="2451"/>
      <c r="I785" s="2451"/>
      <c r="J785" s="2451"/>
      <c r="K785" s="2451"/>
      <c r="L785" s="2451"/>
      <c r="M785" s="2452"/>
      <c r="N785" s="2452"/>
      <c r="O785" s="2452"/>
      <c r="P785" s="2452"/>
      <c r="Q785" s="2452"/>
      <c r="W785" t="s">
        <v>2062</v>
      </c>
    </row>
    <row r="786" spans="1:23" ht="13.15" customHeight="1">
      <c r="A786" s="2" t="s">
        <v>2214</v>
      </c>
      <c r="B786" s="2">
        <f t="shared" si="24"/>
        <v>2020</v>
      </c>
      <c r="C786" s="2" t="str">
        <f t="shared" si="25"/>
        <v>LIM333</v>
      </c>
      <c r="D786" s="2">
        <v>168</v>
      </c>
      <c r="F786" s="2451"/>
      <c r="G786" s="2451"/>
      <c r="H786" s="2451"/>
      <c r="I786" s="2451"/>
      <c r="J786" s="2451"/>
      <c r="K786" s="2451"/>
      <c r="L786" s="2451"/>
      <c r="M786" s="2452"/>
      <c r="N786" s="2452"/>
      <c r="O786" s="2452"/>
      <c r="P786" s="2452"/>
      <c r="Q786" s="2452"/>
      <c r="W786" t="s">
        <v>2062</v>
      </c>
    </row>
    <row r="787" spans="1:23" ht="13.15" customHeight="1">
      <c r="A787" s="2" t="s">
        <v>2214</v>
      </c>
      <c r="B787" s="2">
        <f t="shared" si="24"/>
        <v>2020</v>
      </c>
      <c r="C787" s="2" t="str">
        <f t="shared" si="25"/>
        <v>LIM333</v>
      </c>
      <c r="D787" s="2">
        <v>169</v>
      </c>
      <c r="F787" s="2451"/>
      <c r="G787" s="2451"/>
      <c r="H787" s="2451"/>
      <c r="I787" s="2451"/>
      <c r="J787" s="2451"/>
      <c r="K787" s="2451"/>
      <c r="L787" s="2451"/>
      <c r="M787" s="2452"/>
      <c r="N787" s="2452"/>
      <c r="O787" s="2452"/>
      <c r="P787" s="2452"/>
      <c r="Q787" s="2452"/>
      <c r="W787" t="s">
        <v>2062</v>
      </c>
    </row>
    <row r="788" spans="1:23" ht="13.15" customHeight="1">
      <c r="A788" s="2" t="s">
        <v>2214</v>
      </c>
      <c r="B788" s="2">
        <f t="shared" si="24"/>
        <v>2020</v>
      </c>
      <c r="C788" s="2" t="str">
        <f t="shared" si="25"/>
        <v>LIM333</v>
      </c>
      <c r="D788" s="2">
        <v>170</v>
      </c>
      <c r="F788" s="2451"/>
      <c r="G788" s="2451"/>
      <c r="H788" s="2451"/>
      <c r="I788" s="2451"/>
      <c r="J788" s="2451"/>
      <c r="K788" s="2451"/>
      <c r="L788" s="2451"/>
      <c r="M788" s="2452"/>
      <c r="N788" s="2452"/>
      <c r="O788" s="2452"/>
      <c r="P788" s="2452"/>
      <c r="Q788" s="2452"/>
      <c r="W788" t="s">
        <v>2062</v>
      </c>
    </row>
    <row r="789" spans="1:23" ht="13.15" customHeight="1">
      <c r="A789" s="2" t="s">
        <v>2214</v>
      </c>
      <c r="B789" s="2">
        <f t="shared" si="24"/>
        <v>2020</v>
      </c>
      <c r="C789" s="2" t="str">
        <f t="shared" si="25"/>
        <v>LIM333</v>
      </c>
      <c r="D789" s="2">
        <v>171</v>
      </c>
      <c r="F789" s="2451"/>
      <c r="G789" s="2451"/>
      <c r="H789" s="2451"/>
      <c r="I789" s="2451"/>
      <c r="J789" s="2451"/>
      <c r="K789" s="2451"/>
      <c r="L789" s="2451"/>
      <c r="M789" s="2452"/>
      <c r="N789" s="2452"/>
      <c r="O789" s="2452"/>
      <c r="P789" s="2452"/>
      <c r="Q789" s="2452"/>
      <c r="W789" t="s">
        <v>2062</v>
      </c>
    </row>
    <row r="790" spans="1:23" ht="13.15" customHeight="1">
      <c r="A790" s="2" t="s">
        <v>2214</v>
      </c>
      <c r="B790" s="2">
        <f t="shared" si="24"/>
        <v>2020</v>
      </c>
      <c r="C790" s="2" t="str">
        <f t="shared" si="25"/>
        <v>LIM333</v>
      </c>
      <c r="D790" s="2">
        <v>172</v>
      </c>
      <c r="F790" s="2451"/>
      <c r="G790" s="2451"/>
      <c r="H790" s="2451"/>
      <c r="I790" s="2451"/>
      <c r="J790" s="2451"/>
      <c r="K790" s="2451"/>
      <c r="L790" s="2451"/>
      <c r="M790" s="2452"/>
      <c r="N790" s="2452"/>
      <c r="O790" s="2452"/>
      <c r="P790" s="2452"/>
      <c r="Q790" s="2452"/>
      <c r="W790" t="s">
        <v>2062</v>
      </c>
    </row>
    <row r="791" spans="1:23" ht="13.15" customHeight="1">
      <c r="A791" s="2" t="s">
        <v>2214</v>
      </c>
      <c r="B791" s="2">
        <f t="shared" si="24"/>
        <v>2020</v>
      </c>
      <c r="C791" s="2" t="str">
        <f t="shared" si="25"/>
        <v>LIM333</v>
      </c>
      <c r="D791" s="2">
        <v>173</v>
      </c>
      <c r="F791" s="2451"/>
      <c r="G791" s="2451"/>
      <c r="H791" s="2451"/>
      <c r="I791" s="2451"/>
      <c r="J791" s="2451"/>
      <c r="K791" s="2451"/>
      <c r="L791" s="2451"/>
      <c r="M791" s="2452"/>
      <c r="N791" s="2452"/>
      <c r="O791" s="2452"/>
      <c r="P791" s="2452"/>
      <c r="Q791" s="2452"/>
      <c r="W791" t="s">
        <v>2062</v>
      </c>
    </row>
    <row r="792" spans="1:23" ht="13.15" customHeight="1">
      <c r="A792" s="2" t="s">
        <v>2214</v>
      </c>
      <c r="B792" s="2">
        <f t="shared" si="24"/>
        <v>2020</v>
      </c>
      <c r="C792" s="2" t="str">
        <f t="shared" si="25"/>
        <v>LIM333</v>
      </c>
      <c r="D792" s="2">
        <v>174</v>
      </c>
      <c r="F792" s="2451"/>
      <c r="G792" s="2451"/>
      <c r="H792" s="2451"/>
      <c r="I792" s="2451"/>
      <c r="J792" s="2451"/>
      <c r="K792" s="2451"/>
      <c r="L792" s="2451"/>
      <c r="M792" s="2452"/>
      <c r="N792" s="2452"/>
      <c r="O792" s="2452"/>
      <c r="P792" s="2452"/>
      <c r="Q792" s="2452"/>
      <c r="W792" t="s">
        <v>2062</v>
      </c>
    </row>
    <row r="793" spans="1:23" ht="13.15" customHeight="1">
      <c r="A793" s="2" t="s">
        <v>2214</v>
      </c>
      <c r="B793" s="2">
        <f t="shared" si="24"/>
        <v>2020</v>
      </c>
      <c r="C793" s="2" t="str">
        <f t="shared" si="25"/>
        <v>LIM333</v>
      </c>
      <c r="D793" s="2">
        <v>175</v>
      </c>
      <c r="F793" s="2451"/>
      <c r="G793" s="2451"/>
      <c r="H793" s="2451"/>
      <c r="I793" s="2451"/>
      <c r="J793" s="2451"/>
      <c r="K793" s="2451"/>
      <c r="L793" s="2451"/>
      <c r="M793" s="2452"/>
      <c r="N793" s="2452"/>
      <c r="O793" s="2452"/>
      <c r="P793" s="2452"/>
      <c r="Q793" s="2452"/>
      <c r="W793" t="s">
        <v>2062</v>
      </c>
    </row>
    <row r="794" spans="1:23" ht="13.15" customHeight="1">
      <c r="A794" s="2" t="s">
        <v>2214</v>
      </c>
      <c r="B794" s="2">
        <f t="shared" si="24"/>
        <v>2020</v>
      </c>
      <c r="C794" s="2" t="str">
        <f t="shared" si="25"/>
        <v>LIM333</v>
      </c>
      <c r="D794" s="2">
        <v>176</v>
      </c>
      <c r="F794" s="2451"/>
      <c r="G794" s="2451"/>
      <c r="H794" s="2451"/>
      <c r="I794" s="2451"/>
      <c r="J794" s="2451"/>
      <c r="K794" s="2451"/>
      <c r="L794" s="2451"/>
      <c r="M794" s="2452"/>
      <c r="N794" s="2452"/>
      <c r="O794" s="2452"/>
      <c r="P794" s="2452"/>
      <c r="Q794" s="2452"/>
      <c r="W794" t="s">
        <v>2062</v>
      </c>
    </row>
    <row r="795" spans="1:23" ht="13.15" customHeight="1">
      <c r="A795" s="2" t="s">
        <v>2214</v>
      </c>
      <c r="B795" s="2">
        <f t="shared" si="24"/>
        <v>2020</v>
      </c>
      <c r="C795" s="2" t="str">
        <f t="shared" si="25"/>
        <v>LIM333</v>
      </c>
      <c r="D795" s="2">
        <v>177</v>
      </c>
      <c r="F795" s="2451"/>
      <c r="G795" s="2451"/>
      <c r="H795" s="2451"/>
      <c r="I795" s="2451"/>
      <c r="J795" s="2451"/>
      <c r="K795" s="2451"/>
      <c r="L795" s="2451"/>
      <c r="M795" s="2452"/>
      <c r="N795" s="2452"/>
      <c r="O795" s="2452"/>
      <c r="P795" s="2452"/>
      <c r="Q795" s="2452"/>
      <c r="W795" t="s">
        <v>2062</v>
      </c>
    </row>
    <row r="796" spans="1:23" ht="13.15" customHeight="1">
      <c r="A796" s="2" t="s">
        <v>2214</v>
      </c>
      <c r="B796" s="2">
        <f t="shared" si="24"/>
        <v>2020</v>
      </c>
      <c r="C796" s="2" t="str">
        <f t="shared" si="25"/>
        <v>LIM333</v>
      </c>
      <c r="D796" s="2">
        <v>178</v>
      </c>
      <c r="F796" s="2451"/>
      <c r="G796" s="2451"/>
      <c r="H796" s="2451"/>
      <c r="I796" s="2451"/>
      <c r="J796" s="2451"/>
      <c r="K796" s="2451"/>
      <c r="L796" s="2451"/>
      <c r="M796" s="2452"/>
      <c r="N796" s="2452"/>
      <c r="O796" s="2452"/>
      <c r="P796" s="2452"/>
      <c r="Q796" s="2452"/>
      <c r="W796" t="s">
        <v>2062</v>
      </c>
    </row>
    <row r="797" spans="1:23" ht="13.15" customHeight="1">
      <c r="A797" s="2" t="s">
        <v>2214</v>
      </c>
      <c r="B797" s="2">
        <f t="shared" si="24"/>
        <v>2020</v>
      </c>
      <c r="C797" s="2" t="str">
        <f t="shared" si="25"/>
        <v>LIM333</v>
      </c>
      <c r="D797" s="2">
        <v>179</v>
      </c>
      <c r="F797" s="2451"/>
      <c r="G797" s="2451"/>
      <c r="H797" s="2451"/>
      <c r="I797" s="2451"/>
      <c r="J797" s="2451"/>
      <c r="K797" s="2451"/>
      <c r="L797" s="2451"/>
      <c r="M797" s="2452"/>
      <c r="N797" s="2452"/>
      <c r="O797" s="2452"/>
      <c r="P797" s="2452"/>
      <c r="Q797" s="2452"/>
      <c r="W797" t="s">
        <v>2062</v>
      </c>
    </row>
    <row r="798" spans="1:23" ht="13.15" customHeight="1">
      <c r="A798" s="2" t="s">
        <v>2214</v>
      </c>
      <c r="B798" s="2">
        <f t="shared" si="24"/>
        <v>2020</v>
      </c>
      <c r="C798" s="2" t="str">
        <f t="shared" si="25"/>
        <v>LIM333</v>
      </c>
      <c r="D798" s="2">
        <v>180</v>
      </c>
      <c r="F798" s="2451"/>
      <c r="G798" s="2451"/>
      <c r="H798" s="2451"/>
      <c r="I798" s="2451"/>
      <c r="J798" s="2451"/>
      <c r="K798" s="2451"/>
      <c r="L798" s="2451"/>
      <c r="M798" s="2452"/>
      <c r="N798" s="2452"/>
      <c r="O798" s="2452"/>
      <c r="P798" s="2452"/>
      <c r="Q798" s="2452"/>
      <c r="W798" t="s">
        <v>2062</v>
      </c>
    </row>
    <row r="799" spans="1:23" ht="13.15" customHeight="1">
      <c r="A799" s="2" t="s">
        <v>2214</v>
      </c>
      <c r="B799" s="2">
        <f t="shared" si="24"/>
        <v>2020</v>
      </c>
      <c r="C799" s="2" t="str">
        <f t="shared" si="25"/>
        <v>LIM333</v>
      </c>
      <c r="D799" s="2">
        <v>181</v>
      </c>
      <c r="F799" s="2451"/>
      <c r="G799" s="2451"/>
      <c r="H799" s="2451"/>
      <c r="I799" s="2451"/>
      <c r="J799" s="2451"/>
      <c r="K799" s="2451"/>
      <c r="L799" s="2451"/>
      <c r="M799" s="2452"/>
      <c r="N799" s="2452"/>
      <c r="O799" s="2452"/>
      <c r="P799" s="2452"/>
      <c r="Q799" s="2452"/>
      <c r="W799" t="s">
        <v>2062</v>
      </c>
    </row>
    <row r="800" spans="1:23" ht="13.15" customHeight="1">
      <c r="A800" s="2" t="s">
        <v>2214</v>
      </c>
      <c r="B800" s="2">
        <f t="shared" si="24"/>
        <v>2020</v>
      </c>
      <c r="C800" s="2" t="str">
        <f t="shared" si="25"/>
        <v>LIM333</v>
      </c>
      <c r="D800" s="2">
        <v>182</v>
      </c>
      <c r="F800" s="2451"/>
      <c r="G800" s="2451"/>
      <c r="H800" s="2451"/>
      <c r="I800" s="2451"/>
      <c r="J800" s="2451"/>
      <c r="K800" s="2451"/>
      <c r="L800" s="2451"/>
      <c r="M800" s="2452"/>
      <c r="N800" s="2452"/>
      <c r="O800" s="2452"/>
      <c r="P800" s="2452"/>
      <c r="Q800" s="2452"/>
      <c r="W800" t="s">
        <v>2062</v>
      </c>
    </row>
    <row r="801" spans="1:23" ht="13.15" customHeight="1">
      <c r="A801" s="2" t="s">
        <v>2214</v>
      </c>
      <c r="B801" s="2">
        <f t="shared" si="24"/>
        <v>2020</v>
      </c>
      <c r="C801" s="2" t="str">
        <f t="shared" si="25"/>
        <v>LIM333</v>
      </c>
      <c r="D801" s="2">
        <v>183</v>
      </c>
      <c r="F801" s="2451"/>
      <c r="G801" s="2451"/>
      <c r="H801" s="2451"/>
      <c r="I801" s="2451"/>
      <c r="J801" s="2451"/>
      <c r="K801" s="2451"/>
      <c r="L801" s="2451"/>
      <c r="M801" s="2452"/>
      <c r="N801" s="2452"/>
      <c r="O801" s="2452"/>
      <c r="P801" s="2452"/>
      <c r="Q801" s="2452"/>
      <c r="W801" t="s">
        <v>2062</v>
      </c>
    </row>
    <row r="802" spans="1:23" ht="13.15" customHeight="1">
      <c r="A802" s="2" t="s">
        <v>2214</v>
      </c>
      <c r="B802" s="2">
        <f t="shared" si="24"/>
        <v>2020</v>
      </c>
      <c r="C802" s="2" t="str">
        <f t="shared" si="25"/>
        <v>LIM333</v>
      </c>
      <c r="D802" s="2">
        <v>184</v>
      </c>
      <c r="F802" s="2451"/>
      <c r="G802" s="2451"/>
      <c r="H802" s="2451"/>
      <c r="I802" s="2451"/>
      <c r="J802" s="2451"/>
      <c r="K802" s="2451"/>
      <c r="L802" s="2451"/>
      <c r="M802" s="2452"/>
      <c r="N802" s="2452"/>
      <c r="O802" s="2452"/>
      <c r="P802" s="2452"/>
      <c r="Q802" s="2452"/>
      <c r="W802" t="s">
        <v>2062</v>
      </c>
    </row>
    <row r="803" spans="1:23" ht="13.15" customHeight="1">
      <c r="A803" s="2" t="s">
        <v>2214</v>
      </c>
      <c r="B803" s="2">
        <f t="shared" si="24"/>
        <v>2020</v>
      </c>
      <c r="C803" s="2" t="str">
        <f t="shared" si="25"/>
        <v>LIM333</v>
      </c>
      <c r="D803" s="2">
        <v>185</v>
      </c>
      <c r="F803" s="2451"/>
      <c r="G803" s="2451"/>
      <c r="H803" s="2451"/>
      <c r="I803" s="2451"/>
      <c r="J803" s="2451"/>
      <c r="K803" s="2451"/>
      <c r="L803" s="2451"/>
      <c r="M803" s="2452"/>
      <c r="N803" s="2452"/>
      <c r="O803" s="2452"/>
      <c r="P803" s="2452"/>
      <c r="Q803" s="2452"/>
      <c r="W803" t="s">
        <v>2062</v>
      </c>
    </row>
    <row r="804" spans="1:23" ht="13.15" customHeight="1">
      <c r="A804" s="2" t="s">
        <v>2214</v>
      </c>
      <c r="B804" s="2">
        <f t="shared" si="24"/>
        <v>2020</v>
      </c>
      <c r="C804" s="2" t="str">
        <f t="shared" si="25"/>
        <v>LIM333</v>
      </c>
      <c r="D804" s="2">
        <v>186</v>
      </c>
      <c r="F804" s="2451"/>
      <c r="G804" s="2451"/>
      <c r="H804" s="2451"/>
      <c r="I804" s="2451"/>
      <c r="J804" s="2451"/>
      <c r="K804" s="2451"/>
      <c r="L804" s="2451"/>
      <c r="M804" s="2452"/>
      <c r="N804" s="2452"/>
      <c r="O804" s="2452"/>
      <c r="P804" s="2452"/>
      <c r="Q804" s="2452"/>
      <c r="W804" t="s">
        <v>2062</v>
      </c>
    </row>
    <row r="805" spans="1:23" ht="13.15" customHeight="1">
      <c r="A805" s="2" t="s">
        <v>2214</v>
      </c>
      <c r="B805" s="2">
        <f t="shared" si="24"/>
        <v>2020</v>
      </c>
      <c r="C805" s="2" t="str">
        <f t="shared" si="25"/>
        <v>LIM333</v>
      </c>
      <c r="D805" s="2">
        <v>187</v>
      </c>
      <c r="F805" s="2451"/>
      <c r="G805" s="2451"/>
      <c r="H805" s="2451"/>
      <c r="I805" s="2451"/>
      <c r="J805" s="2451"/>
      <c r="K805" s="2451"/>
      <c r="L805" s="2451"/>
      <c r="M805" s="2452"/>
      <c r="N805" s="2452"/>
      <c r="O805" s="2452"/>
      <c r="P805" s="2452"/>
      <c r="Q805" s="2452"/>
      <c r="W805" t="s">
        <v>2062</v>
      </c>
    </row>
    <row r="806" spans="1:23" ht="13.15" customHeight="1">
      <c r="A806" s="2" t="s">
        <v>2214</v>
      </c>
      <c r="B806" s="2">
        <f t="shared" si="24"/>
        <v>2020</v>
      </c>
      <c r="C806" s="2" t="str">
        <f t="shared" si="25"/>
        <v>LIM333</v>
      </c>
      <c r="D806" s="2">
        <v>188</v>
      </c>
      <c r="F806" s="2451"/>
      <c r="G806" s="2451"/>
      <c r="H806" s="2451"/>
      <c r="I806" s="2451"/>
      <c r="J806" s="2451"/>
      <c r="K806" s="2451"/>
      <c r="L806" s="2451"/>
      <c r="M806" s="2452"/>
      <c r="N806" s="2452"/>
      <c r="O806" s="2452"/>
      <c r="P806" s="2452"/>
      <c r="Q806" s="2452"/>
      <c r="W806" t="s">
        <v>2062</v>
      </c>
    </row>
    <row r="807" spans="1:23" ht="13.15" customHeight="1">
      <c r="A807" s="2" t="s">
        <v>2214</v>
      </c>
      <c r="B807" s="2">
        <f t="shared" si="24"/>
        <v>2020</v>
      </c>
      <c r="C807" s="2" t="str">
        <f t="shared" si="25"/>
        <v>LIM333</v>
      </c>
      <c r="D807" s="2">
        <v>189</v>
      </c>
      <c r="F807" s="2451"/>
      <c r="G807" s="2451"/>
      <c r="H807" s="2451"/>
      <c r="I807" s="2451"/>
      <c r="J807" s="2451"/>
      <c r="K807" s="2451"/>
      <c r="L807" s="2451"/>
      <c r="M807" s="2452"/>
      <c r="N807" s="2452"/>
      <c r="O807" s="2452"/>
      <c r="P807" s="2452"/>
      <c r="Q807" s="2452"/>
      <c r="W807" t="s">
        <v>2062</v>
      </c>
    </row>
    <row r="808" spans="1:23" ht="13.15" customHeight="1">
      <c r="A808" s="2" t="s">
        <v>2214</v>
      </c>
      <c r="B808" s="2">
        <f t="shared" si="24"/>
        <v>2020</v>
      </c>
      <c r="C808" s="2" t="str">
        <f t="shared" si="25"/>
        <v>LIM333</v>
      </c>
      <c r="D808" s="2">
        <v>190</v>
      </c>
      <c r="F808" s="2451"/>
      <c r="G808" s="2451"/>
      <c r="H808" s="2451"/>
      <c r="I808" s="2451"/>
      <c r="J808" s="2451"/>
      <c r="K808" s="2451"/>
      <c r="L808" s="2451"/>
      <c r="M808" s="2452"/>
      <c r="N808" s="2452"/>
      <c r="O808" s="2452"/>
      <c r="P808" s="2452"/>
      <c r="Q808" s="2452"/>
      <c r="W808" t="s">
        <v>2062</v>
      </c>
    </row>
    <row r="809" spans="1:23" ht="13.15" customHeight="1">
      <c r="A809" s="2" t="s">
        <v>2214</v>
      </c>
      <c r="B809" s="2">
        <f t="shared" si="24"/>
        <v>2020</v>
      </c>
      <c r="C809" s="2" t="str">
        <f t="shared" si="25"/>
        <v>LIM333</v>
      </c>
      <c r="D809" s="2">
        <v>191</v>
      </c>
      <c r="F809" s="2451"/>
      <c r="G809" s="2451"/>
      <c r="H809" s="2451"/>
      <c r="I809" s="2451"/>
      <c r="J809" s="2451"/>
      <c r="K809" s="2451"/>
      <c r="L809" s="2451"/>
      <c r="M809" s="2452"/>
      <c r="N809" s="2452"/>
      <c r="O809" s="2452"/>
      <c r="P809" s="2452"/>
      <c r="Q809" s="2452"/>
      <c r="W809" t="s">
        <v>2062</v>
      </c>
    </row>
    <row r="810" spans="1:23" ht="13.15" customHeight="1">
      <c r="A810" s="2" t="s">
        <v>2214</v>
      </c>
      <c r="B810" s="2">
        <f t="shared" si="24"/>
        <v>2020</v>
      </c>
      <c r="C810" s="2" t="str">
        <f t="shared" si="25"/>
        <v>LIM333</v>
      </c>
      <c r="D810" s="2">
        <v>192</v>
      </c>
      <c r="F810" s="2451"/>
      <c r="G810" s="2451"/>
      <c r="H810" s="2451"/>
      <c r="I810" s="2451"/>
      <c r="J810" s="2451"/>
      <c r="K810" s="2451"/>
      <c r="L810" s="2451"/>
      <c r="M810" s="2452"/>
      <c r="N810" s="2452"/>
      <c r="O810" s="2452"/>
      <c r="P810" s="2452"/>
      <c r="Q810" s="2452"/>
      <c r="W810" t="s">
        <v>2062</v>
      </c>
    </row>
    <row r="811" spans="1:23" ht="13.15" customHeight="1">
      <c r="A811" s="2" t="s">
        <v>2214</v>
      </c>
      <c r="B811" s="2">
        <f t="shared" si="24"/>
        <v>2020</v>
      </c>
      <c r="C811" s="2" t="str">
        <f t="shared" si="25"/>
        <v>LIM333</v>
      </c>
      <c r="D811" s="2">
        <v>193</v>
      </c>
      <c r="F811" s="2451"/>
      <c r="G811" s="2451"/>
      <c r="H811" s="2451"/>
      <c r="I811" s="2451"/>
      <c r="J811" s="2451"/>
      <c r="K811" s="2451"/>
      <c r="L811" s="2451"/>
      <c r="M811" s="2452"/>
      <c r="N811" s="2452"/>
      <c r="O811" s="2452"/>
      <c r="P811" s="2452"/>
      <c r="Q811" s="2452"/>
      <c r="W811" t="s">
        <v>2062</v>
      </c>
    </row>
    <row r="812" spans="1:23" ht="13.15" customHeight="1">
      <c r="A812" s="2" t="s">
        <v>2214</v>
      </c>
      <c r="B812" s="2">
        <f t="shared" si="24"/>
        <v>2020</v>
      </c>
      <c r="C812" s="2" t="str">
        <f t="shared" si="25"/>
        <v>LIM333</v>
      </c>
      <c r="D812" s="2">
        <v>194</v>
      </c>
      <c r="F812" s="2451"/>
      <c r="G812" s="2451"/>
      <c r="H812" s="2451"/>
      <c r="I812" s="2451"/>
      <c r="J812" s="2451"/>
      <c r="K812" s="2451"/>
      <c r="L812" s="2451"/>
      <c r="M812" s="2452"/>
      <c r="N812" s="2452"/>
      <c r="O812" s="2452"/>
      <c r="P812" s="2452"/>
      <c r="Q812" s="2452"/>
      <c r="W812" t="s">
        <v>2062</v>
      </c>
    </row>
    <row r="813" spans="1:23" ht="13.15" customHeight="1">
      <c r="A813" s="2" t="s">
        <v>2214</v>
      </c>
      <c r="B813" s="2">
        <f t="shared" si="24"/>
        <v>2020</v>
      </c>
      <c r="C813" s="2" t="str">
        <f t="shared" si="25"/>
        <v>LIM333</v>
      </c>
      <c r="D813" s="2">
        <v>195</v>
      </c>
      <c r="F813" s="2451"/>
      <c r="G813" s="2451"/>
      <c r="H813" s="2451"/>
      <c r="I813" s="2451"/>
      <c r="J813" s="2451"/>
      <c r="K813" s="2451"/>
      <c r="L813" s="2451"/>
      <c r="M813" s="2452"/>
      <c r="N813" s="2452"/>
      <c r="O813" s="2452"/>
      <c r="P813" s="2452"/>
      <c r="Q813" s="2452"/>
      <c r="W813" t="s">
        <v>2062</v>
      </c>
    </row>
    <row r="814" spans="1:23" ht="13.15" customHeight="1">
      <c r="A814" s="2" t="s">
        <v>2214</v>
      </c>
      <c r="B814" s="2">
        <f t="shared" si="24"/>
        <v>2020</v>
      </c>
      <c r="C814" s="2" t="str">
        <f t="shared" si="25"/>
        <v>LIM333</v>
      </c>
      <c r="D814" s="2">
        <v>196</v>
      </c>
      <c r="F814" s="2451"/>
      <c r="G814" s="2451"/>
      <c r="H814" s="2451"/>
      <c r="I814" s="2451"/>
      <c r="J814" s="2451"/>
      <c r="K814" s="2451"/>
      <c r="L814" s="2451"/>
      <c r="M814" s="2452"/>
      <c r="N814" s="2452"/>
      <c r="O814" s="2452"/>
      <c r="P814" s="2452"/>
      <c r="Q814" s="2452"/>
      <c r="W814" t="s">
        <v>2062</v>
      </c>
    </row>
    <row r="815" spans="1:23" ht="13.15" customHeight="1">
      <c r="A815" s="2" t="s">
        <v>2214</v>
      </c>
      <c r="B815" s="2">
        <f t="shared" si="24"/>
        <v>2020</v>
      </c>
      <c r="C815" s="2" t="str">
        <f t="shared" si="25"/>
        <v>LIM333</v>
      </c>
      <c r="D815" s="2">
        <v>197</v>
      </c>
      <c r="F815" s="2451"/>
      <c r="G815" s="2451"/>
      <c r="H815" s="2451"/>
      <c r="I815" s="2451"/>
      <c r="J815" s="2451"/>
      <c r="K815" s="2451"/>
      <c r="L815" s="2451"/>
      <c r="M815" s="2452"/>
      <c r="N815" s="2452"/>
      <c r="O815" s="2452"/>
      <c r="P815" s="2452"/>
      <c r="Q815" s="2452"/>
      <c r="W815" t="s">
        <v>2062</v>
      </c>
    </row>
    <row r="816" spans="1:23" ht="13.15" customHeight="1">
      <c r="A816" s="2" t="s">
        <v>2214</v>
      </c>
      <c r="B816" s="2">
        <f t="shared" si="24"/>
        <v>2020</v>
      </c>
      <c r="C816" s="2" t="str">
        <f t="shared" si="25"/>
        <v>LIM333</v>
      </c>
      <c r="D816" s="2">
        <v>198</v>
      </c>
      <c r="F816" s="2451"/>
      <c r="G816" s="2451"/>
      <c r="H816" s="2451"/>
      <c r="I816" s="2451"/>
      <c r="J816" s="2451"/>
      <c r="K816" s="2451"/>
      <c r="L816" s="2451"/>
      <c r="M816" s="2452"/>
      <c r="N816" s="2452"/>
      <c r="O816" s="2452"/>
      <c r="P816" s="2452"/>
      <c r="Q816" s="2452"/>
      <c r="W816" t="s">
        <v>2062</v>
      </c>
    </row>
    <row r="817" spans="1:23" ht="13.15" customHeight="1">
      <c r="A817" s="2" t="s">
        <v>2214</v>
      </c>
      <c r="B817" s="2">
        <f t="shared" si="24"/>
        <v>2020</v>
      </c>
      <c r="C817" s="2" t="str">
        <f t="shared" si="25"/>
        <v>LIM333</v>
      </c>
      <c r="D817" s="2">
        <v>199</v>
      </c>
      <c r="F817" s="2451"/>
      <c r="G817" s="2451"/>
      <c r="H817" s="2451"/>
      <c r="I817" s="2451"/>
      <c r="J817" s="2451"/>
      <c r="K817" s="2451"/>
      <c r="L817" s="2451"/>
      <c r="M817" s="2452"/>
      <c r="N817" s="2452"/>
      <c r="O817" s="2452"/>
      <c r="P817" s="2452"/>
      <c r="Q817" s="2452"/>
      <c r="W817" t="s">
        <v>2062</v>
      </c>
    </row>
    <row r="818" spans="1:23" ht="13.15" customHeight="1">
      <c r="A818" s="2" t="s">
        <v>2214</v>
      </c>
      <c r="B818" s="2">
        <f t="shared" si="24"/>
        <v>2020</v>
      </c>
      <c r="C818" s="2" t="str">
        <f t="shared" si="25"/>
        <v>LIM333</v>
      </c>
      <c r="D818" s="2">
        <v>200</v>
      </c>
      <c r="F818" s="2451"/>
      <c r="G818" s="2451"/>
      <c r="H818" s="2451"/>
      <c r="I818" s="2451"/>
      <c r="J818" s="2451"/>
      <c r="K818" s="2451"/>
      <c r="L818" s="2451"/>
      <c r="M818" s="2452"/>
      <c r="N818" s="2452"/>
      <c r="O818" s="2452"/>
      <c r="P818" s="2452"/>
      <c r="Q818" s="2452"/>
      <c r="W818" t="s">
        <v>2062</v>
      </c>
    </row>
    <row r="819" spans="1:23" ht="13.15" customHeight="1">
      <c r="A819" s="2" t="s">
        <v>2214</v>
      </c>
      <c r="B819" s="2">
        <f t="shared" si="24"/>
        <v>2020</v>
      </c>
      <c r="C819" s="2" t="str">
        <f t="shared" si="25"/>
        <v>LIM333</v>
      </c>
      <c r="D819" s="2">
        <v>201</v>
      </c>
      <c r="F819" s="2451"/>
      <c r="G819" s="2451"/>
      <c r="H819" s="2451"/>
      <c r="I819" s="2451"/>
      <c r="J819" s="2451"/>
      <c r="K819" s="2451"/>
      <c r="L819" s="2451"/>
      <c r="M819" s="2452"/>
      <c r="N819" s="2452"/>
      <c r="O819" s="2452"/>
      <c r="P819" s="2452"/>
      <c r="Q819" s="2452"/>
      <c r="W819" t="s">
        <v>2062</v>
      </c>
    </row>
    <row r="820" spans="1:23" ht="13.15" customHeight="1">
      <c r="A820" s="2" t="s">
        <v>2214</v>
      </c>
      <c r="B820" s="2">
        <f t="shared" si="24"/>
        <v>2020</v>
      </c>
      <c r="C820" s="2" t="str">
        <f t="shared" si="25"/>
        <v>LIM333</v>
      </c>
      <c r="D820" s="2">
        <v>202</v>
      </c>
      <c r="F820" s="2451"/>
      <c r="G820" s="2451"/>
      <c r="H820" s="2451"/>
      <c r="I820" s="2451"/>
      <c r="J820" s="2451"/>
      <c r="K820" s="2451"/>
      <c r="L820" s="2451"/>
      <c r="M820" s="2452"/>
      <c r="N820" s="2452"/>
      <c r="O820" s="2452"/>
      <c r="P820" s="2452"/>
      <c r="Q820" s="2452"/>
      <c r="W820" t="s">
        <v>2062</v>
      </c>
    </row>
    <row r="821" spans="1:23" ht="13.15" customHeight="1">
      <c r="A821" s="2" t="s">
        <v>2214</v>
      </c>
      <c r="B821" s="2">
        <f t="shared" si="24"/>
        <v>2020</v>
      </c>
      <c r="C821" s="2" t="str">
        <f t="shared" si="25"/>
        <v>LIM333</v>
      </c>
      <c r="D821" s="2">
        <v>203</v>
      </c>
      <c r="F821" s="2451"/>
      <c r="G821" s="2451"/>
      <c r="H821" s="2451"/>
      <c r="I821" s="2451"/>
      <c r="J821" s="2451"/>
      <c r="K821" s="2451"/>
      <c r="L821" s="2451"/>
      <c r="M821" s="2452"/>
      <c r="N821" s="2452"/>
      <c r="O821" s="2452"/>
      <c r="P821" s="2452"/>
      <c r="Q821" s="2452"/>
      <c r="W821" t="s">
        <v>2062</v>
      </c>
    </row>
    <row r="822" spans="1:23" ht="13.15" customHeight="1">
      <c r="A822" s="2" t="s">
        <v>2214</v>
      </c>
      <c r="B822" s="2">
        <f t="shared" si="24"/>
        <v>2020</v>
      </c>
      <c r="C822" s="2" t="str">
        <f t="shared" si="25"/>
        <v>LIM333</v>
      </c>
      <c r="D822" s="2">
        <v>204</v>
      </c>
      <c r="F822" s="2451"/>
      <c r="G822" s="2451"/>
      <c r="H822" s="2451"/>
      <c r="I822" s="2451"/>
      <c r="J822" s="2451"/>
      <c r="K822" s="2451"/>
      <c r="L822" s="2451"/>
      <c r="M822" s="2452"/>
      <c r="N822" s="2452"/>
      <c r="O822" s="2452"/>
      <c r="P822" s="2452"/>
      <c r="Q822" s="2452"/>
      <c r="W822" t="s">
        <v>2062</v>
      </c>
    </row>
    <row r="823" spans="1:23" ht="13.15" customHeight="1">
      <c r="A823" s="2" t="s">
        <v>2214</v>
      </c>
      <c r="B823" s="2">
        <f t="shared" si="24"/>
        <v>2020</v>
      </c>
      <c r="C823" s="2" t="str">
        <f t="shared" si="25"/>
        <v>LIM333</v>
      </c>
      <c r="D823" s="2">
        <v>205</v>
      </c>
      <c r="F823" s="2451"/>
      <c r="G823" s="2451"/>
      <c r="H823" s="2451"/>
      <c r="I823" s="2451"/>
      <c r="J823" s="2451"/>
      <c r="K823" s="2451"/>
      <c r="L823" s="2451"/>
      <c r="M823" s="2452"/>
      <c r="N823" s="2452"/>
      <c r="O823" s="2452"/>
      <c r="P823" s="2452"/>
      <c r="Q823" s="2452"/>
      <c r="W823" t="s">
        <v>2062</v>
      </c>
    </row>
    <row r="824" spans="1:23" ht="13.15" customHeight="1">
      <c r="A824" s="2" t="s">
        <v>2214</v>
      </c>
      <c r="B824" s="2">
        <f t="shared" si="24"/>
        <v>2020</v>
      </c>
      <c r="C824" s="2" t="str">
        <f t="shared" si="25"/>
        <v>LIM333</v>
      </c>
      <c r="D824" s="2">
        <v>206</v>
      </c>
      <c r="F824" s="2451"/>
      <c r="G824" s="2451"/>
      <c r="H824" s="2451"/>
      <c r="I824" s="2451"/>
      <c r="J824" s="2451"/>
      <c r="K824" s="2451"/>
      <c r="L824" s="2451"/>
      <c r="M824" s="2452"/>
      <c r="N824" s="2452"/>
      <c r="O824" s="2452"/>
      <c r="P824" s="2452"/>
      <c r="Q824" s="2452"/>
      <c r="W824" t="s">
        <v>2062</v>
      </c>
    </row>
    <row r="825" spans="1:23" ht="13.15" customHeight="1">
      <c r="A825" s="2" t="s">
        <v>2214</v>
      </c>
      <c r="B825" s="2">
        <f t="shared" si="24"/>
        <v>2020</v>
      </c>
      <c r="C825" s="2" t="str">
        <f t="shared" si="25"/>
        <v>LIM333</v>
      </c>
      <c r="D825" s="2">
        <v>207</v>
      </c>
      <c r="F825" s="2451"/>
      <c r="G825" s="2451"/>
      <c r="H825" s="2451"/>
      <c r="I825" s="2451"/>
      <c r="J825" s="2451"/>
      <c r="K825" s="2451"/>
      <c r="L825" s="2451"/>
      <c r="M825" s="2452"/>
      <c r="N825" s="2452"/>
      <c r="O825" s="2452"/>
      <c r="P825" s="2452"/>
      <c r="Q825" s="2452"/>
      <c r="W825" t="s">
        <v>2062</v>
      </c>
    </row>
    <row r="826" spans="1:23" ht="13.15" customHeight="1">
      <c r="A826" s="2" t="s">
        <v>2214</v>
      </c>
      <c r="B826" s="2">
        <f t="shared" si="24"/>
        <v>2020</v>
      </c>
      <c r="C826" s="2" t="str">
        <f t="shared" si="25"/>
        <v>LIM333</v>
      </c>
      <c r="D826" s="2">
        <v>208</v>
      </c>
      <c r="F826" s="2451"/>
      <c r="G826" s="2451"/>
      <c r="H826" s="2451"/>
      <c r="I826" s="2451"/>
      <c r="J826" s="2451"/>
      <c r="K826" s="2451"/>
      <c r="L826" s="2451"/>
      <c r="M826" s="2452"/>
      <c r="N826" s="2452"/>
      <c r="O826" s="2452"/>
      <c r="P826" s="2452"/>
      <c r="Q826" s="2452"/>
      <c r="W826" t="s">
        <v>2062</v>
      </c>
    </row>
    <row r="827" spans="1:23" ht="13.15" customHeight="1">
      <c r="A827" s="2" t="s">
        <v>2214</v>
      </c>
      <c r="B827" s="2">
        <f t="shared" si="24"/>
        <v>2020</v>
      </c>
      <c r="C827" s="2" t="str">
        <f t="shared" si="25"/>
        <v>LIM333</v>
      </c>
      <c r="D827" s="2">
        <v>209</v>
      </c>
      <c r="F827" s="2451"/>
      <c r="G827" s="2451"/>
      <c r="H827" s="2451"/>
      <c r="I827" s="2451"/>
      <c r="J827" s="2451"/>
      <c r="K827" s="2451"/>
      <c r="L827" s="2451"/>
      <c r="M827" s="2452"/>
      <c r="N827" s="2452"/>
      <c r="O827" s="2452"/>
      <c r="P827" s="2452"/>
      <c r="Q827" s="2452"/>
      <c r="W827" t="s">
        <v>2062</v>
      </c>
    </row>
    <row r="828" spans="1:23" ht="13.15" customHeight="1">
      <c r="A828" s="2" t="s">
        <v>2214</v>
      </c>
      <c r="B828" s="2">
        <f t="shared" si="24"/>
        <v>2020</v>
      </c>
      <c r="C828" s="2" t="str">
        <f t="shared" si="25"/>
        <v>LIM333</v>
      </c>
      <c r="D828" s="2">
        <v>210</v>
      </c>
      <c r="F828" s="2451"/>
      <c r="G828" s="2451"/>
      <c r="H828" s="2451"/>
      <c r="I828" s="2451"/>
      <c r="J828" s="2451"/>
      <c r="K828" s="2451"/>
      <c r="L828" s="2451"/>
      <c r="M828" s="2452"/>
      <c r="N828" s="2452"/>
      <c r="O828" s="2452"/>
      <c r="P828" s="2452"/>
      <c r="Q828" s="2452"/>
      <c r="W828" t="s">
        <v>2062</v>
      </c>
    </row>
    <row r="829" spans="1:23" ht="13.15" customHeight="1">
      <c r="A829" s="2" t="s">
        <v>2214</v>
      </c>
      <c r="B829" s="2">
        <f t="shared" si="24"/>
        <v>2020</v>
      </c>
      <c r="C829" s="2" t="str">
        <f t="shared" si="25"/>
        <v>LIM333</v>
      </c>
      <c r="D829" s="2">
        <v>211</v>
      </c>
      <c r="F829" s="2451"/>
      <c r="G829" s="2451"/>
      <c r="H829" s="2451"/>
      <c r="I829" s="2451"/>
      <c r="J829" s="2451"/>
      <c r="K829" s="2451"/>
      <c r="L829" s="2451"/>
      <c r="M829" s="2452"/>
      <c r="N829" s="2452"/>
      <c r="O829" s="2452"/>
      <c r="P829" s="2452"/>
      <c r="Q829" s="2452"/>
      <c r="W829" t="s">
        <v>2062</v>
      </c>
    </row>
    <row r="830" spans="1:23" ht="13.15" customHeight="1">
      <c r="A830" s="2" t="s">
        <v>2214</v>
      </c>
      <c r="B830" s="2">
        <f t="shared" si="24"/>
        <v>2020</v>
      </c>
      <c r="C830" s="2" t="str">
        <f t="shared" si="25"/>
        <v>LIM333</v>
      </c>
      <c r="D830" s="2">
        <v>212</v>
      </c>
      <c r="F830" s="2451"/>
      <c r="G830" s="2451"/>
      <c r="H830" s="2451"/>
      <c r="I830" s="2451"/>
      <c r="J830" s="2451"/>
      <c r="K830" s="2451"/>
      <c r="L830" s="2451"/>
      <c r="M830" s="2452"/>
      <c r="N830" s="2452"/>
      <c r="O830" s="2452"/>
      <c r="P830" s="2452"/>
      <c r="Q830" s="2452"/>
      <c r="W830" t="s">
        <v>2062</v>
      </c>
    </row>
    <row r="831" spans="1:23" ht="13.15" customHeight="1">
      <c r="A831" s="2" t="s">
        <v>2214</v>
      </c>
      <c r="B831" s="2">
        <f t="shared" si="24"/>
        <v>2020</v>
      </c>
      <c r="C831" s="2" t="str">
        <f t="shared" si="25"/>
        <v>LIM333</v>
      </c>
      <c r="D831" s="2">
        <v>213</v>
      </c>
      <c r="F831" s="2451"/>
      <c r="G831" s="2451"/>
      <c r="H831" s="2451"/>
      <c r="I831" s="2451"/>
      <c r="J831" s="2451"/>
      <c r="K831" s="2451"/>
      <c r="L831" s="2451"/>
      <c r="M831" s="2452"/>
      <c r="N831" s="2452"/>
      <c r="O831" s="2452"/>
      <c r="P831" s="2452"/>
      <c r="Q831" s="2452"/>
      <c r="W831" t="s">
        <v>2062</v>
      </c>
    </row>
    <row r="832" spans="1:23" ht="13.15" customHeight="1">
      <c r="A832" s="2" t="s">
        <v>2214</v>
      </c>
      <c r="B832" s="2">
        <f t="shared" si="24"/>
        <v>2020</v>
      </c>
      <c r="C832" s="2" t="str">
        <f t="shared" si="25"/>
        <v>LIM333</v>
      </c>
      <c r="D832" s="2">
        <v>214</v>
      </c>
      <c r="F832" s="2451"/>
      <c r="G832" s="2451"/>
      <c r="H832" s="2451"/>
      <c r="I832" s="2451"/>
      <c r="J832" s="2451"/>
      <c r="K832" s="2451"/>
      <c r="L832" s="2451"/>
      <c r="M832" s="2452"/>
      <c r="N832" s="2452"/>
      <c r="O832" s="2452"/>
      <c r="P832" s="2452"/>
      <c r="Q832" s="2452"/>
      <c r="W832" t="s">
        <v>2062</v>
      </c>
    </row>
    <row r="833" spans="1:23" ht="13.15" customHeight="1">
      <c r="A833" s="2" t="s">
        <v>2214</v>
      </c>
      <c r="B833" s="2">
        <f t="shared" si="24"/>
        <v>2020</v>
      </c>
      <c r="C833" s="2" t="str">
        <f t="shared" si="25"/>
        <v>LIM333</v>
      </c>
      <c r="D833" s="2">
        <v>215</v>
      </c>
      <c r="F833" s="2451"/>
      <c r="G833" s="2451"/>
      <c r="H833" s="2451"/>
      <c r="I833" s="2451"/>
      <c r="J833" s="2451"/>
      <c r="K833" s="2451"/>
      <c r="L833" s="2451"/>
      <c r="M833" s="2452"/>
      <c r="N833" s="2452"/>
      <c r="O833" s="2452"/>
      <c r="P833" s="2452"/>
      <c r="Q833" s="2452"/>
      <c r="W833" t="s">
        <v>2062</v>
      </c>
    </row>
    <row r="834" spans="1:23" ht="13.15" customHeight="1">
      <c r="A834" s="2" t="s">
        <v>2214</v>
      </c>
      <c r="B834" s="2">
        <f t="shared" ref="B834:B897" si="26">+MTREF</f>
        <v>2020</v>
      </c>
      <c r="C834" s="2" t="str">
        <f t="shared" ref="C834:C897" si="27">LEFT(muni,(FIND(" ",muni,1)-1))</f>
        <v>LIM333</v>
      </c>
      <c r="D834" s="2">
        <v>216</v>
      </c>
      <c r="F834" s="2451"/>
      <c r="G834" s="2451"/>
      <c r="H834" s="2451"/>
      <c r="I834" s="2451"/>
      <c r="J834" s="2451"/>
      <c r="K834" s="2451"/>
      <c r="L834" s="2451"/>
      <c r="M834" s="2452"/>
      <c r="N834" s="2452"/>
      <c r="O834" s="2452"/>
      <c r="P834" s="2452"/>
      <c r="Q834" s="2452"/>
      <c r="W834" t="s">
        <v>2062</v>
      </c>
    </row>
    <row r="835" spans="1:23" ht="13.15" customHeight="1">
      <c r="A835" s="2" t="s">
        <v>2214</v>
      </c>
      <c r="B835" s="2">
        <f t="shared" si="26"/>
        <v>2020</v>
      </c>
      <c r="C835" s="2" t="str">
        <f t="shared" si="27"/>
        <v>LIM333</v>
      </c>
      <c r="D835" s="2">
        <v>217</v>
      </c>
      <c r="F835" s="2451"/>
      <c r="G835" s="2451"/>
      <c r="H835" s="2451"/>
      <c r="I835" s="2451"/>
      <c r="J835" s="2451"/>
      <c r="K835" s="2451"/>
      <c r="L835" s="2451"/>
      <c r="M835" s="2452"/>
      <c r="N835" s="2452"/>
      <c r="O835" s="2452"/>
      <c r="P835" s="2452"/>
      <c r="Q835" s="2452"/>
      <c r="W835" t="s">
        <v>2062</v>
      </c>
    </row>
    <row r="836" spans="1:23" ht="13.15" customHeight="1">
      <c r="A836" s="2" t="s">
        <v>2214</v>
      </c>
      <c r="B836" s="2">
        <f t="shared" si="26"/>
        <v>2020</v>
      </c>
      <c r="C836" s="2" t="str">
        <f t="shared" si="27"/>
        <v>LIM333</v>
      </c>
      <c r="D836" s="2">
        <v>218</v>
      </c>
      <c r="F836" s="2451"/>
      <c r="G836" s="2451"/>
      <c r="H836" s="2451"/>
      <c r="I836" s="2451"/>
      <c r="J836" s="2451"/>
      <c r="K836" s="2451"/>
      <c r="L836" s="2451"/>
      <c r="M836" s="2452"/>
      <c r="N836" s="2452"/>
      <c r="O836" s="2452"/>
      <c r="P836" s="2452"/>
      <c r="Q836" s="2452"/>
      <c r="W836" t="s">
        <v>2062</v>
      </c>
    </row>
    <row r="837" spans="1:23" ht="13.15" customHeight="1">
      <c r="A837" s="2" t="s">
        <v>2214</v>
      </c>
      <c r="B837" s="2">
        <f t="shared" si="26"/>
        <v>2020</v>
      </c>
      <c r="C837" s="2" t="str">
        <f t="shared" si="27"/>
        <v>LIM333</v>
      </c>
      <c r="D837" s="2">
        <v>219</v>
      </c>
      <c r="F837" s="2451"/>
      <c r="G837" s="2451"/>
      <c r="H837" s="2451"/>
      <c r="I837" s="2451"/>
      <c r="J837" s="2451"/>
      <c r="K837" s="2451"/>
      <c r="L837" s="2451"/>
      <c r="M837" s="2452"/>
      <c r="N837" s="2452"/>
      <c r="O837" s="2452"/>
      <c r="P837" s="2452"/>
      <c r="Q837" s="2452"/>
      <c r="W837" t="s">
        <v>2062</v>
      </c>
    </row>
    <row r="838" spans="1:23" ht="13.15" customHeight="1">
      <c r="A838" s="2" t="s">
        <v>2214</v>
      </c>
      <c r="B838" s="2">
        <f t="shared" si="26"/>
        <v>2020</v>
      </c>
      <c r="C838" s="2" t="str">
        <f t="shared" si="27"/>
        <v>LIM333</v>
      </c>
      <c r="D838" s="2">
        <v>220</v>
      </c>
      <c r="F838" s="2451"/>
      <c r="G838" s="2451"/>
      <c r="H838" s="2451"/>
      <c r="I838" s="2451"/>
      <c r="J838" s="2451"/>
      <c r="K838" s="2451"/>
      <c r="L838" s="2451"/>
      <c r="M838" s="2452"/>
      <c r="N838" s="2452"/>
      <c r="O838" s="2452"/>
      <c r="P838" s="2452"/>
      <c r="Q838" s="2452"/>
      <c r="W838" t="s">
        <v>2062</v>
      </c>
    </row>
    <row r="839" spans="1:23" ht="13.15" customHeight="1">
      <c r="A839" s="2" t="s">
        <v>2214</v>
      </c>
      <c r="B839" s="2">
        <f t="shared" si="26"/>
        <v>2020</v>
      </c>
      <c r="C839" s="2" t="str">
        <f t="shared" si="27"/>
        <v>LIM333</v>
      </c>
      <c r="D839" s="2">
        <v>221</v>
      </c>
      <c r="F839" s="2451"/>
      <c r="G839" s="2451"/>
      <c r="H839" s="2451"/>
      <c r="I839" s="2451"/>
      <c r="J839" s="2451"/>
      <c r="K839" s="2451"/>
      <c r="L839" s="2451"/>
      <c r="M839" s="2452"/>
      <c r="N839" s="2452"/>
      <c r="O839" s="2452"/>
      <c r="P839" s="2452"/>
      <c r="Q839" s="2452"/>
      <c r="W839" t="s">
        <v>2062</v>
      </c>
    </row>
    <row r="840" spans="1:23" ht="13.15" customHeight="1">
      <c r="A840" s="2" t="s">
        <v>2214</v>
      </c>
      <c r="B840" s="2">
        <f t="shared" si="26"/>
        <v>2020</v>
      </c>
      <c r="C840" s="2" t="str">
        <f t="shared" si="27"/>
        <v>LIM333</v>
      </c>
      <c r="D840" s="2">
        <v>222</v>
      </c>
      <c r="F840" s="2451"/>
      <c r="G840" s="2451"/>
      <c r="H840" s="2451"/>
      <c r="I840" s="2451"/>
      <c r="J840" s="2451"/>
      <c r="K840" s="2451"/>
      <c r="L840" s="2451"/>
      <c r="M840" s="2452"/>
      <c r="N840" s="2452"/>
      <c r="O840" s="2452"/>
      <c r="P840" s="2452"/>
      <c r="Q840" s="2452"/>
      <c r="W840" t="s">
        <v>2062</v>
      </c>
    </row>
    <row r="841" spans="1:23" ht="13.15" customHeight="1">
      <c r="A841" s="2" t="s">
        <v>2214</v>
      </c>
      <c r="B841" s="2">
        <f t="shared" si="26"/>
        <v>2020</v>
      </c>
      <c r="C841" s="2" t="str">
        <f t="shared" si="27"/>
        <v>LIM333</v>
      </c>
      <c r="D841" s="2">
        <v>223</v>
      </c>
      <c r="F841" s="2451"/>
      <c r="G841" s="2451"/>
      <c r="H841" s="2451"/>
      <c r="I841" s="2451"/>
      <c r="J841" s="2451"/>
      <c r="K841" s="2451"/>
      <c r="L841" s="2451"/>
      <c r="M841" s="2452"/>
      <c r="N841" s="2452"/>
      <c r="O841" s="2452"/>
      <c r="P841" s="2452"/>
      <c r="Q841" s="2452"/>
      <c r="W841" t="s">
        <v>2062</v>
      </c>
    </row>
    <row r="842" spans="1:23" ht="13.15" customHeight="1">
      <c r="A842" s="2" t="s">
        <v>2214</v>
      </c>
      <c r="B842" s="2">
        <f t="shared" si="26"/>
        <v>2020</v>
      </c>
      <c r="C842" s="2" t="str">
        <f t="shared" si="27"/>
        <v>LIM333</v>
      </c>
      <c r="D842" s="2">
        <v>224</v>
      </c>
      <c r="F842" s="2451"/>
      <c r="G842" s="2451"/>
      <c r="H842" s="2451"/>
      <c r="I842" s="2451"/>
      <c r="J842" s="2451"/>
      <c r="K842" s="2451"/>
      <c r="L842" s="2451"/>
      <c r="M842" s="2452"/>
      <c r="N842" s="2452"/>
      <c r="O842" s="2452"/>
      <c r="P842" s="2452"/>
      <c r="Q842" s="2452"/>
      <c r="W842" t="s">
        <v>2062</v>
      </c>
    </row>
    <row r="843" spans="1:23" ht="13.15" customHeight="1">
      <c r="A843" s="2" t="s">
        <v>2214</v>
      </c>
      <c r="B843" s="2">
        <f t="shared" si="26"/>
        <v>2020</v>
      </c>
      <c r="C843" s="2" t="str">
        <f t="shared" si="27"/>
        <v>LIM333</v>
      </c>
      <c r="D843" s="2">
        <v>225</v>
      </c>
      <c r="F843" s="2451"/>
      <c r="G843" s="2451"/>
      <c r="H843" s="2451"/>
      <c r="I843" s="2451"/>
      <c r="J843" s="2451"/>
      <c r="K843" s="2451"/>
      <c r="L843" s="2451"/>
      <c r="M843" s="2452"/>
      <c r="N843" s="2452"/>
      <c r="O843" s="2452"/>
      <c r="P843" s="2452"/>
      <c r="Q843" s="2452"/>
      <c r="W843" t="s">
        <v>2062</v>
      </c>
    </row>
    <row r="844" spans="1:23" ht="13.15" customHeight="1">
      <c r="A844" s="2" t="s">
        <v>2214</v>
      </c>
      <c r="B844" s="2">
        <f t="shared" si="26"/>
        <v>2020</v>
      </c>
      <c r="C844" s="2" t="str">
        <f t="shared" si="27"/>
        <v>LIM333</v>
      </c>
      <c r="D844" s="2">
        <v>226</v>
      </c>
      <c r="F844" s="2451"/>
      <c r="G844" s="2451"/>
      <c r="H844" s="2451"/>
      <c r="I844" s="2451"/>
      <c r="J844" s="2451"/>
      <c r="K844" s="2451"/>
      <c r="L844" s="2451"/>
      <c r="M844" s="2452"/>
      <c r="N844" s="2452"/>
      <c r="O844" s="2452"/>
      <c r="P844" s="2452"/>
      <c r="Q844" s="2452"/>
      <c r="W844" t="s">
        <v>2062</v>
      </c>
    </row>
    <row r="845" spans="1:23" ht="13.15" customHeight="1">
      <c r="A845" s="2" t="s">
        <v>2214</v>
      </c>
      <c r="B845" s="2">
        <f t="shared" si="26"/>
        <v>2020</v>
      </c>
      <c r="C845" s="2" t="str">
        <f t="shared" si="27"/>
        <v>LIM333</v>
      </c>
      <c r="D845" s="2">
        <v>227</v>
      </c>
      <c r="F845" s="2451"/>
      <c r="G845" s="2451"/>
      <c r="H845" s="2451"/>
      <c r="I845" s="2451"/>
      <c r="J845" s="2451"/>
      <c r="K845" s="2451"/>
      <c r="L845" s="2451"/>
      <c r="M845" s="2452"/>
      <c r="N845" s="2452"/>
      <c r="O845" s="2452"/>
      <c r="P845" s="2452"/>
      <c r="Q845" s="2452"/>
      <c r="W845" t="s">
        <v>2062</v>
      </c>
    </row>
    <row r="846" spans="1:23" ht="13.15" customHeight="1">
      <c r="A846" s="2" t="s">
        <v>2214</v>
      </c>
      <c r="B846" s="2">
        <f t="shared" si="26"/>
        <v>2020</v>
      </c>
      <c r="C846" s="2" t="str">
        <f t="shared" si="27"/>
        <v>LIM333</v>
      </c>
      <c r="D846" s="2">
        <v>228</v>
      </c>
      <c r="F846" s="2451"/>
      <c r="G846" s="2451"/>
      <c r="H846" s="2451"/>
      <c r="I846" s="2451"/>
      <c r="J846" s="2451"/>
      <c r="K846" s="2451"/>
      <c r="L846" s="2451"/>
      <c r="M846" s="2452"/>
      <c r="N846" s="2452"/>
      <c r="O846" s="2452"/>
      <c r="P846" s="2452"/>
      <c r="Q846" s="2452"/>
      <c r="W846" t="s">
        <v>2062</v>
      </c>
    </row>
    <row r="847" spans="1:23" ht="13.15" customHeight="1">
      <c r="A847" s="2" t="s">
        <v>2214</v>
      </c>
      <c r="B847" s="2">
        <f t="shared" si="26"/>
        <v>2020</v>
      </c>
      <c r="C847" s="2" t="str">
        <f t="shared" si="27"/>
        <v>LIM333</v>
      </c>
      <c r="D847" s="2">
        <v>229</v>
      </c>
      <c r="F847" s="2451"/>
      <c r="G847" s="2451"/>
      <c r="H847" s="2451"/>
      <c r="I847" s="2451"/>
      <c r="J847" s="2451"/>
      <c r="K847" s="2451"/>
      <c r="L847" s="2451"/>
      <c r="M847" s="2452"/>
      <c r="N847" s="2452"/>
      <c r="O847" s="2452"/>
      <c r="P847" s="2452"/>
      <c r="Q847" s="2452"/>
      <c r="W847" t="s">
        <v>2062</v>
      </c>
    </row>
    <row r="848" spans="1:23" ht="13.15" customHeight="1">
      <c r="A848" s="2" t="s">
        <v>2214</v>
      </c>
      <c r="B848" s="2">
        <f t="shared" si="26"/>
        <v>2020</v>
      </c>
      <c r="C848" s="2" t="str">
        <f t="shared" si="27"/>
        <v>LIM333</v>
      </c>
      <c r="D848" s="2">
        <v>230</v>
      </c>
      <c r="F848" s="2451"/>
      <c r="G848" s="2451"/>
      <c r="H848" s="2451"/>
      <c r="I848" s="2451"/>
      <c r="J848" s="2451"/>
      <c r="K848" s="2451"/>
      <c r="L848" s="2451"/>
      <c r="M848" s="2452"/>
      <c r="N848" s="2452"/>
      <c r="O848" s="2452"/>
      <c r="P848" s="2452"/>
      <c r="Q848" s="2452"/>
      <c r="W848" t="s">
        <v>2062</v>
      </c>
    </row>
    <row r="849" spans="1:23" ht="13.15" customHeight="1">
      <c r="A849" s="2" t="s">
        <v>2214</v>
      </c>
      <c r="B849" s="2">
        <f t="shared" si="26"/>
        <v>2020</v>
      </c>
      <c r="C849" s="2" t="str">
        <f t="shared" si="27"/>
        <v>LIM333</v>
      </c>
      <c r="D849" s="2">
        <v>231</v>
      </c>
      <c r="F849" s="2451"/>
      <c r="G849" s="2451"/>
      <c r="H849" s="2451"/>
      <c r="I849" s="2451"/>
      <c r="J849" s="2451"/>
      <c r="K849" s="2451"/>
      <c r="L849" s="2451"/>
      <c r="M849" s="2452"/>
      <c r="N849" s="2452"/>
      <c r="O849" s="2452"/>
      <c r="P849" s="2452"/>
      <c r="Q849" s="2452"/>
      <c r="W849" t="s">
        <v>2062</v>
      </c>
    </row>
    <row r="850" spans="1:23" ht="13.15" customHeight="1">
      <c r="A850" s="2" t="s">
        <v>2214</v>
      </c>
      <c r="B850" s="2">
        <f t="shared" si="26"/>
        <v>2020</v>
      </c>
      <c r="C850" s="2" t="str">
        <f t="shared" si="27"/>
        <v>LIM333</v>
      </c>
      <c r="D850" s="2">
        <v>232</v>
      </c>
      <c r="F850" s="2451"/>
      <c r="G850" s="2451"/>
      <c r="H850" s="2451"/>
      <c r="I850" s="2451"/>
      <c r="J850" s="2451"/>
      <c r="K850" s="2451"/>
      <c r="L850" s="2451"/>
      <c r="M850" s="2452"/>
      <c r="N850" s="2452"/>
      <c r="O850" s="2452"/>
      <c r="P850" s="2452"/>
      <c r="Q850" s="2452"/>
      <c r="W850" t="s">
        <v>2062</v>
      </c>
    </row>
    <row r="851" spans="1:23" ht="13.15" customHeight="1">
      <c r="A851" s="2" t="s">
        <v>2214</v>
      </c>
      <c r="B851" s="2">
        <f t="shared" si="26"/>
        <v>2020</v>
      </c>
      <c r="C851" s="2" t="str">
        <f t="shared" si="27"/>
        <v>LIM333</v>
      </c>
      <c r="D851" s="2">
        <v>233</v>
      </c>
      <c r="F851" s="2451"/>
      <c r="G851" s="2451"/>
      <c r="H851" s="2451"/>
      <c r="I851" s="2451"/>
      <c r="J851" s="2451"/>
      <c r="K851" s="2451"/>
      <c r="L851" s="2451"/>
      <c r="M851" s="2452"/>
      <c r="N851" s="2452"/>
      <c r="O851" s="2452"/>
      <c r="P851" s="2452"/>
      <c r="Q851" s="2452"/>
      <c r="W851" t="s">
        <v>2062</v>
      </c>
    </row>
    <row r="852" spans="1:23" ht="13.15" customHeight="1">
      <c r="A852" s="2" t="s">
        <v>2214</v>
      </c>
      <c r="B852" s="2">
        <f t="shared" si="26"/>
        <v>2020</v>
      </c>
      <c r="C852" s="2" t="str">
        <f t="shared" si="27"/>
        <v>LIM333</v>
      </c>
      <c r="D852" s="2">
        <v>234</v>
      </c>
      <c r="F852" s="2451"/>
      <c r="G852" s="2451"/>
      <c r="H852" s="2451"/>
      <c r="I852" s="2451"/>
      <c r="J852" s="2451"/>
      <c r="K852" s="2451"/>
      <c r="L852" s="2451"/>
      <c r="M852" s="2452"/>
      <c r="N852" s="2452"/>
      <c r="O852" s="2452"/>
      <c r="P852" s="2452"/>
      <c r="Q852" s="2452"/>
      <c r="W852" t="s">
        <v>2062</v>
      </c>
    </row>
    <row r="853" spans="1:23" ht="13.15" customHeight="1">
      <c r="A853" s="2" t="s">
        <v>2214</v>
      </c>
      <c r="B853" s="2">
        <f t="shared" si="26"/>
        <v>2020</v>
      </c>
      <c r="C853" s="2" t="str">
        <f t="shared" si="27"/>
        <v>LIM333</v>
      </c>
      <c r="D853" s="2">
        <v>235</v>
      </c>
      <c r="F853" s="2451"/>
      <c r="G853" s="2451"/>
      <c r="H853" s="2451"/>
      <c r="I853" s="2451"/>
      <c r="J853" s="2451"/>
      <c r="K853" s="2451"/>
      <c r="L853" s="2451"/>
      <c r="M853" s="2452"/>
      <c r="N853" s="2452"/>
      <c r="O853" s="2452"/>
      <c r="P853" s="2452"/>
      <c r="Q853" s="2452"/>
      <c r="W853" t="s">
        <v>2062</v>
      </c>
    </row>
    <row r="854" spans="1:23" ht="13.15" customHeight="1">
      <c r="A854" s="2" t="s">
        <v>2214</v>
      </c>
      <c r="B854" s="2">
        <f t="shared" si="26"/>
        <v>2020</v>
      </c>
      <c r="C854" s="2" t="str">
        <f t="shared" si="27"/>
        <v>LIM333</v>
      </c>
      <c r="D854" s="2">
        <v>236</v>
      </c>
      <c r="F854" s="2451"/>
      <c r="G854" s="2451"/>
      <c r="H854" s="2451"/>
      <c r="I854" s="2451"/>
      <c r="J854" s="2451"/>
      <c r="K854" s="2451"/>
      <c r="L854" s="2451"/>
      <c r="M854" s="2452"/>
      <c r="N854" s="2452"/>
      <c r="O854" s="2452"/>
      <c r="P854" s="2452"/>
      <c r="Q854" s="2452"/>
      <c r="W854" t="s">
        <v>2062</v>
      </c>
    </row>
    <row r="855" spans="1:23" ht="13.15" customHeight="1">
      <c r="A855" s="2" t="s">
        <v>2214</v>
      </c>
      <c r="B855" s="2">
        <f t="shared" si="26"/>
        <v>2020</v>
      </c>
      <c r="C855" s="2" t="str">
        <f t="shared" si="27"/>
        <v>LIM333</v>
      </c>
      <c r="D855" s="2">
        <v>237</v>
      </c>
      <c r="F855" s="2451"/>
      <c r="G855" s="2451"/>
      <c r="H855" s="2451"/>
      <c r="I855" s="2451"/>
      <c r="J855" s="2451"/>
      <c r="K855" s="2451"/>
      <c r="L855" s="2451"/>
      <c r="M855" s="2452"/>
      <c r="N855" s="2452"/>
      <c r="O855" s="2452"/>
      <c r="P855" s="2452"/>
      <c r="Q855" s="2452"/>
      <c r="W855" t="s">
        <v>2062</v>
      </c>
    </row>
    <row r="856" spans="1:23" ht="13.15" customHeight="1">
      <c r="A856" s="2" t="s">
        <v>2214</v>
      </c>
      <c r="B856" s="2">
        <f t="shared" si="26"/>
        <v>2020</v>
      </c>
      <c r="C856" s="2" t="str">
        <f t="shared" si="27"/>
        <v>LIM333</v>
      </c>
      <c r="D856" s="2">
        <v>238</v>
      </c>
      <c r="F856" s="2451"/>
      <c r="G856" s="2451"/>
      <c r="H856" s="2451"/>
      <c r="I856" s="2451"/>
      <c r="J856" s="2451"/>
      <c r="K856" s="2451"/>
      <c r="L856" s="2451"/>
      <c r="M856" s="2452"/>
      <c r="N856" s="2452"/>
      <c r="O856" s="2452"/>
      <c r="P856" s="2452"/>
      <c r="Q856" s="2452"/>
      <c r="W856" t="s">
        <v>2062</v>
      </c>
    </row>
    <row r="857" spans="1:23" ht="13.15" customHeight="1">
      <c r="A857" s="2" t="s">
        <v>2214</v>
      </c>
      <c r="B857" s="2">
        <f t="shared" si="26"/>
        <v>2020</v>
      </c>
      <c r="C857" s="2" t="str">
        <f t="shared" si="27"/>
        <v>LIM333</v>
      </c>
      <c r="D857" s="2">
        <v>239</v>
      </c>
      <c r="F857" s="2451"/>
      <c r="G857" s="2451"/>
      <c r="H857" s="2451"/>
      <c r="I857" s="2451"/>
      <c r="J857" s="2451"/>
      <c r="K857" s="2451"/>
      <c r="L857" s="2451"/>
      <c r="M857" s="2452"/>
      <c r="N857" s="2452"/>
      <c r="O857" s="2452"/>
      <c r="P857" s="2452"/>
      <c r="Q857" s="2452"/>
      <c r="W857" t="s">
        <v>2062</v>
      </c>
    </row>
    <row r="858" spans="1:23" ht="13.15" customHeight="1">
      <c r="A858" s="2" t="s">
        <v>2214</v>
      </c>
      <c r="B858" s="2">
        <f t="shared" si="26"/>
        <v>2020</v>
      </c>
      <c r="C858" s="2" t="str">
        <f t="shared" si="27"/>
        <v>LIM333</v>
      </c>
      <c r="D858" s="2">
        <v>240</v>
      </c>
      <c r="F858" s="2451"/>
      <c r="G858" s="2451"/>
      <c r="H858" s="2451"/>
      <c r="I858" s="2451"/>
      <c r="J858" s="2451"/>
      <c r="K858" s="2451"/>
      <c r="L858" s="2451"/>
      <c r="M858" s="2452"/>
      <c r="N858" s="2452"/>
      <c r="O858" s="2452"/>
      <c r="P858" s="2452"/>
      <c r="Q858" s="2452"/>
      <c r="W858" t="s">
        <v>2062</v>
      </c>
    </row>
    <row r="859" spans="1:23" ht="13.15" customHeight="1">
      <c r="A859" s="2" t="s">
        <v>2214</v>
      </c>
      <c r="B859" s="2">
        <f t="shared" si="26"/>
        <v>2020</v>
      </c>
      <c r="C859" s="2" t="str">
        <f t="shared" si="27"/>
        <v>LIM333</v>
      </c>
      <c r="D859" s="2">
        <v>241</v>
      </c>
      <c r="F859" s="2451"/>
      <c r="G859" s="2451"/>
      <c r="H859" s="2451"/>
      <c r="I859" s="2451"/>
      <c r="J859" s="2451"/>
      <c r="K859" s="2451"/>
      <c r="L859" s="2451"/>
      <c r="M859" s="2452"/>
      <c r="N859" s="2452"/>
      <c r="O859" s="2452"/>
      <c r="P859" s="2452"/>
      <c r="Q859" s="2452"/>
      <c r="W859" t="s">
        <v>2062</v>
      </c>
    </row>
    <row r="860" spans="1:23" ht="13.15" customHeight="1">
      <c r="A860" s="2" t="s">
        <v>2214</v>
      </c>
      <c r="B860" s="2">
        <f t="shared" si="26"/>
        <v>2020</v>
      </c>
      <c r="C860" s="2" t="str">
        <f t="shared" si="27"/>
        <v>LIM333</v>
      </c>
      <c r="D860" s="2">
        <v>242</v>
      </c>
      <c r="F860" s="2451"/>
      <c r="G860" s="2451"/>
      <c r="H860" s="2451"/>
      <c r="I860" s="2451"/>
      <c r="J860" s="2451"/>
      <c r="K860" s="2451"/>
      <c r="L860" s="2451"/>
      <c r="M860" s="2452"/>
      <c r="N860" s="2452"/>
      <c r="O860" s="2452"/>
      <c r="P860" s="2452"/>
      <c r="Q860" s="2452"/>
      <c r="W860" t="s">
        <v>2062</v>
      </c>
    </row>
    <row r="861" spans="1:23" ht="13.15" customHeight="1">
      <c r="A861" s="2" t="s">
        <v>2214</v>
      </c>
      <c r="B861" s="2">
        <f t="shared" si="26"/>
        <v>2020</v>
      </c>
      <c r="C861" s="2" t="str">
        <f t="shared" si="27"/>
        <v>LIM333</v>
      </c>
      <c r="D861" s="2">
        <v>243</v>
      </c>
      <c r="F861" s="2451"/>
      <c r="G861" s="2451"/>
      <c r="H861" s="2451"/>
      <c r="I861" s="2451"/>
      <c r="J861" s="2451"/>
      <c r="K861" s="2451"/>
      <c r="L861" s="2451"/>
      <c r="M861" s="2452"/>
      <c r="N861" s="2452"/>
      <c r="O861" s="2452"/>
      <c r="P861" s="2452"/>
      <c r="Q861" s="2452"/>
      <c r="W861" t="s">
        <v>2062</v>
      </c>
    </row>
    <row r="862" spans="1:23" ht="13.15" customHeight="1">
      <c r="A862" s="2" t="s">
        <v>2214</v>
      </c>
      <c r="B862" s="2">
        <f t="shared" si="26"/>
        <v>2020</v>
      </c>
      <c r="C862" s="2" t="str">
        <f t="shared" si="27"/>
        <v>LIM333</v>
      </c>
      <c r="D862" s="2">
        <v>244</v>
      </c>
      <c r="F862" s="2451"/>
      <c r="G862" s="2451"/>
      <c r="H862" s="2451"/>
      <c r="I862" s="2451"/>
      <c r="J862" s="2451"/>
      <c r="K862" s="2451"/>
      <c r="L862" s="2451"/>
      <c r="M862" s="2452"/>
      <c r="N862" s="2452"/>
      <c r="O862" s="2452"/>
      <c r="P862" s="2452"/>
      <c r="Q862" s="2452"/>
      <c r="W862" t="s">
        <v>2062</v>
      </c>
    </row>
    <row r="863" spans="1:23" ht="13.15" customHeight="1">
      <c r="A863" s="2" t="s">
        <v>2214</v>
      </c>
      <c r="B863" s="2">
        <f t="shared" si="26"/>
        <v>2020</v>
      </c>
      <c r="C863" s="2" t="str">
        <f t="shared" si="27"/>
        <v>LIM333</v>
      </c>
      <c r="D863" s="2">
        <v>245</v>
      </c>
      <c r="F863" s="2451"/>
      <c r="G863" s="2451"/>
      <c r="H863" s="2451"/>
      <c r="I863" s="2451"/>
      <c r="J863" s="2451"/>
      <c r="K863" s="2451"/>
      <c r="L863" s="2451"/>
      <c r="M863" s="2452"/>
      <c r="N863" s="2452"/>
      <c r="O863" s="2452"/>
      <c r="P863" s="2452"/>
      <c r="Q863" s="2452"/>
      <c r="W863" t="s">
        <v>2062</v>
      </c>
    </row>
    <row r="864" spans="1:23" ht="13.15" customHeight="1">
      <c r="A864" s="2" t="s">
        <v>2214</v>
      </c>
      <c r="B864" s="2">
        <f t="shared" si="26"/>
        <v>2020</v>
      </c>
      <c r="C864" s="2" t="str">
        <f t="shared" si="27"/>
        <v>LIM333</v>
      </c>
      <c r="D864" s="2">
        <v>246</v>
      </c>
      <c r="F864" s="2451"/>
      <c r="G864" s="2451"/>
      <c r="H864" s="2451"/>
      <c r="I864" s="2451"/>
      <c r="J864" s="2451"/>
      <c r="K864" s="2451"/>
      <c r="L864" s="2451"/>
      <c r="M864" s="2452"/>
      <c r="N864" s="2452"/>
      <c r="O864" s="2452"/>
      <c r="P864" s="2452"/>
      <c r="Q864" s="2452"/>
      <c r="W864" t="s">
        <v>2062</v>
      </c>
    </row>
    <row r="865" spans="1:23" ht="13.15" customHeight="1">
      <c r="A865" s="2" t="s">
        <v>2214</v>
      </c>
      <c r="B865" s="2">
        <f t="shared" si="26"/>
        <v>2020</v>
      </c>
      <c r="C865" s="2" t="str">
        <f t="shared" si="27"/>
        <v>LIM333</v>
      </c>
      <c r="D865" s="2">
        <v>247</v>
      </c>
      <c r="F865" s="2451"/>
      <c r="G865" s="2451"/>
      <c r="H865" s="2451"/>
      <c r="I865" s="2451"/>
      <c r="J865" s="2451"/>
      <c r="K865" s="2451"/>
      <c r="L865" s="2451"/>
      <c r="M865" s="2452"/>
      <c r="N865" s="2452"/>
      <c r="O865" s="2452"/>
      <c r="P865" s="2452"/>
      <c r="Q865" s="2452"/>
      <c r="W865" t="s">
        <v>2062</v>
      </c>
    </row>
    <row r="866" spans="1:23" ht="13.15" customHeight="1">
      <c r="A866" s="2" t="s">
        <v>2214</v>
      </c>
      <c r="B866" s="2">
        <f t="shared" si="26"/>
        <v>2020</v>
      </c>
      <c r="C866" s="2" t="str">
        <f t="shared" si="27"/>
        <v>LIM333</v>
      </c>
      <c r="D866" s="2">
        <v>248</v>
      </c>
      <c r="F866" s="2451"/>
      <c r="G866" s="2451"/>
      <c r="H866" s="2451"/>
      <c r="I866" s="2451"/>
      <c r="J866" s="2451"/>
      <c r="K866" s="2451"/>
      <c r="L866" s="2451"/>
      <c r="M866" s="2452"/>
      <c r="N866" s="2452"/>
      <c r="O866" s="2452"/>
      <c r="P866" s="2452"/>
      <c r="Q866" s="2452"/>
      <c r="W866" t="s">
        <v>2062</v>
      </c>
    </row>
    <row r="867" spans="1:23" ht="13.15" customHeight="1">
      <c r="A867" s="2" t="s">
        <v>2214</v>
      </c>
      <c r="B867" s="2">
        <f t="shared" si="26"/>
        <v>2020</v>
      </c>
      <c r="C867" s="2" t="str">
        <f t="shared" si="27"/>
        <v>LIM333</v>
      </c>
      <c r="D867" s="2">
        <v>249</v>
      </c>
      <c r="F867" s="2451"/>
      <c r="G867" s="2451"/>
      <c r="H867" s="2451"/>
      <c r="I867" s="2451"/>
      <c r="J867" s="2451"/>
      <c r="K867" s="2451"/>
      <c r="L867" s="2451"/>
      <c r="M867" s="2452"/>
      <c r="N867" s="2452"/>
      <c r="O867" s="2452"/>
      <c r="P867" s="2452"/>
      <c r="Q867" s="2452"/>
      <c r="W867" t="s">
        <v>2062</v>
      </c>
    </row>
    <row r="868" spans="1:23" ht="13.15" customHeight="1">
      <c r="A868" s="2" t="s">
        <v>2214</v>
      </c>
      <c r="B868" s="2">
        <f t="shared" si="26"/>
        <v>2020</v>
      </c>
      <c r="C868" s="2" t="str">
        <f t="shared" si="27"/>
        <v>LIM333</v>
      </c>
      <c r="D868" s="2">
        <v>250</v>
      </c>
      <c r="F868" s="2451"/>
      <c r="G868" s="2451"/>
      <c r="H868" s="2451"/>
      <c r="I868" s="2451"/>
      <c r="J868" s="2451"/>
      <c r="K868" s="2451"/>
      <c r="L868" s="2451"/>
      <c r="M868" s="2452"/>
      <c r="N868" s="2452"/>
      <c r="O868" s="2452"/>
      <c r="P868" s="2452"/>
      <c r="Q868" s="2452"/>
      <c r="W868" t="s">
        <v>2062</v>
      </c>
    </row>
    <row r="869" spans="1:23" ht="13.15" customHeight="1">
      <c r="A869" s="2" t="s">
        <v>2214</v>
      </c>
      <c r="B869" s="2">
        <f t="shared" si="26"/>
        <v>2020</v>
      </c>
      <c r="C869" s="2" t="str">
        <f t="shared" si="27"/>
        <v>LIM333</v>
      </c>
      <c r="D869" s="2">
        <v>251</v>
      </c>
      <c r="F869" s="2451"/>
      <c r="G869" s="2451"/>
      <c r="H869" s="2451"/>
      <c r="I869" s="2451"/>
      <c r="J869" s="2451"/>
      <c r="K869" s="2451"/>
      <c r="L869" s="2451"/>
      <c r="M869" s="2452"/>
      <c r="N869" s="2452"/>
      <c r="O869" s="2452"/>
      <c r="P869" s="2452"/>
      <c r="Q869" s="2452"/>
      <c r="W869" t="s">
        <v>2062</v>
      </c>
    </row>
    <row r="870" spans="1:23" ht="13.15" customHeight="1">
      <c r="A870" s="2" t="s">
        <v>2214</v>
      </c>
      <c r="B870" s="2">
        <f t="shared" si="26"/>
        <v>2020</v>
      </c>
      <c r="C870" s="2" t="str">
        <f t="shared" si="27"/>
        <v>LIM333</v>
      </c>
      <c r="D870" s="2">
        <v>252</v>
      </c>
      <c r="F870" s="2451"/>
      <c r="G870" s="2451"/>
      <c r="H870" s="2451"/>
      <c r="I870" s="2451"/>
      <c r="J870" s="2451"/>
      <c r="K870" s="2451"/>
      <c r="L870" s="2451"/>
      <c r="M870" s="2452"/>
      <c r="N870" s="2452"/>
      <c r="O870" s="2452"/>
      <c r="P870" s="2452"/>
      <c r="Q870" s="2452"/>
      <c r="W870" t="s">
        <v>2062</v>
      </c>
    </row>
    <row r="871" spans="1:23" ht="13.15" customHeight="1">
      <c r="A871" s="2" t="s">
        <v>2214</v>
      </c>
      <c r="B871" s="2">
        <f t="shared" si="26"/>
        <v>2020</v>
      </c>
      <c r="C871" s="2" t="str">
        <f t="shared" si="27"/>
        <v>LIM333</v>
      </c>
      <c r="D871" s="2">
        <v>253</v>
      </c>
      <c r="F871" s="2451"/>
      <c r="G871" s="2451"/>
      <c r="H871" s="2451"/>
      <c r="I871" s="2451"/>
      <c r="J871" s="2451"/>
      <c r="K871" s="2451"/>
      <c r="L871" s="2451"/>
      <c r="M871" s="2452"/>
      <c r="N871" s="2452"/>
      <c r="O871" s="2452"/>
      <c r="P871" s="2452"/>
      <c r="Q871" s="2452"/>
      <c r="W871" t="s">
        <v>2062</v>
      </c>
    </row>
    <row r="872" spans="1:23" ht="13.15" customHeight="1">
      <c r="A872" s="2" t="s">
        <v>2214</v>
      </c>
      <c r="B872" s="2">
        <f t="shared" si="26"/>
        <v>2020</v>
      </c>
      <c r="C872" s="2" t="str">
        <f t="shared" si="27"/>
        <v>LIM333</v>
      </c>
      <c r="D872" s="2">
        <v>254</v>
      </c>
      <c r="F872" s="2451"/>
      <c r="G872" s="2451"/>
      <c r="H872" s="2451"/>
      <c r="I872" s="2451"/>
      <c r="J872" s="2451"/>
      <c r="K872" s="2451"/>
      <c r="L872" s="2451"/>
      <c r="M872" s="2452"/>
      <c r="N872" s="2452"/>
      <c r="O872" s="2452"/>
      <c r="P872" s="2452"/>
      <c r="Q872" s="2452"/>
      <c r="W872" t="s">
        <v>2062</v>
      </c>
    </row>
    <row r="873" spans="1:23" ht="13.15" customHeight="1">
      <c r="A873" s="2" t="s">
        <v>2214</v>
      </c>
      <c r="B873" s="2">
        <f t="shared" si="26"/>
        <v>2020</v>
      </c>
      <c r="C873" s="2" t="str">
        <f t="shared" si="27"/>
        <v>LIM333</v>
      </c>
      <c r="D873" s="2">
        <v>255</v>
      </c>
      <c r="F873" s="2451"/>
      <c r="G873" s="2451"/>
      <c r="H873" s="2451"/>
      <c r="I873" s="2451"/>
      <c r="J873" s="2451"/>
      <c r="K873" s="2451"/>
      <c r="L873" s="2451"/>
      <c r="M873" s="2452"/>
      <c r="N873" s="2452"/>
      <c r="O873" s="2452"/>
      <c r="P873" s="2452"/>
      <c r="Q873" s="2452"/>
      <c r="W873" t="s">
        <v>2062</v>
      </c>
    </row>
    <row r="874" spans="1:23" ht="13.15" customHeight="1">
      <c r="A874" s="2" t="s">
        <v>2214</v>
      </c>
      <c r="B874" s="2">
        <f t="shared" si="26"/>
        <v>2020</v>
      </c>
      <c r="C874" s="2" t="str">
        <f t="shared" si="27"/>
        <v>LIM333</v>
      </c>
      <c r="D874" s="2">
        <v>256</v>
      </c>
      <c r="F874" s="2451"/>
      <c r="G874" s="2451"/>
      <c r="H874" s="2451"/>
      <c r="I874" s="2451"/>
      <c r="J874" s="2451"/>
      <c r="K874" s="2451"/>
      <c r="L874" s="2451"/>
      <c r="M874" s="2452"/>
      <c r="N874" s="2452"/>
      <c r="O874" s="2452"/>
      <c r="P874" s="2452"/>
      <c r="Q874" s="2452"/>
      <c r="W874" t="s">
        <v>2062</v>
      </c>
    </row>
    <row r="875" spans="1:23" ht="13.15" customHeight="1">
      <c r="A875" s="2" t="s">
        <v>2214</v>
      </c>
      <c r="B875" s="2">
        <f t="shared" si="26"/>
        <v>2020</v>
      </c>
      <c r="C875" s="2" t="str">
        <f t="shared" si="27"/>
        <v>LIM333</v>
      </c>
      <c r="D875" s="2">
        <v>257</v>
      </c>
      <c r="F875" s="2451"/>
      <c r="G875" s="2451"/>
      <c r="H875" s="2451"/>
      <c r="I875" s="2451"/>
      <c r="J875" s="2451"/>
      <c r="K875" s="2451"/>
      <c r="L875" s="2451"/>
      <c r="M875" s="2452"/>
      <c r="N875" s="2452"/>
      <c r="O875" s="2452"/>
      <c r="P875" s="2452"/>
      <c r="Q875" s="2452"/>
      <c r="W875" t="s">
        <v>2062</v>
      </c>
    </row>
    <row r="876" spans="1:23" ht="13.15" customHeight="1">
      <c r="A876" s="2" t="s">
        <v>2214</v>
      </c>
      <c r="B876" s="2">
        <f t="shared" si="26"/>
        <v>2020</v>
      </c>
      <c r="C876" s="2" t="str">
        <f t="shared" si="27"/>
        <v>LIM333</v>
      </c>
      <c r="D876" s="2">
        <v>258</v>
      </c>
      <c r="F876" s="2451"/>
      <c r="G876" s="2451"/>
      <c r="H876" s="2451"/>
      <c r="I876" s="2451"/>
      <c r="J876" s="2451"/>
      <c r="K876" s="2451"/>
      <c r="L876" s="2451"/>
      <c r="M876" s="2452"/>
      <c r="N876" s="2452"/>
      <c r="O876" s="2452"/>
      <c r="P876" s="2452"/>
      <c r="Q876" s="2452"/>
      <c r="W876" t="s">
        <v>2062</v>
      </c>
    </row>
    <row r="877" spans="1:23" ht="13.15" customHeight="1">
      <c r="A877" s="2" t="s">
        <v>2214</v>
      </c>
      <c r="B877" s="2">
        <f t="shared" si="26"/>
        <v>2020</v>
      </c>
      <c r="C877" s="2" t="str">
        <f t="shared" si="27"/>
        <v>LIM333</v>
      </c>
      <c r="D877" s="2">
        <v>259</v>
      </c>
      <c r="F877" s="2451"/>
      <c r="G877" s="2451"/>
      <c r="H877" s="2451"/>
      <c r="I877" s="2451"/>
      <c r="J877" s="2451"/>
      <c r="K877" s="2451"/>
      <c r="L877" s="2451"/>
      <c r="M877" s="2452"/>
      <c r="N877" s="2452"/>
      <c r="O877" s="2452"/>
      <c r="P877" s="2452"/>
      <c r="Q877" s="2452"/>
      <c r="W877" t="s">
        <v>2062</v>
      </c>
    </row>
    <row r="878" spans="1:23" ht="13.15" customHeight="1">
      <c r="A878" s="2" t="s">
        <v>2214</v>
      </c>
      <c r="B878" s="2">
        <f t="shared" si="26"/>
        <v>2020</v>
      </c>
      <c r="C878" s="2" t="str">
        <f t="shared" si="27"/>
        <v>LIM333</v>
      </c>
      <c r="D878" s="2">
        <v>260</v>
      </c>
      <c r="F878" s="2451"/>
      <c r="G878" s="2451"/>
      <c r="H878" s="2451"/>
      <c r="I878" s="2451"/>
      <c r="J878" s="2451"/>
      <c r="K878" s="2451"/>
      <c r="L878" s="2451"/>
      <c r="M878" s="2452"/>
      <c r="N878" s="2452"/>
      <c r="O878" s="2452"/>
      <c r="P878" s="2452"/>
      <c r="Q878" s="2452"/>
      <c r="W878" t="s">
        <v>2062</v>
      </c>
    </row>
    <row r="879" spans="1:23" ht="13.15" customHeight="1">
      <c r="A879" s="2" t="s">
        <v>2214</v>
      </c>
      <c r="B879" s="2">
        <f t="shared" si="26"/>
        <v>2020</v>
      </c>
      <c r="C879" s="2" t="str">
        <f t="shared" si="27"/>
        <v>LIM333</v>
      </c>
      <c r="D879" s="2">
        <v>261</v>
      </c>
      <c r="F879" s="2451"/>
      <c r="G879" s="2451"/>
      <c r="H879" s="2451"/>
      <c r="I879" s="2451"/>
      <c r="J879" s="2451"/>
      <c r="K879" s="2451"/>
      <c r="L879" s="2451"/>
      <c r="M879" s="2452"/>
      <c r="N879" s="2452"/>
      <c r="O879" s="2452"/>
      <c r="P879" s="2452"/>
      <c r="Q879" s="2452"/>
      <c r="W879" t="s">
        <v>2062</v>
      </c>
    </row>
    <row r="880" spans="1:23" ht="13.15" customHeight="1">
      <c r="A880" s="2" t="s">
        <v>2214</v>
      </c>
      <c r="B880" s="2">
        <f t="shared" si="26"/>
        <v>2020</v>
      </c>
      <c r="C880" s="2" t="str">
        <f t="shared" si="27"/>
        <v>LIM333</v>
      </c>
      <c r="D880" s="2">
        <v>262</v>
      </c>
      <c r="F880" s="2451"/>
      <c r="G880" s="2451"/>
      <c r="H880" s="2451"/>
      <c r="I880" s="2451"/>
      <c r="J880" s="2451"/>
      <c r="K880" s="2451"/>
      <c r="L880" s="2451"/>
      <c r="M880" s="2452"/>
      <c r="N880" s="2452"/>
      <c r="O880" s="2452"/>
      <c r="P880" s="2452"/>
      <c r="Q880" s="2452"/>
      <c r="W880" t="s">
        <v>2062</v>
      </c>
    </row>
    <row r="881" spans="1:23" ht="13.15" customHeight="1">
      <c r="A881" s="2" t="s">
        <v>2214</v>
      </c>
      <c r="B881" s="2">
        <f t="shared" si="26"/>
        <v>2020</v>
      </c>
      <c r="C881" s="2" t="str">
        <f t="shared" si="27"/>
        <v>LIM333</v>
      </c>
      <c r="D881" s="2">
        <v>263</v>
      </c>
      <c r="F881" s="2451"/>
      <c r="G881" s="2451"/>
      <c r="H881" s="2451"/>
      <c r="I881" s="2451"/>
      <c r="J881" s="2451"/>
      <c r="K881" s="2451"/>
      <c r="L881" s="2451"/>
      <c r="M881" s="2452"/>
      <c r="N881" s="2452"/>
      <c r="O881" s="2452"/>
      <c r="P881" s="2452"/>
      <c r="Q881" s="2452"/>
      <c r="W881" t="s">
        <v>2062</v>
      </c>
    </row>
    <row r="882" spans="1:23" ht="13.15" customHeight="1">
      <c r="A882" s="2" t="s">
        <v>2214</v>
      </c>
      <c r="B882" s="2">
        <f t="shared" si="26"/>
        <v>2020</v>
      </c>
      <c r="C882" s="2" t="str">
        <f t="shared" si="27"/>
        <v>LIM333</v>
      </c>
      <c r="D882" s="2">
        <v>264</v>
      </c>
      <c r="F882" s="2451"/>
      <c r="G882" s="2451"/>
      <c r="H882" s="2451"/>
      <c r="I882" s="2451"/>
      <c r="J882" s="2451"/>
      <c r="K882" s="2451"/>
      <c r="L882" s="2451"/>
      <c r="M882" s="2452"/>
      <c r="N882" s="2452"/>
      <c r="O882" s="2452"/>
      <c r="P882" s="2452"/>
      <c r="Q882" s="2452"/>
      <c r="W882" t="s">
        <v>2062</v>
      </c>
    </row>
    <row r="883" spans="1:23" ht="13.15" customHeight="1">
      <c r="A883" s="2" t="s">
        <v>2214</v>
      </c>
      <c r="B883" s="2">
        <f t="shared" si="26"/>
        <v>2020</v>
      </c>
      <c r="C883" s="2" t="str">
        <f t="shared" si="27"/>
        <v>LIM333</v>
      </c>
      <c r="D883" s="2">
        <v>265</v>
      </c>
      <c r="F883" s="2451"/>
      <c r="G883" s="2451"/>
      <c r="H883" s="2451"/>
      <c r="I883" s="2451"/>
      <c r="J883" s="2451"/>
      <c r="K883" s="2451"/>
      <c r="L883" s="2451"/>
      <c r="M883" s="2452"/>
      <c r="N883" s="2452"/>
      <c r="O883" s="2452"/>
      <c r="P883" s="2452"/>
      <c r="Q883" s="2452"/>
      <c r="W883" t="s">
        <v>2062</v>
      </c>
    </row>
    <row r="884" spans="1:23" ht="13.15" customHeight="1">
      <c r="A884" s="2" t="s">
        <v>2214</v>
      </c>
      <c r="B884" s="2">
        <f t="shared" si="26"/>
        <v>2020</v>
      </c>
      <c r="C884" s="2" t="str">
        <f t="shared" si="27"/>
        <v>LIM333</v>
      </c>
      <c r="D884" s="2">
        <v>266</v>
      </c>
      <c r="F884" s="2451"/>
      <c r="G884" s="2451"/>
      <c r="H884" s="2451"/>
      <c r="I884" s="2451"/>
      <c r="J884" s="2451"/>
      <c r="K884" s="2451"/>
      <c r="L884" s="2451"/>
      <c r="M884" s="2452"/>
      <c r="N884" s="2452"/>
      <c r="O884" s="2452"/>
      <c r="P884" s="2452"/>
      <c r="Q884" s="2452"/>
      <c r="W884" t="s">
        <v>2062</v>
      </c>
    </row>
    <row r="885" spans="1:23" ht="13.15" customHeight="1">
      <c r="A885" s="2" t="s">
        <v>2214</v>
      </c>
      <c r="B885" s="2">
        <f t="shared" si="26"/>
        <v>2020</v>
      </c>
      <c r="C885" s="2" t="str">
        <f t="shared" si="27"/>
        <v>LIM333</v>
      </c>
      <c r="D885" s="2">
        <v>267</v>
      </c>
      <c r="F885" s="2451"/>
      <c r="G885" s="2451"/>
      <c r="H885" s="2451"/>
      <c r="I885" s="2451"/>
      <c r="J885" s="2451"/>
      <c r="K885" s="2451"/>
      <c r="L885" s="2451"/>
      <c r="M885" s="2452"/>
      <c r="N885" s="2452"/>
      <c r="O885" s="2452"/>
      <c r="P885" s="2452"/>
      <c r="Q885" s="2452"/>
      <c r="W885" t="s">
        <v>2062</v>
      </c>
    </row>
    <row r="886" spans="1:23" ht="13.15" customHeight="1">
      <c r="A886" s="2" t="s">
        <v>2214</v>
      </c>
      <c r="B886" s="2">
        <f t="shared" si="26"/>
        <v>2020</v>
      </c>
      <c r="C886" s="2" t="str">
        <f t="shared" si="27"/>
        <v>LIM333</v>
      </c>
      <c r="D886" s="2">
        <v>268</v>
      </c>
      <c r="F886" s="2451"/>
      <c r="G886" s="2451"/>
      <c r="H886" s="2451"/>
      <c r="I886" s="2451"/>
      <c r="J886" s="2451"/>
      <c r="K886" s="2451"/>
      <c r="L886" s="2451"/>
      <c r="M886" s="2452"/>
      <c r="N886" s="2452"/>
      <c r="O886" s="2452"/>
      <c r="P886" s="2452"/>
      <c r="Q886" s="2452"/>
      <c r="W886" t="s">
        <v>2062</v>
      </c>
    </row>
    <row r="887" spans="1:23" ht="13.15" customHeight="1">
      <c r="A887" s="2" t="s">
        <v>2214</v>
      </c>
      <c r="B887" s="2">
        <f t="shared" si="26"/>
        <v>2020</v>
      </c>
      <c r="C887" s="2" t="str">
        <f t="shared" si="27"/>
        <v>LIM333</v>
      </c>
      <c r="D887" s="2">
        <v>269</v>
      </c>
      <c r="F887" s="2451"/>
      <c r="G887" s="2451"/>
      <c r="H887" s="2451"/>
      <c r="I887" s="2451"/>
      <c r="J887" s="2451"/>
      <c r="K887" s="2451"/>
      <c r="L887" s="2451"/>
      <c r="M887" s="2452"/>
      <c r="N887" s="2452"/>
      <c r="O887" s="2452"/>
      <c r="P887" s="2452"/>
      <c r="Q887" s="2452"/>
      <c r="W887" t="s">
        <v>2062</v>
      </c>
    </row>
    <row r="888" spans="1:23" ht="13.15" customHeight="1">
      <c r="A888" s="2" t="s">
        <v>2214</v>
      </c>
      <c r="B888" s="2">
        <f t="shared" si="26"/>
        <v>2020</v>
      </c>
      <c r="C888" s="2" t="str">
        <f t="shared" si="27"/>
        <v>LIM333</v>
      </c>
      <c r="D888" s="2">
        <v>270</v>
      </c>
      <c r="F888" s="2451"/>
      <c r="G888" s="2451"/>
      <c r="H888" s="2451"/>
      <c r="I888" s="2451"/>
      <c r="J888" s="2451"/>
      <c r="K888" s="2451"/>
      <c r="L888" s="2451"/>
      <c r="M888" s="2452"/>
      <c r="N888" s="2452"/>
      <c r="O888" s="2452"/>
      <c r="P888" s="2452"/>
      <c r="Q888" s="2452"/>
      <c r="W888" t="s">
        <v>2062</v>
      </c>
    </row>
    <row r="889" spans="1:23" ht="13.15" customHeight="1">
      <c r="A889" s="2" t="s">
        <v>2214</v>
      </c>
      <c r="B889" s="2">
        <f t="shared" si="26"/>
        <v>2020</v>
      </c>
      <c r="C889" s="2" t="str">
        <f t="shared" si="27"/>
        <v>LIM333</v>
      </c>
      <c r="D889" s="2">
        <v>271</v>
      </c>
      <c r="F889" s="2451"/>
      <c r="G889" s="2451"/>
      <c r="H889" s="2451"/>
      <c r="I889" s="2451"/>
      <c r="J889" s="2451"/>
      <c r="K889" s="2451"/>
      <c r="L889" s="2451"/>
      <c r="M889" s="2452"/>
      <c r="N889" s="2452"/>
      <c r="O889" s="2452"/>
      <c r="P889" s="2452"/>
      <c r="Q889" s="2452"/>
      <c r="W889" t="s">
        <v>2062</v>
      </c>
    </row>
    <row r="890" spans="1:23" ht="13.15" customHeight="1">
      <c r="A890" s="2" t="s">
        <v>2214</v>
      </c>
      <c r="B890" s="2">
        <f t="shared" si="26"/>
        <v>2020</v>
      </c>
      <c r="C890" s="2" t="str">
        <f t="shared" si="27"/>
        <v>LIM333</v>
      </c>
      <c r="D890" s="2">
        <v>272</v>
      </c>
      <c r="F890" s="2451"/>
      <c r="G890" s="2451"/>
      <c r="H890" s="2451"/>
      <c r="I890" s="2451"/>
      <c r="J890" s="2451"/>
      <c r="K890" s="2451"/>
      <c r="L890" s="2451"/>
      <c r="M890" s="2452"/>
      <c r="N890" s="2452"/>
      <c r="O890" s="2452"/>
      <c r="P890" s="2452"/>
      <c r="Q890" s="2452"/>
      <c r="W890" t="s">
        <v>2062</v>
      </c>
    </row>
    <row r="891" spans="1:23" ht="13.15" customHeight="1">
      <c r="A891" s="2" t="s">
        <v>2214</v>
      </c>
      <c r="B891" s="2">
        <f t="shared" si="26"/>
        <v>2020</v>
      </c>
      <c r="C891" s="2" t="str">
        <f t="shared" si="27"/>
        <v>LIM333</v>
      </c>
      <c r="D891" s="2">
        <v>273</v>
      </c>
      <c r="F891" s="2451"/>
      <c r="G891" s="2451"/>
      <c r="H891" s="2451"/>
      <c r="I891" s="2451"/>
      <c r="J891" s="2451"/>
      <c r="K891" s="2451"/>
      <c r="L891" s="2451"/>
      <c r="M891" s="2452"/>
      <c r="N891" s="2452"/>
      <c r="O891" s="2452"/>
      <c r="P891" s="2452"/>
      <c r="Q891" s="2452"/>
      <c r="W891" t="s">
        <v>2062</v>
      </c>
    </row>
    <row r="892" spans="1:23" ht="13.15" customHeight="1">
      <c r="A892" s="2" t="s">
        <v>2214</v>
      </c>
      <c r="B892" s="2">
        <f t="shared" si="26"/>
        <v>2020</v>
      </c>
      <c r="C892" s="2" t="str">
        <f t="shared" si="27"/>
        <v>LIM333</v>
      </c>
      <c r="D892" s="2">
        <v>274</v>
      </c>
      <c r="F892" s="2451"/>
      <c r="G892" s="2451"/>
      <c r="H892" s="2451"/>
      <c r="I892" s="2451"/>
      <c r="J892" s="2451"/>
      <c r="K892" s="2451"/>
      <c r="L892" s="2451"/>
      <c r="M892" s="2452"/>
      <c r="N892" s="2452"/>
      <c r="O892" s="2452"/>
      <c r="P892" s="2452"/>
      <c r="Q892" s="2452"/>
      <c r="W892" t="s">
        <v>2062</v>
      </c>
    </row>
    <row r="893" spans="1:23" ht="13.15" customHeight="1">
      <c r="A893" s="2" t="s">
        <v>2214</v>
      </c>
      <c r="B893" s="2">
        <f t="shared" si="26"/>
        <v>2020</v>
      </c>
      <c r="C893" s="2" t="str">
        <f t="shared" si="27"/>
        <v>LIM333</v>
      </c>
      <c r="D893" s="2">
        <v>275</v>
      </c>
      <c r="F893" s="2451"/>
      <c r="G893" s="2451"/>
      <c r="H893" s="2451"/>
      <c r="I893" s="2451"/>
      <c r="J893" s="2451"/>
      <c r="K893" s="2451"/>
      <c r="L893" s="2451"/>
      <c r="M893" s="2452"/>
      <c r="N893" s="2452"/>
      <c r="O893" s="2452"/>
      <c r="P893" s="2452"/>
      <c r="Q893" s="2452"/>
      <c r="W893" t="s">
        <v>2062</v>
      </c>
    </row>
    <row r="894" spans="1:23" ht="13.15" customHeight="1">
      <c r="A894" s="2" t="s">
        <v>2214</v>
      </c>
      <c r="B894" s="2">
        <f t="shared" si="26"/>
        <v>2020</v>
      </c>
      <c r="C894" s="2" t="str">
        <f t="shared" si="27"/>
        <v>LIM333</v>
      </c>
      <c r="D894" s="2">
        <v>276</v>
      </c>
      <c r="F894" s="2451"/>
      <c r="G894" s="2451"/>
      <c r="H894" s="2451"/>
      <c r="I894" s="2451"/>
      <c r="J894" s="2451"/>
      <c r="K894" s="2451"/>
      <c r="L894" s="2451"/>
      <c r="M894" s="2452"/>
      <c r="N894" s="2452"/>
      <c r="O894" s="2452"/>
      <c r="P894" s="2452"/>
      <c r="Q894" s="2452"/>
      <c r="W894" t="s">
        <v>2062</v>
      </c>
    </row>
    <row r="895" spans="1:23" ht="13.15" customHeight="1">
      <c r="A895" s="2" t="s">
        <v>2214</v>
      </c>
      <c r="B895" s="2">
        <f t="shared" si="26"/>
        <v>2020</v>
      </c>
      <c r="C895" s="2" t="str">
        <f t="shared" si="27"/>
        <v>LIM333</v>
      </c>
      <c r="D895" s="2">
        <v>277</v>
      </c>
      <c r="F895" s="2451"/>
      <c r="G895" s="2451"/>
      <c r="H895" s="2451"/>
      <c r="I895" s="2451"/>
      <c r="J895" s="2451"/>
      <c r="K895" s="2451"/>
      <c r="L895" s="2451"/>
      <c r="M895" s="2452"/>
      <c r="N895" s="2452"/>
      <c r="O895" s="2452"/>
      <c r="P895" s="2452"/>
      <c r="Q895" s="2452"/>
      <c r="W895" t="s">
        <v>2062</v>
      </c>
    </row>
    <row r="896" spans="1:23" ht="13.15" customHeight="1">
      <c r="A896" s="2" t="s">
        <v>2214</v>
      </c>
      <c r="B896" s="2">
        <f t="shared" si="26"/>
        <v>2020</v>
      </c>
      <c r="C896" s="2" t="str">
        <f t="shared" si="27"/>
        <v>LIM333</v>
      </c>
      <c r="D896" s="2">
        <v>278</v>
      </c>
      <c r="F896" s="2451"/>
      <c r="G896" s="2451"/>
      <c r="H896" s="2451"/>
      <c r="I896" s="2451"/>
      <c r="J896" s="2451"/>
      <c r="K896" s="2451"/>
      <c r="L896" s="2451"/>
      <c r="M896" s="2452"/>
      <c r="N896" s="2452"/>
      <c r="O896" s="2452"/>
      <c r="P896" s="2452"/>
      <c r="Q896" s="2452"/>
      <c r="W896" t="s">
        <v>2062</v>
      </c>
    </row>
    <row r="897" spans="1:23" ht="13.15" customHeight="1">
      <c r="A897" s="2" t="s">
        <v>2214</v>
      </c>
      <c r="B897" s="2">
        <f t="shared" si="26"/>
        <v>2020</v>
      </c>
      <c r="C897" s="2" t="str">
        <f t="shared" si="27"/>
        <v>LIM333</v>
      </c>
      <c r="D897" s="2">
        <v>279</v>
      </c>
      <c r="F897" s="2451"/>
      <c r="G897" s="2451"/>
      <c r="H897" s="2451"/>
      <c r="I897" s="2451"/>
      <c r="J897" s="2451"/>
      <c r="K897" s="2451"/>
      <c r="L897" s="2451"/>
      <c r="M897" s="2452"/>
      <c r="N897" s="2452"/>
      <c r="O897" s="2452"/>
      <c r="P897" s="2452"/>
      <c r="Q897" s="2452"/>
      <c r="W897" t="s">
        <v>2062</v>
      </c>
    </row>
    <row r="898" spans="1:23" ht="13.15" customHeight="1">
      <c r="A898" s="2" t="s">
        <v>2214</v>
      </c>
      <c r="B898" s="2">
        <f t="shared" ref="B898:B961" si="28">+MTREF</f>
        <v>2020</v>
      </c>
      <c r="C898" s="2" t="str">
        <f t="shared" ref="C898:C961" si="29">LEFT(muni,(FIND(" ",muni,1)-1))</f>
        <v>LIM333</v>
      </c>
      <c r="D898" s="2">
        <v>280</v>
      </c>
      <c r="F898" s="2451"/>
      <c r="G898" s="2451"/>
      <c r="H898" s="2451"/>
      <c r="I898" s="2451"/>
      <c r="J898" s="2451"/>
      <c r="K898" s="2451"/>
      <c r="L898" s="2451"/>
      <c r="M898" s="2452"/>
      <c r="N898" s="2452"/>
      <c r="O898" s="2452"/>
      <c r="P898" s="2452"/>
      <c r="Q898" s="2452"/>
      <c r="W898" t="s">
        <v>2062</v>
      </c>
    </row>
    <row r="899" spans="1:23" ht="13.15" customHeight="1">
      <c r="A899" s="2" t="s">
        <v>2214</v>
      </c>
      <c r="B899" s="2">
        <f t="shared" si="28"/>
        <v>2020</v>
      </c>
      <c r="C899" s="2" t="str">
        <f t="shared" si="29"/>
        <v>LIM333</v>
      </c>
      <c r="D899" s="2">
        <v>281</v>
      </c>
      <c r="F899" s="2451"/>
      <c r="G899" s="2451"/>
      <c r="H899" s="2451"/>
      <c r="I899" s="2451"/>
      <c r="J899" s="2451"/>
      <c r="K899" s="2451"/>
      <c r="L899" s="2451"/>
      <c r="M899" s="2452"/>
      <c r="N899" s="2452"/>
      <c r="O899" s="2452"/>
      <c r="P899" s="2452"/>
      <c r="Q899" s="2452"/>
      <c r="W899" t="s">
        <v>2062</v>
      </c>
    </row>
    <row r="900" spans="1:23" ht="13.15" customHeight="1">
      <c r="A900" s="2" t="s">
        <v>2214</v>
      </c>
      <c r="B900" s="2">
        <f t="shared" si="28"/>
        <v>2020</v>
      </c>
      <c r="C900" s="2" t="str">
        <f t="shared" si="29"/>
        <v>LIM333</v>
      </c>
      <c r="D900" s="2">
        <v>282</v>
      </c>
      <c r="F900" s="2451"/>
      <c r="G900" s="2451"/>
      <c r="H900" s="2451"/>
      <c r="I900" s="2451"/>
      <c r="J900" s="2451"/>
      <c r="K900" s="2451"/>
      <c r="L900" s="2451"/>
      <c r="M900" s="2452"/>
      <c r="N900" s="2452"/>
      <c r="O900" s="2452"/>
      <c r="P900" s="2452"/>
      <c r="Q900" s="2452"/>
      <c r="W900" t="s">
        <v>2062</v>
      </c>
    </row>
    <row r="901" spans="1:23" ht="13.15" customHeight="1">
      <c r="A901" s="2" t="s">
        <v>2214</v>
      </c>
      <c r="B901" s="2">
        <f t="shared" si="28"/>
        <v>2020</v>
      </c>
      <c r="C901" s="2" t="str">
        <f t="shared" si="29"/>
        <v>LIM333</v>
      </c>
      <c r="D901" s="2">
        <v>283</v>
      </c>
      <c r="F901" s="2451"/>
      <c r="G901" s="2451"/>
      <c r="H901" s="2451"/>
      <c r="I901" s="2451"/>
      <c r="J901" s="2451"/>
      <c r="K901" s="2451"/>
      <c r="L901" s="2451"/>
      <c r="M901" s="2452"/>
      <c r="N901" s="2452"/>
      <c r="O901" s="2452"/>
      <c r="P901" s="2452"/>
      <c r="Q901" s="2452"/>
      <c r="W901" t="s">
        <v>2062</v>
      </c>
    </row>
    <row r="902" spans="1:23" ht="13.15" customHeight="1">
      <c r="A902" s="2" t="s">
        <v>2214</v>
      </c>
      <c r="B902" s="2">
        <f t="shared" si="28"/>
        <v>2020</v>
      </c>
      <c r="C902" s="2" t="str">
        <f t="shared" si="29"/>
        <v>LIM333</v>
      </c>
      <c r="D902" s="2">
        <v>284</v>
      </c>
      <c r="F902" s="2451"/>
      <c r="G902" s="2451"/>
      <c r="H902" s="2451"/>
      <c r="I902" s="2451"/>
      <c r="J902" s="2451"/>
      <c r="K902" s="2451"/>
      <c r="L902" s="2451"/>
      <c r="M902" s="2452"/>
      <c r="N902" s="2452"/>
      <c r="O902" s="2452"/>
      <c r="P902" s="2452"/>
      <c r="Q902" s="2452"/>
      <c r="W902" t="s">
        <v>2062</v>
      </c>
    </row>
    <row r="903" spans="1:23" ht="13.15" customHeight="1">
      <c r="A903" s="2" t="s">
        <v>2214</v>
      </c>
      <c r="B903" s="2">
        <f t="shared" si="28"/>
        <v>2020</v>
      </c>
      <c r="C903" s="2" t="str">
        <f t="shared" si="29"/>
        <v>LIM333</v>
      </c>
      <c r="D903" s="2">
        <v>285</v>
      </c>
      <c r="F903" s="2451"/>
      <c r="G903" s="2451"/>
      <c r="H903" s="2451"/>
      <c r="I903" s="2451"/>
      <c r="J903" s="2451"/>
      <c r="K903" s="2451"/>
      <c r="L903" s="2451"/>
      <c r="M903" s="2452"/>
      <c r="N903" s="2452"/>
      <c r="O903" s="2452"/>
      <c r="P903" s="2452"/>
      <c r="Q903" s="2452"/>
      <c r="W903" t="s">
        <v>2062</v>
      </c>
    </row>
    <row r="904" spans="1:23" ht="13.15" customHeight="1">
      <c r="A904" s="2" t="s">
        <v>2214</v>
      </c>
      <c r="B904" s="2">
        <f t="shared" si="28"/>
        <v>2020</v>
      </c>
      <c r="C904" s="2" t="str">
        <f t="shared" si="29"/>
        <v>LIM333</v>
      </c>
      <c r="D904" s="2">
        <v>286</v>
      </c>
      <c r="F904" s="2451"/>
      <c r="G904" s="2451"/>
      <c r="H904" s="2451"/>
      <c r="I904" s="2451"/>
      <c r="J904" s="2451"/>
      <c r="K904" s="2451"/>
      <c r="L904" s="2451"/>
      <c r="M904" s="2452"/>
      <c r="N904" s="2452"/>
      <c r="O904" s="2452"/>
      <c r="P904" s="2452"/>
      <c r="Q904" s="2452"/>
      <c r="W904" t="s">
        <v>2062</v>
      </c>
    </row>
    <row r="905" spans="1:23" ht="13.15" customHeight="1">
      <c r="A905" s="2" t="s">
        <v>2214</v>
      </c>
      <c r="B905" s="2">
        <f t="shared" si="28"/>
        <v>2020</v>
      </c>
      <c r="C905" s="2" t="str">
        <f t="shared" si="29"/>
        <v>LIM333</v>
      </c>
      <c r="D905" s="2">
        <v>287</v>
      </c>
      <c r="F905" s="2451"/>
      <c r="G905" s="2451"/>
      <c r="H905" s="2451"/>
      <c r="I905" s="2451"/>
      <c r="J905" s="2451"/>
      <c r="K905" s="2451"/>
      <c r="L905" s="2451"/>
      <c r="M905" s="2452"/>
      <c r="N905" s="2452"/>
      <c r="O905" s="2452"/>
      <c r="P905" s="2452"/>
      <c r="Q905" s="2452"/>
      <c r="W905" t="s">
        <v>2062</v>
      </c>
    </row>
    <row r="906" spans="1:23" ht="13.15" customHeight="1">
      <c r="A906" s="2" t="s">
        <v>2214</v>
      </c>
      <c r="B906" s="2">
        <f t="shared" si="28"/>
        <v>2020</v>
      </c>
      <c r="C906" s="2" t="str">
        <f t="shared" si="29"/>
        <v>LIM333</v>
      </c>
      <c r="D906" s="2">
        <v>288</v>
      </c>
      <c r="F906" s="2451"/>
      <c r="G906" s="2451"/>
      <c r="H906" s="2451"/>
      <c r="I906" s="2451"/>
      <c r="J906" s="2451"/>
      <c r="K906" s="2451"/>
      <c r="L906" s="2451"/>
      <c r="M906" s="2452"/>
      <c r="N906" s="2452"/>
      <c r="O906" s="2452"/>
      <c r="P906" s="2452"/>
      <c r="Q906" s="2452"/>
      <c r="W906" t="s">
        <v>2062</v>
      </c>
    </row>
    <row r="907" spans="1:23" ht="13.15" customHeight="1">
      <c r="A907" s="2" t="s">
        <v>2214</v>
      </c>
      <c r="B907" s="2">
        <f t="shared" si="28"/>
        <v>2020</v>
      </c>
      <c r="C907" s="2" t="str">
        <f t="shared" si="29"/>
        <v>LIM333</v>
      </c>
      <c r="D907" s="2">
        <v>289</v>
      </c>
      <c r="F907" s="2451"/>
      <c r="G907" s="2451"/>
      <c r="H907" s="2451"/>
      <c r="I907" s="2451"/>
      <c r="J907" s="2451"/>
      <c r="K907" s="2451"/>
      <c r="L907" s="2451"/>
      <c r="M907" s="2452"/>
      <c r="N907" s="2452"/>
      <c r="O907" s="2452"/>
      <c r="P907" s="2452"/>
      <c r="Q907" s="2452"/>
      <c r="W907" t="s">
        <v>2062</v>
      </c>
    </row>
    <row r="908" spans="1:23" ht="13.15" customHeight="1">
      <c r="A908" s="2" t="s">
        <v>2214</v>
      </c>
      <c r="B908" s="2">
        <f t="shared" si="28"/>
        <v>2020</v>
      </c>
      <c r="C908" s="2" t="str">
        <f t="shared" si="29"/>
        <v>LIM333</v>
      </c>
      <c r="D908" s="2">
        <v>290</v>
      </c>
      <c r="F908" s="2451"/>
      <c r="G908" s="2451"/>
      <c r="H908" s="2451"/>
      <c r="I908" s="2451"/>
      <c r="J908" s="2451"/>
      <c r="K908" s="2451"/>
      <c r="L908" s="2451"/>
      <c r="M908" s="2452"/>
      <c r="N908" s="2452"/>
      <c r="O908" s="2452"/>
      <c r="P908" s="2452"/>
      <c r="Q908" s="2452"/>
      <c r="W908" t="s">
        <v>2062</v>
      </c>
    </row>
    <row r="909" spans="1:23" ht="13.15" customHeight="1">
      <c r="A909" s="2" t="s">
        <v>2214</v>
      </c>
      <c r="B909" s="2">
        <f t="shared" si="28"/>
        <v>2020</v>
      </c>
      <c r="C909" s="2" t="str">
        <f t="shared" si="29"/>
        <v>LIM333</v>
      </c>
      <c r="D909" s="2">
        <v>291</v>
      </c>
      <c r="F909" s="2451"/>
      <c r="G909" s="2451"/>
      <c r="H909" s="2451"/>
      <c r="I909" s="2451"/>
      <c r="J909" s="2451"/>
      <c r="K909" s="2451"/>
      <c r="L909" s="2451"/>
      <c r="M909" s="2452"/>
      <c r="N909" s="2452"/>
      <c r="O909" s="2452"/>
      <c r="P909" s="2452"/>
      <c r="Q909" s="2452"/>
      <c r="W909" t="s">
        <v>2062</v>
      </c>
    </row>
    <row r="910" spans="1:23" ht="13.15" customHeight="1">
      <c r="A910" s="2" t="s">
        <v>2214</v>
      </c>
      <c r="B910" s="2">
        <f t="shared" si="28"/>
        <v>2020</v>
      </c>
      <c r="C910" s="2" t="str">
        <f t="shared" si="29"/>
        <v>LIM333</v>
      </c>
      <c r="D910" s="2">
        <v>292</v>
      </c>
      <c r="F910" s="2451"/>
      <c r="G910" s="2451"/>
      <c r="H910" s="2451"/>
      <c r="I910" s="2451"/>
      <c r="J910" s="2451"/>
      <c r="K910" s="2451"/>
      <c r="L910" s="2451"/>
      <c r="M910" s="2452"/>
      <c r="N910" s="2452"/>
      <c r="O910" s="2452"/>
      <c r="P910" s="2452"/>
      <c r="Q910" s="2452"/>
      <c r="W910" t="s">
        <v>2062</v>
      </c>
    </row>
    <row r="911" spans="1:23" ht="13.15" customHeight="1">
      <c r="A911" s="2" t="s">
        <v>2214</v>
      </c>
      <c r="B911" s="2">
        <f t="shared" si="28"/>
        <v>2020</v>
      </c>
      <c r="C911" s="2" t="str">
        <f t="shared" si="29"/>
        <v>LIM333</v>
      </c>
      <c r="D911" s="2">
        <v>293</v>
      </c>
      <c r="F911" s="2451"/>
      <c r="G911" s="2451"/>
      <c r="H911" s="2451"/>
      <c r="I911" s="2451"/>
      <c r="J911" s="2451"/>
      <c r="K911" s="2451"/>
      <c r="L911" s="2451"/>
      <c r="M911" s="2452"/>
      <c r="N911" s="2452"/>
      <c r="O911" s="2452"/>
      <c r="P911" s="2452"/>
      <c r="Q911" s="2452"/>
      <c r="W911" t="s">
        <v>2062</v>
      </c>
    </row>
    <row r="912" spans="1:23" ht="13.15" customHeight="1">
      <c r="A912" s="2" t="s">
        <v>2214</v>
      </c>
      <c r="B912" s="2">
        <f t="shared" si="28"/>
        <v>2020</v>
      </c>
      <c r="C912" s="2" t="str">
        <f t="shared" si="29"/>
        <v>LIM333</v>
      </c>
      <c r="D912" s="2">
        <v>294</v>
      </c>
      <c r="F912" s="2451"/>
      <c r="G912" s="2451"/>
      <c r="H912" s="2451"/>
      <c r="I912" s="2451"/>
      <c r="J912" s="2451"/>
      <c r="K912" s="2451"/>
      <c r="L912" s="2451"/>
      <c r="M912" s="2452"/>
      <c r="N912" s="2452"/>
      <c r="O912" s="2452"/>
      <c r="P912" s="2452"/>
      <c r="Q912" s="2452"/>
      <c r="W912" t="s">
        <v>2062</v>
      </c>
    </row>
    <row r="913" spans="1:23" ht="13.15" customHeight="1">
      <c r="A913" s="2" t="s">
        <v>2214</v>
      </c>
      <c r="B913" s="2">
        <f t="shared" si="28"/>
        <v>2020</v>
      </c>
      <c r="C913" s="2" t="str">
        <f t="shared" si="29"/>
        <v>LIM333</v>
      </c>
      <c r="D913" s="2">
        <v>295</v>
      </c>
      <c r="F913" s="2451"/>
      <c r="G913" s="2451"/>
      <c r="H913" s="2451"/>
      <c r="I913" s="2451"/>
      <c r="J913" s="2451"/>
      <c r="K913" s="2451"/>
      <c r="L913" s="2451"/>
      <c r="M913" s="2452"/>
      <c r="N913" s="2452"/>
      <c r="O913" s="2452"/>
      <c r="P913" s="2452"/>
      <c r="Q913" s="2452"/>
      <c r="W913" t="s">
        <v>2062</v>
      </c>
    </row>
    <row r="914" spans="1:23" ht="13.15" customHeight="1">
      <c r="A914" s="2" t="s">
        <v>2214</v>
      </c>
      <c r="B914" s="2">
        <f t="shared" si="28"/>
        <v>2020</v>
      </c>
      <c r="C914" s="2" t="str">
        <f t="shared" si="29"/>
        <v>LIM333</v>
      </c>
      <c r="D914" s="2">
        <v>296</v>
      </c>
      <c r="F914" s="2451"/>
      <c r="G914" s="2451"/>
      <c r="H914" s="2451"/>
      <c r="I914" s="2451"/>
      <c r="J914" s="2451"/>
      <c r="K914" s="2451"/>
      <c r="L914" s="2451"/>
      <c r="M914" s="2452"/>
      <c r="N914" s="2452"/>
      <c r="O914" s="2452"/>
      <c r="P914" s="2452"/>
      <c r="Q914" s="2452"/>
      <c r="W914" t="s">
        <v>2062</v>
      </c>
    </row>
    <row r="915" spans="1:23" ht="13.15" customHeight="1">
      <c r="A915" s="2" t="s">
        <v>2214</v>
      </c>
      <c r="B915" s="2">
        <f t="shared" si="28"/>
        <v>2020</v>
      </c>
      <c r="C915" s="2" t="str">
        <f t="shared" si="29"/>
        <v>LIM333</v>
      </c>
      <c r="D915" s="2">
        <v>297</v>
      </c>
      <c r="F915" s="2451"/>
      <c r="G915" s="2451"/>
      <c r="H915" s="2451"/>
      <c r="I915" s="2451"/>
      <c r="J915" s="2451"/>
      <c r="K915" s="2451"/>
      <c r="L915" s="2451"/>
      <c r="M915" s="2452"/>
      <c r="N915" s="2452"/>
      <c r="O915" s="2452"/>
      <c r="P915" s="2452"/>
      <c r="Q915" s="2452"/>
      <c r="W915" t="s">
        <v>2062</v>
      </c>
    </row>
    <row r="916" spans="1:23" ht="13.15" customHeight="1">
      <c r="A916" s="2" t="s">
        <v>2214</v>
      </c>
      <c r="B916" s="2">
        <f t="shared" si="28"/>
        <v>2020</v>
      </c>
      <c r="C916" s="2" t="str">
        <f t="shared" si="29"/>
        <v>LIM333</v>
      </c>
      <c r="D916" s="2">
        <v>298</v>
      </c>
      <c r="F916" s="2451"/>
      <c r="G916" s="2451"/>
      <c r="H916" s="2451"/>
      <c r="I916" s="2451"/>
      <c r="J916" s="2451"/>
      <c r="K916" s="2451"/>
      <c r="L916" s="2451"/>
      <c r="M916" s="2452"/>
      <c r="N916" s="2452"/>
      <c r="O916" s="2452"/>
      <c r="P916" s="2452"/>
      <c r="Q916" s="2452"/>
      <c r="W916" t="s">
        <v>2062</v>
      </c>
    </row>
    <row r="917" spans="1:23" ht="13.15" customHeight="1">
      <c r="A917" s="2" t="s">
        <v>2214</v>
      </c>
      <c r="B917" s="2">
        <f t="shared" si="28"/>
        <v>2020</v>
      </c>
      <c r="C917" s="2" t="str">
        <f t="shared" si="29"/>
        <v>LIM333</v>
      </c>
      <c r="D917" s="2">
        <v>299</v>
      </c>
      <c r="F917" s="2451"/>
      <c r="G917" s="2451"/>
      <c r="H917" s="2451"/>
      <c r="I917" s="2451"/>
      <c r="J917" s="2451"/>
      <c r="K917" s="2451"/>
      <c r="L917" s="2451"/>
      <c r="M917" s="2452"/>
      <c r="N917" s="2452"/>
      <c r="O917" s="2452"/>
      <c r="P917" s="2452"/>
      <c r="Q917" s="2452"/>
      <c r="W917" t="s">
        <v>2062</v>
      </c>
    </row>
    <row r="918" spans="1:23" ht="13.15" customHeight="1">
      <c r="A918" s="2" t="s">
        <v>2214</v>
      </c>
      <c r="B918" s="2">
        <f t="shared" si="28"/>
        <v>2020</v>
      </c>
      <c r="C918" s="2" t="str">
        <f t="shared" si="29"/>
        <v>LIM333</v>
      </c>
      <c r="D918" s="2">
        <v>300</v>
      </c>
      <c r="F918" s="2451"/>
      <c r="G918" s="2451"/>
      <c r="H918" s="2451"/>
      <c r="I918" s="2451"/>
      <c r="J918" s="2451"/>
      <c r="K918" s="2451"/>
      <c r="L918" s="2451"/>
      <c r="M918" s="2452"/>
      <c r="N918" s="2452"/>
      <c r="O918" s="2452"/>
      <c r="P918" s="2452"/>
      <c r="Q918" s="2452"/>
      <c r="W918" t="s">
        <v>2062</v>
      </c>
    </row>
    <row r="919" spans="1:23" ht="13.15" customHeight="1">
      <c r="A919" s="2" t="s">
        <v>2214</v>
      </c>
      <c r="B919" s="2">
        <f t="shared" si="28"/>
        <v>2020</v>
      </c>
      <c r="C919" s="2" t="str">
        <f t="shared" si="29"/>
        <v>LIM333</v>
      </c>
      <c r="D919" s="2">
        <v>301</v>
      </c>
      <c r="F919" s="2451"/>
      <c r="G919" s="2451"/>
      <c r="H919" s="2451"/>
      <c r="I919" s="2451"/>
      <c r="J919" s="2451"/>
      <c r="K919" s="2451"/>
      <c r="L919" s="2451"/>
      <c r="M919" s="2452"/>
      <c r="N919" s="2452"/>
      <c r="O919" s="2452"/>
      <c r="P919" s="2452"/>
      <c r="Q919" s="2452"/>
      <c r="W919" t="s">
        <v>2062</v>
      </c>
    </row>
    <row r="920" spans="1:23" ht="13.15" customHeight="1">
      <c r="A920" s="2" t="s">
        <v>2214</v>
      </c>
      <c r="B920" s="2">
        <f t="shared" si="28"/>
        <v>2020</v>
      </c>
      <c r="C920" s="2" t="str">
        <f t="shared" si="29"/>
        <v>LIM333</v>
      </c>
      <c r="D920" s="2">
        <v>302</v>
      </c>
      <c r="F920" s="2451"/>
      <c r="G920" s="2451"/>
      <c r="H920" s="2451"/>
      <c r="I920" s="2451"/>
      <c r="J920" s="2451"/>
      <c r="K920" s="2451"/>
      <c r="L920" s="2451"/>
      <c r="M920" s="2452"/>
      <c r="N920" s="2452"/>
      <c r="O920" s="2452"/>
      <c r="P920" s="2452"/>
      <c r="Q920" s="2452"/>
      <c r="W920" t="s">
        <v>2062</v>
      </c>
    </row>
    <row r="921" spans="1:23" ht="13.15" customHeight="1">
      <c r="A921" s="2" t="s">
        <v>2214</v>
      </c>
      <c r="B921" s="2">
        <f t="shared" si="28"/>
        <v>2020</v>
      </c>
      <c r="C921" s="2" t="str">
        <f t="shared" si="29"/>
        <v>LIM333</v>
      </c>
      <c r="D921" s="2">
        <v>303</v>
      </c>
      <c r="F921" s="2451"/>
      <c r="G921" s="2451"/>
      <c r="H921" s="2451"/>
      <c r="I921" s="2451"/>
      <c r="J921" s="2451"/>
      <c r="K921" s="2451"/>
      <c r="L921" s="2451"/>
      <c r="M921" s="2452"/>
      <c r="N921" s="2452"/>
      <c r="O921" s="2452"/>
      <c r="P921" s="2452"/>
      <c r="Q921" s="2452"/>
      <c r="W921" t="s">
        <v>2062</v>
      </c>
    </row>
    <row r="922" spans="1:23" ht="13.15" customHeight="1">
      <c r="A922" s="2" t="s">
        <v>2214</v>
      </c>
      <c r="B922" s="2">
        <f t="shared" si="28"/>
        <v>2020</v>
      </c>
      <c r="C922" s="2" t="str">
        <f t="shared" si="29"/>
        <v>LIM333</v>
      </c>
      <c r="D922" s="2">
        <v>304</v>
      </c>
      <c r="F922" s="2451"/>
      <c r="G922" s="2451"/>
      <c r="H922" s="2451"/>
      <c r="I922" s="2451"/>
      <c r="J922" s="2451"/>
      <c r="K922" s="2451"/>
      <c r="L922" s="2451"/>
      <c r="M922" s="2452"/>
      <c r="N922" s="2452"/>
      <c r="O922" s="2452"/>
      <c r="P922" s="2452"/>
      <c r="Q922" s="2452"/>
      <c r="W922" t="s">
        <v>2062</v>
      </c>
    </row>
    <row r="923" spans="1:23" ht="13.15" customHeight="1">
      <c r="A923" s="2" t="s">
        <v>2214</v>
      </c>
      <c r="B923" s="2">
        <f t="shared" si="28"/>
        <v>2020</v>
      </c>
      <c r="C923" s="2" t="str">
        <f t="shared" si="29"/>
        <v>LIM333</v>
      </c>
      <c r="D923" s="2">
        <v>305</v>
      </c>
      <c r="F923" s="2451"/>
      <c r="G923" s="2451"/>
      <c r="H923" s="2451"/>
      <c r="I923" s="2451"/>
      <c r="J923" s="2451"/>
      <c r="K923" s="2451"/>
      <c r="L923" s="2451"/>
      <c r="M923" s="2452"/>
      <c r="N923" s="2452"/>
      <c r="O923" s="2452"/>
      <c r="P923" s="2452"/>
      <c r="Q923" s="2452"/>
      <c r="W923" t="s">
        <v>2062</v>
      </c>
    </row>
    <row r="924" spans="1:23" ht="13.15" customHeight="1">
      <c r="A924" s="2" t="s">
        <v>2214</v>
      </c>
      <c r="B924" s="2">
        <f t="shared" si="28"/>
        <v>2020</v>
      </c>
      <c r="C924" s="2" t="str">
        <f t="shared" si="29"/>
        <v>LIM333</v>
      </c>
      <c r="D924" s="2">
        <v>306</v>
      </c>
      <c r="F924" s="2451"/>
      <c r="G924" s="2451"/>
      <c r="H924" s="2451"/>
      <c r="I924" s="2451"/>
      <c r="J924" s="2451"/>
      <c r="K924" s="2451"/>
      <c r="L924" s="2451"/>
      <c r="M924" s="2452"/>
      <c r="N924" s="2452"/>
      <c r="O924" s="2452"/>
      <c r="P924" s="2452"/>
      <c r="Q924" s="2452"/>
      <c r="W924" t="s">
        <v>2062</v>
      </c>
    </row>
    <row r="925" spans="1:23" ht="13.15" customHeight="1">
      <c r="A925" s="2" t="s">
        <v>2214</v>
      </c>
      <c r="B925" s="2">
        <f t="shared" si="28"/>
        <v>2020</v>
      </c>
      <c r="C925" s="2" t="str">
        <f t="shared" si="29"/>
        <v>LIM333</v>
      </c>
      <c r="D925" s="2">
        <v>307</v>
      </c>
      <c r="F925" s="2451"/>
      <c r="G925" s="2451"/>
      <c r="H925" s="2451"/>
      <c r="I925" s="2451"/>
      <c r="J925" s="2451"/>
      <c r="K925" s="2451"/>
      <c r="L925" s="2451"/>
      <c r="M925" s="2452"/>
      <c r="N925" s="2452"/>
      <c r="O925" s="2452"/>
      <c r="P925" s="2452"/>
      <c r="Q925" s="2452"/>
      <c r="W925" t="s">
        <v>2062</v>
      </c>
    </row>
    <row r="926" spans="1:23" ht="13.15" customHeight="1">
      <c r="A926" s="2" t="s">
        <v>2214</v>
      </c>
      <c r="B926" s="2">
        <f t="shared" si="28"/>
        <v>2020</v>
      </c>
      <c r="C926" s="2" t="str">
        <f t="shared" si="29"/>
        <v>LIM333</v>
      </c>
      <c r="D926" s="2">
        <v>308</v>
      </c>
      <c r="F926" s="2451"/>
      <c r="G926" s="2451"/>
      <c r="H926" s="2451"/>
      <c r="I926" s="2451"/>
      <c r="J926" s="2451"/>
      <c r="K926" s="2451"/>
      <c r="L926" s="2451"/>
      <c r="M926" s="2452"/>
      <c r="N926" s="2452"/>
      <c r="O926" s="2452"/>
      <c r="P926" s="2452"/>
      <c r="Q926" s="2452"/>
      <c r="W926" t="s">
        <v>2062</v>
      </c>
    </row>
    <row r="927" spans="1:23" ht="13.15" customHeight="1">
      <c r="A927" s="2" t="s">
        <v>2214</v>
      </c>
      <c r="B927" s="2">
        <f t="shared" si="28"/>
        <v>2020</v>
      </c>
      <c r="C927" s="2" t="str">
        <f t="shared" si="29"/>
        <v>LIM333</v>
      </c>
      <c r="D927" s="2">
        <v>309</v>
      </c>
      <c r="F927" s="2451"/>
      <c r="G927" s="2451"/>
      <c r="H927" s="2451"/>
      <c r="I927" s="2451"/>
      <c r="J927" s="2451"/>
      <c r="K927" s="2451"/>
      <c r="L927" s="2451"/>
      <c r="M927" s="2452"/>
      <c r="N927" s="2452"/>
      <c r="O927" s="2452"/>
      <c r="P927" s="2452"/>
      <c r="Q927" s="2452"/>
      <c r="W927" t="s">
        <v>2062</v>
      </c>
    </row>
    <row r="928" spans="1:23" ht="13.15" customHeight="1">
      <c r="A928" s="2" t="s">
        <v>2214</v>
      </c>
      <c r="B928" s="2">
        <f t="shared" si="28"/>
        <v>2020</v>
      </c>
      <c r="C928" s="2" t="str">
        <f t="shared" si="29"/>
        <v>LIM333</v>
      </c>
      <c r="D928" s="2">
        <v>310</v>
      </c>
      <c r="F928" s="2451"/>
      <c r="G928" s="2451"/>
      <c r="H928" s="2451"/>
      <c r="I928" s="2451"/>
      <c r="J928" s="2451"/>
      <c r="K928" s="2451"/>
      <c r="L928" s="2451"/>
      <c r="M928" s="2452"/>
      <c r="N928" s="2452"/>
      <c r="O928" s="2452"/>
      <c r="P928" s="2452"/>
      <c r="Q928" s="2452"/>
      <c r="W928" t="s">
        <v>2062</v>
      </c>
    </row>
    <row r="929" spans="1:23" ht="13.15" customHeight="1">
      <c r="A929" s="2" t="s">
        <v>2214</v>
      </c>
      <c r="B929" s="2">
        <f t="shared" si="28"/>
        <v>2020</v>
      </c>
      <c r="C929" s="2" t="str">
        <f t="shared" si="29"/>
        <v>LIM333</v>
      </c>
      <c r="D929" s="2">
        <v>311</v>
      </c>
      <c r="F929" s="2451"/>
      <c r="G929" s="2451"/>
      <c r="H929" s="2451"/>
      <c r="I929" s="2451"/>
      <c r="J929" s="2451"/>
      <c r="K929" s="2451"/>
      <c r="L929" s="2451"/>
      <c r="M929" s="2452"/>
      <c r="N929" s="2452"/>
      <c r="O929" s="2452"/>
      <c r="P929" s="2452"/>
      <c r="Q929" s="2452"/>
      <c r="W929" t="s">
        <v>2062</v>
      </c>
    </row>
    <row r="930" spans="1:23" ht="13.15" customHeight="1">
      <c r="A930" s="2" t="s">
        <v>2214</v>
      </c>
      <c r="B930" s="2">
        <f t="shared" si="28"/>
        <v>2020</v>
      </c>
      <c r="C930" s="2" t="str">
        <f t="shared" si="29"/>
        <v>LIM333</v>
      </c>
      <c r="D930" s="2">
        <v>312</v>
      </c>
      <c r="F930" s="2451"/>
      <c r="G930" s="2451"/>
      <c r="H930" s="2451"/>
      <c r="I930" s="2451"/>
      <c r="J930" s="2451"/>
      <c r="K930" s="2451"/>
      <c r="L930" s="2451"/>
      <c r="M930" s="2452"/>
      <c r="N930" s="2452"/>
      <c r="O930" s="2452"/>
      <c r="P930" s="2452"/>
      <c r="Q930" s="2452"/>
      <c r="W930" t="s">
        <v>2062</v>
      </c>
    </row>
    <row r="931" spans="1:23" ht="13.15" customHeight="1">
      <c r="A931" s="2" t="s">
        <v>2214</v>
      </c>
      <c r="B931" s="2">
        <f t="shared" si="28"/>
        <v>2020</v>
      </c>
      <c r="C931" s="2" t="str">
        <f t="shared" si="29"/>
        <v>LIM333</v>
      </c>
      <c r="D931" s="2">
        <v>313</v>
      </c>
      <c r="F931" s="2451"/>
      <c r="G931" s="2451"/>
      <c r="H931" s="2451"/>
      <c r="I931" s="2451"/>
      <c r="J931" s="2451"/>
      <c r="K931" s="2451"/>
      <c r="L931" s="2451"/>
      <c r="M931" s="2452"/>
      <c r="N931" s="2452"/>
      <c r="O931" s="2452"/>
      <c r="P931" s="2452"/>
      <c r="Q931" s="2452"/>
      <c r="W931" t="s">
        <v>2062</v>
      </c>
    </row>
    <row r="932" spans="1:23" ht="13.15" customHeight="1">
      <c r="A932" s="2" t="s">
        <v>2214</v>
      </c>
      <c r="B932" s="2">
        <f t="shared" si="28"/>
        <v>2020</v>
      </c>
      <c r="C932" s="2" t="str">
        <f t="shared" si="29"/>
        <v>LIM333</v>
      </c>
      <c r="D932" s="2">
        <v>314</v>
      </c>
      <c r="F932" s="2451"/>
      <c r="G932" s="2451"/>
      <c r="H932" s="2451"/>
      <c r="I932" s="2451"/>
      <c r="J932" s="2451"/>
      <c r="K932" s="2451"/>
      <c r="L932" s="2451"/>
      <c r="M932" s="2452"/>
      <c r="N932" s="2452"/>
      <c r="O932" s="2452"/>
      <c r="P932" s="2452"/>
      <c r="Q932" s="2452"/>
      <c r="W932" t="s">
        <v>2062</v>
      </c>
    </row>
    <row r="933" spans="1:23" ht="13.15" customHeight="1">
      <c r="A933" s="2" t="s">
        <v>2214</v>
      </c>
      <c r="B933" s="2">
        <f t="shared" si="28"/>
        <v>2020</v>
      </c>
      <c r="C933" s="2" t="str">
        <f t="shared" si="29"/>
        <v>LIM333</v>
      </c>
      <c r="D933" s="2">
        <v>315</v>
      </c>
      <c r="F933" s="2451"/>
      <c r="G933" s="2451"/>
      <c r="H933" s="2451"/>
      <c r="I933" s="2451"/>
      <c r="J933" s="2451"/>
      <c r="K933" s="2451"/>
      <c r="L933" s="2451"/>
      <c r="M933" s="2452"/>
      <c r="N933" s="2452"/>
      <c r="O933" s="2452"/>
      <c r="P933" s="2452"/>
      <c r="Q933" s="2452"/>
      <c r="W933" t="s">
        <v>2062</v>
      </c>
    </row>
    <row r="934" spans="1:23" ht="13.15" customHeight="1">
      <c r="A934" s="2" t="s">
        <v>2214</v>
      </c>
      <c r="B934" s="2">
        <f t="shared" si="28"/>
        <v>2020</v>
      </c>
      <c r="C934" s="2" t="str">
        <f t="shared" si="29"/>
        <v>LIM333</v>
      </c>
      <c r="D934" s="2">
        <v>316</v>
      </c>
      <c r="F934" s="2451"/>
      <c r="G934" s="2451"/>
      <c r="H934" s="2451"/>
      <c r="I934" s="2451"/>
      <c r="J934" s="2451"/>
      <c r="K934" s="2451"/>
      <c r="L934" s="2451"/>
      <c r="M934" s="2452"/>
      <c r="N934" s="2452"/>
      <c r="O934" s="2452"/>
      <c r="P934" s="2452"/>
      <c r="Q934" s="2452"/>
      <c r="W934" t="s">
        <v>2062</v>
      </c>
    </row>
    <row r="935" spans="1:23" ht="13.15" customHeight="1">
      <c r="A935" s="2" t="s">
        <v>2214</v>
      </c>
      <c r="B935" s="2">
        <f t="shared" si="28"/>
        <v>2020</v>
      </c>
      <c r="C935" s="2" t="str">
        <f t="shared" si="29"/>
        <v>LIM333</v>
      </c>
      <c r="D935" s="2">
        <v>317</v>
      </c>
      <c r="F935" s="2451"/>
      <c r="G935" s="2451"/>
      <c r="H935" s="2451"/>
      <c r="I935" s="2451"/>
      <c r="J935" s="2451"/>
      <c r="K935" s="2451"/>
      <c r="L935" s="2451"/>
      <c r="M935" s="2452"/>
      <c r="N935" s="2452"/>
      <c r="O935" s="2452"/>
      <c r="P935" s="2452"/>
      <c r="Q935" s="2452"/>
      <c r="W935" t="s">
        <v>2062</v>
      </c>
    </row>
    <row r="936" spans="1:23" ht="13.15" customHeight="1">
      <c r="A936" s="2" t="s">
        <v>2214</v>
      </c>
      <c r="B936" s="2">
        <f t="shared" si="28"/>
        <v>2020</v>
      </c>
      <c r="C936" s="2" t="str">
        <f t="shared" si="29"/>
        <v>LIM333</v>
      </c>
      <c r="D936" s="2">
        <v>318</v>
      </c>
      <c r="F936" s="2451"/>
      <c r="G936" s="2451"/>
      <c r="H936" s="2451"/>
      <c r="I936" s="2451"/>
      <c r="J936" s="2451"/>
      <c r="K936" s="2451"/>
      <c r="L936" s="2451"/>
      <c r="M936" s="2452"/>
      <c r="N936" s="2452"/>
      <c r="O936" s="2452"/>
      <c r="P936" s="2452"/>
      <c r="Q936" s="2452"/>
      <c r="W936" t="s">
        <v>2062</v>
      </c>
    </row>
    <row r="937" spans="1:23" ht="13.15" customHeight="1">
      <c r="A937" s="2" t="s">
        <v>2214</v>
      </c>
      <c r="B937" s="2">
        <f t="shared" si="28"/>
        <v>2020</v>
      </c>
      <c r="C937" s="2" t="str">
        <f t="shared" si="29"/>
        <v>LIM333</v>
      </c>
      <c r="D937" s="2">
        <v>319</v>
      </c>
      <c r="F937" s="2451"/>
      <c r="G937" s="2451"/>
      <c r="H937" s="2451"/>
      <c r="I937" s="2451"/>
      <c r="J937" s="2451"/>
      <c r="K937" s="2451"/>
      <c r="L937" s="2451"/>
      <c r="M937" s="2452"/>
      <c r="N937" s="2452"/>
      <c r="O937" s="2452"/>
      <c r="P937" s="2452"/>
      <c r="Q937" s="2452"/>
      <c r="W937" t="s">
        <v>2062</v>
      </c>
    </row>
    <row r="938" spans="1:23" ht="13.15" customHeight="1">
      <c r="A938" s="2" t="s">
        <v>2214</v>
      </c>
      <c r="B938" s="2">
        <f t="shared" si="28"/>
        <v>2020</v>
      </c>
      <c r="C938" s="2" t="str">
        <f t="shared" si="29"/>
        <v>LIM333</v>
      </c>
      <c r="D938" s="2">
        <v>320</v>
      </c>
      <c r="F938" s="2451"/>
      <c r="G938" s="2451"/>
      <c r="H938" s="2451"/>
      <c r="I938" s="2451"/>
      <c r="J938" s="2451"/>
      <c r="K938" s="2451"/>
      <c r="L938" s="2451"/>
      <c r="M938" s="2452"/>
      <c r="N938" s="2452"/>
      <c r="O938" s="2452"/>
      <c r="P938" s="2452"/>
      <c r="Q938" s="2452"/>
      <c r="W938" t="s">
        <v>2062</v>
      </c>
    </row>
    <row r="939" spans="1:23" ht="13.15" customHeight="1">
      <c r="A939" s="2" t="s">
        <v>2214</v>
      </c>
      <c r="B939" s="2">
        <f t="shared" si="28"/>
        <v>2020</v>
      </c>
      <c r="C939" s="2" t="str">
        <f t="shared" si="29"/>
        <v>LIM333</v>
      </c>
      <c r="D939" s="2">
        <v>321</v>
      </c>
      <c r="F939" s="2451"/>
      <c r="G939" s="2451"/>
      <c r="H939" s="2451"/>
      <c r="I939" s="2451"/>
      <c r="J939" s="2451"/>
      <c r="K939" s="2451"/>
      <c r="L939" s="2451"/>
      <c r="M939" s="2452"/>
      <c r="N939" s="2452"/>
      <c r="O939" s="2452"/>
      <c r="P939" s="2452"/>
      <c r="Q939" s="2452"/>
      <c r="W939" t="s">
        <v>2062</v>
      </c>
    </row>
    <row r="940" spans="1:23" ht="13.15" customHeight="1">
      <c r="A940" s="2" t="s">
        <v>2214</v>
      </c>
      <c r="B940" s="2">
        <f t="shared" si="28"/>
        <v>2020</v>
      </c>
      <c r="C940" s="2" t="str">
        <f t="shared" si="29"/>
        <v>LIM333</v>
      </c>
      <c r="D940" s="2">
        <v>322</v>
      </c>
      <c r="F940" s="2451"/>
      <c r="G940" s="2451"/>
      <c r="H940" s="2451"/>
      <c r="I940" s="2451"/>
      <c r="J940" s="2451"/>
      <c r="K940" s="2451"/>
      <c r="L940" s="2451"/>
      <c r="M940" s="2452"/>
      <c r="N940" s="2452"/>
      <c r="O940" s="2452"/>
      <c r="P940" s="2452"/>
      <c r="Q940" s="2452"/>
      <c r="W940" t="s">
        <v>2062</v>
      </c>
    </row>
    <row r="941" spans="1:23" ht="13.15" customHeight="1">
      <c r="A941" s="2" t="s">
        <v>2214</v>
      </c>
      <c r="B941" s="2">
        <f t="shared" si="28"/>
        <v>2020</v>
      </c>
      <c r="C941" s="2" t="str">
        <f t="shared" si="29"/>
        <v>LIM333</v>
      </c>
      <c r="D941" s="2">
        <v>323</v>
      </c>
      <c r="F941" s="2451"/>
      <c r="G941" s="2451"/>
      <c r="H941" s="2451"/>
      <c r="I941" s="2451"/>
      <c r="J941" s="2451"/>
      <c r="K941" s="2451"/>
      <c r="L941" s="2451"/>
      <c r="M941" s="2452"/>
      <c r="N941" s="2452"/>
      <c r="O941" s="2452"/>
      <c r="P941" s="2452"/>
      <c r="Q941" s="2452"/>
      <c r="W941" t="s">
        <v>2062</v>
      </c>
    </row>
    <row r="942" spans="1:23" ht="13.15" customHeight="1">
      <c r="A942" s="2" t="s">
        <v>2214</v>
      </c>
      <c r="B942" s="2">
        <f t="shared" si="28"/>
        <v>2020</v>
      </c>
      <c r="C942" s="2" t="str">
        <f t="shared" si="29"/>
        <v>LIM333</v>
      </c>
      <c r="D942" s="2">
        <v>324</v>
      </c>
      <c r="F942" s="2451"/>
      <c r="G942" s="2451"/>
      <c r="H942" s="2451"/>
      <c r="I942" s="2451"/>
      <c r="J942" s="2451"/>
      <c r="K942" s="2451"/>
      <c r="L942" s="2451"/>
      <c r="M942" s="2452"/>
      <c r="N942" s="2452"/>
      <c r="O942" s="2452"/>
      <c r="P942" s="2452"/>
      <c r="Q942" s="2452"/>
      <c r="W942" t="s">
        <v>2062</v>
      </c>
    </row>
    <row r="943" spans="1:23" ht="13.15" customHeight="1">
      <c r="A943" s="2" t="s">
        <v>2214</v>
      </c>
      <c r="B943" s="2">
        <f t="shared" si="28"/>
        <v>2020</v>
      </c>
      <c r="C943" s="2" t="str">
        <f t="shared" si="29"/>
        <v>LIM333</v>
      </c>
      <c r="D943" s="2">
        <v>325</v>
      </c>
      <c r="F943" s="2451"/>
      <c r="G943" s="2451"/>
      <c r="H943" s="2451"/>
      <c r="I943" s="2451"/>
      <c r="J943" s="2451"/>
      <c r="K943" s="2451"/>
      <c r="L943" s="2451"/>
      <c r="M943" s="2452"/>
      <c r="N943" s="2452"/>
      <c r="O943" s="2452"/>
      <c r="P943" s="2452"/>
      <c r="Q943" s="2452"/>
      <c r="W943" t="s">
        <v>2062</v>
      </c>
    </row>
    <row r="944" spans="1:23" ht="13.15" customHeight="1">
      <c r="A944" s="2" t="s">
        <v>2214</v>
      </c>
      <c r="B944" s="2">
        <f t="shared" si="28"/>
        <v>2020</v>
      </c>
      <c r="C944" s="2" t="str">
        <f t="shared" si="29"/>
        <v>LIM333</v>
      </c>
      <c r="D944" s="2">
        <v>326</v>
      </c>
      <c r="F944" s="2451"/>
      <c r="G944" s="2451"/>
      <c r="H944" s="2451"/>
      <c r="I944" s="2451"/>
      <c r="J944" s="2451"/>
      <c r="K944" s="2451"/>
      <c r="L944" s="2451"/>
      <c r="M944" s="2452"/>
      <c r="N944" s="2452"/>
      <c r="O944" s="2452"/>
      <c r="P944" s="2452"/>
      <c r="Q944" s="2452"/>
      <c r="W944" t="s">
        <v>2062</v>
      </c>
    </row>
    <row r="945" spans="1:23" ht="13.15" customHeight="1">
      <c r="A945" s="2" t="s">
        <v>2214</v>
      </c>
      <c r="B945" s="2">
        <f t="shared" si="28"/>
        <v>2020</v>
      </c>
      <c r="C945" s="2" t="str">
        <f t="shared" si="29"/>
        <v>LIM333</v>
      </c>
      <c r="D945" s="2">
        <v>327</v>
      </c>
      <c r="F945" s="2451"/>
      <c r="G945" s="2451"/>
      <c r="H945" s="2451"/>
      <c r="I945" s="2451"/>
      <c r="J945" s="2451"/>
      <c r="K945" s="2451"/>
      <c r="L945" s="2451"/>
      <c r="M945" s="2452"/>
      <c r="N945" s="2452"/>
      <c r="O945" s="2452"/>
      <c r="P945" s="2452"/>
      <c r="Q945" s="2452"/>
      <c r="W945" t="s">
        <v>2062</v>
      </c>
    </row>
    <row r="946" spans="1:23" ht="13.15" customHeight="1">
      <c r="A946" s="2" t="s">
        <v>2214</v>
      </c>
      <c r="B946" s="2">
        <f t="shared" si="28"/>
        <v>2020</v>
      </c>
      <c r="C946" s="2" t="str">
        <f t="shared" si="29"/>
        <v>LIM333</v>
      </c>
      <c r="D946" s="2">
        <v>328</v>
      </c>
      <c r="F946" s="2451"/>
      <c r="G946" s="2451"/>
      <c r="H946" s="2451"/>
      <c r="I946" s="2451"/>
      <c r="J946" s="2451"/>
      <c r="K946" s="2451"/>
      <c r="L946" s="2451"/>
      <c r="M946" s="2452"/>
      <c r="N946" s="2452"/>
      <c r="O946" s="2452"/>
      <c r="P946" s="2452"/>
      <c r="Q946" s="2452"/>
      <c r="W946" t="s">
        <v>2062</v>
      </c>
    </row>
    <row r="947" spans="1:23" ht="13.15" customHeight="1">
      <c r="A947" s="2" t="s">
        <v>2214</v>
      </c>
      <c r="B947" s="2">
        <f t="shared" si="28"/>
        <v>2020</v>
      </c>
      <c r="C947" s="2" t="str">
        <f t="shared" si="29"/>
        <v>LIM333</v>
      </c>
      <c r="D947" s="2">
        <v>329</v>
      </c>
      <c r="F947" s="2451"/>
      <c r="G947" s="2451"/>
      <c r="H947" s="2451"/>
      <c r="I947" s="2451"/>
      <c r="J947" s="2451"/>
      <c r="K947" s="2451"/>
      <c r="L947" s="2451"/>
      <c r="M947" s="2452"/>
      <c r="N947" s="2452"/>
      <c r="O947" s="2452"/>
      <c r="P947" s="2452"/>
      <c r="Q947" s="2452"/>
      <c r="W947" t="s">
        <v>2062</v>
      </c>
    </row>
    <row r="948" spans="1:23" ht="13.15" customHeight="1">
      <c r="A948" s="2" t="s">
        <v>2214</v>
      </c>
      <c r="B948" s="2">
        <f t="shared" si="28"/>
        <v>2020</v>
      </c>
      <c r="C948" s="2" t="str">
        <f t="shared" si="29"/>
        <v>LIM333</v>
      </c>
      <c r="D948" s="2">
        <v>330</v>
      </c>
      <c r="F948" s="2451"/>
      <c r="G948" s="2451"/>
      <c r="H948" s="2451"/>
      <c r="I948" s="2451"/>
      <c r="J948" s="2451"/>
      <c r="K948" s="2451"/>
      <c r="L948" s="2451"/>
      <c r="M948" s="2452"/>
      <c r="N948" s="2452"/>
      <c r="O948" s="2452"/>
      <c r="P948" s="2452"/>
      <c r="Q948" s="2452"/>
      <c r="W948" t="s">
        <v>2062</v>
      </c>
    </row>
    <row r="949" spans="1:23" ht="13.15" customHeight="1">
      <c r="A949" s="2" t="s">
        <v>2214</v>
      </c>
      <c r="B949" s="2">
        <f t="shared" si="28"/>
        <v>2020</v>
      </c>
      <c r="C949" s="2" t="str">
        <f t="shared" si="29"/>
        <v>LIM333</v>
      </c>
      <c r="D949" s="2">
        <v>331</v>
      </c>
      <c r="F949" s="2451"/>
      <c r="G949" s="2451"/>
      <c r="H949" s="2451"/>
      <c r="I949" s="2451"/>
      <c r="J949" s="2451"/>
      <c r="K949" s="2451"/>
      <c r="L949" s="2451"/>
      <c r="M949" s="2452"/>
      <c r="N949" s="2452"/>
      <c r="O949" s="2452"/>
      <c r="P949" s="2452"/>
      <c r="Q949" s="2452"/>
      <c r="W949" t="s">
        <v>2062</v>
      </c>
    </row>
    <row r="950" spans="1:23" ht="13.15" customHeight="1">
      <c r="A950" s="2" t="s">
        <v>2214</v>
      </c>
      <c r="B950" s="2">
        <f t="shared" si="28"/>
        <v>2020</v>
      </c>
      <c r="C950" s="2" t="str">
        <f t="shared" si="29"/>
        <v>LIM333</v>
      </c>
      <c r="D950" s="2">
        <v>332</v>
      </c>
      <c r="F950" s="2451"/>
      <c r="G950" s="2451"/>
      <c r="H950" s="2451"/>
      <c r="I950" s="2451"/>
      <c r="J950" s="2451"/>
      <c r="K950" s="2451"/>
      <c r="L950" s="2451"/>
      <c r="M950" s="2452"/>
      <c r="N950" s="2452"/>
      <c r="O950" s="2452"/>
      <c r="P950" s="2452"/>
      <c r="Q950" s="2452"/>
      <c r="W950" t="s">
        <v>2062</v>
      </c>
    </row>
    <row r="951" spans="1:23" ht="13.15" customHeight="1">
      <c r="A951" s="2" t="s">
        <v>2214</v>
      </c>
      <c r="B951" s="2">
        <f t="shared" si="28"/>
        <v>2020</v>
      </c>
      <c r="C951" s="2" t="str">
        <f t="shared" si="29"/>
        <v>LIM333</v>
      </c>
      <c r="D951" s="2">
        <v>333</v>
      </c>
      <c r="F951" s="2451"/>
      <c r="G951" s="2451"/>
      <c r="H951" s="2451"/>
      <c r="I951" s="2451"/>
      <c r="J951" s="2451"/>
      <c r="K951" s="2451"/>
      <c r="L951" s="2451"/>
      <c r="M951" s="2452"/>
      <c r="N951" s="2452"/>
      <c r="O951" s="2452"/>
      <c r="P951" s="2452"/>
      <c r="Q951" s="2452"/>
      <c r="W951" t="s">
        <v>2062</v>
      </c>
    </row>
    <row r="952" spans="1:23" ht="13.15" customHeight="1">
      <c r="A952" s="2" t="s">
        <v>2214</v>
      </c>
      <c r="B952" s="2">
        <f t="shared" si="28"/>
        <v>2020</v>
      </c>
      <c r="C952" s="2" t="str">
        <f t="shared" si="29"/>
        <v>LIM333</v>
      </c>
      <c r="D952" s="2">
        <v>334</v>
      </c>
      <c r="F952" s="2451"/>
      <c r="G952" s="2451"/>
      <c r="H952" s="2451"/>
      <c r="I952" s="2451"/>
      <c r="J952" s="2451"/>
      <c r="K952" s="2451"/>
      <c r="L952" s="2451"/>
      <c r="M952" s="2452"/>
      <c r="N952" s="2452"/>
      <c r="O952" s="2452"/>
      <c r="P952" s="2452"/>
      <c r="Q952" s="2452"/>
      <c r="W952" t="s">
        <v>2062</v>
      </c>
    </row>
    <row r="953" spans="1:23" ht="13.15" customHeight="1">
      <c r="A953" s="2" t="s">
        <v>2214</v>
      </c>
      <c r="B953" s="2">
        <f t="shared" si="28"/>
        <v>2020</v>
      </c>
      <c r="C953" s="2" t="str">
        <f t="shared" si="29"/>
        <v>LIM333</v>
      </c>
      <c r="D953" s="2">
        <v>335</v>
      </c>
      <c r="F953" s="2451"/>
      <c r="G953" s="2451"/>
      <c r="H953" s="2451"/>
      <c r="I953" s="2451"/>
      <c r="J953" s="2451"/>
      <c r="K953" s="2451"/>
      <c r="L953" s="2451"/>
      <c r="M953" s="2452"/>
      <c r="N953" s="2452"/>
      <c r="O953" s="2452"/>
      <c r="P953" s="2452"/>
      <c r="Q953" s="2452"/>
      <c r="W953" t="s">
        <v>2062</v>
      </c>
    </row>
    <row r="954" spans="1:23" ht="13.15" customHeight="1">
      <c r="A954" s="2" t="s">
        <v>2214</v>
      </c>
      <c r="B954" s="2">
        <f t="shared" si="28"/>
        <v>2020</v>
      </c>
      <c r="C954" s="2" t="str">
        <f t="shared" si="29"/>
        <v>LIM333</v>
      </c>
      <c r="D954" s="2">
        <v>336</v>
      </c>
      <c r="F954" s="2451"/>
      <c r="G954" s="2451"/>
      <c r="H954" s="2451"/>
      <c r="I954" s="2451"/>
      <c r="J954" s="2451"/>
      <c r="K954" s="2451"/>
      <c r="L954" s="2451"/>
      <c r="M954" s="2452"/>
      <c r="N954" s="2452"/>
      <c r="O954" s="2452"/>
      <c r="P954" s="2452"/>
      <c r="Q954" s="2452"/>
      <c r="W954" t="s">
        <v>2062</v>
      </c>
    </row>
    <row r="955" spans="1:23" ht="13.15" customHeight="1">
      <c r="A955" s="2" t="s">
        <v>2214</v>
      </c>
      <c r="B955" s="2">
        <f t="shared" si="28"/>
        <v>2020</v>
      </c>
      <c r="C955" s="2" t="str">
        <f t="shared" si="29"/>
        <v>LIM333</v>
      </c>
      <c r="D955" s="2">
        <v>337</v>
      </c>
      <c r="F955" s="2451"/>
      <c r="G955" s="2451"/>
      <c r="H955" s="2451"/>
      <c r="I955" s="2451"/>
      <c r="J955" s="2451"/>
      <c r="K955" s="2451"/>
      <c r="L955" s="2451"/>
      <c r="M955" s="2452"/>
      <c r="N955" s="2452"/>
      <c r="O955" s="2452"/>
      <c r="P955" s="2452"/>
      <c r="Q955" s="2452"/>
      <c r="W955" t="s">
        <v>2062</v>
      </c>
    </row>
    <row r="956" spans="1:23" ht="13.15" customHeight="1">
      <c r="A956" s="2" t="s">
        <v>2214</v>
      </c>
      <c r="B956" s="2">
        <f t="shared" si="28"/>
        <v>2020</v>
      </c>
      <c r="C956" s="2" t="str">
        <f t="shared" si="29"/>
        <v>LIM333</v>
      </c>
      <c r="D956" s="2">
        <v>338</v>
      </c>
      <c r="F956" s="2451"/>
      <c r="G956" s="2451"/>
      <c r="H956" s="2451"/>
      <c r="I956" s="2451"/>
      <c r="J956" s="2451"/>
      <c r="K956" s="2451"/>
      <c r="L956" s="2451"/>
      <c r="M956" s="2452"/>
      <c r="N956" s="2452"/>
      <c r="O956" s="2452"/>
      <c r="P956" s="2452"/>
      <c r="Q956" s="2452"/>
      <c r="W956" t="s">
        <v>2062</v>
      </c>
    </row>
    <row r="957" spans="1:23" ht="13.15" customHeight="1">
      <c r="A957" s="2" t="s">
        <v>2214</v>
      </c>
      <c r="B957" s="2">
        <f t="shared" si="28"/>
        <v>2020</v>
      </c>
      <c r="C957" s="2" t="str">
        <f t="shared" si="29"/>
        <v>LIM333</v>
      </c>
      <c r="D957" s="2">
        <v>339</v>
      </c>
      <c r="F957" s="2451"/>
      <c r="G957" s="2451"/>
      <c r="H957" s="2451"/>
      <c r="I957" s="2451"/>
      <c r="J957" s="2451"/>
      <c r="K957" s="2451"/>
      <c r="L957" s="2451"/>
      <c r="M957" s="2452"/>
      <c r="N957" s="2452"/>
      <c r="O957" s="2452"/>
      <c r="P957" s="2452"/>
      <c r="Q957" s="2452"/>
      <c r="W957" t="s">
        <v>2062</v>
      </c>
    </row>
    <row r="958" spans="1:23" ht="13.15" customHeight="1">
      <c r="A958" s="2" t="s">
        <v>2214</v>
      </c>
      <c r="B958" s="2">
        <f t="shared" si="28"/>
        <v>2020</v>
      </c>
      <c r="C958" s="2" t="str">
        <f t="shared" si="29"/>
        <v>LIM333</v>
      </c>
      <c r="D958" s="2">
        <v>340</v>
      </c>
      <c r="F958" s="2451"/>
      <c r="G958" s="2451"/>
      <c r="H958" s="2451"/>
      <c r="I958" s="2451"/>
      <c r="J958" s="2451"/>
      <c r="K958" s="2451"/>
      <c r="L958" s="2451"/>
      <c r="M958" s="2452"/>
      <c r="N958" s="2452"/>
      <c r="O958" s="2452"/>
      <c r="P958" s="2452"/>
      <c r="Q958" s="2452"/>
      <c r="W958" t="s">
        <v>2062</v>
      </c>
    </row>
    <row r="959" spans="1:23" ht="13.15" customHeight="1">
      <c r="A959" s="2" t="s">
        <v>2214</v>
      </c>
      <c r="B959" s="2">
        <f t="shared" si="28"/>
        <v>2020</v>
      </c>
      <c r="C959" s="2" t="str">
        <f t="shared" si="29"/>
        <v>LIM333</v>
      </c>
      <c r="D959" s="2">
        <v>341</v>
      </c>
      <c r="F959" s="2451"/>
      <c r="G959" s="2451"/>
      <c r="H959" s="2451"/>
      <c r="I959" s="2451"/>
      <c r="J959" s="2451"/>
      <c r="K959" s="2451"/>
      <c r="L959" s="2451"/>
      <c r="M959" s="2452"/>
      <c r="N959" s="2452"/>
      <c r="O959" s="2452"/>
      <c r="P959" s="2452"/>
      <c r="Q959" s="2452"/>
      <c r="W959" t="s">
        <v>2062</v>
      </c>
    </row>
    <row r="960" spans="1:23" ht="13.15" customHeight="1">
      <c r="A960" s="2" t="s">
        <v>2214</v>
      </c>
      <c r="B960" s="2">
        <f t="shared" si="28"/>
        <v>2020</v>
      </c>
      <c r="C960" s="2" t="str">
        <f t="shared" si="29"/>
        <v>LIM333</v>
      </c>
      <c r="D960" s="2">
        <v>342</v>
      </c>
      <c r="F960" s="2451"/>
      <c r="G960" s="2451"/>
      <c r="H960" s="2451"/>
      <c r="I960" s="2451"/>
      <c r="J960" s="2451"/>
      <c r="K960" s="2451"/>
      <c r="L960" s="2451"/>
      <c r="M960" s="2452"/>
      <c r="N960" s="2452"/>
      <c r="O960" s="2452"/>
      <c r="P960" s="2452"/>
      <c r="Q960" s="2452"/>
      <c r="W960" t="s">
        <v>2062</v>
      </c>
    </row>
    <row r="961" spans="1:23" ht="13.15" customHeight="1">
      <c r="A961" s="2" t="s">
        <v>2214</v>
      </c>
      <c r="B961" s="2">
        <f t="shared" si="28"/>
        <v>2020</v>
      </c>
      <c r="C961" s="2" t="str">
        <f t="shared" si="29"/>
        <v>LIM333</v>
      </c>
      <c r="D961" s="2">
        <v>343</v>
      </c>
      <c r="F961" s="2451"/>
      <c r="G961" s="2451"/>
      <c r="H961" s="2451"/>
      <c r="I961" s="2451"/>
      <c r="J961" s="2451"/>
      <c r="K961" s="2451"/>
      <c r="L961" s="2451"/>
      <c r="M961" s="2452"/>
      <c r="N961" s="2452"/>
      <c r="O961" s="2452"/>
      <c r="P961" s="2452"/>
      <c r="Q961" s="2452"/>
      <c r="W961" t="s">
        <v>2062</v>
      </c>
    </row>
    <row r="962" spans="1:23" ht="13.15" customHeight="1">
      <c r="A962" s="2" t="s">
        <v>2214</v>
      </c>
      <c r="B962" s="2">
        <f t="shared" ref="B962:B1025" si="30">+MTREF</f>
        <v>2020</v>
      </c>
      <c r="C962" s="2" t="str">
        <f t="shared" ref="C962:C1025" si="31">LEFT(muni,(FIND(" ",muni,1)-1))</f>
        <v>LIM333</v>
      </c>
      <c r="D962" s="2">
        <v>344</v>
      </c>
      <c r="F962" s="2451"/>
      <c r="G962" s="2451"/>
      <c r="H962" s="2451"/>
      <c r="I962" s="2451"/>
      <c r="J962" s="2451"/>
      <c r="K962" s="2451"/>
      <c r="L962" s="2451"/>
      <c r="M962" s="2452"/>
      <c r="N962" s="2452"/>
      <c r="O962" s="2452"/>
      <c r="P962" s="2452"/>
      <c r="Q962" s="2452"/>
      <c r="W962" t="s">
        <v>2062</v>
      </c>
    </row>
    <row r="963" spans="1:23" ht="13.15" customHeight="1">
      <c r="A963" s="2" t="s">
        <v>2214</v>
      </c>
      <c r="B963" s="2">
        <f t="shared" si="30"/>
        <v>2020</v>
      </c>
      <c r="C963" s="2" t="str">
        <f t="shared" si="31"/>
        <v>LIM333</v>
      </c>
      <c r="D963" s="2">
        <v>345</v>
      </c>
      <c r="F963" s="2451"/>
      <c r="G963" s="2451"/>
      <c r="H963" s="2451"/>
      <c r="I963" s="2451"/>
      <c r="J963" s="2451"/>
      <c r="K963" s="2451"/>
      <c r="L963" s="2451"/>
      <c r="M963" s="2452"/>
      <c r="N963" s="2452"/>
      <c r="O963" s="2452"/>
      <c r="P963" s="2452"/>
      <c r="Q963" s="2452"/>
      <c r="W963" t="s">
        <v>2062</v>
      </c>
    </row>
    <row r="964" spans="1:23" ht="13.15" customHeight="1">
      <c r="A964" s="2" t="s">
        <v>2214</v>
      </c>
      <c r="B964" s="2">
        <f t="shared" si="30"/>
        <v>2020</v>
      </c>
      <c r="C964" s="2" t="str">
        <f t="shared" si="31"/>
        <v>LIM333</v>
      </c>
      <c r="D964" s="2">
        <v>346</v>
      </c>
      <c r="F964" s="2451"/>
      <c r="G964" s="2451"/>
      <c r="H964" s="2451"/>
      <c r="I964" s="2451"/>
      <c r="J964" s="2451"/>
      <c r="K964" s="2451"/>
      <c r="L964" s="2451"/>
      <c r="M964" s="2452"/>
      <c r="N964" s="2452"/>
      <c r="O964" s="2452"/>
      <c r="P964" s="2452"/>
      <c r="Q964" s="2452"/>
      <c r="W964" t="s">
        <v>2062</v>
      </c>
    </row>
    <row r="965" spans="1:23" ht="13.15" customHeight="1">
      <c r="A965" s="2" t="s">
        <v>2214</v>
      </c>
      <c r="B965" s="2">
        <f t="shared" si="30"/>
        <v>2020</v>
      </c>
      <c r="C965" s="2" t="str">
        <f t="shared" si="31"/>
        <v>LIM333</v>
      </c>
      <c r="D965" s="2">
        <v>347</v>
      </c>
      <c r="F965" s="2451"/>
      <c r="G965" s="2451"/>
      <c r="H965" s="2451"/>
      <c r="I965" s="2451"/>
      <c r="J965" s="2451"/>
      <c r="K965" s="2451"/>
      <c r="L965" s="2451"/>
      <c r="M965" s="2452"/>
      <c r="N965" s="2452"/>
      <c r="O965" s="2452"/>
      <c r="P965" s="2452"/>
      <c r="Q965" s="2452"/>
      <c r="W965" t="s">
        <v>2062</v>
      </c>
    </row>
    <row r="966" spans="1:23" ht="13.15" customHeight="1">
      <c r="A966" s="2" t="s">
        <v>2214</v>
      </c>
      <c r="B966" s="2">
        <f t="shared" si="30"/>
        <v>2020</v>
      </c>
      <c r="C966" s="2" t="str">
        <f t="shared" si="31"/>
        <v>LIM333</v>
      </c>
      <c r="D966" s="2">
        <v>348</v>
      </c>
      <c r="F966" s="2451"/>
      <c r="G966" s="2451"/>
      <c r="H966" s="2451"/>
      <c r="I966" s="2451"/>
      <c r="J966" s="2451"/>
      <c r="K966" s="2451"/>
      <c r="L966" s="2451"/>
      <c r="M966" s="2452"/>
      <c r="N966" s="2452"/>
      <c r="O966" s="2452"/>
      <c r="P966" s="2452"/>
      <c r="Q966" s="2452"/>
      <c r="W966" t="s">
        <v>2062</v>
      </c>
    </row>
    <row r="967" spans="1:23" ht="13.15" customHeight="1">
      <c r="A967" s="2" t="s">
        <v>2214</v>
      </c>
      <c r="B967" s="2">
        <f t="shared" si="30"/>
        <v>2020</v>
      </c>
      <c r="C967" s="2" t="str">
        <f t="shared" si="31"/>
        <v>LIM333</v>
      </c>
      <c r="D967" s="2">
        <v>349</v>
      </c>
      <c r="F967" s="2451"/>
      <c r="G967" s="2451"/>
      <c r="H967" s="2451"/>
      <c r="I967" s="2451"/>
      <c r="J967" s="2451"/>
      <c r="K967" s="2451"/>
      <c r="L967" s="2451"/>
      <c r="M967" s="2452"/>
      <c r="N967" s="2452"/>
      <c r="O967" s="2452"/>
      <c r="P967" s="2452"/>
      <c r="Q967" s="2452"/>
      <c r="W967" t="s">
        <v>2062</v>
      </c>
    </row>
    <row r="968" spans="1:23" ht="13.15" customHeight="1">
      <c r="A968" s="2" t="s">
        <v>2214</v>
      </c>
      <c r="B968" s="2">
        <f t="shared" si="30"/>
        <v>2020</v>
      </c>
      <c r="C968" s="2" t="str">
        <f t="shared" si="31"/>
        <v>LIM333</v>
      </c>
      <c r="D968" s="2">
        <v>350</v>
      </c>
      <c r="F968" s="2451"/>
      <c r="G968" s="2451"/>
      <c r="H968" s="2451"/>
      <c r="I968" s="2451"/>
      <c r="J968" s="2451"/>
      <c r="K968" s="2451"/>
      <c r="L968" s="2451"/>
      <c r="M968" s="2452"/>
      <c r="N968" s="2452"/>
      <c r="O968" s="2452"/>
      <c r="P968" s="2452"/>
      <c r="Q968" s="2452"/>
      <c r="W968" t="s">
        <v>2062</v>
      </c>
    </row>
    <row r="969" spans="1:23" ht="13.15" customHeight="1">
      <c r="A969" s="2" t="s">
        <v>2214</v>
      </c>
      <c r="B969" s="2">
        <f t="shared" si="30"/>
        <v>2020</v>
      </c>
      <c r="C969" s="2" t="str">
        <f t="shared" si="31"/>
        <v>LIM333</v>
      </c>
      <c r="D969" s="2">
        <v>351</v>
      </c>
      <c r="F969" s="2451"/>
      <c r="G969" s="2451"/>
      <c r="H969" s="2451"/>
      <c r="I969" s="2451"/>
      <c r="J969" s="2451"/>
      <c r="K969" s="2451"/>
      <c r="L969" s="2451"/>
      <c r="M969" s="2452"/>
      <c r="N969" s="2452"/>
      <c r="O969" s="2452"/>
      <c r="P969" s="2452"/>
      <c r="Q969" s="2452"/>
      <c r="W969" t="s">
        <v>2062</v>
      </c>
    </row>
    <row r="970" spans="1:23" ht="13.15" customHeight="1">
      <c r="A970" s="2" t="s">
        <v>2214</v>
      </c>
      <c r="B970" s="2">
        <f t="shared" si="30"/>
        <v>2020</v>
      </c>
      <c r="C970" s="2" t="str">
        <f t="shared" si="31"/>
        <v>LIM333</v>
      </c>
      <c r="D970" s="2">
        <v>352</v>
      </c>
      <c r="F970" s="2451"/>
      <c r="G970" s="2451"/>
      <c r="H970" s="2451"/>
      <c r="I970" s="2451"/>
      <c r="J970" s="2451"/>
      <c r="K970" s="2451"/>
      <c r="L970" s="2451"/>
      <c r="M970" s="2452"/>
      <c r="N970" s="2452"/>
      <c r="O970" s="2452"/>
      <c r="P970" s="2452"/>
      <c r="Q970" s="2452"/>
      <c r="W970" t="s">
        <v>2062</v>
      </c>
    </row>
    <row r="971" spans="1:23" ht="13.15" customHeight="1">
      <c r="A971" s="2" t="s">
        <v>2214</v>
      </c>
      <c r="B971" s="2">
        <f t="shared" si="30"/>
        <v>2020</v>
      </c>
      <c r="C971" s="2" t="str">
        <f t="shared" si="31"/>
        <v>LIM333</v>
      </c>
      <c r="D971" s="2">
        <v>353</v>
      </c>
      <c r="F971" s="2451"/>
      <c r="G971" s="2451"/>
      <c r="H971" s="2451"/>
      <c r="I971" s="2451"/>
      <c r="J971" s="2451"/>
      <c r="K971" s="2451"/>
      <c r="L971" s="2451"/>
      <c r="M971" s="2452"/>
      <c r="N971" s="2452"/>
      <c r="O971" s="2452"/>
      <c r="P971" s="2452"/>
      <c r="Q971" s="2452"/>
      <c r="W971" t="s">
        <v>2062</v>
      </c>
    </row>
    <row r="972" spans="1:23" ht="13.15" customHeight="1">
      <c r="A972" s="2" t="s">
        <v>2214</v>
      </c>
      <c r="B972" s="2">
        <f t="shared" si="30"/>
        <v>2020</v>
      </c>
      <c r="C972" s="2" t="str">
        <f t="shared" si="31"/>
        <v>LIM333</v>
      </c>
      <c r="D972" s="2">
        <v>354</v>
      </c>
      <c r="F972" s="2451"/>
      <c r="G972" s="2451"/>
      <c r="H972" s="2451"/>
      <c r="I972" s="2451"/>
      <c r="J972" s="2451"/>
      <c r="K972" s="2451"/>
      <c r="L972" s="2451"/>
      <c r="M972" s="2452"/>
      <c r="N972" s="2452"/>
      <c r="O972" s="2452"/>
      <c r="P972" s="2452"/>
      <c r="Q972" s="2452"/>
      <c r="W972" t="s">
        <v>2062</v>
      </c>
    </row>
    <row r="973" spans="1:23" ht="13.15" customHeight="1">
      <c r="A973" s="2" t="s">
        <v>2214</v>
      </c>
      <c r="B973" s="2">
        <f t="shared" si="30"/>
        <v>2020</v>
      </c>
      <c r="C973" s="2" t="str">
        <f t="shared" si="31"/>
        <v>LIM333</v>
      </c>
      <c r="D973" s="2">
        <v>355</v>
      </c>
      <c r="F973" s="2451"/>
      <c r="G973" s="2451"/>
      <c r="H973" s="2451"/>
      <c r="I973" s="2451"/>
      <c r="J973" s="2451"/>
      <c r="K973" s="2451"/>
      <c r="L973" s="2451"/>
      <c r="M973" s="2452"/>
      <c r="N973" s="2452"/>
      <c r="O973" s="2452"/>
      <c r="P973" s="2452"/>
      <c r="Q973" s="2452"/>
      <c r="W973" t="s">
        <v>2062</v>
      </c>
    </row>
    <row r="974" spans="1:23" ht="13.15" customHeight="1">
      <c r="A974" s="2" t="s">
        <v>2214</v>
      </c>
      <c r="B974" s="2">
        <f t="shared" si="30"/>
        <v>2020</v>
      </c>
      <c r="C974" s="2" t="str">
        <f t="shared" si="31"/>
        <v>LIM333</v>
      </c>
      <c r="D974" s="2">
        <v>356</v>
      </c>
      <c r="F974" s="2451"/>
      <c r="G974" s="2451"/>
      <c r="H974" s="2451"/>
      <c r="I974" s="2451"/>
      <c r="J974" s="2451"/>
      <c r="K974" s="2451"/>
      <c r="L974" s="2451"/>
      <c r="M974" s="2452"/>
      <c r="N974" s="2452"/>
      <c r="O974" s="2452"/>
      <c r="P974" s="2452"/>
      <c r="Q974" s="2452"/>
      <c r="W974" t="s">
        <v>2062</v>
      </c>
    </row>
    <row r="975" spans="1:23" ht="13.15" customHeight="1">
      <c r="A975" s="2" t="s">
        <v>2214</v>
      </c>
      <c r="B975" s="2">
        <f t="shared" si="30"/>
        <v>2020</v>
      </c>
      <c r="C975" s="2" t="str">
        <f t="shared" si="31"/>
        <v>LIM333</v>
      </c>
      <c r="D975" s="2">
        <v>357</v>
      </c>
      <c r="F975" s="2451"/>
      <c r="G975" s="2451"/>
      <c r="H975" s="2451"/>
      <c r="I975" s="2451"/>
      <c r="J975" s="2451"/>
      <c r="K975" s="2451"/>
      <c r="L975" s="2451"/>
      <c r="M975" s="2452"/>
      <c r="N975" s="2452"/>
      <c r="O975" s="2452"/>
      <c r="P975" s="2452"/>
      <c r="Q975" s="2452"/>
      <c r="W975" t="s">
        <v>2062</v>
      </c>
    </row>
    <row r="976" spans="1:23" ht="13.15" customHeight="1">
      <c r="A976" s="2" t="s">
        <v>2214</v>
      </c>
      <c r="B976" s="2">
        <f t="shared" si="30"/>
        <v>2020</v>
      </c>
      <c r="C976" s="2" t="str">
        <f t="shared" si="31"/>
        <v>LIM333</v>
      </c>
      <c r="D976" s="2">
        <v>358</v>
      </c>
      <c r="F976" s="2451"/>
      <c r="G976" s="2451"/>
      <c r="H976" s="2451"/>
      <c r="I976" s="2451"/>
      <c r="J976" s="2451"/>
      <c r="K976" s="2451"/>
      <c r="L976" s="2451"/>
      <c r="M976" s="2452"/>
      <c r="N976" s="2452"/>
      <c r="O976" s="2452"/>
      <c r="P976" s="2452"/>
      <c r="Q976" s="2452"/>
      <c r="W976" t="s">
        <v>2062</v>
      </c>
    </row>
    <row r="977" spans="1:23" ht="13.15" customHeight="1">
      <c r="A977" s="2" t="s">
        <v>2214</v>
      </c>
      <c r="B977" s="2">
        <f t="shared" si="30"/>
        <v>2020</v>
      </c>
      <c r="C977" s="2" t="str">
        <f t="shared" si="31"/>
        <v>LIM333</v>
      </c>
      <c r="D977" s="2">
        <v>359</v>
      </c>
      <c r="F977" s="2451"/>
      <c r="G977" s="2451"/>
      <c r="H977" s="2451"/>
      <c r="I977" s="2451"/>
      <c r="J977" s="2451"/>
      <c r="K977" s="2451"/>
      <c r="L977" s="2451"/>
      <c r="M977" s="2452"/>
      <c r="N977" s="2452"/>
      <c r="O977" s="2452"/>
      <c r="P977" s="2452"/>
      <c r="Q977" s="2452"/>
      <c r="W977" t="s">
        <v>2062</v>
      </c>
    </row>
    <row r="978" spans="1:23" ht="13.15" customHeight="1">
      <c r="A978" s="2" t="s">
        <v>2214</v>
      </c>
      <c r="B978" s="2">
        <f t="shared" si="30"/>
        <v>2020</v>
      </c>
      <c r="C978" s="2" t="str">
        <f t="shared" si="31"/>
        <v>LIM333</v>
      </c>
      <c r="D978" s="2">
        <v>360</v>
      </c>
      <c r="F978" s="2451"/>
      <c r="G978" s="2451"/>
      <c r="H978" s="2451"/>
      <c r="I978" s="2451"/>
      <c r="J978" s="2451"/>
      <c r="K978" s="2451"/>
      <c r="L978" s="2451"/>
      <c r="M978" s="2452"/>
      <c r="N978" s="2452"/>
      <c r="O978" s="2452"/>
      <c r="P978" s="2452"/>
      <c r="Q978" s="2452"/>
      <c r="W978" t="s">
        <v>2062</v>
      </c>
    </row>
    <row r="979" spans="1:23" ht="13.15" customHeight="1">
      <c r="A979" s="2" t="s">
        <v>2214</v>
      </c>
      <c r="B979" s="2">
        <f t="shared" si="30"/>
        <v>2020</v>
      </c>
      <c r="C979" s="2" t="str">
        <f t="shared" si="31"/>
        <v>LIM333</v>
      </c>
      <c r="D979" s="2">
        <v>361</v>
      </c>
      <c r="F979" s="2451"/>
      <c r="G979" s="2451"/>
      <c r="H979" s="2451"/>
      <c r="I979" s="2451"/>
      <c r="J979" s="2451"/>
      <c r="K979" s="2451"/>
      <c r="L979" s="2451"/>
      <c r="M979" s="2452"/>
      <c r="N979" s="2452"/>
      <c r="O979" s="2452"/>
      <c r="P979" s="2452"/>
      <c r="Q979" s="2452"/>
      <c r="W979" t="s">
        <v>2062</v>
      </c>
    </row>
    <row r="980" spans="1:23" ht="13.15" customHeight="1">
      <c r="A980" s="2" t="s">
        <v>2214</v>
      </c>
      <c r="B980" s="2">
        <f t="shared" si="30"/>
        <v>2020</v>
      </c>
      <c r="C980" s="2" t="str">
        <f t="shared" si="31"/>
        <v>LIM333</v>
      </c>
      <c r="D980" s="2">
        <v>362</v>
      </c>
      <c r="F980" s="2451"/>
      <c r="G980" s="2451"/>
      <c r="H980" s="2451"/>
      <c r="I980" s="2451"/>
      <c r="J980" s="2451"/>
      <c r="K980" s="2451"/>
      <c r="L980" s="2451"/>
      <c r="M980" s="2452"/>
      <c r="N980" s="2452"/>
      <c r="O980" s="2452"/>
      <c r="P980" s="2452"/>
      <c r="Q980" s="2452"/>
      <c r="W980" t="s">
        <v>2062</v>
      </c>
    </row>
    <row r="981" spans="1:23" ht="13.15" customHeight="1">
      <c r="A981" s="2" t="s">
        <v>2214</v>
      </c>
      <c r="B981" s="2">
        <f t="shared" si="30"/>
        <v>2020</v>
      </c>
      <c r="C981" s="2" t="str">
        <f t="shared" si="31"/>
        <v>LIM333</v>
      </c>
      <c r="D981" s="2">
        <v>363</v>
      </c>
      <c r="F981" s="2451"/>
      <c r="G981" s="2451"/>
      <c r="H981" s="2451"/>
      <c r="I981" s="2451"/>
      <c r="J981" s="2451"/>
      <c r="K981" s="2451"/>
      <c r="L981" s="2451"/>
      <c r="M981" s="2452"/>
      <c r="N981" s="2452"/>
      <c r="O981" s="2452"/>
      <c r="P981" s="2452"/>
      <c r="Q981" s="2452"/>
      <c r="W981" t="s">
        <v>2062</v>
      </c>
    </row>
    <row r="982" spans="1:23" ht="13.15" customHeight="1">
      <c r="A982" s="2" t="s">
        <v>2214</v>
      </c>
      <c r="B982" s="2">
        <f t="shared" si="30"/>
        <v>2020</v>
      </c>
      <c r="C982" s="2" t="str">
        <f t="shared" si="31"/>
        <v>LIM333</v>
      </c>
      <c r="D982" s="2">
        <v>364</v>
      </c>
      <c r="F982" s="2451"/>
      <c r="G982" s="2451"/>
      <c r="H982" s="2451"/>
      <c r="I982" s="2451"/>
      <c r="J982" s="2451"/>
      <c r="K982" s="2451"/>
      <c r="L982" s="2451"/>
      <c r="M982" s="2452"/>
      <c r="N982" s="2452"/>
      <c r="O982" s="2452"/>
      <c r="P982" s="2452"/>
      <c r="Q982" s="2452"/>
      <c r="W982" t="s">
        <v>2062</v>
      </c>
    </row>
    <row r="983" spans="1:23" ht="13.15" customHeight="1">
      <c r="A983" s="2" t="s">
        <v>2214</v>
      </c>
      <c r="B983" s="2">
        <f t="shared" si="30"/>
        <v>2020</v>
      </c>
      <c r="C983" s="2" t="str">
        <f t="shared" si="31"/>
        <v>LIM333</v>
      </c>
      <c r="D983" s="2">
        <v>365</v>
      </c>
      <c r="F983" s="2451"/>
      <c r="G983" s="2451"/>
      <c r="H983" s="2451"/>
      <c r="I983" s="2451"/>
      <c r="J983" s="2451"/>
      <c r="K983" s="2451"/>
      <c r="L983" s="2451"/>
      <c r="M983" s="2452"/>
      <c r="N983" s="2452"/>
      <c r="O983" s="2452"/>
      <c r="P983" s="2452"/>
      <c r="Q983" s="2452"/>
      <c r="W983" t="s">
        <v>2062</v>
      </c>
    </row>
    <row r="984" spans="1:23" ht="13.15" customHeight="1">
      <c r="A984" s="2" t="s">
        <v>2214</v>
      </c>
      <c r="B984" s="2">
        <f t="shared" si="30"/>
        <v>2020</v>
      </c>
      <c r="C984" s="2" t="str">
        <f t="shared" si="31"/>
        <v>LIM333</v>
      </c>
      <c r="D984" s="2">
        <v>366</v>
      </c>
      <c r="F984" s="2451"/>
      <c r="G984" s="2451"/>
      <c r="H984" s="2451"/>
      <c r="I984" s="2451"/>
      <c r="J984" s="2451"/>
      <c r="K984" s="2451"/>
      <c r="L984" s="2451"/>
      <c r="M984" s="2452"/>
      <c r="N984" s="2452"/>
      <c r="O984" s="2452"/>
      <c r="P984" s="2452"/>
      <c r="Q984" s="2452"/>
      <c r="W984" t="s">
        <v>2062</v>
      </c>
    </row>
    <row r="985" spans="1:23" ht="13.15" customHeight="1">
      <c r="A985" s="2" t="s">
        <v>2214</v>
      </c>
      <c r="B985" s="2">
        <f t="shared" si="30"/>
        <v>2020</v>
      </c>
      <c r="C985" s="2" t="str">
        <f t="shared" si="31"/>
        <v>LIM333</v>
      </c>
      <c r="D985" s="2">
        <v>367</v>
      </c>
      <c r="F985" s="2451"/>
      <c r="G985" s="2451"/>
      <c r="H985" s="2451"/>
      <c r="I985" s="2451"/>
      <c r="J985" s="2451"/>
      <c r="K985" s="2451"/>
      <c r="L985" s="2451"/>
      <c r="M985" s="2452"/>
      <c r="N985" s="2452"/>
      <c r="O985" s="2452"/>
      <c r="P985" s="2452"/>
      <c r="Q985" s="2452"/>
      <c r="W985" t="s">
        <v>2062</v>
      </c>
    </row>
    <row r="986" spans="1:23" ht="13.15" customHeight="1">
      <c r="A986" s="2" t="s">
        <v>2214</v>
      </c>
      <c r="B986" s="2">
        <f t="shared" si="30"/>
        <v>2020</v>
      </c>
      <c r="C986" s="2" t="str">
        <f t="shared" si="31"/>
        <v>LIM333</v>
      </c>
      <c r="D986" s="2">
        <v>368</v>
      </c>
      <c r="F986" s="2451"/>
      <c r="G986" s="2451"/>
      <c r="H986" s="2451"/>
      <c r="I986" s="2451"/>
      <c r="J986" s="2451"/>
      <c r="K986" s="2451"/>
      <c r="L986" s="2451"/>
      <c r="M986" s="2452"/>
      <c r="N986" s="2452"/>
      <c r="O986" s="2452"/>
      <c r="P986" s="2452"/>
      <c r="Q986" s="2452"/>
      <c r="W986" t="s">
        <v>2062</v>
      </c>
    </row>
    <row r="987" spans="1:23" ht="13.15" customHeight="1">
      <c r="A987" s="2" t="s">
        <v>2214</v>
      </c>
      <c r="B987" s="2">
        <f t="shared" si="30"/>
        <v>2020</v>
      </c>
      <c r="C987" s="2" t="str">
        <f t="shared" si="31"/>
        <v>LIM333</v>
      </c>
      <c r="D987" s="2">
        <v>369</v>
      </c>
      <c r="F987" s="2451"/>
      <c r="G987" s="2451"/>
      <c r="H987" s="2451"/>
      <c r="I987" s="2451"/>
      <c r="J987" s="2451"/>
      <c r="K987" s="2451"/>
      <c r="L987" s="2451"/>
      <c r="M987" s="2452"/>
      <c r="N987" s="2452"/>
      <c r="O987" s="2452"/>
      <c r="P987" s="2452"/>
      <c r="Q987" s="2452"/>
      <c r="W987" t="s">
        <v>2062</v>
      </c>
    </row>
    <row r="988" spans="1:23" ht="13.15" customHeight="1">
      <c r="A988" s="2" t="s">
        <v>2214</v>
      </c>
      <c r="B988" s="2">
        <f t="shared" si="30"/>
        <v>2020</v>
      </c>
      <c r="C988" s="2" t="str">
        <f t="shared" si="31"/>
        <v>LIM333</v>
      </c>
      <c r="D988" s="2">
        <v>370</v>
      </c>
      <c r="F988" s="2451"/>
      <c r="G988" s="2451"/>
      <c r="H988" s="2451"/>
      <c r="I988" s="2451"/>
      <c r="J988" s="2451"/>
      <c r="K988" s="2451"/>
      <c r="L988" s="2451"/>
      <c r="M988" s="2452"/>
      <c r="N988" s="2452"/>
      <c r="O988" s="2452"/>
      <c r="P988" s="2452"/>
      <c r="Q988" s="2452"/>
      <c r="W988" t="s">
        <v>2062</v>
      </c>
    </row>
    <row r="989" spans="1:23" ht="13.15" customHeight="1">
      <c r="A989" s="2" t="s">
        <v>2214</v>
      </c>
      <c r="B989" s="2">
        <f t="shared" si="30"/>
        <v>2020</v>
      </c>
      <c r="C989" s="2" t="str">
        <f t="shared" si="31"/>
        <v>LIM333</v>
      </c>
      <c r="D989" s="2">
        <v>371</v>
      </c>
      <c r="F989" s="2451"/>
      <c r="G989" s="2451"/>
      <c r="H989" s="2451"/>
      <c r="I989" s="2451"/>
      <c r="J989" s="2451"/>
      <c r="K989" s="2451"/>
      <c r="L989" s="2451"/>
      <c r="M989" s="2452"/>
      <c r="N989" s="2452"/>
      <c r="O989" s="2452"/>
      <c r="P989" s="2452"/>
      <c r="Q989" s="2452"/>
      <c r="W989" t="s">
        <v>2062</v>
      </c>
    </row>
    <row r="990" spans="1:23" ht="13.15" customHeight="1">
      <c r="A990" s="2" t="s">
        <v>2214</v>
      </c>
      <c r="B990" s="2">
        <f t="shared" si="30"/>
        <v>2020</v>
      </c>
      <c r="C990" s="2" t="str">
        <f t="shared" si="31"/>
        <v>LIM333</v>
      </c>
      <c r="D990" s="2">
        <v>372</v>
      </c>
      <c r="F990" s="2451"/>
      <c r="G990" s="2451"/>
      <c r="H990" s="2451"/>
      <c r="I990" s="2451"/>
      <c r="J990" s="2451"/>
      <c r="K990" s="2451"/>
      <c r="L990" s="2451"/>
      <c r="M990" s="2452"/>
      <c r="N990" s="2452"/>
      <c r="O990" s="2452"/>
      <c r="P990" s="2452"/>
      <c r="Q990" s="2452"/>
      <c r="W990" t="s">
        <v>2062</v>
      </c>
    </row>
    <row r="991" spans="1:23" ht="13.15" customHeight="1">
      <c r="A991" s="2" t="s">
        <v>2214</v>
      </c>
      <c r="B991" s="2">
        <f t="shared" si="30"/>
        <v>2020</v>
      </c>
      <c r="C991" s="2" t="str">
        <f t="shared" si="31"/>
        <v>LIM333</v>
      </c>
      <c r="D991" s="2">
        <v>373</v>
      </c>
      <c r="F991" s="2451"/>
      <c r="G991" s="2451"/>
      <c r="H991" s="2451"/>
      <c r="I991" s="2451"/>
      <c r="J991" s="2451"/>
      <c r="K991" s="2451"/>
      <c r="L991" s="2451"/>
      <c r="M991" s="2452"/>
      <c r="N991" s="2452"/>
      <c r="O991" s="2452"/>
      <c r="P991" s="2452"/>
      <c r="Q991" s="2452"/>
      <c r="W991" t="s">
        <v>2062</v>
      </c>
    </row>
    <row r="992" spans="1:23" ht="13.15" customHeight="1">
      <c r="A992" s="2" t="s">
        <v>2214</v>
      </c>
      <c r="B992" s="2">
        <f t="shared" si="30"/>
        <v>2020</v>
      </c>
      <c r="C992" s="2" t="str">
        <f t="shared" si="31"/>
        <v>LIM333</v>
      </c>
      <c r="D992" s="2">
        <v>374</v>
      </c>
      <c r="F992" s="2451"/>
      <c r="G992" s="2451"/>
      <c r="H992" s="2451"/>
      <c r="I992" s="2451"/>
      <c r="J992" s="2451"/>
      <c r="K992" s="2451"/>
      <c r="L992" s="2451"/>
      <c r="M992" s="2452"/>
      <c r="N992" s="2452"/>
      <c r="O992" s="2452"/>
      <c r="P992" s="2452"/>
      <c r="Q992" s="2452"/>
      <c r="W992" t="s">
        <v>2062</v>
      </c>
    </row>
    <row r="993" spans="1:23" ht="13.15" customHeight="1">
      <c r="A993" s="2" t="s">
        <v>2214</v>
      </c>
      <c r="B993" s="2">
        <f t="shared" si="30"/>
        <v>2020</v>
      </c>
      <c r="C993" s="2" t="str">
        <f t="shared" si="31"/>
        <v>LIM333</v>
      </c>
      <c r="D993" s="2">
        <v>375</v>
      </c>
      <c r="F993" s="2451"/>
      <c r="G993" s="2451"/>
      <c r="H993" s="2451"/>
      <c r="I993" s="2451"/>
      <c r="J993" s="2451"/>
      <c r="K993" s="2451"/>
      <c r="L993" s="2451"/>
      <c r="M993" s="2452"/>
      <c r="N993" s="2452"/>
      <c r="O993" s="2452"/>
      <c r="P993" s="2452"/>
      <c r="Q993" s="2452"/>
      <c r="W993" t="s">
        <v>2062</v>
      </c>
    </row>
    <row r="994" spans="1:23" ht="13.15" customHeight="1">
      <c r="A994" s="2" t="s">
        <v>2214</v>
      </c>
      <c r="B994" s="2">
        <f t="shared" si="30"/>
        <v>2020</v>
      </c>
      <c r="C994" s="2" t="str">
        <f t="shared" si="31"/>
        <v>LIM333</v>
      </c>
      <c r="D994" s="2">
        <v>376</v>
      </c>
      <c r="F994" s="2451"/>
      <c r="G994" s="2451"/>
      <c r="H994" s="2451"/>
      <c r="I994" s="2451"/>
      <c r="J994" s="2451"/>
      <c r="K994" s="2451"/>
      <c r="L994" s="2451"/>
      <c r="M994" s="2452"/>
      <c r="N994" s="2452"/>
      <c r="O994" s="2452"/>
      <c r="P994" s="2452"/>
      <c r="Q994" s="2452"/>
      <c r="W994" t="s">
        <v>2062</v>
      </c>
    </row>
    <row r="995" spans="1:23" ht="13.15" customHeight="1">
      <c r="A995" s="2" t="s">
        <v>2214</v>
      </c>
      <c r="B995" s="2">
        <f t="shared" si="30"/>
        <v>2020</v>
      </c>
      <c r="C995" s="2" t="str">
        <f t="shared" si="31"/>
        <v>LIM333</v>
      </c>
      <c r="D995" s="2">
        <v>377</v>
      </c>
      <c r="F995" s="2451"/>
      <c r="G995" s="2451"/>
      <c r="H995" s="2451"/>
      <c r="I995" s="2451"/>
      <c r="J995" s="2451"/>
      <c r="K995" s="2451"/>
      <c r="L995" s="2451"/>
      <c r="M995" s="2452"/>
      <c r="N995" s="2452"/>
      <c r="O995" s="2452"/>
      <c r="P995" s="2452"/>
      <c r="Q995" s="2452"/>
      <c r="W995" t="s">
        <v>2062</v>
      </c>
    </row>
    <row r="996" spans="1:23" ht="13.15" customHeight="1">
      <c r="A996" s="2" t="s">
        <v>2214</v>
      </c>
      <c r="B996" s="2">
        <f t="shared" si="30"/>
        <v>2020</v>
      </c>
      <c r="C996" s="2" t="str">
        <f t="shared" si="31"/>
        <v>LIM333</v>
      </c>
      <c r="D996" s="2">
        <v>378</v>
      </c>
      <c r="F996" s="2451"/>
      <c r="G996" s="2451"/>
      <c r="H996" s="2451"/>
      <c r="I996" s="2451"/>
      <c r="J996" s="2451"/>
      <c r="K996" s="2451"/>
      <c r="L996" s="2451"/>
      <c r="M996" s="2452"/>
      <c r="N996" s="2452"/>
      <c r="O996" s="2452"/>
      <c r="P996" s="2452"/>
      <c r="Q996" s="2452"/>
      <c r="W996" t="s">
        <v>2062</v>
      </c>
    </row>
    <row r="997" spans="1:23" ht="13.15" customHeight="1">
      <c r="A997" s="2" t="s">
        <v>2214</v>
      </c>
      <c r="B997" s="2">
        <f t="shared" si="30"/>
        <v>2020</v>
      </c>
      <c r="C997" s="2" t="str">
        <f t="shared" si="31"/>
        <v>LIM333</v>
      </c>
      <c r="D997" s="2">
        <v>379</v>
      </c>
      <c r="F997" s="2451"/>
      <c r="G997" s="2451"/>
      <c r="H997" s="2451"/>
      <c r="I997" s="2451"/>
      <c r="J997" s="2451"/>
      <c r="K997" s="2451"/>
      <c r="L997" s="2451"/>
      <c r="M997" s="2452"/>
      <c r="N997" s="2452"/>
      <c r="O997" s="2452"/>
      <c r="P997" s="2452"/>
      <c r="Q997" s="2452"/>
      <c r="W997" t="s">
        <v>2062</v>
      </c>
    </row>
    <row r="998" spans="1:23" ht="13.15" customHeight="1">
      <c r="A998" s="2" t="s">
        <v>2214</v>
      </c>
      <c r="B998" s="2">
        <f t="shared" si="30"/>
        <v>2020</v>
      </c>
      <c r="C998" s="2" t="str">
        <f t="shared" si="31"/>
        <v>LIM333</v>
      </c>
      <c r="D998" s="2">
        <v>380</v>
      </c>
      <c r="F998" s="2451"/>
      <c r="G998" s="2451"/>
      <c r="H998" s="2451"/>
      <c r="I998" s="2451"/>
      <c r="J998" s="2451"/>
      <c r="K998" s="2451"/>
      <c r="L998" s="2451"/>
      <c r="M998" s="2452"/>
      <c r="N998" s="2452"/>
      <c r="O998" s="2452"/>
      <c r="P998" s="2452"/>
      <c r="Q998" s="2452"/>
      <c r="W998" t="s">
        <v>2062</v>
      </c>
    </row>
    <row r="999" spans="1:23" ht="13.15" customHeight="1">
      <c r="A999" s="2" t="s">
        <v>2214</v>
      </c>
      <c r="B999" s="2">
        <f t="shared" si="30"/>
        <v>2020</v>
      </c>
      <c r="C999" s="2" t="str">
        <f t="shared" si="31"/>
        <v>LIM333</v>
      </c>
      <c r="D999" s="2">
        <v>381</v>
      </c>
      <c r="F999" s="2451"/>
      <c r="G999" s="2451"/>
      <c r="H999" s="2451"/>
      <c r="I999" s="2451"/>
      <c r="J999" s="2451"/>
      <c r="K999" s="2451"/>
      <c r="L999" s="2451"/>
      <c r="M999" s="2452"/>
      <c r="N999" s="2452"/>
      <c r="O999" s="2452"/>
      <c r="P999" s="2452"/>
      <c r="Q999" s="2452"/>
      <c r="W999" t="s">
        <v>2062</v>
      </c>
    </row>
    <row r="1000" spans="1:23" ht="13.15" customHeight="1">
      <c r="A1000" s="2" t="s">
        <v>2214</v>
      </c>
      <c r="B1000" s="2">
        <f t="shared" si="30"/>
        <v>2020</v>
      </c>
      <c r="C1000" s="2" t="str">
        <f t="shared" si="31"/>
        <v>LIM333</v>
      </c>
      <c r="D1000" s="2">
        <v>382</v>
      </c>
      <c r="F1000" s="2451"/>
      <c r="G1000" s="2451"/>
      <c r="H1000" s="2451"/>
      <c r="I1000" s="2451"/>
      <c r="J1000" s="2451"/>
      <c r="K1000" s="2451"/>
      <c r="L1000" s="2451"/>
      <c r="M1000" s="2452"/>
      <c r="N1000" s="2452"/>
      <c r="O1000" s="2452"/>
      <c r="P1000" s="2452"/>
      <c r="Q1000" s="2452"/>
      <c r="W1000" t="s">
        <v>2062</v>
      </c>
    </row>
    <row r="1001" spans="1:23" ht="13.15" customHeight="1">
      <c r="A1001" s="2" t="s">
        <v>2214</v>
      </c>
      <c r="B1001" s="2">
        <f t="shared" si="30"/>
        <v>2020</v>
      </c>
      <c r="C1001" s="2" t="str">
        <f t="shared" si="31"/>
        <v>LIM333</v>
      </c>
      <c r="D1001" s="2">
        <v>383</v>
      </c>
      <c r="F1001" s="2451"/>
      <c r="G1001" s="2451"/>
      <c r="H1001" s="2451"/>
      <c r="I1001" s="2451"/>
      <c r="J1001" s="2451"/>
      <c r="K1001" s="2451"/>
      <c r="L1001" s="2451"/>
      <c r="M1001" s="2452"/>
      <c r="N1001" s="2452"/>
      <c r="O1001" s="2452"/>
      <c r="P1001" s="2452"/>
      <c r="Q1001" s="2452"/>
      <c r="W1001" t="s">
        <v>2062</v>
      </c>
    </row>
    <row r="1002" spans="1:23" ht="13.15" customHeight="1">
      <c r="A1002" s="2" t="s">
        <v>2214</v>
      </c>
      <c r="B1002" s="2">
        <f t="shared" si="30"/>
        <v>2020</v>
      </c>
      <c r="C1002" s="2" t="str">
        <f t="shared" si="31"/>
        <v>LIM333</v>
      </c>
      <c r="D1002" s="2">
        <v>384</v>
      </c>
      <c r="F1002" s="2451"/>
      <c r="G1002" s="2451"/>
      <c r="H1002" s="2451"/>
      <c r="I1002" s="2451"/>
      <c r="J1002" s="2451"/>
      <c r="K1002" s="2451"/>
      <c r="L1002" s="2451"/>
      <c r="M1002" s="2452"/>
      <c r="N1002" s="2452"/>
      <c r="O1002" s="2452"/>
      <c r="P1002" s="2452"/>
      <c r="Q1002" s="2452"/>
      <c r="W1002" t="s">
        <v>2062</v>
      </c>
    </row>
    <row r="1003" spans="1:23" ht="13.15" customHeight="1">
      <c r="A1003" s="2" t="s">
        <v>2214</v>
      </c>
      <c r="B1003" s="2">
        <f t="shared" si="30"/>
        <v>2020</v>
      </c>
      <c r="C1003" s="2" t="str">
        <f t="shared" si="31"/>
        <v>LIM333</v>
      </c>
      <c r="D1003" s="2">
        <v>385</v>
      </c>
      <c r="F1003" s="2451"/>
      <c r="G1003" s="2451"/>
      <c r="H1003" s="2451"/>
      <c r="I1003" s="2451"/>
      <c r="J1003" s="2451"/>
      <c r="K1003" s="2451"/>
      <c r="L1003" s="2451"/>
      <c r="M1003" s="2452"/>
      <c r="N1003" s="2452"/>
      <c r="O1003" s="2452"/>
      <c r="P1003" s="2452"/>
      <c r="Q1003" s="2452"/>
      <c r="W1003" t="s">
        <v>2062</v>
      </c>
    </row>
    <row r="1004" spans="1:23" ht="13.15" customHeight="1">
      <c r="A1004" s="2" t="s">
        <v>2214</v>
      </c>
      <c r="B1004" s="2">
        <f t="shared" si="30"/>
        <v>2020</v>
      </c>
      <c r="C1004" s="2" t="str">
        <f t="shared" si="31"/>
        <v>LIM333</v>
      </c>
      <c r="D1004" s="2">
        <v>386</v>
      </c>
      <c r="F1004" s="2451"/>
      <c r="G1004" s="2451"/>
      <c r="H1004" s="2451"/>
      <c r="I1004" s="2451"/>
      <c r="J1004" s="2451"/>
      <c r="K1004" s="2451"/>
      <c r="L1004" s="2451"/>
      <c r="M1004" s="2452"/>
      <c r="N1004" s="2452"/>
      <c r="O1004" s="2452"/>
      <c r="P1004" s="2452"/>
      <c r="Q1004" s="2452"/>
      <c r="W1004" t="s">
        <v>2062</v>
      </c>
    </row>
    <row r="1005" spans="1:23" ht="13.15" customHeight="1">
      <c r="A1005" s="2" t="s">
        <v>2214</v>
      </c>
      <c r="B1005" s="2">
        <f t="shared" si="30"/>
        <v>2020</v>
      </c>
      <c r="C1005" s="2" t="str">
        <f t="shared" si="31"/>
        <v>LIM333</v>
      </c>
      <c r="D1005" s="2">
        <v>387</v>
      </c>
      <c r="F1005" s="2451"/>
      <c r="G1005" s="2451"/>
      <c r="H1005" s="2451"/>
      <c r="I1005" s="2451"/>
      <c r="J1005" s="2451"/>
      <c r="K1005" s="2451"/>
      <c r="L1005" s="2451"/>
      <c r="M1005" s="2452"/>
      <c r="N1005" s="2452"/>
      <c r="O1005" s="2452"/>
      <c r="P1005" s="2452"/>
      <c r="Q1005" s="2452"/>
      <c r="W1005" t="s">
        <v>2062</v>
      </c>
    </row>
    <row r="1006" spans="1:23" ht="13.15" customHeight="1">
      <c r="A1006" s="2" t="s">
        <v>2214</v>
      </c>
      <c r="B1006" s="2">
        <f t="shared" si="30"/>
        <v>2020</v>
      </c>
      <c r="C1006" s="2" t="str">
        <f t="shared" si="31"/>
        <v>LIM333</v>
      </c>
      <c r="D1006" s="2">
        <v>388</v>
      </c>
      <c r="F1006" s="2451"/>
      <c r="G1006" s="2451"/>
      <c r="H1006" s="2451"/>
      <c r="I1006" s="2451"/>
      <c r="J1006" s="2451"/>
      <c r="K1006" s="2451"/>
      <c r="L1006" s="2451"/>
      <c r="M1006" s="2452"/>
      <c r="N1006" s="2452"/>
      <c r="O1006" s="2452"/>
      <c r="P1006" s="2452"/>
      <c r="Q1006" s="2452"/>
      <c r="W1006" t="s">
        <v>2062</v>
      </c>
    </row>
    <row r="1007" spans="1:23" ht="13.15" customHeight="1">
      <c r="A1007" s="2" t="s">
        <v>2214</v>
      </c>
      <c r="B1007" s="2">
        <f t="shared" si="30"/>
        <v>2020</v>
      </c>
      <c r="C1007" s="2" t="str">
        <f t="shared" si="31"/>
        <v>LIM333</v>
      </c>
      <c r="D1007" s="2">
        <v>389</v>
      </c>
      <c r="F1007" s="2451"/>
      <c r="G1007" s="2451"/>
      <c r="H1007" s="2451"/>
      <c r="I1007" s="2451"/>
      <c r="J1007" s="2451"/>
      <c r="K1007" s="2451"/>
      <c r="L1007" s="2451"/>
      <c r="M1007" s="2452"/>
      <c r="N1007" s="2452"/>
      <c r="O1007" s="2452"/>
      <c r="P1007" s="2452"/>
      <c r="Q1007" s="2452"/>
      <c r="W1007" t="s">
        <v>2062</v>
      </c>
    </row>
    <row r="1008" spans="1:23" ht="13.15" customHeight="1">
      <c r="A1008" s="2" t="s">
        <v>2214</v>
      </c>
      <c r="B1008" s="2">
        <f t="shared" si="30"/>
        <v>2020</v>
      </c>
      <c r="C1008" s="2" t="str">
        <f t="shared" si="31"/>
        <v>LIM333</v>
      </c>
      <c r="D1008" s="2">
        <v>390</v>
      </c>
      <c r="F1008" s="2451"/>
      <c r="G1008" s="2451"/>
      <c r="H1008" s="2451"/>
      <c r="I1008" s="2451"/>
      <c r="J1008" s="2451"/>
      <c r="K1008" s="2451"/>
      <c r="L1008" s="2451"/>
      <c r="M1008" s="2452"/>
      <c r="N1008" s="2452"/>
      <c r="O1008" s="2452"/>
      <c r="P1008" s="2452"/>
      <c r="Q1008" s="2452"/>
      <c r="W1008" t="s">
        <v>2062</v>
      </c>
    </row>
    <row r="1009" spans="1:23" ht="13.15" customHeight="1">
      <c r="A1009" s="2" t="s">
        <v>2214</v>
      </c>
      <c r="B1009" s="2">
        <f t="shared" si="30"/>
        <v>2020</v>
      </c>
      <c r="C1009" s="2" t="str">
        <f t="shared" si="31"/>
        <v>LIM333</v>
      </c>
      <c r="D1009" s="2">
        <v>391</v>
      </c>
      <c r="F1009" s="2451"/>
      <c r="G1009" s="2451"/>
      <c r="H1009" s="2451"/>
      <c r="I1009" s="2451"/>
      <c r="J1009" s="2451"/>
      <c r="K1009" s="2451"/>
      <c r="L1009" s="2451"/>
      <c r="M1009" s="2452"/>
      <c r="N1009" s="2452"/>
      <c r="O1009" s="2452"/>
      <c r="P1009" s="2452"/>
      <c r="Q1009" s="2452"/>
      <c r="W1009" t="s">
        <v>2062</v>
      </c>
    </row>
    <row r="1010" spans="1:23" ht="13.15" customHeight="1">
      <c r="A1010" s="2" t="s">
        <v>2214</v>
      </c>
      <c r="B1010" s="2">
        <f t="shared" si="30"/>
        <v>2020</v>
      </c>
      <c r="C1010" s="2" t="str">
        <f t="shared" si="31"/>
        <v>LIM333</v>
      </c>
      <c r="D1010" s="2">
        <v>392</v>
      </c>
      <c r="F1010" s="2451"/>
      <c r="G1010" s="2451"/>
      <c r="H1010" s="2451"/>
      <c r="I1010" s="2451"/>
      <c r="J1010" s="2451"/>
      <c r="K1010" s="2451"/>
      <c r="L1010" s="2451"/>
      <c r="M1010" s="2452"/>
      <c r="N1010" s="2452"/>
      <c r="O1010" s="2452"/>
      <c r="P1010" s="2452"/>
      <c r="Q1010" s="2452"/>
      <c r="W1010" t="s">
        <v>2062</v>
      </c>
    </row>
    <row r="1011" spans="1:23" ht="13.15" customHeight="1">
      <c r="A1011" s="2" t="s">
        <v>2214</v>
      </c>
      <c r="B1011" s="2">
        <f t="shared" si="30"/>
        <v>2020</v>
      </c>
      <c r="C1011" s="2" t="str">
        <f t="shared" si="31"/>
        <v>LIM333</v>
      </c>
      <c r="D1011" s="2">
        <v>393</v>
      </c>
      <c r="F1011" s="2451"/>
      <c r="G1011" s="2451"/>
      <c r="H1011" s="2451"/>
      <c r="I1011" s="2451"/>
      <c r="J1011" s="2451"/>
      <c r="K1011" s="2451"/>
      <c r="L1011" s="2451"/>
      <c r="M1011" s="2452"/>
      <c r="N1011" s="2452"/>
      <c r="O1011" s="2452"/>
      <c r="P1011" s="2452"/>
      <c r="Q1011" s="2452"/>
      <c r="W1011" t="s">
        <v>2062</v>
      </c>
    </row>
    <row r="1012" spans="1:23" ht="13.15" customHeight="1">
      <c r="A1012" s="2" t="s">
        <v>2214</v>
      </c>
      <c r="B1012" s="2">
        <f t="shared" si="30"/>
        <v>2020</v>
      </c>
      <c r="C1012" s="2" t="str">
        <f t="shared" si="31"/>
        <v>LIM333</v>
      </c>
      <c r="D1012" s="2">
        <v>394</v>
      </c>
      <c r="F1012" s="2451"/>
      <c r="G1012" s="2451"/>
      <c r="H1012" s="2451"/>
      <c r="I1012" s="2451"/>
      <c r="J1012" s="2451"/>
      <c r="K1012" s="2451"/>
      <c r="L1012" s="2451"/>
      <c r="M1012" s="2452"/>
      <c r="N1012" s="2452"/>
      <c r="O1012" s="2452"/>
      <c r="P1012" s="2452"/>
      <c r="Q1012" s="2452"/>
      <c r="W1012" t="s">
        <v>2062</v>
      </c>
    </row>
    <row r="1013" spans="1:23" ht="13.15" customHeight="1">
      <c r="A1013" s="2" t="s">
        <v>2214</v>
      </c>
      <c r="B1013" s="2">
        <f t="shared" si="30"/>
        <v>2020</v>
      </c>
      <c r="C1013" s="2" t="str">
        <f t="shared" si="31"/>
        <v>LIM333</v>
      </c>
      <c r="D1013" s="2">
        <v>395</v>
      </c>
      <c r="F1013" s="2451"/>
      <c r="G1013" s="2451"/>
      <c r="H1013" s="2451"/>
      <c r="I1013" s="2451"/>
      <c r="J1013" s="2451"/>
      <c r="K1013" s="2451"/>
      <c r="L1013" s="2451"/>
      <c r="M1013" s="2452"/>
      <c r="N1013" s="2452"/>
      <c r="O1013" s="2452"/>
      <c r="P1013" s="2452"/>
      <c r="Q1013" s="2452"/>
      <c r="W1013" t="s">
        <v>2062</v>
      </c>
    </row>
    <row r="1014" spans="1:23" ht="13.15" customHeight="1">
      <c r="A1014" s="2" t="s">
        <v>2214</v>
      </c>
      <c r="B1014" s="2">
        <f t="shared" si="30"/>
        <v>2020</v>
      </c>
      <c r="C1014" s="2" t="str">
        <f t="shared" si="31"/>
        <v>LIM333</v>
      </c>
      <c r="D1014" s="2">
        <v>396</v>
      </c>
      <c r="F1014" s="2451"/>
      <c r="G1014" s="2451"/>
      <c r="H1014" s="2451"/>
      <c r="I1014" s="2451"/>
      <c r="J1014" s="2451"/>
      <c r="K1014" s="2451"/>
      <c r="L1014" s="2451"/>
      <c r="M1014" s="2452"/>
      <c r="N1014" s="2452"/>
      <c r="O1014" s="2452"/>
      <c r="P1014" s="2452"/>
      <c r="Q1014" s="2452"/>
      <c r="W1014" t="s">
        <v>2062</v>
      </c>
    </row>
    <row r="1015" spans="1:23" ht="13.15" customHeight="1">
      <c r="A1015" s="2" t="s">
        <v>2214</v>
      </c>
      <c r="B1015" s="2">
        <f t="shared" si="30"/>
        <v>2020</v>
      </c>
      <c r="C1015" s="2" t="str">
        <f t="shared" si="31"/>
        <v>LIM333</v>
      </c>
      <c r="D1015" s="2">
        <v>397</v>
      </c>
      <c r="F1015" s="2451"/>
      <c r="G1015" s="2451"/>
      <c r="H1015" s="2451"/>
      <c r="I1015" s="2451"/>
      <c r="J1015" s="2451"/>
      <c r="K1015" s="2451"/>
      <c r="L1015" s="2451"/>
      <c r="M1015" s="2452"/>
      <c r="N1015" s="2452"/>
      <c r="O1015" s="2452"/>
      <c r="P1015" s="2452"/>
      <c r="Q1015" s="2452"/>
      <c r="W1015" t="s">
        <v>2062</v>
      </c>
    </row>
    <row r="1016" spans="1:23" ht="13.15" customHeight="1">
      <c r="A1016" s="2" t="s">
        <v>2214</v>
      </c>
      <c r="B1016" s="2">
        <f t="shared" si="30"/>
        <v>2020</v>
      </c>
      <c r="C1016" s="2" t="str">
        <f t="shared" si="31"/>
        <v>LIM333</v>
      </c>
      <c r="D1016" s="2">
        <v>398</v>
      </c>
      <c r="F1016" s="2451"/>
      <c r="G1016" s="2451"/>
      <c r="H1016" s="2451"/>
      <c r="I1016" s="2451"/>
      <c r="J1016" s="2451"/>
      <c r="K1016" s="2451"/>
      <c r="L1016" s="2451"/>
      <c r="M1016" s="2452"/>
      <c r="N1016" s="2452"/>
      <c r="O1016" s="2452"/>
      <c r="P1016" s="2452"/>
      <c r="Q1016" s="2452"/>
      <c r="W1016" t="s">
        <v>2062</v>
      </c>
    </row>
    <row r="1017" spans="1:23" ht="13.15" customHeight="1">
      <c r="A1017" s="2" t="s">
        <v>2214</v>
      </c>
      <c r="B1017" s="2">
        <f t="shared" si="30"/>
        <v>2020</v>
      </c>
      <c r="C1017" s="2" t="str">
        <f t="shared" si="31"/>
        <v>LIM333</v>
      </c>
      <c r="D1017" s="2">
        <v>399</v>
      </c>
      <c r="F1017" s="2451"/>
      <c r="G1017" s="2451"/>
      <c r="H1017" s="2451"/>
      <c r="I1017" s="2451"/>
      <c r="J1017" s="2451"/>
      <c r="K1017" s="2451"/>
      <c r="L1017" s="2451"/>
      <c r="M1017" s="2452"/>
      <c r="N1017" s="2452"/>
      <c r="O1017" s="2452"/>
      <c r="P1017" s="2452"/>
      <c r="Q1017" s="2452"/>
      <c r="W1017" t="s">
        <v>2062</v>
      </c>
    </row>
    <row r="1018" spans="1:23" ht="13.15" customHeight="1">
      <c r="A1018" s="2" t="s">
        <v>2214</v>
      </c>
      <c r="B1018" s="2">
        <f t="shared" si="30"/>
        <v>2020</v>
      </c>
      <c r="C1018" s="2" t="str">
        <f t="shared" si="31"/>
        <v>LIM333</v>
      </c>
      <c r="D1018" s="2">
        <v>400</v>
      </c>
      <c r="F1018" s="2451"/>
      <c r="G1018" s="2451"/>
      <c r="H1018" s="2451"/>
      <c r="I1018" s="2451"/>
      <c r="J1018" s="2451"/>
      <c r="K1018" s="2451"/>
      <c r="L1018" s="2451"/>
      <c r="M1018" s="2452"/>
      <c r="N1018" s="2452"/>
      <c r="O1018" s="2452"/>
      <c r="P1018" s="2452"/>
      <c r="Q1018" s="2452"/>
      <c r="W1018" t="s">
        <v>2062</v>
      </c>
    </row>
    <row r="1019" spans="1:23" ht="13.15" customHeight="1">
      <c r="A1019" s="2" t="s">
        <v>2214</v>
      </c>
      <c r="B1019" s="2">
        <f t="shared" si="30"/>
        <v>2020</v>
      </c>
      <c r="C1019" s="2" t="str">
        <f t="shared" si="31"/>
        <v>LIM333</v>
      </c>
      <c r="D1019" s="2">
        <v>401</v>
      </c>
      <c r="F1019" s="2451"/>
      <c r="G1019" s="2451"/>
      <c r="H1019" s="2451"/>
      <c r="I1019" s="2451"/>
      <c r="J1019" s="2451"/>
      <c r="K1019" s="2451"/>
      <c r="L1019" s="2451"/>
      <c r="M1019" s="2452"/>
      <c r="N1019" s="2452"/>
      <c r="O1019" s="2452"/>
      <c r="P1019" s="2452"/>
      <c r="Q1019" s="2452"/>
      <c r="W1019" t="s">
        <v>2062</v>
      </c>
    </row>
    <row r="1020" spans="1:23" ht="13.15" customHeight="1">
      <c r="A1020" s="2" t="s">
        <v>2214</v>
      </c>
      <c r="B1020" s="2">
        <f t="shared" si="30"/>
        <v>2020</v>
      </c>
      <c r="C1020" s="2" t="str">
        <f t="shared" si="31"/>
        <v>LIM333</v>
      </c>
      <c r="D1020" s="2">
        <v>402</v>
      </c>
      <c r="F1020" s="2451"/>
      <c r="G1020" s="2451"/>
      <c r="H1020" s="2451"/>
      <c r="I1020" s="2451"/>
      <c r="J1020" s="2451"/>
      <c r="K1020" s="2451"/>
      <c r="L1020" s="2451"/>
      <c r="M1020" s="2452"/>
      <c r="N1020" s="2452"/>
      <c r="O1020" s="2452"/>
      <c r="P1020" s="2452"/>
      <c r="Q1020" s="2452"/>
      <c r="W1020" t="s">
        <v>2062</v>
      </c>
    </row>
    <row r="1021" spans="1:23" ht="13.15" customHeight="1">
      <c r="A1021" s="2" t="s">
        <v>2214</v>
      </c>
      <c r="B1021" s="2">
        <f t="shared" si="30"/>
        <v>2020</v>
      </c>
      <c r="C1021" s="2" t="str">
        <f t="shared" si="31"/>
        <v>LIM333</v>
      </c>
      <c r="D1021" s="2">
        <v>403</v>
      </c>
      <c r="F1021" s="2451"/>
      <c r="G1021" s="2451"/>
      <c r="H1021" s="2451"/>
      <c r="I1021" s="2451"/>
      <c r="J1021" s="2451"/>
      <c r="K1021" s="2451"/>
      <c r="L1021" s="2451"/>
      <c r="M1021" s="2452"/>
      <c r="N1021" s="2452"/>
      <c r="O1021" s="2452"/>
      <c r="P1021" s="2452"/>
      <c r="Q1021" s="2452"/>
      <c r="W1021" t="s">
        <v>2062</v>
      </c>
    </row>
    <row r="1022" spans="1:23" ht="13.15" customHeight="1">
      <c r="A1022" s="2" t="s">
        <v>2214</v>
      </c>
      <c r="B1022" s="2">
        <f t="shared" si="30"/>
        <v>2020</v>
      </c>
      <c r="C1022" s="2" t="str">
        <f t="shared" si="31"/>
        <v>LIM333</v>
      </c>
      <c r="D1022" s="2">
        <v>404</v>
      </c>
      <c r="F1022" s="2451"/>
      <c r="G1022" s="2451"/>
      <c r="H1022" s="2451"/>
      <c r="I1022" s="2451"/>
      <c r="J1022" s="2451"/>
      <c r="K1022" s="2451"/>
      <c r="L1022" s="2451"/>
      <c r="M1022" s="2452"/>
      <c r="N1022" s="2452"/>
      <c r="O1022" s="2452"/>
      <c r="P1022" s="2452"/>
      <c r="Q1022" s="2452"/>
      <c r="W1022" t="s">
        <v>2062</v>
      </c>
    </row>
    <row r="1023" spans="1:23" ht="13.15" customHeight="1">
      <c r="A1023" s="2" t="s">
        <v>2214</v>
      </c>
      <c r="B1023" s="2">
        <f t="shared" si="30"/>
        <v>2020</v>
      </c>
      <c r="C1023" s="2" t="str">
        <f t="shared" si="31"/>
        <v>LIM333</v>
      </c>
      <c r="D1023" s="2">
        <v>405</v>
      </c>
      <c r="F1023" s="2451"/>
      <c r="G1023" s="2451"/>
      <c r="H1023" s="2451"/>
      <c r="I1023" s="2451"/>
      <c r="J1023" s="2451"/>
      <c r="K1023" s="2451"/>
      <c r="L1023" s="2451"/>
      <c r="M1023" s="2452"/>
      <c r="N1023" s="2452"/>
      <c r="O1023" s="2452"/>
      <c r="P1023" s="2452"/>
      <c r="Q1023" s="2452"/>
      <c r="W1023" t="s">
        <v>2062</v>
      </c>
    </row>
    <row r="1024" spans="1:23" ht="13.15" customHeight="1">
      <c r="A1024" s="2" t="s">
        <v>2214</v>
      </c>
      <c r="B1024" s="2">
        <f t="shared" si="30"/>
        <v>2020</v>
      </c>
      <c r="C1024" s="2" t="str">
        <f t="shared" si="31"/>
        <v>LIM333</v>
      </c>
      <c r="D1024" s="2">
        <v>406</v>
      </c>
      <c r="F1024" s="2451"/>
      <c r="G1024" s="2451"/>
      <c r="H1024" s="2451"/>
      <c r="I1024" s="2451"/>
      <c r="J1024" s="2451"/>
      <c r="K1024" s="2451"/>
      <c r="L1024" s="2451"/>
      <c r="M1024" s="2452"/>
      <c r="N1024" s="2452"/>
      <c r="O1024" s="2452"/>
      <c r="P1024" s="2452"/>
      <c r="Q1024" s="2452"/>
      <c r="W1024" t="s">
        <v>2062</v>
      </c>
    </row>
    <row r="1025" spans="1:23" ht="13.15" customHeight="1">
      <c r="A1025" s="2" t="s">
        <v>2214</v>
      </c>
      <c r="B1025" s="2">
        <f t="shared" si="30"/>
        <v>2020</v>
      </c>
      <c r="C1025" s="2" t="str">
        <f t="shared" si="31"/>
        <v>LIM333</v>
      </c>
      <c r="D1025" s="2">
        <v>407</v>
      </c>
      <c r="F1025" s="2451"/>
      <c r="G1025" s="2451"/>
      <c r="H1025" s="2451"/>
      <c r="I1025" s="2451"/>
      <c r="J1025" s="2451"/>
      <c r="K1025" s="2451"/>
      <c r="L1025" s="2451"/>
      <c r="M1025" s="2452"/>
      <c r="N1025" s="2452"/>
      <c r="O1025" s="2452"/>
      <c r="P1025" s="2452"/>
      <c r="Q1025" s="2452"/>
      <c r="W1025" t="s">
        <v>2062</v>
      </c>
    </row>
    <row r="1026" spans="1:23" ht="13.15" customHeight="1">
      <c r="A1026" s="2" t="s">
        <v>2214</v>
      </c>
      <c r="B1026" s="2">
        <f t="shared" ref="B1026:B1089" si="32">+MTREF</f>
        <v>2020</v>
      </c>
      <c r="C1026" s="2" t="str">
        <f t="shared" ref="C1026:C1089" si="33">LEFT(muni,(FIND(" ",muni,1)-1))</f>
        <v>LIM333</v>
      </c>
      <c r="D1026" s="2">
        <v>408</v>
      </c>
      <c r="F1026" s="2451"/>
      <c r="G1026" s="2451"/>
      <c r="H1026" s="2451"/>
      <c r="I1026" s="2451"/>
      <c r="J1026" s="2451"/>
      <c r="K1026" s="2451"/>
      <c r="L1026" s="2451"/>
      <c r="M1026" s="2452"/>
      <c r="N1026" s="2452"/>
      <c r="O1026" s="2452"/>
      <c r="P1026" s="2452"/>
      <c r="Q1026" s="2452"/>
      <c r="W1026" t="s">
        <v>2062</v>
      </c>
    </row>
    <row r="1027" spans="1:23" ht="13.15" customHeight="1">
      <c r="A1027" s="2" t="s">
        <v>2214</v>
      </c>
      <c r="B1027" s="2">
        <f t="shared" si="32"/>
        <v>2020</v>
      </c>
      <c r="C1027" s="2" t="str">
        <f t="shared" si="33"/>
        <v>LIM333</v>
      </c>
      <c r="D1027" s="2">
        <v>409</v>
      </c>
      <c r="F1027" s="2451"/>
      <c r="G1027" s="2451"/>
      <c r="H1027" s="2451"/>
      <c r="I1027" s="2451"/>
      <c r="J1027" s="2451"/>
      <c r="K1027" s="2451"/>
      <c r="L1027" s="2451"/>
      <c r="M1027" s="2452"/>
      <c r="N1027" s="2452"/>
      <c r="O1027" s="2452"/>
      <c r="P1027" s="2452"/>
      <c r="Q1027" s="2452"/>
      <c r="W1027" t="s">
        <v>2062</v>
      </c>
    </row>
    <row r="1028" spans="1:23" ht="13.15" customHeight="1">
      <c r="A1028" s="2" t="s">
        <v>2214</v>
      </c>
      <c r="B1028" s="2">
        <f t="shared" si="32"/>
        <v>2020</v>
      </c>
      <c r="C1028" s="2" t="str">
        <f t="shared" si="33"/>
        <v>LIM333</v>
      </c>
      <c r="D1028" s="2">
        <v>410</v>
      </c>
      <c r="F1028" s="2451"/>
      <c r="G1028" s="2451"/>
      <c r="H1028" s="2451"/>
      <c r="I1028" s="2451"/>
      <c r="J1028" s="2451"/>
      <c r="K1028" s="2451"/>
      <c r="L1028" s="2451"/>
      <c r="M1028" s="2452"/>
      <c r="N1028" s="2452"/>
      <c r="O1028" s="2452"/>
      <c r="P1028" s="2452"/>
      <c r="Q1028" s="2452"/>
      <c r="W1028" t="s">
        <v>2062</v>
      </c>
    </row>
    <row r="1029" spans="1:23" ht="13.15" customHeight="1">
      <c r="A1029" s="2" t="s">
        <v>2214</v>
      </c>
      <c r="B1029" s="2">
        <f t="shared" si="32"/>
        <v>2020</v>
      </c>
      <c r="C1029" s="2" t="str">
        <f t="shared" si="33"/>
        <v>LIM333</v>
      </c>
      <c r="D1029" s="2">
        <v>411</v>
      </c>
      <c r="F1029" s="2451"/>
      <c r="G1029" s="2451"/>
      <c r="H1029" s="2451"/>
      <c r="I1029" s="2451"/>
      <c r="J1029" s="2451"/>
      <c r="K1029" s="2451"/>
      <c r="L1029" s="2451"/>
      <c r="M1029" s="2452"/>
      <c r="N1029" s="2452"/>
      <c r="O1029" s="2452"/>
      <c r="P1029" s="2452"/>
      <c r="Q1029" s="2452"/>
      <c r="W1029" t="s">
        <v>2062</v>
      </c>
    </row>
    <row r="1030" spans="1:23" ht="13.15" customHeight="1">
      <c r="A1030" s="2" t="s">
        <v>2214</v>
      </c>
      <c r="B1030" s="2">
        <f t="shared" si="32"/>
        <v>2020</v>
      </c>
      <c r="C1030" s="2" t="str">
        <f t="shared" si="33"/>
        <v>LIM333</v>
      </c>
      <c r="D1030" s="2">
        <v>412</v>
      </c>
      <c r="F1030" s="2451"/>
      <c r="G1030" s="2451"/>
      <c r="H1030" s="2451"/>
      <c r="I1030" s="2451"/>
      <c r="J1030" s="2451"/>
      <c r="K1030" s="2451"/>
      <c r="L1030" s="2451"/>
      <c r="M1030" s="2452"/>
      <c r="N1030" s="2452"/>
      <c r="O1030" s="2452"/>
      <c r="P1030" s="2452"/>
      <c r="Q1030" s="2452"/>
      <c r="W1030" t="s">
        <v>2062</v>
      </c>
    </row>
    <row r="1031" spans="1:23" ht="13.15" customHeight="1">
      <c r="A1031" s="2" t="s">
        <v>2214</v>
      </c>
      <c r="B1031" s="2">
        <f t="shared" si="32"/>
        <v>2020</v>
      </c>
      <c r="C1031" s="2" t="str">
        <f t="shared" si="33"/>
        <v>LIM333</v>
      </c>
      <c r="D1031" s="2">
        <v>413</v>
      </c>
      <c r="F1031" s="2451"/>
      <c r="G1031" s="2451"/>
      <c r="H1031" s="2451"/>
      <c r="I1031" s="2451"/>
      <c r="J1031" s="2451"/>
      <c r="K1031" s="2451"/>
      <c r="L1031" s="2451"/>
      <c r="M1031" s="2452"/>
      <c r="N1031" s="2452"/>
      <c r="O1031" s="2452"/>
      <c r="P1031" s="2452"/>
      <c r="Q1031" s="2452"/>
      <c r="W1031" t="s">
        <v>2062</v>
      </c>
    </row>
    <row r="1032" spans="1:23" ht="13.15" customHeight="1">
      <c r="A1032" s="2" t="s">
        <v>2214</v>
      </c>
      <c r="B1032" s="2">
        <f t="shared" si="32"/>
        <v>2020</v>
      </c>
      <c r="C1032" s="2" t="str">
        <f t="shared" si="33"/>
        <v>LIM333</v>
      </c>
      <c r="D1032" s="2">
        <v>414</v>
      </c>
      <c r="F1032" s="2451"/>
      <c r="G1032" s="2451"/>
      <c r="H1032" s="2451"/>
      <c r="I1032" s="2451"/>
      <c r="J1032" s="2451"/>
      <c r="K1032" s="2451"/>
      <c r="L1032" s="2451"/>
      <c r="M1032" s="2452"/>
      <c r="N1032" s="2452"/>
      <c r="O1032" s="2452"/>
      <c r="P1032" s="2452"/>
      <c r="Q1032" s="2452"/>
      <c r="W1032" t="s">
        <v>2062</v>
      </c>
    </row>
    <row r="1033" spans="1:23" ht="13.15" customHeight="1">
      <c r="A1033" s="2" t="s">
        <v>2214</v>
      </c>
      <c r="B1033" s="2">
        <f t="shared" si="32"/>
        <v>2020</v>
      </c>
      <c r="C1033" s="2" t="str">
        <f t="shared" si="33"/>
        <v>LIM333</v>
      </c>
      <c r="D1033" s="2">
        <v>415</v>
      </c>
      <c r="F1033" s="2451"/>
      <c r="G1033" s="2451"/>
      <c r="H1033" s="2451"/>
      <c r="I1033" s="2451"/>
      <c r="J1033" s="2451"/>
      <c r="K1033" s="2451"/>
      <c r="L1033" s="2451"/>
      <c r="M1033" s="2452"/>
      <c r="N1033" s="2452"/>
      <c r="O1033" s="2452"/>
      <c r="P1033" s="2452"/>
      <c r="Q1033" s="2452"/>
      <c r="W1033" t="s">
        <v>2062</v>
      </c>
    </row>
    <row r="1034" spans="1:23" ht="13.15" customHeight="1">
      <c r="A1034" s="2" t="s">
        <v>2214</v>
      </c>
      <c r="B1034" s="2">
        <f t="shared" si="32"/>
        <v>2020</v>
      </c>
      <c r="C1034" s="2" t="str">
        <f t="shared" si="33"/>
        <v>LIM333</v>
      </c>
      <c r="D1034" s="2">
        <v>416</v>
      </c>
      <c r="F1034" s="2451"/>
      <c r="G1034" s="2451"/>
      <c r="H1034" s="2451"/>
      <c r="I1034" s="2451"/>
      <c r="J1034" s="2451"/>
      <c r="K1034" s="2451"/>
      <c r="L1034" s="2451"/>
      <c r="M1034" s="2452"/>
      <c r="N1034" s="2452"/>
      <c r="O1034" s="2452"/>
      <c r="P1034" s="2452"/>
      <c r="Q1034" s="2452"/>
      <c r="W1034" t="s">
        <v>2062</v>
      </c>
    </row>
    <row r="1035" spans="1:23" ht="13.15" customHeight="1">
      <c r="A1035" s="2" t="s">
        <v>2214</v>
      </c>
      <c r="B1035" s="2">
        <f t="shared" si="32"/>
        <v>2020</v>
      </c>
      <c r="C1035" s="2" t="str">
        <f t="shared" si="33"/>
        <v>LIM333</v>
      </c>
      <c r="D1035" s="2">
        <v>417</v>
      </c>
      <c r="F1035" s="2451"/>
      <c r="G1035" s="2451"/>
      <c r="H1035" s="2451"/>
      <c r="I1035" s="2451"/>
      <c r="J1035" s="2451"/>
      <c r="K1035" s="2451"/>
      <c r="L1035" s="2451"/>
      <c r="M1035" s="2452"/>
      <c r="N1035" s="2452"/>
      <c r="O1035" s="2452"/>
      <c r="P1035" s="2452"/>
      <c r="Q1035" s="2452"/>
      <c r="W1035" t="s">
        <v>2062</v>
      </c>
    </row>
    <row r="1036" spans="1:23" ht="13.15" customHeight="1">
      <c r="A1036" s="2" t="s">
        <v>2214</v>
      </c>
      <c r="B1036" s="2">
        <f t="shared" si="32"/>
        <v>2020</v>
      </c>
      <c r="C1036" s="2" t="str">
        <f t="shared" si="33"/>
        <v>LIM333</v>
      </c>
      <c r="D1036" s="2">
        <v>418</v>
      </c>
      <c r="F1036" s="2451"/>
      <c r="G1036" s="2451"/>
      <c r="H1036" s="2451"/>
      <c r="I1036" s="2451"/>
      <c r="J1036" s="2451"/>
      <c r="K1036" s="2451"/>
      <c r="L1036" s="2451"/>
      <c r="M1036" s="2452"/>
      <c r="N1036" s="2452"/>
      <c r="O1036" s="2452"/>
      <c r="P1036" s="2452"/>
      <c r="Q1036" s="2452"/>
      <c r="W1036" t="s">
        <v>2062</v>
      </c>
    </row>
    <row r="1037" spans="1:23" ht="13.15" customHeight="1">
      <c r="A1037" s="2" t="s">
        <v>2214</v>
      </c>
      <c r="B1037" s="2">
        <f t="shared" si="32"/>
        <v>2020</v>
      </c>
      <c r="C1037" s="2" t="str">
        <f t="shared" si="33"/>
        <v>LIM333</v>
      </c>
      <c r="D1037" s="2">
        <v>419</v>
      </c>
      <c r="F1037" s="2451"/>
      <c r="G1037" s="2451"/>
      <c r="H1037" s="2451"/>
      <c r="I1037" s="2451"/>
      <c r="J1037" s="2451"/>
      <c r="K1037" s="2451"/>
      <c r="L1037" s="2451"/>
      <c r="M1037" s="2452"/>
      <c r="N1037" s="2452"/>
      <c r="O1037" s="2452"/>
      <c r="P1037" s="2452"/>
      <c r="Q1037" s="2452"/>
      <c r="W1037" t="s">
        <v>2062</v>
      </c>
    </row>
    <row r="1038" spans="1:23" ht="13.15" customHeight="1">
      <c r="A1038" s="2" t="s">
        <v>2214</v>
      </c>
      <c r="B1038" s="2">
        <f t="shared" si="32"/>
        <v>2020</v>
      </c>
      <c r="C1038" s="2" t="str">
        <f t="shared" si="33"/>
        <v>LIM333</v>
      </c>
      <c r="D1038" s="2">
        <v>420</v>
      </c>
      <c r="F1038" s="2451"/>
      <c r="G1038" s="2451"/>
      <c r="H1038" s="2451"/>
      <c r="I1038" s="2451"/>
      <c r="J1038" s="2451"/>
      <c r="K1038" s="2451"/>
      <c r="L1038" s="2451"/>
      <c r="M1038" s="2452"/>
      <c r="N1038" s="2452"/>
      <c r="O1038" s="2452"/>
      <c r="P1038" s="2452"/>
      <c r="Q1038" s="2452"/>
      <c r="W1038" t="s">
        <v>2062</v>
      </c>
    </row>
    <row r="1039" spans="1:23" ht="13.15" customHeight="1">
      <c r="A1039" s="2" t="s">
        <v>2214</v>
      </c>
      <c r="B1039" s="2">
        <f t="shared" si="32"/>
        <v>2020</v>
      </c>
      <c r="C1039" s="2" t="str">
        <f t="shared" si="33"/>
        <v>LIM333</v>
      </c>
      <c r="D1039" s="2">
        <v>421</v>
      </c>
      <c r="F1039" s="2451"/>
      <c r="G1039" s="2451"/>
      <c r="H1039" s="2451"/>
      <c r="I1039" s="2451"/>
      <c r="J1039" s="2451"/>
      <c r="K1039" s="2451"/>
      <c r="L1039" s="2451"/>
      <c r="M1039" s="2452"/>
      <c r="N1039" s="2452"/>
      <c r="O1039" s="2452"/>
      <c r="P1039" s="2452"/>
      <c r="Q1039" s="2452"/>
      <c r="W1039" t="s">
        <v>2062</v>
      </c>
    </row>
    <row r="1040" spans="1:23" ht="13.15" customHeight="1">
      <c r="A1040" s="2" t="s">
        <v>2214</v>
      </c>
      <c r="B1040" s="2">
        <f t="shared" si="32"/>
        <v>2020</v>
      </c>
      <c r="C1040" s="2" t="str">
        <f t="shared" si="33"/>
        <v>LIM333</v>
      </c>
      <c r="D1040" s="2">
        <v>422</v>
      </c>
      <c r="F1040" s="2451"/>
      <c r="G1040" s="2451"/>
      <c r="H1040" s="2451"/>
      <c r="I1040" s="2451"/>
      <c r="J1040" s="2451"/>
      <c r="K1040" s="2451"/>
      <c r="L1040" s="2451"/>
      <c r="M1040" s="2452"/>
      <c r="N1040" s="2452"/>
      <c r="O1040" s="2452"/>
      <c r="P1040" s="2452"/>
      <c r="Q1040" s="2452"/>
      <c r="W1040" t="s">
        <v>2062</v>
      </c>
    </row>
    <row r="1041" spans="1:23" ht="13.15" customHeight="1">
      <c r="A1041" s="2" t="s">
        <v>2214</v>
      </c>
      <c r="B1041" s="2">
        <f t="shared" si="32"/>
        <v>2020</v>
      </c>
      <c r="C1041" s="2" t="str">
        <f t="shared" si="33"/>
        <v>LIM333</v>
      </c>
      <c r="D1041" s="2">
        <v>423</v>
      </c>
      <c r="F1041" s="2451"/>
      <c r="G1041" s="2451"/>
      <c r="H1041" s="2451"/>
      <c r="I1041" s="2451"/>
      <c r="J1041" s="2451"/>
      <c r="K1041" s="2451"/>
      <c r="L1041" s="2451"/>
      <c r="M1041" s="2452"/>
      <c r="N1041" s="2452"/>
      <c r="O1041" s="2452"/>
      <c r="P1041" s="2452"/>
      <c r="Q1041" s="2452"/>
      <c r="W1041" t="s">
        <v>2062</v>
      </c>
    </row>
    <row r="1042" spans="1:23" ht="13.15" customHeight="1">
      <c r="A1042" s="2" t="s">
        <v>2214</v>
      </c>
      <c r="B1042" s="2">
        <f t="shared" si="32"/>
        <v>2020</v>
      </c>
      <c r="C1042" s="2" t="str">
        <f t="shared" si="33"/>
        <v>LIM333</v>
      </c>
      <c r="D1042" s="2">
        <v>424</v>
      </c>
      <c r="F1042" s="2451"/>
      <c r="G1042" s="2451"/>
      <c r="H1042" s="2451"/>
      <c r="I1042" s="2451"/>
      <c r="J1042" s="2451"/>
      <c r="K1042" s="2451"/>
      <c r="L1042" s="2451"/>
      <c r="M1042" s="2452"/>
      <c r="N1042" s="2452"/>
      <c r="O1042" s="2452"/>
      <c r="P1042" s="2452"/>
      <c r="Q1042" s="2452"/>
      <c r="W1042" t="s">
        <v>2062</v>
      </c>
    </row>
    <row r="1043" spans="1:23" ht="13.15" customHeight="1">
      <c r="A1043" s="2" t="s">
        <v>2214</v>
      </c>
      <c r="B1043" s="2">
        <f t="shared" si="32"/>
        <v>2020</v>
      </c>
      <c r="C1043" s="2" t="str">
        <f t="shared" si="33"/>
        <v>LIM333</v>
      </c>
      <c r="D1043" s="2">
        <v>425</v>
      </c>
      <c r="F1043" s="2451"/>
      <c r="G1043" s="2451"/>
      <c r="H1043" s="2451"/>
      <c r="I1043" s="2451"/>
      <c r="J1043" s="2451"/>
      <c r="K1043" s="2451"/>
      <c r="L1043" s="2451"/>
      <c r="M1043" s="2452"/>
      <c r="N1043" s="2452"/>
      <c r="O1043" s="2452"/>
      <c r="P1043" s="2452"/>
      <c r="Q1043" s="2452"/>
      <c r="W1043" t="s">
        <v>2062</v>
      </c>
    </row>
    <row r="1044" spans="1:23" ht="13.15" customHeight="1">
      <c r="A1044" s="2" t="s">
        <v>2214</v>
      </c>
      <c r="B1044" s="2">
        <f t="shared" si="32"/>
        <v>2020</v>
      </c>
      <c r="C1044" s="2" t="str">
        <f t="shared" si="33"/>
        <v>LIM333</v>
      </c>
      <c r="D1044" s="2">
        <v>426</v>
      </c>
      <c r="F1044" s="2451"/>
      <c r="G1044" s="2451"/>
      <c r="H1044" s="2451"/>
      <c r="I1044" s="2451"/>
      <c r="J1044" s="2451"/>
      <c r="K1044" s="2451"/>
      <c r="L1044" s="2451"/>
      <c r="M1044" s="2452"/>
      <c r="N1044" s="2452"/>
      <c r="O1044" s="2452"/>
      <c r="P1044" s="2452"/>
      <c r="Q1044" s="2452"/>
      <c r="W1044" t="s">
        <v>2062</v>
      </c>
    </row>
    <row r="1045" spans="1:23" ht="13.15" customHeight="1">
      <c r="A1045" s="2" t="s">
        <v>2214</v>
      </c>
      <c r="B1045" s="2">
        <f t="shared" si="32"/>
        <v>2020</v>
      </c>
      <c r="C1045" s="2" t="str">
        <f t="shared" si="33"/>
        <v>LIM333</v>
      </c>
      <c r="D1045" s="2">
        <v>427</v>
      </c>
      <c r="F1045" s="2451"/>
      <c r="G1045" s="2451"/>
      <c r="H1045" s="2451"/>
      <c r="I1045" s="2451"/>
      <c r="J1045" s="2451"/>
      <c r="K1045" s="2451"/>
      <c r="L1045" s="2451"/>
      <c r="M1045" s="2452"/>
      <c r="N1045" s="2452"/>
      <c r="O1045" s="2452"/>
      <c r="P1045" s="2452"/>
      <c r="Q1045" s="2452"/>
      <c r="W1045" t="s">
        <v>2062</v>
      </c>
    </row>
    <row r="1046" spans="1:23" ht="13.15" customHeight="1">
      <c r="A1046" s="2" t="s">
        <v>2214</v>
      </c>
      <c r="B1046" s="2">
        <f t="shared" si="32"/>
        <v>2020</v>
      </c>
      <c r="C1046" s="2" t="str">
        <f t="shared" si="33"/>
        <v>LIM333</v>
      </c>
      <c r="D1046" s="2">
        <v>428</v>
      </c>
      <c r="F1046" s="2451"/>
      <c r="G1046" s="2451"/>
      <c r="H1046" s="2451"/>
      <c r="I1046" s="2451"/>
      <c r="J1046" s="2451"/>
      <c r="K1046" s="2451"/>
      <c r="L1046" s="2451"/>
      <c r="M1046" s="2452"/>
      <c r="N1046" s="2452"/>
      <c r="O1046" s="2452"/>
      <c r="P1046" s="2452"/>
      <c r="Q1046" s="2452"/>
      <c r="W1046" t="s">
        <v>2062</v>
      </c>
    </row>
    <row r="1047" spans="1:23" ht="13.15" customHeight="1">
      <c r="A1047" s="2" t="s">
        <v>2214</v>
      </c>
      <c r="B1047" s="2">
        <f t="shared" si="32"/>
        <v>2020</v>
      </c>
      <c r="C1047" s="2" t="str">
        <f t="shared" si="33"/>
        <v>LIM333</v>
      </c>
      <c r="D1047" s="2">
        <v>429</v>
      </c>
      <c r="F1047" s="2451"/>
      <c r="G1047" s="2451"/>
      <c r="H1047" s="2451"/>
      <c r="I1047" s="2451"/>
      <c r="J1047" s="2451"/>
      <c r="K1047" s="2451"/>
      <c r="L1047" s="2451"/>
      <c r="M1047" s="2452"/>
      <c r="N1047" s="2452"/>
      <c r="O1047" s="2452"/>
      <c r="P1047" s="2452"/>
      <c r="Q1047" s="2452"/>
      <c r="W1047" t="s">
        <v>2062</v>
      </c>
    </row>
    <row r="1048" spans="1:23" ht="13.15" customHeight="1">
      <c r="A1048" s="2" t="s">
        <v>2214</v>
      </c>
      <c r="B1048" s="2">
        <f t="shared" si="32"/>
        <v>2020</v>
      </c>
      <c r="C1048" s="2" t="str">
        <f t="shared" si="33"/>
        <v>LIM333</v>
      </c>
      <c r="D1048" s="2">
        <v>430</v>
      </c>
      <c r="F1048" s="2451"/>
      <c r="G1048" s="2451"/>
      <c r="H1048" s="2451"/>
      <c r="I1048" s="2451"/>
      <c r="J1048" s="2451"/>
      <c r="K1048" s="2451"/>
      <c r="L1048" s="2451"/>
      <c r="M1048" s="2452"/>
      <c r="N1048" s="2452"/>
      <c r="O1048" s="2452"/>
      <c r="P1048" s="2452"/>
      <c r="Q1048" s="2452"/>
      <c r="W1048" t="s">
        <v>2062</v>
      </c>
    </row>
    <row r="1049" spans="1:23" ht="13.15" customHeight="1">
      <c r="A1049" s="2" t="s">
        <v>2214</v>
      </c>
      <c r="B1049" s="2">
        <f t="shared" si="32"/>
        <v>2020</v>
      </c>
      <c r="C1049" s="2" t="str">
        <f t="shared" si="33"/>
        <v>LIM333</v>
      </c>
      <c r="D1049" s="2">
        <v>431</v>
      </c>
      <c r="F1049" s="2451"/>
      <c r="G1049" s="2451"/>
      <c r="H1049" s="2451"/>
      <c r="I1049" s="2451"/>
      <c r="J1049" s="2451"/>
      <c r="K1049" s="2451"/>
      <c r="L1049" s="2451"/>
      <c r="M1049" s="2452"/>
      <c r="N1049" s="2452"/>
      <c r="O1049" s="2452"/>
      <c r="P1049" s="2452"/>
      <c r="Q1049" s="2452"/>
      <c r="W1049" t="s">
        <v>2062</v>
      </c>
    </row>
    <row r="1050" spans="1:23" ht="13.15" customHeight="1">
      <c r="A1050" s="2" t="s">
        <v>2214</v>
      </c>
      <c r="B1050" s="2">
        <f t="shared" si="32"/>
        <v>2020</v>
      </c>
      <c r="C1050" s="2" t="str">
        <f t="shared" si="33"/>
        <v>LIM333</v>
      </c>
      <c r="D1050" s="2">
        <v>432</v>
      </c>
      <c r="F1050" s="2451"/>
      <c r="G1050" s="2451"/>
      <c r="H1050" s="2451"/>
      <c r="I1050" s="2451"/>
      <c r="J1050" s="2451"/>
      <c r="K1050" s="2451"/>
      <c r="L1050" s="2451"/>
      <c r="M1050" s="2452"/>
      <c r="N1050" s="2452"/>
      <c r="O1050" s="2452"/>
      <c r="P1050" s="2452"/>
      <c r="Q1050" s="2452"/>
      <c r="W1050" t="s">
        <v>2062</v>
      </c>
    </row>
    <row r="1051" spans="1:23" ht="13.15" customHeight="1">
      <c r="A1051" s="2" t="s">
        <v>2214</v>
      </c>
      <c r="B1051" s="2">
        <f t="shared" si="32"/>
        <v>2020</v>
      </c>
      <c r="C1051" s="2" t="str">
        <f t="shared" si="33"/>
        <v>LIM333</v>
      </c>
      <c r="D1051" s="2">
        <v>433</v>
      </c>
      <c r="F1051" s="2451"/>
      <c r="G1051" s="2451"/>
      <c r="H1051" s="2451"/>
      <c r="I1051" s="2451"/>
      <c r="J1051" s="2451"/>
      <c r="K1051" s="2451"/>
      <c r="L1051" s="2451"/>
      <c r="M1051" s="2452"/>
      <c r="N1051" s="2452"/>
      <c r="O1051" s="2452"/>
      <c r="P1051" s="2452"/>
      <c r="Q1051" s="2452"/>
      <c r="W1051" t="s">
        <v>2062</v>
      </c>
    </row>
    <row r="1052" spans="1:23" ht="13.15" customHeight="1">
      <c r="A1052" s="2" t="s">
        <v>2214</v>
      </c>
      <c r="B1052" s="2">
        <f t="shared" si="32"/>
        <v>2020</v>
      </c>
      <c r="C1052" s="2" t="str">
        <f t="shared" si="33"/>
        <v>LIM333</v>
      </c>
      <c r="D1052" s="2">
        <v>434</v>
      </c>
      <c r="F1052" s="2451"/>
      <c r="G1052" s="2451"/>
      <c r="H1052" s="2451"/>
      <c r="I1052" s="2451"/>
      <c r="J1052" s="2451"/>
      <c r="K1052" s="2451"/>
      <c r="L1052" s="2451"/>
      <c r="M1052" s="2452"/>
      <c r="N1052" s="2452"/>
      <c r="O1052" s="2452"/>
      <c r="P1052" s="2452"/>
      <c r="Q1052" s="2452"/>
      <c r="W1052" t="s">
        <v>2062</v>
      </c>
    </row>
    <row r="1053" spans="1:23" ht="13.15" customHeight="1">
      <c r="A1053" s="2" t="s">
        <v>2214</v>
      </c>
      <c r="B1053" s="2">
        <f t="shared" si="32"/>
        <v>2020</v>
      </c>
      <c r="C1053" s="2" t="str">
        <f t="shared" si="33"/>
        <v>LIM333</v>
      </c>
      <c r="D1053" s="2">
        <v>435</v>
      </c>
      <c r="F1053" s="2451"/>
      <c r="G1053" s="2451"/>
      <c r="H1053" s="2451"/>
      <c r="I1053" s="2451"/>
      <c r="J1053" s="2451"/>
      <c r="K1053" s="2451"/>
      <c r="L1053" s="2451"/>
      <c r="M1053" s="2452"/>
      <c r="N1053" s="2452"/>
      <c r="O1053" s="2452"/>
      <c r="P1053" s="2452"/>
      <c r="Q1053" s="2452"/>
      <c r="W1053" t="s">
        <v>2062</v>
      </c>
    </row>
    <row r="1054" spans="1:23" ht="13.15" customHeight="1">
      <c r="A1054" s="2" t="s">
        <v>2214</v>
      </c>
      <c r="B1054" s="2">
        <f t="shared" si="32"/>
        <v>2020</v>
      </c>
      <c r="C1054" s="2" t="str">
        <f t="shared" si="33"/>
        <v>LIM333</v>
      </c>
      <c r="D1054" s="2">
        <v>436</v>
      </c>
      <c r="F1054" s="2451"/>
      <c r="G1054" s="2451"/>
      <c r="H1054" s="2451"/>
      <c r="I1054" s="2451"/>
      <c r="J1054" s="2451"/>
      <c r="K1054" s="2451"/>
      <c r="L1054" s="2451"/>
      <c r="M1054" s="2452"/>
      <c r="N1054" s="2452"/>
      <c r="O1054" s="2452"/>
      <c r="P1054" s="2452"/>
      <c r="Q1054" s="2452"/>
      <c r="W1054" t="s">
        <v>2062</v>
      </c>
    </row>
    <row r="1055" spans="1:23" ht="13.15" customHeight="1">
      <c r="A1055" s="2" t="s">
        <v>2214</v>
      </c>
      <c r="B1055" s="2">
        <f t="shared" si="32"/>
        <v>2020</v>
      </c>
      <c r="C1055" s="2" t="str">
        <f t="shared" si="33"/>
        <v>LIM333</v>
      </c>
      <c r="D1055" s="2">
        <v>437</v>
      </c>
      <c r="F1055" s="2451"/>
      <c r="G1055" s="2451"/>
      <c r="H1055" s="2451"/>
      <c r="I1055" s="2451"/>
      <c r="J1055" s="2451"/>
      <c r="K1055" s="2451"/>
      <c r="L1055" s="2451"/>
      <c r="M1055" s="2452"/>
      <c r="N1055" s="2452"/>
      <c r="O1055" s="2452"/>
      <c r="P1055" s="2452"/>
      <c r="Q1055" s="2452"/>
      <c r="W1055" t="s">
        <v>2062</v>
      </c>
    </row>
    <row r="1056" spans="1:23" ht="13.15" customHeight="1">
      <c r="A1056" s="2" t="s">
        <v>2214</v>
      </c>
      <c r="B1056" s="2">
        <f t="shared" si="32"/>
        <v>2020</v>
      </c>
      <c r="C1056" s="2" t="str">
        <f t="shared" si="33"/>
        <v>LIM333</v>
      </c>
      <c r="D1056" s="2">
        <v>438</v>
      </c>
      <c r="F1056" s="2451"/>
      <c r="G1056" s="2451"/>
      <c r="H1056" s="2451"/>
      <c r="I1056" s="2451"/>
      <c r="J1056" s="2451"/>
      <c r="K1056" s="2451"/>
      <c r="L1056" s="2451"/>
      <c r="M1056" s="2452"/>
      <c r="N1056" s="2452"/>
      <c r="O1056" s="2452"/>
      <c r="P1056" s="2452"/>
      <c r="Q1056" s="2452"/>
      <c r="W1056" t="s">
        <v>2062</v>
      </c>
    </row>
    <row r="1057" spans="1:23" ht="13.15" customHeight="1">
      <c r="A1057" s="2" t="s">
        <v>2214</v>
      </c>
      <c r="B1057" s="2">
        <f t="shared" si="32"/>
        <v>2020</v>
      </c>
      <c r="C1057" s="2" t="str">
        <f t="shared" si="33"/>
        <v>LIM333</v>
      </c>
      <c r="D1057" s="2">
        <v>439</v>
      </c>
      <c r="F1057" s="2451"/>
      <c r="G1057" s="2451"/>
      <c r="H1057" s="2451"/>
      <c r="I1057" s="2451"/>
      <c r="J1057" s="2451"/>
      <c r="K1057" s="2451"/>
      <c r="L1057" s="2451"/>
      <c r="M1057" s="2452"/>
      <c r="N1057" s="2452"/>
      <c r="O1057" s="2452"/>
      <c r="P1057" s="2452"/>
      <c r="Q1057" s="2452"/>
      <c r="W1057" t="s">
        <v>2062</v>
      </c>
    </row>
    <row r="1058" spans="1:23" ht="13.15" customHeight="1">
      <c r="A1058" s="2" t="s">
        <v>2214</v>
      </c>
      <c r="B1058" s="2">
        <f t="shared" si="32"/>
        <v>2020</v>
      </c>
      <c r="C1058" s="2" t="str">
        <f t="shared" si="33"/>
        <v>LIM333</v>
      </c>
      <c r="D1058" s="2">
        <v>440</v>
      </c>
      <c r="F1058" s="2451"/>
      <c r="G1058" s="2451"/>
      <c r="H1058" s="2451"/>
      <c r="I1058" s="2451"/>
      <c r="J1058" s="2451"/>
      <c r="K1058" s="2451"/>
      <c r="L1058" s="2451"/>
      <c r="M1058" s="2452"/>
      <c r="N1058" s="2452"/>
      <c r="O1058" s="2452"/>
      <c r="P1058" s="2452"/>
      <c r="Q1058" s="2452"/>
      <c r="W1058" t="s">
        <v>2062</v>
      </c>
    </row>
    <row r="1059" spans="1:23" ht="13.15" customHeight="1">
      <c r="A1059" s="2" t="s">
        <v>2214</v>
      </c>
      <c r="B1059" s="2">
        <f t="shared" si="32"/>
        <v>2020</v>
      </c>
      <c r="C1059" s="2" t="str">
        <f t="shared" si="33"/>
        <v>LIM333</v>
      </c>
      <c r="D1059" s="2">
        <v>441</v>
      </c>
      <c r="F1059" s="2451"/>
      <c r="G1059" s="2451"/>
      <c r="H1059" s="2451"/>
      <c r="I1059" s="2451"/>
      <c r="J1059" s="2451"/>
      <c r="K1059" s="2451"/>
      <c r="L1059" s="2451"/>
      <c r="M1059" s="2452"/>
      <c r="N1059" s="2452"/>
      <c r="O1059" s="2452"/>
      <c r="P1059" s="2452"/>
      <c r="Q1059" s="2452"/>
      <c r="W1059" t="s">
        <v>2062</v>
      </c>
    </row>
    <row r="1060" spans="1:23" ht="13.15" customHeight="1">
      <c r="A1060" s="2" t="s">
        <v>2214</v>
      </c>
      <c r="B1060" s="2">
        <f t="shared" si="32"/>
        <v>2020</v>
      </c>
      <c r="C1060" s="2" t="str">
        <f t="shared" si="33"/>
        <v>LIM333</v>
      </c>
      <c r="D1060" s="2">
        <v>442</v>
      </c>
      <c r="F1060" s="2451"/>
      <c r="G1060" s="2451"/>
      <c r="H1060" s="2451"/>
      <c r="I1060" s="2451"/>
      <c r="J1060" s="2451"/>
      <c r="K1060" s="2451"/>
      <c r="L1060" s="2451"/>
      <c r="M1060" s="2452"/>
      <c r="N1060" s="2452"/>
      <c r="O1060" s="2452"/>
      <c r="P1060" s="2452"/>
      <c r="Q1060" s="2452"/>
      <c r="W1060" t="s">
        <v>2062</v>
      </c>
    </row>
    <row r="1061" spans="1:23" ht="13.15" customHeight="1">
      <c r="A1061" s="2" t="s">
        <v>2214</v>
      </c>
      <c r="B1061" s="2">
        <f t="shared" si="32"/>
        <v>2020</v>
      </c>
      <c r="C1061" s="2" t="str">
        <f t="shared" si="33"/>
        <v>LIM333</v>
      </c>
      <c r="D1061" s="2">
        <v>443</v>
      </c>
      <c r="F1061" s="2451"/>
      <c r="G1061" s="2451"/>
      <c r="H1061" s="2451"/>
      <c r="I1061" s="2451"/>
      <c r="J1061" s="2451"/>
      <c r="K1061" s="2451"/>
      <c r="L1061" s="2451"/>
      <c r="M1061" s="2452"/>
      <c r="N1061" s="2452"/>
      <c r="O1061" s="2452"/>
      <c r="P1061" s="2452"/>
      <c r="Q1061" s="2452"/>
      <c r="W1061" t="s">
        <v>2062</v>
      </c>
    </row>
    <row r="1062" spans="1:23" ht="13.15" customHeight="1">
      <c r="A1062" s="2" t="s">
        <v>2214</v>
      </c>
      <c r="B1062" s="2">
        <f t="shared" si="32"/>
        <v>2020</v>
      </c>
      <c r="C1062" s="2" t="str">
        <f t="shared" si="33"/>
        <v>LIM333</v>
      </c>
      <c r="D1062" s="2">
        <v>444</v>
      </c>
      <c r="F1062" s="2451"/>
      <c r="G1062" s="2451"/>
      <c r="H1062" s="2451"/>
      <c r="I1062" s="2451"/>
      <c r="J1062" s="2451"/>
      <c r="K1062" s="2451"/>
      <c r="L1062" s="2451"/>
      <c r="M1062" s="2452"/>
      <c r="N1062" s="2452"/>
      <c r="O1062" s="2452"/>
      <c r="P1062" s="2452"/>
      <c r="Q1062" s="2452"/>
      <c r="W1062" t="s">
        <v>2062</v>
      </c>
    </row>
    <row r="1063" spans="1:23" ht="13.15" customHeight="1">
      <c r="A1063" s="2" t="s">
        <v>2214</v>
      </c>
      <c r="B1063" s="2">
        <f t="shared" si="32"/>
        <v>2020</v>
      </c>
      <c r="C1063" s="2" t="str">
        <f t="shared" si="33"/>
        <v>LIM333</v>
      </c>
      <c r="D1063" s="2">
        <v>445</v>
      </c>
      <c r="F1063" s="2451"/>
      <c r="G1063" s="2451"/>
      <c r="H1063" s="2451"/>
      <c r="I1063" s="2451"/>
      <c r="J1063" s="2451"/>
      <c r="K1063" s="2451"/>
      <c r="L1063" s="2451"/>
      <c r="M1063" s="2452"/>
      <c r="N1063" s="2452"/>
      <c r="O1063" s="2452"/>
      <c r="P1063" s="2452"/>
      <c r="Q1063" s="2452"/>
      <c r="W1063" t="s">
        <v>2062</v>
      </c>
    </row>
    <row r="1064" spans="1:23" ht="13.15" customHeight="1">
      <c r="A1064" s="2" t="s">
        <v>2214</v>
      </c>
      <c r="B1064" s="2">
        <f t="shared" si="32"/>
        <v>2020</v>
      </c>
      <c r="C1064" s="2" t="str">
        <f t="shared" si="33"/>
        <v>LIM333</v>
      </c>
      <c r="D1064" s="2">
        <v>446</v>
      </c>
      <c r="F1064" s="2451"/>
      <c r="G1064" s="2451"/>
      <c r="H1064" s="2451"/>
      <c r="I1064" s="2451"/>
      <c r="J1064" s="2451"/>
      <c r="K1064" s="2451"/>
      <c r="L1064" s="2451"/>
      <c r="M1064" s="2452"/>
      <c r="N1064" s="2452"/>
      <c r="O1064" s="2452"/>
      <c r="P1064" s="2452"/>
      <c r="Q1064" s="2452"/>
      <c r="W1064" t="s">
        <v>2062</v>
      </c>
    </row>
    <row r="1065" spans="1:23" ht="13.15" customHeight="1">
      <c r="A1065" s="2" t="s">
        <v>2214</v>
      </c>
      <c r="B1065" s="2">
        <f t="shared" si="32"/>
        <v>2020</v>
      </c>
      <c r="C1065" s="2" t="str">
        <f t="shared" si="33"/>
        <v>LIM333</v>
      </c>
      <c r="D1065" s="2">
        <v>447</v>
      </c>
      <c r="F1065" s="2451"/>
      <c r="G1065" s="2451"/>
      <c r="H1065" s="2451"/>
      <c r="I1065" s="2451"/>
      <c r="J1065" s="2451"/>
      <c r="K1065" s="2451"/>
      <c r="L1065" s="2451"/>
      <c r="M1065" s="2452"/>
      <c r="N1065" s="2452"/>
      <c r="O1065" s="2452"/>
      <c r="P1065" s="2452"/>
      <c r="Q1065" s="2452"/>
      <c r="W1065" t="s">
        <v>2062</v>
      </c>
    </row>
    <row r="1066" spans="1:23" ht="13.15" customHeight="1">
      <c r="A1066" s="2" t="s">
        <v>2214</v>
      </c>
      <c r="B1066" s="2">
        <f t="shared" si="32"/>
        <v>2020</v>
      </c>
      <c r="C1066" s="2" t="str">
        <f t="shared" si="33"/>
        <v>LIM333</v>
      </c>
      <c r="D1066" s="2">
        <v>448</v>
      </c>
      <c r="F1066" s="2451"/>
      <c r="G1066" s="2451"/>
      <c r="H1066" s="2451"/>
      <c r="I1066" s="2451"/>
      <c r="J1066" s="2451"/>
      <c r="K1066" s="2451"/>
      <c r="L1066" s="2451"/>
      <c r="M1066" s="2452"/>
      <c r="N1066" s="2452"/>
      <c r="O1066" s="2452"/>
      <c r="P1066" s="2452"/>
      <c r="Q1066" s="2452"/>
      <c r="W1066" t="s">
        <v>2062</v>
      </c>
    </row>
    <row r="1067" spans="1:23" ht="13.15" customHeight="1">
      <c r="A1067" s="2" t="s">
        <v>2214</v>
      </c>
      <c r="B1067" s="2">
        <f t="shared" si="32"/>
        <v>2020</v>
      </c>
      <c r="C1067" s="2" t="str">
        <f t="shared" si="33"/>
        <v>LIM333</v>
      </c>
      <c r="D1067" s="2">
        <v>449</v>
      </c>
      <c r="F1067" s="2451"/>
      <c r="G1067" s="2451"/>
      <c r="H1067" s="2451"/>
      <c r="I1067" s="2451"/>
      <c r="J1067" s="2451"/>
      <c r="K1067" s="2451"/>
      <c r="L1067" s="2451"/>
      <c r="M1067" s="2452"/>
      <c r="N1067" s="2452"/>
      <c r="O1067" s="2452"/>
      <c r="P1067" s="2452"/>
      <c r="Q1067" s="2452"/>
      <c r="W1067" t="s">
        <v>2062</v>
      </c>
    </row>
    <row r="1068" spans="1:23" ht="13.15" customHeight="1">
      <c r="A1068" s="2" t="s">
        <v>2214</v>
      </c>
      <c r="B1068" s="2">
        <f t="shared" si="32"/>
        <v>2020</v>
      </c>
      <c r="C1068" s="2" t="str">
        <f t="shared" si="33"/>
        <v>LIM333</v>
      </c>
      <c r="D1068" s="2">
        <v>450</v>
      </c>
      <c r="F1068" s="2451"/>
      <c r="G1068" s="2451"/>
      <c r="H1068" s="2451"/>
      <c r="I1068" s="2451"/>
      <c r="J1068" s="2451"/>
      <c r="K1068" s="2451"/>
      <c r="L1068" s="2451"/>
      <c r="M1068" s="2452"/>
      <c r="N1068" s="2452"/>
      <c r="O1068" s="2452"/>
      <c r="P1068" s="2452"/>
      <c r="Q1068" s="2452"/>
      <c r="W1068" t="s">
        <v>2062</v>
      </c>
    </row>
    <row r="1069" spans="1:23" ht="13.15" customHeight="1">
      <c r="A1069" s="2" t="s">
        <v>2214</v>
      </c>
      <c r="B1069" s="2">
        <f t="shared" si="32"/>
        <v>2020</v>
      </c>
      <c r="C1069" s="2" t="str">
        <f t="shared" si="33"/>
        <v>LIM333</v>
      </c>
      <c r="D1069" s="2">
        <v>451</v>
      </c>
      <c r="F1069" s="2451"/>
      <c r="G1069" s="2451"/>
      <c r="H1069" s="2451"/>
      <c r="I1069" s="2451"/>
      <c r="J1069" s="2451"/>
      <c r="K1069" s="2451"/>
      <c r="L1069" s="2451"/>
      <c r="M1069" s="2452"/>
      <c r="N1069" s="2452"/>
      <c r="O1069" s="2452"/>
      <c r="P1069" s="2452"/>
      <c r="Q1069" s="2452"/>
      <c r="W1069" t="s">
        <v>2062</v>
      </c>
    </row>
    <row r="1070" spans="1:23" ht="13.15" customHeight="1">
      <c r="A1070" s="2" t="s">
        <v>2214</v>
      </c>
      <c r="B1070" s="2">
        <f t="shared" si="32"/>
        <v>2020</v>
      </c>
      <c r="C1070" s="2" t="str">
        <f t="shared" si="33"/>
        <v>LIM333</v>
      </c>
      <c r="D1070" s="2">
        <v>452</v>
      </c>
      <c r="F1070" s="2451"/>
      <c r="G1070" s="2451"/>
      <c r="H1070" s="2451"/>
      <c r="I1070" s="2451"/>
      <c r="J1070" s="2451"/>
      <c r="K1070" s="2451"/>
      <c r="L1070" s="2451"/>
      <c r="M1070" s="2452"/>
      <c r="N1070" s="2452"/>
      <c r="O1070" s="2452"/>
      <c r="P1070" s="2452"/>
      <c r="Q1070" s="2452"/>
      <c r="W1070" t="s">
        <v>2062</v>
      </c>
    </row>
    <row r="1071" spans="1:23" ht="13.15" customHeight="1">
      <c r="A1071" s="2" t="s">
        <v>2214</v>
      </c>
      <c r="B1071" s="2">
        <f t="shared" si="32"/>
        <v>2020</v>
      </c>
      <c r="C1071" s="2" t="str">
        <f t="shared" si="33"/>
        <v>LIM333</v>
      </c>
      <c r="D1071" s="2">
        <v>453</v>
      </c>
      <c r="F1071" s="2451"/>
      <c r="G1071" s="2451"/>
      <c r="H1071" s="2451"/>
      <c r="I1071" s="2451"/>
      <c r="J1071" s="2451"/>
      <c r="K1071" s="2451"/>
      <c r="L1071" s="2451"/>
      <c r="M1071" s="2452"/>
      <c r="N1071" s="2452"/>
      <c r="O1071" s="2452"/>
      <c r="P1071" s="2452"/>
      <c r="Q1071" s="2452"/>
      <c r="W1071" t="s">
        <v>2062</v>
      </c>
    </row>
    <row r="1072" spans="1:23" ht="13.15" customHeight="1">
      <c r="A1072" s="2" t="s">
        <v>2214</v>
      </c>
      <c r="B1072" s="2">
        <f t="shared" si="32"/>
        <v>2020</v>
      </c>
      <c r="C1072" s="2" t="str">
        <f t="shared" si="33"/>
        <v>LIM333</v>
      </c>
      <c r="D1072" s="2">
        <v>454</v>
      </c>
      <c r="F1072" s="2451"/>
      <c r="G1072" s="2451"/>
      <c r="H1072" s="2451"/>
      <c r="I1072" s="2451"/>
      <c r="J1072" s="2451"/>
      <c r="K1072" s="2451"/>
      <c r="L1072" s="2451"/>
      <c r="M1072" s="2452"/>
      <c r="N1072" s="2452"/>
      <c r="O1072" s="2452"/>
      <c r="P1072" s="2452"/>
      <c r="Q1072" s="2452"/>
      <c r="W1072" t="s">
        <v>2062</v>
      </c>
    </row>
    <row r="1073" spans="1:23" ht="13.15" customHeight="1">
      <c r="A1073" s="2" t="s">
        <v>2214</v>
      </c>
      <c r="B1073" s="2">
        <f t="shared" si="32"/>
        <v>2020</v>
      </c>
      <c r="C1073" s="2" t="str">
        <f t="shared" si="33"/>
        <v>LIM333</v>
      </c>
      <c r="D1073" s="2">
        <v>455</v>
      </c>
      <c r="F1073" s="2451"/>
      <c r="G1073" s="2451"/>
      <c r="H1073" s="2451"/>
      <c r="I1073" s="2451"/>
      <c r="J1073" s="2451"/>
      <c r="K1073" s="2451"/>
      <c r="L1073" s="2451"/>
      <c r="M1073" s="2452"/>
      <c r="N1073" s="2452"/>
      <c r="O1073" s="2452"/>
      <c r="P1073" s="2452"/>
      <c r="Q1073" s="2452"/>
      <c r="W1073" t="s">
        <v>2062</v>
      </c>
    </row>
    <row r="1074" spans="1:23" ht="13.15" customHeight="1">
      <c r="A1074" s="2" t="s">
        <v>2214</v>
      </c>
      <c r="B1074" s="2">
        <f t="shared" si="32"/>
        <v>2020</v>
      </c>
      <c r="C1074" s="2" t="str">
        <f t="shared" si="33"/>
        <v>LIM333</v>
      </c>
      <c r="D1074" s="2">
        <v>456</v>
      </c>
      <c r="F1074" s="2451"/>
      <c r="G1074" s="2451"/>
      <c r="H1074" s="2451"/>
      <c r="I1074" s="2451"/>
      <c r="J1074" s="2451"/>
      <c r="K1074" s="2451"/>
      <c r="L1074" s="2451"/>
      <c r="M1074" s="2452"/>
      <c r="N1074" s="2452"/>
      <c r="O1074" s="2452"/>
      <c r="P1074" s="2452"/>
      <c r="Q1074" s="2452"/>
      <c r="W1074" t="s">
        <v>2062</v>
      </c>
    </row>
    <row r="1075" spans="1:23" ht="13.15" customHeight="1">
      <c r="A1075" s="2" t="s">
        <v>2214</v>
      </c>
      <c r="B1075" s="2">
        <f t="shared" si="32"/>
        <v>2020</v>
      </c>
      <c r="C1075" s="2" t="str">
        <f t="shared" si="33"/>
        <v>LIM333</v>
      </c>
      <c r="D1075" s="2">
        <v>457</v>
      </c>
      <c r="F1075" s="2451"/>
      <c r="G1075" s="2451"/>
      <c r="H1075" s="2451"/>
      <c r="I1075" s="2451"/>
      <c r="J1075" s="2451"/>
      <c r="K1075" s="2451"/>
      <c r="L1075" s="2451"/>
      <c r="M1075" s="2452"/>
      <c r="N1075" s="2452"/>
      <c r="O1075" s="2452"/>
      <c r="P1075" s="2452"/>
      <c r="Q1075" s="2452"/>
      <c r="W1075" t="s">
        <v>2062</v>
      </c>
    </row>
    <row r="1076" spans="1:23" ht="13.15" customHeight="1">
      <c r="A1076" s="2" t="s">
        <v>2214</v>
      </c>
      <c r="B1076" s="2">
        <f t="shared" si="32"/>
        <v>2020</v>
      </c>
      <c r="C1076" s="2" t="str">
        <f t="shared" si="33"/>
        <v>LIM333</v>
      </c>
      <c r="D1076" s="2">
        <v>458</v>
      </c>
      <c r="F1076" s="2451"/>
      <c r="G1076" s="2451"/>
      <c r="H1076" s="2451"/>
      <c r="I1076" s="2451"/>
      <c r="J1076" s="2451"/>
      <c r="K1076" s="2451"/>
      <c r="L1076" s="2451"/>
      <c r="M1076" s="2452"/>
      <c r="N1076" s="2452"/>
      <c r="O1076" s="2452"/>
      <c r="P1076" s="2452"/>
      <c r="Q1076" s="2452"/>
      <c r="W1076" t="s">
        <v>2062</v>
      </c>
    </row>
    <row r="1077" spans="1:23" ht="13.15" customHeight="1">
      <c r="A1077" s="2" t="s">
        <v>2214</v>
      </c>
      <c r="B1077" s="2">
        <f t="shared" si="32"/>
        <v>2020</v>
      </c>
      <c r="C1077" s="2" t="str">
        <f t="shared" si="33"/>
        <v>LIM333</v>
      </c>
      <c r="D1077" s="2">
        <v>459</v>
      </c>
      <c r="F1077" s="2451"/>
      <c r="G1077" s="2451"/>
      <c r="H1077" s="2451"/>
      <c r="I1077" s="2451"/>
      <c r="J1077" s="2451"/>
      <c r="K1077" s="2451"/>
      <c r="L1077" s="2451"/>
      <c r="M1077" s="2452"/>
      <c r="N1077" s="2452"/>
      <c r="O1077" s="2452"/>
      <c r="P1077" s="2452"/>
      <c r="Q1077" s="2452"/>
      <c r="W1077" t="s">
        <v>2062</v>
      </c>
    </row>
    <row r="1078" spans="1:23" ht="13.15" customHeight="1">
      <c r="A1078" s="2" t="s">
        <v>2214</v>
      </c>
      <c r="B1078" s="2">
        <f t="shared" si="32"/>
        <v>2020</v>
      </c>
      <c r="C1078" s="2" t="str">
        <f t="shared" si="33"/>
        <v>LIM333</v>
      </c>
      <c r="D1078" s="2">
        <v>460</v>
      </c>
      <c r="F1078" s="2451"/>
      <c r="G1078" s="2451"/>
      <c r="H1078" s="2451"/>
      <c r="I1078" s="2451"/>
      <c r="J1078" s="2451"/>
      <c r="K1078" s="2451"/>
      <c r="L1078" s="2451"/>
      <c r="M1078" s="2452"/>
      <c r="N1078" s="2452"/>
      <c r="O1078" s="2452"/>
      <c r="P1078" s="2452"/>
      <c r="Q1078" s="2452"/>
      <c r="W1078" t="s">
        <v>2062</v>
      </c>
    </row>
    <row r="1079" spans="1:23" ht="13.15" customHeight="1">
      <c r="A1079" s="2" t="s">
        <v>2214</v>
      </c>
      <c r="B1079" s="2">
        <f t="shared" si="32"/>
        <v>2020</v>
      </c>
      <c r="C1079" s="2" t="str">
        <f t="shared" si="33"/>
        <v>LIM333</v>
      </c>
      <c r="D1079" s="2">
        <v>461</v>
      </c>
      <c r="F1079" s="2451"/>
      <c r="G1079" s="2451"/>
      <c r="H1079" s="2451"/>
      <c r="I1079" s="2451"/>
      <c r="J1079" s="2451"/>
      <c r="K1079" s="2451"/>
      <c r="L1079" s="2451"/>
      <c r="M1079" s="2452"/>
      <c r="N1079" s="2452"/>
      <c r="O1079" s="2452"/>
      <c r="P1079" s="2452"/>
      <c r="Q1079" s="2452"/>
      <c r="W1079" t="s">
        <v>2062</v>
      </c>
    </row>
    <row r="1080" spans="1:23" ht="13.15" customHeight="1">
      <c r="A1080" s="2" t="s">
        <v>2214</v>
      </c>
      <c r="B1080" s="2">
        <f t="shared" si="32"/>
        <v>2020</v>
      </c>
      <c r="C1080" s="2" t="str">
        <f t="shared" si="33"/>
        <v>LIM333</v>
      </c>
      <c r="D1080" s="2">
        <v>462</v>
      </c>
      <c r="F1080" s="2451"/>
      <c r="G1080" s="2451"/>
      <c r="H1080" s="2451"/>
      <c r="I1080" s="2451"/>
      <c r="J1080" s="2451"/>
      <c r="K1080" s="2451"/>
      <c r="L1080" s="2451"/>
      <c r="M1080" s="2452"/>
      <c r="N1080" s="2452"/>
      <c r="O1080" s="2452"/>
      <c r="P1080" s="2452"/>
      <c r="Q1080" s="2452"/>
      <c r="W1080" t="s">
        <v>2062</v>
      </c>
    </row>
    <row r="1081" spans="1:23" ht="13.15" customHeight="1">
      <c r="A1081" s="2" t="s">
        <v>2214</v>
      </c>
      <c r="B1081" s="2">
        <f t="shared" si="32"/>
        <v>2020</v>
      </c>
      <c r="C1081" s="2" t="str">
        <f t="shared" si="33"/>
        <v>LIM333</v>
      </c>
      <c r="D1081" s="2">
        <v>463</v>
      </c>
      <c r="F1081" s="2451"/>
      <c r="G1081" s="2451"/>
      <c r="H1081" s="2451"/>
      <c r="I1081" s="2451"/>
      <c r="J1081" s="2451"/>
      <c r="K1081" s="2451"/>
      <c r="L1081" s="2451"/>
      <c r="M1081" s="2452"/>
      <c r="N1081" s="2452"/>
      <c r="O1081" s="2452"/>
      <c r="P1081" s="2452"/>
      <c r="Q1081" s="2452"/>
      <c r="W1081" t="s">
        <v>2062</v>
      </c>
    </row>
    <row r="1082" spans="1:23" ht="13.15" customHeight="1">
      <c r="A1082" s="2" t="s">
        <v>2214</v>
      </c>
      <c r="B1082" s="2">
        <f t="shared" si="32"/>
        <v>2020</v>
      </c>
      <c r="C1082" s="2" t="str">
        <f t="shared" si="33"/>
        <v>LIM333</v>
      </c>
      <c r="D1082" s="2">
        <v>464</v>
      </c>
      <c r="F1082" s="2451"/>
      <c r="G1082" s="2451"/>
      <c r="H1082" s="2451"/>
      <c r="I1082" s="2451"/>
      <c r="J1082" s="2451"/>
      <c r="K1082" s="2451"/>
      <c r="L1082" s="2451"/>
      <c r="M1082" s="2452"/>
      <c r="N1082" s="2452"/>
      <c r="O1082" s="2452"/>
      <c r="P1082" s="2452"/>
      <c r="Q1082" s="2452"/>
      <c r="W1082" t="s">
        <v>2062</v>
      </c>
    </row>
    <row r="1083" spans="1:23" ht="13.15" customHeight="1">
      <c r="A1083" s="2" t="s">
        <v>2214</v>
      </c>
      <c r="B1083" s="2">
        <f t="shared" si="32"/>
        <v>2020</v>
      </c>
      <c r="C1083" s="2" t="str">
        <f t="shared" si="33"/>
        <v>LIM333</v>
      </c>
      <c r="D1083" s="2">
        <v>465</v>
      </c>
      <c r="F1083" s="2451"/>
      <c r="G1083" s="2451"/>
      <c r="H1083" s="2451"/>
      <c r="I1083" s="2451"/>
      <c r="J1083" s="2451"/>
      <c r="K1083" s="2451"/>
      <c r="L1083" s="2451"/>
      <c r="M1083" s="2452"/>
      <c r="N1083" s="2452"/>
      <c r="O1083" s="2452"/>
      <c r="P1083" s="2452"/>
      <c r="Q1083" s="2452"/>
      <c r="W1083" t="s">
        <v>2062</v>
      </c>
    </row>
    <row r="1084" spans="1:23" ht="13.15" customHeight="1">
      <c r="A1084" s="2" t="s">
        <v>2214</v>
      </c>
      <c r="B1084" s="2">
        <f t="shared" si="32"/>
        <v>2020</v>
      </c>
      <c r="C1084" s="2" t="str">
        <f t="shared" si="33"/>
        <v>LIM333</v>
      </c>
      <c r="D1084" s="2">
        <v>466</v>
      </c>
      <c r="F1084" s="2451"/>
      <c r="G1084" s="2451"/>
      <c r="H1084" s="2451"/>
      <c r="I1084" s="2451"/>
      <c r="J1084" s="2451"/>
      <c r="K1084" s="2451"/>
      <c r="L1084" s="2451"/>
      <c r="M1084" s="2452"/>
      <c r="N1084" s="2452"/>
      <c r="O1084" s="2452"/>
      <c r="P1084" s="2452"/>
      <c r="Q1084" s="2452"/>
      <c r="W1084" t="s">
        <v>2062</v>
      </c>
    </row>
    <row r="1085" spans="1:23" ht="13.15" customHeight="1">
      <c r="A1085" s="2" t="s">
        <v>2214</v>
      </c>
      <c r="B1085" s="2">
        <f t="shared" si="32"/>
        <v>2020</v>
      </c>
      <c r="C1085" s="2" t="str">
        <f t="shared" si="33"/>
        <v>LIM333</v>
      </c>
      <c r="D1085" s="2">
        <v>467</v>
      </c>
      <c r="F1085" s="2451"/>
      <c r="G1085" s="2451"/>
      <c r="H1085" s="2451"/>
      <c r="I1085" s="2451"/>
      <c r="J1085" s="2451"/>
      <c r="K1085" s="2451"/>
      <c r="L1085" s="2451"/>
      <c r="M1085" s="2452"/>
      <c r="N1085" s="2452"/>
      <c r="O1085" s="2452"/>
      <c r="P1085" s="2452"/>
      <c r="Q1085" s="2452"/>
      <c r="W1085" t="s">
        <v>2062</v>
      </c>
    </row>
    <row r="1086" spans="1:23" ht="13.15" customHeight="1">
      <c r="A1086" s="2" t="s">
        <v>2214</v>
      </c>
      <c r="B1086" s="2">
        <f t="shared" si="32"/>
        <v>2020</v>
      </c>
      <c r="C1086" s="2" t="str">
        <f t="shared" si="33"/>
        <v>LIM333</v>
      </c>
      <c r="D1086" s="2">
        <v>468</v>
      </c>
      <c r="F1086" s="2451"/>
      <c r="G1086" s="2451"/>
      <c r="H1086" s="2451"/>
      <c r="I1086" s="2451"/>
      <c r="J1086" s="2451"/>
      <c r="K1086" s="2451"/>
      <c r="L1086" s="2451"/>
      <c r="M1086" s="2452"/>
      <c r="N1086" s="2452"/>
      <c r="O1086" s="2452"/>
      <c r="P1086" s="2452"/>
      <c r="Q1086" s="2452"/>
      <c r="W1086" t="s">
        <v>2062</v>
      </c>
    </row>
    <row r="1087" spans="1:23" ht="13.15" customHeight="1">
      <c r="A1087" s="2" t="s">
        <v>2214</v>
      </c>
      <c r="B1087" s="2">
        <f t="shared" si="32"/>
        <v>2020</v>
      </c>
      <c r="C1087" s="2" t="str">
        <f t="shared" si="33"/>
        <v>LIM333</v>
      </c>
      <c r="D1087" s="2">
        <v>469</v>
      </c>
      <c r="F1087" s="2451"/>
      <c r="G1087" s="2451"/>
      <c r="H1087" s="2451"/>
      <c r="I1087" s="2451"/>
      <c r="J1087" s="2451"/>
      <c r="K1087" s="2451"/>
      <c r="L1087" s="2451"/>
      <c r="M1087" s="2452"/>
      <c r="N1087" s="2452"/>
      <c r="O1087" s="2452"/>
      <c r="P1087" s="2452"/>
      <c r="Q1087" s="2452"/>
      <c r="W1087" t="s">
        <v>2062</v>
      </c>
    </row>
    <row r="1088" spans="1:23" ht="13.15" customHeight="1">
      <c r="A1088" s="2" t="s">
        <v>2214</v>
      </c>
      <c r="B1088" s="2">
        <f t="shared" si="32"/>
        <v>2020</v>
      </c>
      <c r="C1088" s="2" t="str">
        <f t="shared" si="33"/>
        <v>LIM333</v>
      </c>
      <c r="D1088" s="2">
        <v>470</v>
      </c>
      <c r="F1088" s="2451"/>
      <c r="G1088" s="2451"/>
      <c r="H1088" s="2451"/>
      <c r="I1088" s="2451"/>
      <c r="J1088" s="2451"/>
      <c r="K1088" s="2451"/>
      <c r="L1088" s="2451"/>
      <c r="M1088" s="2452"/>
      <c r="N1088" s="2452"/>
      <c r="O1088" s="2452"/>
      <c r="P1088" s="2452"/>
      <c r="Q1088" s="2452"/>
      <c r="W1088" t="s">
        <v>2062</v>
      </c>
    </row>
    <row r="1089" spans="1:23" ht="13.15" customHeight="1">
      <c r="A1089" s="2" t="s">
        <v>2214</v>
      </c>
      <c r="B1089" s="2">
        <f t="shared" si="32"/>
        <v>2020</v>
      </c>
      <c r="C1089" s="2" t="str">
        <f t="shared" si="33"/>
        <v>LIM333</v>
      </c>
      <c r="D1089" s="2">
        <v>471</v>
      </c>
      <c r="F1089" s="2451"/>
      <c r="G1089" s="2451"/>
      <c r="H1089" s="2451"/>
      <c r="I1089" s="2451"/>
      <c r="J1089" s="2451"/>
      <c r="K1089" s="2451"/>
      <c r="L1089" s="2451"/>
      <c r="M1089" s="2452"/>
      <c r="N1089" s="2452"/>
      <c r="O1089" s="2452"/>
      <c r="P1089" s="2452"/>
      <c r="Q1089" s="2452"/>
      <c r="W1089" t="s">
        <v>2062</v>
      </c>
    </row>
    <row r="1090" spans="1:23" ht="13.15" customHeight="1">
      <c r="A1090" s="2" t="s">
        <v>2214</v>
      </c>
      <c r="B1090" s="2">
        <f t="shared" ref="B1090:B1153" si="34">+MTREF</f>
        <v>2020</v>
      </c>
      <c r="C1090" s="2" t="str">
        <f t="shared" ref="C1090:C1153" si="35">LEFT(muni,(FIND(" ",muni,1)-1))</f>
        <v>LIM333</v>
      </c>
      <c r="D1090" s="2">
        <v>472</v>
      </c>
      <c r="F1090" s="2451"/>
      <c r="G1090" s="2451"/>
      <c r="H1090" s="2451"/>
      <c r="I1090" s="2451"/>
      <c r="J1090" s="2451"/>
      <c r="K1090" s="2451"/>
      <c r="L1090" s="2451"/>
      <c r="M1090" s="2452"/>
      <c r="N1090" s="2452"/>
      <c r="O1090" s="2452"/>
      <c r="P1090" s="2452"/>
      <c r="Q1090" s="2452"/>
      <c r="W1090" t="s">
        <v>2062</v>
      </c>
    </row>
    <row r="1091" spans="1:23" ht="13.15" customHeight="1">
      <c r="A1091" s="2" t="s">
        <v>2214</v>
      </c>
      <c r="B1091" s="2">
        <f t="shared" si="34"/>
        <v>2020</v>
      </c>
      <c r="C1091" s="2" t="str">
        <f t="shared" si="35"/>
        <v>LIM333</v>
      </c>
      <c r="D1091" s="2">
        <v>473</v>
      </c>
      <c r="F1091" s="2451"/>
      <c r="G1091" s="2451"/>
      <c r="H1091" s="2451"/>
      <c r="I1091" s="2451"/>
      <c r="J1091" s="2451"/>
      <c r="K1091" s="2451"/>
      <c r="L1091" s="2451"/>
      <c r="M1091" s="2452"/>
      <c r="N1091" s="2452"/>
      <c r="O1091" s="2452"/>
      <c r="P1091" s="2452"/>
      <c r="Q1091" s="2452"/>
      <c r="W1091" t="s">
        <v>2062</v>
      </c>
    </row>
    <row r="1092" spans="1:23" ht="13.15" customHeight="1">
      <c r="A1092" s="2" t="s">
        <v>2214</v>
      </c>
      <c r="B1092" s="2">
        <f t="shared" si="34"/>
        <v>2020</v>
      </c>
      <c r="C1092" s="2" t="str">
        <f t="shared" si="35"/>
        <v>LIM333</v>
      </c>
      <c r="D1092" s="2">
        <v>474</v>
      </c>
      <c r="F1092" s="2451"/>
      <c r="G1092" s="2451"/>
      <c r="H1092" s="2451"/>
      <c r="I1092" s="2451"/>
      <c r="J1092" s="2451"/>
      <c r="K1092" s="2451"/>
      <c r="L1092" s="2451"/>
      <c r="M1092" s="2452"/>
      <c r="N1092" s="2452"/>
      <c r="O1092" s="2452"/>
      <c r="P1092" s="2452"/>
      <c r="Q1092" s="2452"/>
      <c r="W1092" t="s">
        <v>2062</v>
      </c>
    </row>
    <row r="1093" spans="1:23" ht="13.15" customHeight="1">
      <c r="A1093" s="2" t="s">
        <v>2214</v>
      </c>
      <c r="B1093" s="2">
        <f t="shared" si="34"/>
        <v>2020</v>
      </c>
      <c r="C1093" s="2" t="str">
        <f t="shared" si="35"/>
        <v>LIM333</v>
      </c>
      <c r="D1093" s="2">
        <v>475</v>
      </c>
      <c r="F1093" s="2451"/>
      <c r="G1093" s="2451"/>
      <c r="H1093" s="2451"/>
      <c r="I1093" s="2451"/>
      <c r="J1093" s="2451"/>
      <c r="K1093" s="2451"/>
      <c r="L1093" s="2451"/>
      <c r="M1093" s="2452"/>
      <c r="N1093" s="2452"/>
      <c r="O1093" s="2452"/>
      <c r="P1093" s="2452"/>
      <c r="Q1093" s="2452"/>
      <c r="W1093" t="s">
        <v>2062</v>
      </c>
    </row>
    <row r="1094" spans="1:23" ht="13.15" customHeight="1">
      <c r="A1094" s="2" t="s">
        <v>2214</v>
      </c>
      <c r="B1094" s="2">
        <f t="shared" si="34"/>
        <v>2020</v>
      </c>
      <c r="C1094" s="2" t="str">
        <f t="shared" si="35"/>
        <v>LIM333</v>
      </c>
      <c r="D1094" s="2">
        <v>476</v>
      </c>
      <c r="F1094" s="2451"/>
      <c r="G1094" s="2451"/>
      <c r="H1094" s="2451"/>
      <c r="I1094" s="2451"/>
      <c r="J1094" s="2451"/>
      <c r="K1094" s="2451"/>
      <c r="L1094" s="2451"/>
      <c r="M1094" s="2452"/>
      <c r="N1094" s="2452"/>
      <c r="O1094" s="2452"/>
      <c r="P1094" s="2452"/>
      <c r="Q1094" s="2452"/>
      <c r="W1094" t="s">
        <v>2062</v>
      </c>
    </row>
    <row r="1095" spans="1:23" ht="13.15" customHeight="1">
      <c r="A1095" s="2" t="s">
        <v>2214</v>
      </c>
      <c r="B1095" s="2">
        <f t="shared" si="34"/>
        <v>2020</v>
      </c>
      <c r="C1095" s="2" t="str">
        <f t="shared" si="35"/>
        <v>LIM333</v>
      </c>
      <c r="D1095" s="2">
        <v>477</v>
      </c>
      <c r="F1095" s="2451"/>
      <c r="G1095" s="2451"/>
      <c r="H1095" s="2451"/>
      <c r="I1095" s="2451"/>
      <c r="J1095" s="2451"/>
      <c r="K1095" s="2451"/>
      <c r="L1095" s="2451"/>
      <c r="M1095" s="2452"/>
      <c r="N1095" s="2452"/>
      <c r="O1095" s="2452"/>
      <c r="P1095" s="2452"/>
      <c r="Q1095" s="2452"/>
      <c r="W1095" t="s">
        <v>2062</v>
      </c>
    </row>
    <row r="1096" spans="1:23" ht="13.15" customHeight="1">
      <c r="A1096" s="2" t="s">
        <v>2214</v>
      </c>
      <c r="B1096" s="2">
        <f t="shared" si="34"/>
        <v>2020</v>
      </c>
      <c r="C1096" s="2" t="str">
        <f t="shared" si="35"/>
        <v>LIM333</v>
      </c>
      <c r="D1096" s="2">
        <v>478</v>
      </c>
      <c r="F1096" s="2451"/>
      <c r="G1096" s="2451"/>
      <c r="H1096" s="2451"/>
      <c r="I1096" s="2451"/>
      <c r="J1096" s="2451"/>
      <c r="K1096" s="2451"/>
      <c r="L1096" s="2451"/>
      <c r="M1096" s="2452"/>
      <c r="N1096" s="2452"/>
      <c r="O1096" s="2452"/>
      <c r="P1096" s="2452"/>
      <c r="Q1096" s="2452"/>
      <c r="W1096" t="s">
        <v>2062</v>
      </c>
    </row>
    <row r="1097" spans="1:23" ht="13.15" customHeight="1">
      <c r="A1097" s="2" t="s">
        <v>2214</v>
      </c>
      <c r="B1097" s="2">
        <f t="shared" si="34"/>
        <v>2020</v>
      </c>
      <c r="C1097" s="2" t="str">
        <f t="shared" si="35"/>
        <v>LIM333</v>
      </c>
      <c r="D1097" s="2">
        <v>479</v>
      </c>
      <c r="F1097" s="2451"/>
      <c r="G1097" s="2451"/>
      <c r="H1097" s="2451"/>
      <c r="I1097" s="2451"/>
      <c r="J1097" s="2451"/>
      <c r="K1097" s="2451"/>
      <c r="L1097" s="2451"/>
      <c r="M1097" s="2452"/>
      <c r="N1097" s="2452"/>
      <c r="O1097" s="2452"/>
      <c r="P1097" s="2452"/>
      <c r="Q1097" s="2452"/>
      <c r="W1097" t="s">
        <v>2062</v>
      </c>
    </row>
    <row r="1098" spans="1:23" ht="13.15" customHeight="1">
      <c r="A1098" s="2" t="s">
        <v>2214</v>
      </c>
      <c r="B1098" s="2">
        <f t="shared" si="34"/>
        <v>2020</v>
      </c>
      <c r="C1098" s="2" t="str">
        <f t="shared" si="35"/>
        <v>LIM333</v>
      </c>
      <c r="D1098" s="2">
        <v>480</v>
      </c>
      <c r="F1098" s="2451"/>
      <c r="G1098" s="2451"/>
      <c r="H1098" s="2451"/>
      <c r="I1098" s="2451"/>
      <c r="J1098" s="2451"/>
      <c r="K1098" s="2451"/>
      <c r="L1098" s="2451"/>
      <c r="M1098" s="2452"/>
      <c r="N1098" s="2452"/>
      <c r="O1098" s="2452"/>
      <c r="P1098" s="2452"/>
      <c r="Q1098" s="2452"/>
      <c r="W1098" t="s">
        <v>2062</v>
      </c>
    </row>
    <row r="1099" spans="1:23" ht="13.15" customHeight="1">
      <c r="A1099" s="2" t="s">
        <v>2214</v>
      </c>
      <c r="B1099" s="2">
        <f t="shared" si="34"/>
        <v>2020</v>
      </c>
      <c r="C1099" s="2" t="str">
        <f t="shared" si="35"/>
        <v>LIM333</v>
      </c>
      <c r="D1099" s="2">
        <v>481</v>
      </c>
      <c r="F1099" s="2451"/>
      <c r="G1099" s="2451"/>
      <c r="H1099" s="2451"/>
      <c r="I1099" s="2451"/>
      <c r="J1099" s="2451"/>
      <c r="K1099" s="2451"/>
      <c r="L1099" s="2451"/>
      <c r="M1099" s="2452"/>
      <c r="N1099" s="2452"/>
      <c r="O1099" s="2452"/>
      <c r="P1099" s="2452"/>
      <c r="Q1099" s="2452"/>
      <c r="W1099" t="s">
        <v>2062</v>
      </c>
    </row>
    <row r="1100" spans="1:23" ht="13.15" customHeight="1">
      <c r="A1100" s="2" t="s">
        <v>2214</v>
      </c>
      <c r="B1100" s="2">
        <f t="shared" si="34"/>
        <v>2020</v>
      </c>
      <c r="C1100" s="2" t="str">
        <f t="shared" si="35"/>
        <v>LIM333</v>
      </c>
      <c r="D1100" s="2">
        <v>482</v>
      </c>
      <c r="F1100" s="2451"/>
      <c r="G1100" s="2451"/>
      <c r="H1100" s="2451"/>
      <c r="I1100" s="2451"/>
      <c r="J1100" s="2451"/>
      <c r="K1100" s="2451"/>
      <c r="L1100" s="2451"/>
      <c r="M1100" s="2452"/>
      <c r="N1100" s="2452"/>
      <c r="O1100" s="2452"/>
      <c r="P1100" s="2452"/>
      <c r="Q1100" s="2452"/>
      <c r="W1100" t="s">
        <v>2062</v>
      </c>
    </row>
    <row r="1101" spans="1:23" ht="13.15" customHeight="1">
      <c r="A1101" s="2" t="s">
        <v>2214</v>
      </c>
      <c r="B1101" s="2">
        <f t="shared" si="34"/>
        <v>2020</v>
      </c>
      <c r="C1101" s="2" t="str">
        <f t="shared" si="35"/>
        <v>LIM333</v>
      </c>
      <c r="D1101" s="2">
        <v>483</v>
      </c>
      <c r="F1101" s="2451"/>
      <c r="G1101" s="2451"/>
      <c r="H1101" s="2451"/>
      <c r="I1101" s="2451"/>
      <c r="J1101" s="2451"/>
      <c r="K1101" s="2451"/>
      <c r="L1101" s="2451"/>
      <c r="M1101" s="2452"/>
      <c r="N1101" s="2452"/>
      <c r="O1101" s="2452"/>
      <c r="P1101" s="2452"/>
      <c r="Q1101" s="2452"/>
      <c r="W1101" t="s">
        <v>2062</v>
      </c>
    </row>
    <row r="1102" spans="1:23" ht="13.15" customHeight="1">
      <c r="A1102" s="2" t="s">
        <v>2214</v>
      </c>
      <c r="B1102" s="2">
        <f t="shared" si="34"/>
        <v>2020</v>
      </c>
      <c r="C1102" s="2" t="str">
        <f t="shared" si="35"/>
        <v>LIM333</v>
      </c>
      <c r="D1102" s="2">
        <v>484</v>
      </c>
      <c r="F1102" s="2451"/>
      <c r="G1102" s="2451"/>
      <c r="H1102" s="2451"/>
      <c r="I1102" s="2451"/>
      <c r="J1102" s="2451"/>
      <c r="K1102" s="2451"/>
      <c r="L1102" s="2451"/>
      <c r="M1102" s="2452"/>
      <c r="N1102" s="2452"/>
      <c r="O1102" s="2452"/>
      <c r="P1102" s="2452"/>
      <c r="Q1102" s="2452"/>
      <c r="W1102" t="s">
        <v>2062</v>
      </c>
    </row>
    <row r="1103" spans="1:23" ht="13.15" customHeight="1">
      <c r="A1103" s="2" t="s">
        <v>2214</v>
      </c>
      <c r="B1103" s="2">
        <f t="shared" si="34"/>
        <v>2020</v>
      </c>
      <c r="C1103" s="2" t="str">
        <f t="shared" si="35"/>
        <v>LIM333</v>
      </c>
      <c r="D1103" s="2">
        <v>485</v>
      </c>
      <c r="F1103" s="2451"/>
      <c r="G1103" s="2451"/>
      <c r="H1103" s="2451"/>
      <c r="I1103" s="2451"/>
      <c r="J1103" s="2451"/>
      <c r="K1103" s="2451"/>
      <c r="L1103" s="2451"/>
      <c r="M1103" s="2452"/>
      <c r="N1103" s="2452"/>
      <c r="O1103" s="2452"/>
      <c r="P1103" s="2452"/>
      <c r="Q1103" s="2452"/>
      <c r="W1103" t="s">
        <v>2062</v>
      </c>
    </row>
    <row r="1104" spans="1:23" ht="13.15" customHeight="1">
      <c r="A1104" s="2" t="s">
        <v>2214</v>
      </c>
      <c r="B1104" s="2">
        <f t="shared" si="34"/>
        <v>2020</v>
      </c>
      <c r="C1104" s="2" t="str">
        <f t="shared" si="35"/>
        <v>LIM333</v>
      </c>
      <c r="D1104" s="2">
        <v>486</v>
      </c>
      <c r="F1104" s="2451"/>
      <c r="G1104" s="2451"/>
      <c r="H1104" s="2451"/>
      <c r="I1104" s="2451"/>
      <c r="J1104" s="2451"/>
      <c r="K1104" s="2451"/>
      <c r="L1104" s="2451"/>
      <c r="M1104" s="2452"/>
      <c r="N1104" s="2452"/>
      <c r="O1104" s="2452"/>
      <c r="P1104" s="2452"/>
      <c r="Q1104" s="2452"/>
      <c r="W1104" t="s">
        <v>2062</v>
      </c>
    </row>
    <row r="1105" spans="1:23" ht="13.15" customHeight="1">
      <c r="A1105" s="2" t="s">
        <v>2214</v>
      </c>
      <c r="B1105" s="2">
        <f t="shared" si="34"/>
        <v>2020</v>
      </c>
      <c r="C1105" s="2" t="str">
        <f t="shared" si="35"/>
        <v>LIM333</v>
      </c>
      <c r="D1105" s="2">
        <v>487</v>
      </c>
      <c r="F1105" s="2451"/>
      <c r="G1105" s="2451"/>
      <c r="H1105" s="2451"/>
      <c r="I1105" s="2451"/>
      <c r="J1105" s="2451"/>
      <c r="K1105" s="2451"/>
      <c r="L1105" s="2451"/>
      <c r="M1105" s="2452"/>
      <c r="N1105" s="2452"/>
      <c r="O1105" s="2452"/>
      <c r="P1105" s="2452"/>
      <c r="Q1105" s="2452"/>
      <c r="W1105" t="s">
        <v>2062</v>
      </c>
    </row>
    <row r="1106" spans="1:23" ht="13.15" customHeight="1">
      <c r="A1106" s="2" t="s">
        <v>2214</v>
      </c>
      <c r="B1106" s="2">
        <f t="shared" si="34"/>
        <v>2020</v>
      </c>
      <c r="C1106" s="2" t="str">
        <f t="shared" si="35"/>
        <v>LIM333</v>
      </c>
      <c r="D1106" s="2">
        <v>488</v>
      </c>
      <c r="F1106" s="2451"/>
      <c r="G1106" s="2451"/>
      <c r="H1106" s="2451"/>
      <c r="I1106" s="2451"/>
      <c r="J1106" s="2451"/>
      <c r="K1106" s="2451"/>
      <c r="L1106" s="2451"/>
      <c r="M1106" s="2452"/>
      <c r="N1106" s="2452"/>
      <c r="O1106" s="2452"/>
      <c r="P1106" s="2452"/>
      <c r="Q1106" s="2452"/>
      <c r="W1106" t="s">
        <v>2062</v>
      </c>
    </row>
    <row r="1107" spans="1:23" ht="13.15" customHeight="1">
      <c r="A1107" s="2" t="s">
        <v>2214</v>
      </c>
      <c r="B1107" s="2">
        <f t="shared" si="34"/>
        <v>2020</v>
      </c>
      <c r="C1107" s="2" t="str">
        <f t="shared" si="35"/>
        <v>LIM333</v>
      </c>
      <c r="D1107" s="2">
        <v>489</v>
      </c>
      <c r="F1107" s="2451"/>
      <c r="G1107" s="2451"/>
      <c r="H1107" s="2451"/>
      <c r="I1107" s="2451"/>
      <c r="J1107" s="2451"/>
      <c r="K1107" s="2451"/>
      <c r="L1107" s="2451"/>
      <c r="M1107" s="2452"/>
      <c r="N1107" s="2452"/>
      <c r="O1107" s="2452"/>
      <c r="P1107" s="2452"/>
      <c r="Q1107" s="2452"/>
      <c r="W1107" t="s">
        <v>2062</v>
      </c>
    </row>
    <row r="1108" spans="1:23" ht="13.15" customHeight="1">
      <c r="A1108" s="2" t="s">
        <v>2214</v>
      </c>
      <c r="B1108" s="2">
        <f t="shared" si="34"/>
        <v>2020</v>
      </c>
      <c r="C1108" s="2" t="str">
        <f t="shared" si="35"/>
        <v>LIM333</v>
      </c>
      <c r="D1108" s="2">
        <v>490</v>
      </c>
      <c r="F1108" s="2451"/>
      <c r="G1108" s="2451"/>
      <c r="H1108" s="2451"/>
      <c r="I1108" s="2451"/>
      <c r="J1108" s="2451"/>
      <c r="K1108" s="2451"/>
      <c r="L1108" s="2451"/>
      <c r="M1108" s="2452"/>
      <c r="N1108" s="2452"/>
      <c r="O1108" s="2452"/>
      <c r="P1108" s="2452"/>
      <c r="Q1108" s="2452"/>
      <c r="W1108" t="s">
        <v>2062</v>
      </c>
    </row>
    <row r="1109" spans="1:23" ht="13.15" customHeight="1">
      <c r="A1109" s="2" t="s">
        <v>2214</v>
      </c>
      <c r="B1109" s="2">
        <f t="shared" si="34"/>
        <v>2020</v>
      </c>
      <c r="C1109" s="2" t="str">
        <f t="shared" si="35"/>
        <v>LIM333</v>
      </c>
      <c r="D1109" s="2">
        <v>491</v>
      </c>
      <c r="F1109" s="2451"/>
      <c r="G1109" s="2451"/>
      <c r="H1109" s="2451"/>
      <c r="I1109" s="2451"/>
      <c r="J1109" s="2451"/>
      <c r="K1109" s="2451"/>
      <c r="L1109" s="2451"/>
      <c r="M1109" s="2452"/>
      <c r="N1109" s="2452"/>
      <c r="O1109" s="2452"/>
      <c r="P1109" s="2452"/>
      <c r="Q1109" s="2452"/>
      <c r="W1109" t="s">
        <v>2062</v>
      </c>
    </row>
    <row r="1110" spans="1:23" ht="13.15" customHeight="1">
      <c r="A1110" s="2" t="s">
        <v>2214</v>
      </c>
      <c r="B1110" s="2">
        <f t="shared" si="34"/>
        <v>2020</v>
      </c>
      <c r="C1110" s="2" t="str">
        <f t="shared" si="35"/>
        <v>LIM333</v>
      </c>
      <c r="D1110" s="2">
        <v>492</v>
      </c>
      <c r="F1110" s="2451"/>
      <c r="G1110" s="2451"/>
      <c r="H1110" s="2451"/>
      <c r="I1110" s="2451"/>
      <c r="J1110" s="2451"/>
      <c r="K1110" s="2451"/>
      <c r="L1110" s="2451"/>
      <c r="M1110" s="2452"/>
      <c r="N1110" s="2452"/>
      <c r="O1110" s="2452"/>
      <c r="P1110" s="2452"/>
      <c r="Q1110" s="2452"/>
      <c r="W1110" t="s">
        <v>2062</v>
      </c>
    </row>
    <row r="1111" spans="1:23" ht="13.15" customHeight="1">
      <c r="A1111" s="2" t="s">
        <v>2214</v>
      </c>
      <c r="B1111" s="2">
        <f t="shared" si="34"/>
        <v>2020</v>
      </c>
      <c r="C1111" s="2" t="str">
        <f t="shared" si="35"/>
        <v>LIM333</v>
      </c>
      <c r="D1111" s="2">
        <v>493</v>
      </c>
      <c r="F1111" s="2451"/>
      <c r="G1111" s="2451"/>
      <c r="H1111" s="2451"/>
      <c r="I1111" s="2451"/>
      <c r="J1111" s="2451"/>
      <c r="K1111" s="2451"/>
      <c r="L1111" s="2451"/>
      <c r="M1111" s="2452"/>
      <c r="N1111" s="2452"/>
      <c r="O1111" s="2452"/>
      <c r="P1111" s="2452"/>
      <c r="Q1111" s="2452"/>
      <c r="W1111" t="s">
        <v>2062</v>
      </c>
    </row>
    <row r="1112" spans="1:23" ht="13.15" customHeight="1">
      <c r="A1112" s="2" t="s">
        <v>2214</v>
      </c>
      <c r="B1112" s="2">
        <f t="shared" si="34"/>
        <v>2020</v>
      </c>
      <c r="C1112" s="2" t="str">
        <f t="shared" si="35"/>
        <v>LIM333</v>
      </c>
      <c r="D1112" s="2">
        <v>494</v>
      </c>
      <c r="F1112" s="2451"/>
      <c r="G1112" s="2451"/>
      <c r="H1112" s="2451"/>
      <c r="I1112" s="2451"/>
      <c r="J1112" s="2451"/>
      <c r="K1112" s="2451"/>
      <c r="L1112" s="2451"/>
      <c r="M1112" s="2452"/>
      <c r="N1112" s="2452"/>
      <c r="O1112" s="2452"/>
      <c r="P1112" s="2452"/>
      <c r="Q1112" s="2452"/>
      <c r="W1112" t="s">
        <v>2062</v>
      </c>
    </row>
    <row r="1113" spans="1:23" ht="13.15" customHeight="1">
      <c r="A1113" s="2" t="s">
        <v>2214</v>
      </c>
      <c r="B1113" s="2">
        <f t="shared" si="34"/>
        <v>2020</v>
      </c>
      <c r="C1113" s="2" t="str">
        <f t="shared" si="35"/>
        <v>LIM333</v>
      </c>
      <c r="D1113" s="2">
        <v>495</v>
      </c>
      <c r="F1113" s="2451"/>
      <c r="G1113" s="2451"/>
      <c r="H1113" s="2451"/>
      <c r="I1113" s="2451"/>
      <c r="J1113" s="2451"/>
      <c r="K1113" s="2451"/>
      <c r="L1113" s="2451"/>
      <c r="M1113" s="2452"/>
      <c r="N1113" s="2452"/>
      <c r="O1113" s="2452"/>
      <c r="P1113" s="2452"/>
      <c r="Q1113" s="2452"/>
      <c r="W1113" t="s">
        <v>2062</v>
      </c>
    </row>
    <row r="1114" spans="1:23" ht="13.15" customHeight="1">
      <c r="A1114" s="2" t="s">
        <v>2214</v>
      </c>
      <c r="B1114" s="2">
        <f t="shared" si="34"/>
        <v>2020</v>
      </c>
      <c r="C1114" s="2" t="str">
        <f t="shared" si="35"/>
        <v>LIM333</v>
      </c>
      <c r="D1114" s="2">
        <v>496</v>
      </c>
      <c r="F1114" s="2451"/>
      <c r="G1114" s="2451"/>
      <c r="H1114" s="2451"/>
      <c r="I1114" s="2451"/>
      <c r="J1114" s="2451"/>
      <c r="K1114" s="2451"/>
      <c r="L1114" s="2451"/>
      <c r="M1114" s="2452"/>
      <c r="N1114" s="2452"/>
      <c r="O1114" s="2452"/>
      <c r="P1114" s="2452"/>
      <c r="Q1114" s="2452"/>
      <c r="W1114" t="s">
        <v>2062</v>
      </c>
    </row>
    <row r="1115" spans="1:23" ht="13.15" customHeight="1">
      <c r="A1115" s="2" t="s">
        <v>2214</v>
      </c>
      <c r="B1115" s="2">
        <f t="shared" si="34"/>
        <v>2020</v>
      </c>
      <c r="C1115" s="2" t="str">
        <f t="shared" si="35"/>
        <v>LIM333</v>
      </c>
      <c r="D1115" s="2">
        <v>497</v>
      </c>
      <c r="F1115" s="2451"/>
      <c r="G1115" s="2451"/>
      <c r="H1115" s="2451"/>
      <c r="I1115" s="2451"/>
      <c r="J1115" s="2451"/>
      <c r="K1115" s="2451"/>
      <c r="L1115" s="2451"/>
      <c r="M1115" s="2452"/>
      <c r="N1115" s="2452"/>
      <c r="O1115" s="2452"/>
      <c r="P1115" s="2452"/>
      <c r="Q1115" s="2452"/>
      <c r="W1115" t="s">
        <v>2062</v>
      </c>
    </row>
    <row r="1116" spans="1:23" ht="13.15" customHeight="1">
      <c r="A1116" s="2" t="s">
        <v>2214</v>
      </c>
      <c r="B1116" s="2">
        <f t="shared" si="34"/>
        <v>2020</v>
      </c>
      <c r="C1116" s="2" t="str">
        <f t="shared" si="35"/>
        <v>LIM333</v>
      </c>
      <c r="D1116" s="2">
        <v>498</v>
      </c>
      <c r="F1116" s="2451"/>
      <c r="G1116" s="2451"/>
      <c r="H1116" s="2451"/>
      <c r="I1116" s="2451"/>
      <c r="J1116" s="2451"/>
      <c r="K1116" s="2451"/>
      <c r="L1116" s="2451"/>
      <c r="M1116" s="2452"/>
      <c r="N1116" s="2452"/>
      <c r="O1116" s="2452"/>
      <c r="P1116" s="2452"/>
      <c r="Q1116" s="2452"/>
      <c r="W1116" t="s">
        <v>2062</v>
      </c>
    </row>
    <row r="1117" spans="1:23" ht="13.15" customHeight="1">
      <c r="A1117" s="2" t="s">
        <v>2214</v>
      </c>
      <c r="B1117" s="2">
        <f t="shared" si="34"/>
        <v>2020</v>
      </c>
      <c r="C1117" s="2" t="str">
        <f t="shared" si="35"/>
        <v>LIM333</v>
      </c>
      <c r="D1117" s="2">
        <v>499</v>
      </c>
      <c r="F1117" s="2451"/>
      <c r="G1117" s="2451"/>
      <c r="H1117" s="2451"/>
      <c r="I1117" s="2451"/>
      <c r="J1117" s="2451"/>
      <c r="K1117" s="2451"/>
      <c r="L1117" s="2451"/>
      <c r="M1117" s="2452"/>
      <c r="N1117" s="2452"/>
      <c r="O1117" s="2452"/>
      <c r="P1117" s="2452"/>
      <c r="Q1117" s="2452"/>
      <c r="W1117" t="s">
        <v>2062</v>
      </c>
    </row>
    <row r="1118" spans="1:23" ht="13.15" customHeight="1">
      <c r="A1118" s="2" t="s">
        <v>2214</v>
      </c>
      <c r="B1118" s="2">
        <f t="shared" si="34"/>
        <v>2020</v>
      </c>
      <c r="C1118" s="2" t="str">
        <f t="shared" si="35"/>
        <v>LIM333</v>
      </c>
      <c r="D1118" s="2">
        <v>500</v>
      </c>
      <c r="F1118" s="2451"/>
      <c r="G1118" s="2451"/>
      <c r="H1118" s="2451"/>
      <c r="I1118" s="2451"/>
      <c r="J1118" s="2451"/>
      <c r="K1118" s="2451"/>
      <c r="L1118" s="2451"/>
      <c r="M1118" s="2452"/>
      <c r="N1118" s="2452"/>
      <c r="O1118" s="2452"/>
      <c r="P1118" s="2452"/>
      <c r="Q1118" s="2452"/>
      <c r="W1118" t="s">
        <v>2062</v>
      </c>
    </row>
    <row r="1119" spans="1:23" ht="13.15" customHeight="1">
      <c r="A1119" s="2" t="s">
        <v>2214</v>
      </c>
      <c r="B1119" s="2">
        <f t="shared" si="34"/>
        <v>2020</v>
      </c>
      <c r="C1119" s="2" t="str">
        <f t="shared" si="35"/>
        <v>LIM333</v>
      </c>
      <c r="D1119" s="2">
        <v>501</v>
      </c>
      <c r="F1119" s="2451"/>
      <c r="G1119" s="2451"/>
      <c r="H1119" s="2451"/>
      <c r="I1119" s="2451"/>
      <c r="J1119" s="2451"/>
      <c r="K1119" s="2451"/>
      <c r="L1119" s="2451"/>
      <c r="M1119" s="2452"/>
      <c r="N1119" s="2452"/>
      <c r="O1119" s="2452"/>
      <c r="P1119" s="2452"/>
      <c r="Q1119" s="2452"/>
      <c r="W1119" t="s">
        <v>2062</v>
      </c>
    </row>
    <row r="1120" spans="1:23" ht="13.15" customHeight="1">
      <c r="A1120" s="2" t="s">
        <v>2214</v>
      </c>
      <c r="B1120" s="2">
        <f t="shared" si="34"/>
        <v>2020</v>
      </c>
      <c r="C1120" s="2" t="str">
        <f t="shared" si="35"/>
        <v>LIM333</v>
      </c>
      <c r="D1120" s="2">
        <v>502</v>
      </c>
      <c r="F1120" s="2451"/>
      <c r="G1120" s="2451"/>
      <c r="H1120" s="2451"/>
      <c r="I1120" s="2451"/>
      <c r="J1120" s="2451"/>
      <c r="K1120" s="2451"/>
      <c r="L1120" s="2451"/>
      <c r="M1120" s="2452"/>
      <c r="N1120" s="2452"/>
      <c r="O1120" s="2452"/>
      <c r="P1120" s="2452"/>
      <c r="Q1120" s="2452"/>
      <c r="W1120" t="s">
        <v>2062</v>
      </c>
    </row>
    <row r="1121" spans="1:23" ht="13.15" customHeight="1">
      <c r="A1121" s="2" t="s">
        <v>2214</v>
      </c>
      <c r="B1121" s="2">
        <f t="shared" si="34"/>
        <v>2020</v>
      </c>
      <c r="C1121" s="2" t="str">
        <f t="shared" si="35"/>
        <v>LIM333</v>
      </c>
      <c r="D1121" s="2">
        <v>503</v>
      </c>
      <c r="F1121" s="2451"/>
      <c r="G1121" s="2451"/>
      <c r="H1121" s="2451"/>
      <c r="I1121" s="2451"/>
      <c r="J1121" s="2451"/>
      <c r="K1121" s="2451"/>
      <c r="L1121" s="2451"/>
      <c r="M1121" s="2452"/>
      <c r="N1121" s="2452"/>
      <c r="O1121" s="2452"/>
      <c r="P1121" s="2452"/>
      <c r="Q1121" s="2452"/>
      <c r="W1121" t="s">
        <v>2062</v>
      </c>
    </row>
    <row r="1122" spans="1:23" ht="13.15" customHeight="1">
      <c r="A1122" s="2" t="s">
        <v>2214</v>
      </c>
      <c r="B1122" s="2">
        <f t="shared" si="34"/>
        <v>2020</v>
      </c>
      <c r="C1122" s="2" t="str">
        <f t="shared" si="35"/>
        <v>LIM333</v>
      </c>
      <c r="D1122" s="2">
        <v>504</v>
      </c>
      <c r="F1122" s="2451"/>
      <c r="G1122" s="2451"/>
      <c r="H1122" s="2451"/>
      <c r="I1122" s="2451"/>
      <c r="J1122" s="2451"/>
      <c r="K1122" s="2451"/>
      <c r="L1122" s="2451"/>
      <c r="M1122" s="2452"/>
      <c r="N1122" s="2452"/>
      <c r="O1122" s="2452"/>
      <c r="P1122" s="2452"/>
      <c r="Q1122" s="2452"/>
      <c r="W1122" t="s">
        <v>2062</v>
      </c>
    </row>
    <row r="1123" spans="1:23" ht="13.15" customHeight="1">
      <c r="A1123" s="2" t="s">
        <v>2214</v>
      </c>
      <c r="B1123" s="2">
        <f t="shared" si="34"/>
        <v>2020</v>
      </c>
      <c r="C1123" s="2" t="str">
        <f t="shared" si="35"/>
        <v>LIM333</v>
      </c>
      <c r="D1123" s="2">
        <v>505</v>
      </c>
      <c r="F1123" s="2451"/>
      <c r="G1123" s="2451"/>
      <c r="H1123" s="2451"/>
      <c r="I1123" s="2451"/>
      <c r="J1123" s="2451"/>
      <c r="K1123" s="2451"/>
      <c r="L1123" s="2451"/>
      <c r="M1123" s="2452"/>
      <c r="N1123" s="2452"/>
      <c r="O1123" s="2452"/>
      <c r="P1123" s="2452"/>
      <c r="Q1123" s="2452"/>
      <c r="W1123" t="s">
        <v>2062</v>
      </c>
    </row>
    <row r="1124" spans="1:23" ht="13.15" customHeight="1">
      <c r="A1124" s="2" t="s">
        <v>2214</v>
      </c>
      <c r="B1124" s="2">
        <f t="shared" si="34"/>
        <v>2020</v>
      </c>
      <c r="C1124" s="2" t="str">
        <f t="shared" si="35"/>
        <v>LIM333</v>
      </c>
      <c r="D1124" s="2">
        <v>506</v>
      </c>
      <c r="F1124" s="2451"/>
      <c r="G1124" s="2451"/>
      <c r="H1124" s="2451"/>
      <c r="I1124" s="2451"/>
      <c r="J1124" s="2451"/>
      <c r="K1124" s="2451"/>
      <c r="L1124" s="2451"/>
      <c r="M1124" s="2452"/>
      <c r="N1124" s="2452"/>
      <c r="O1124" s="2452"/>
      <c r="P1124" s="2452"/>
      <c r="Q1124" s="2452"/>
      <c r="W1124" t="s">
        <v>2062</v>
      </c>
    </row>
    <row r="1125" spans="1:23" ht="13.15" customHeight="1">
      <c r="A1125" s="2" t="s">
        <v>2214</v>
      </c>
      <c r="B1125" s="2">
        <f t="shared" si="34"/>
        <v>2020</v>
      </c>
      <c r="C1125" s="2" t="str">
        <f t="shared" si="35"/>
        <v>LIM333</v>
      </c>
      <c r="D1125" s="2">
        <v>507</v>
      </c>
      <c r="F1125" s="2451"/>
      <c r="G1125" s="2451"/>
      <c r="H1125" s="2451"/>
      <c r="I1125" s="2451"/>
      <c r="J1125" s="2451"/>
      <c r="K1125" s="2451"/>
      <c r="L1125" s="2451"/>
      <c r="M1125" s="2452"/>
      <c r="N1125" s="2452"/>
      <c r="O1125" s="2452"/>
      <c r="P1125" s="2452"/>
      <c r="Q1125" s="2452"/>
      <c r="W1125" t="s">
        <v>2062</v>
      </c>
    </row>
    <row r="1126" spans="1:23" ht="13.15" customHeight="1">
      <c r="A1126" s="2" t="s">
        <v>2214</v>
      </c>
      <c r="B1126" s="2">
        <f t="shared" si="34"/>
        <v>2020</v>
      </c>
      <c r="C1126" s="2" t="str">
        <f t="shared" si="35"/>
        <v>LIM333</v>
      </c>
      <c r="D1126" s="2">
        <v>508</v>
      </c>
      <c r="F1126" s="2451"/>
      <c r="G1126" s="2451"/>
      <c r="H1126" s="2451"/>
      <c r="I1126" s="2451"/>
      <c r="J1126" s="2451"/>
      <c r="K1126" s="2451"/>
      <c r="L1126" s="2451"/>
      <c r="M1126" s="2452"/>
      <c r="N1126" s="2452"/>
      <c r="O1126" s="2452"/>
      <c r="P1126" s="2452"/>
      <c r="Q1126" s="2452"/>
      <c r="W1126" t="s">
        <v>2062</v>
      </c>
    </row>
    <row r="1127" spans="1:23" ht="13.15" customHeight="1">
      <c r="A1127" s="2" t="s">
        <v>2214</v>
      </c>
      <c r="B1127" s="2">
        <f t="shared" si="34"/>
        <v>2020</v>
      </c>
      <c r="C1127" s="2" t="str">
        <f t="shared" si="35"/>
        <v>LIM333</v>
      </c>
      <c r="D1127" s="2">
        <v>509</v>
      </c>
      <c r="F1127" s="2451"/>
      <c r="G1127" s="2451"/>
      <c r="H1127" s="2451"/>
      <c r="I1127" s="2451"/>
      <c r="J1127" s="2451"/>
      <c r="K1127" s="2451"/>
      <c r="L1127" s="2451"/>
      <c r="M1127" s="2452"/>
      <c r="N1127" s="2452"/>
      <c r="O1127" s="2452"/>
      <c r="P1127" s="2452"/>
      <c r="Q1127" s="2452"/>
      <c r="W1127" t="s">
        <v>2062</v>
      </c>
    </row>
    <row r="1128" spans="1:23" ht="13.15" customHeight="1">
      <c r="A1128" s="2" t="s">
        <v>2214</v>
      </c>
      <c r="B1128" s="2">
        <f t="shared" si="34"/>
        <v>2020</v>
      </c>
      <c r="C1128" s="2" t="str">
        <f t="shared" si="35"/>
        <v>LIM333</v>
      </c>
      <c r="D1128" s="2">
        <v>510</v>
      </c>
      <c r="F1128" s="2451"/>
      <c r="G1128" s="2451"/>
      <c r="H1128" s="2451"/>
      <c r="I1128" s="2451"/>
      <c r="J1128" s="2451"/>
      <c r="K1128" s="2451"/>
      <c r="L1128" s="2451"/>
      <c r="M1128" s="2452"/>
      <c r="N1128" s="2452"/>
      <c r="O1128" s="2452"/>
      <c r="P1128" s="2452"/>
      <c r="Q1128" s="2452"/>
      <c r="W1128" t="s">
        <v>2062</v>
      </c>
    </row>
    <row r="1129" spans="1:23" ht="13.15" customHeight="1">
      <c r="A1129" s="2" t="s">
        <v>2214</v>
      </c>
      <c r="B1129" s="2">
        <f t="shared" si="34"/>
        <v>2020</v>
      </c>
      <c r="C1129" s="2" t="str">
        <f t="shared" si="35"/>
        <v>LIM333</v>
      </c>
      <c r="D1129" s="2">
        <v>511</v>
      </c>
      <c r="F1129" s="2451"/>
      <c r="G1129" s="2451"/>
      <c r="H1129" s="2451"/>
      <c r="I1129" s="2451"/>
      <c r="J1129" s="2451"/>
      <c r="K1129" s="2451"/>
      <c r="L1129" s="2451"/>
      <c r="M1129" s="2452"/>
      <c r="N1129" s="2452"/>
      <c r="O1129" s="2452"/>
      <c r="P1129" s="2452"/>
      <c r="Q1129" s="2452"/>
      <c r="W1129" t="s">
        <v>2062</v>
      </c>
    </row>
    <row r="1130" spans="1:23" ht="13.15" customHeight="1">
      <c r="A1130" s="2" t="s">
        <v>2214</v>
      </c>
      <c r="B1130" s="2">
        <f t="shared" si="34"/>
        <v>2020</v>
      </c>
      <c r="C1130" s="2" t="str">
        <f t="shared" si="35"/>
        <v>LIM333</v>
      </c>
      <c r="D1130" s="2">
        <v>512</v>
      </c>
      <c r="F1130" s="2451"/>
      <c r="G1130" s="2451"/>
      <c r="H1130" s="2451"/>
      <c r="I1130" s="2451"/>
      <c r="J1130" s="2451"/>
      <c r="K1130" s="2451"/>
      <c r="L1130" s="2451"/>
      <c r="M1130" s="2452"/>
      <c r="N1130" s="2452"/>
      <c r="O1130" s="2452"/>
      <c r="P1130" s="2452"/>
      <c r="Q1130" s="2452"/>
      <c r="W1130" t="s">
        <v>2062</v>
      </c>
    </row>
    <row r="1131" spans="1:23" ht="13.15" customHeight="1">
      <c r="A1131" s="2" t="s">
        <v>2214</v>
      </c>
      <c r="B1131" s="2">
        <f t="shared" si="34"/>
        <v>2020</v>
      </c>
      <c r="C1131" s="2" t="str">
        <f t="shared" si="35"/>
        <v>LIM333</v>
      </c>
      <c r="D1131" s="2">
        <v>513</v>
      </c>
      <c r="F1131" s="2451"/>
      <c r="G1131" s="2451"/>
      <c r="H1131" s="2451"/>
      <c r="I1131" s="2451"/>
      <c r="J1131" s="2451"/>
      <c r="K1131" s="2451"/>
      <c r="L1131" s="2451"/>
      <c r="M1131" s="2452"/>
      <c r="N1131" s="2452"/>
      <c r="O1131" s="2452"/>
      <c r="P1131" s="2452"/>
      <c r="Q1131" s="2452"/>
      <c r="W1131" t="s">
        <v>2062</v>
      </c>
    </row>
    <row r="1132" spans="1:23" ht="13.15" customHeight="1">
      <c r="A1132" s="2" t="s">
        <v>2214</v>
      </c>
      <c r="B1132" s="2">
        <f t="shared" si="34"/>
        <v>2020</v>
      </c>
      <c r="C1132" s="2" t="str">
        <f t="shared" si="35"/>
        <v>LIM333</v>
      </c>
      <c r="D1132" s="2">
        <v>514</v>
      </c>
      <c r="F1132" s="2451"/>
      <c r="G1132" s="2451"/>
      <c r="H1132" s="2451"/>
      <c r="I1132" s="2451"/>
      <c r="J1132" s="2451"/>
      <c r="K1132" s="2451"/>
      <c r="L1132" s="2451"/>
      <c r="M1132" s="2452"/>
      <c r="N1132" s="2452"/>
      <c r="O1132" s="2452"/>
      <c r="P1132" s="2452"/>
      <c r="Q1132" s="2452"/>
      <c r="W1132" t="s">
        <v>2062</v>
      </c>
    </row>
    <row r="1133" spans="1:23" ht="13.15" customHeight="1">
      <c r="A1133" s="2" t="s">
        <v>2214</v>
      </c>
      <c r="B1133" s="2">
        <f t="shared" si="34"/>
        <v>2020</v>
      </c>
      <c r="C1133" s="2" t="str">
        <f t="shared" si="35"/>
        <v>LIM333</v>
      </c>
      <c r="D1133" s="2">
        <v>515</v>
      </c>
      <c r="F1133" s="2451"/>
      <c r="G1133" s="2451"/>
      <c r="H1133" s="2451"/>
      <c r="I1133" s="2451"/>
      <c r="J1133" s="2451"/>
      <c r="K1133" s="2451"/>
      <c r="L1133" s="2451"/>
      <c r="M1133" s="2452"/>
      <c r="N1133" s="2452"/>
      <c r="O1133" s="2452"/>
      <c r="P1133" s="2452"/>
      <c r="Q1133" s="2452"/>
      <c r="W1133" t="s">
        <v>2062</v>
      </c>
    </row>
    <row r="1134" spans="1:23" ht="13.15" customHeight="1">
      <c r="A1134" s="2" t="s">
        <v>2214</v>
      </c>
      <c r="B1134" s="2">
        <f t="shared" si="34"/>
        <v>2020</v>
      </c>
      <c r="C1134" s="2" t="str">
        <f t="shared" si="35"/>
        <v>LIM333</v>
      </c>
      <c r="D1134" s="2">
        <v>516</v>
      </c>
      <c r="F1134" s="2451"/>
      <c r="G1134" s="2451"/>
      <c r="H1134" s="2451"/>
      <c r="I1134" s="2451"/>
      <c r="J1134" s="2451"/>
      <c r="K1134" s="2451"/>
      <c r="L1134" s="2451"/>
      <c r="M1134" s="2452"/>
      <c r="N1134" s="2452"/>
      <c r="O1134" s="2452"/>
      <c r="P1134" s="2452"/>
      <c r="Q1134" s="2452"/>
      <c r="W1134" t="s">
        <v>2062</v>
      </c>
    </row>
    <row r="1135" spans="1:23" ht="13.15" customHeight="1">
      <c r="A1135" s="2" t="s">
        <v>2214</v>
      </c>
      <c r="B1135" s="2">
        <f t="shared" si="34"/>
        <v>2020</v>
      </c>
      <c r="C1135" s="2" t="str">
        <f t="shared" si="35"/>
        <v>LIM333</v>
      </c>
      <c r="D1135" s="2">
        <v>517</v>
      </c>
      <c r="F1135" s="2451"/>
      <c r="G1135" s="2451"/>
      <c r="H1135" s="2451"/>
      <c r="I1135" s="2451"/>
      <c r="J1135" s="2451"/>
      <c r="K1135" s="2451"/>
      <c r="L1135" s="2451"/>
      <c r="M1135" s="2452"/>
      <c r="N1135" s="2452"/>
      <c r="O1135" s="2452"/>
      <c r="P1135" s="2452"/>
      <c r="Q1135" s="2452"/>
      <c r="W1135" t="s">
        <v>2062</v>
      </c>
    </row>
    <row r="1136" spans="1:23" ht="13.15" customHeight="1">
      <c r="A1136" s="2" t="s">
        <v>2214</v>
      </c>
      <c r="B1136" s="2">
        <f t="shared" si="34"/>
        <v>2020</v>
      </c>
      <c r="C1136" s="2" t="str">
        <f t="shared" si="35"/>
        <v>LIM333</v>
      </c>
      <c r="D1136" s="2">
        <v>518</v>
      </c>
      <c r="F1136" s="2451"/>
      <c r="G1136" s="2451"/>
      <c r="H1136" s="2451"/>
      <c r="I1136" s="2451"/>
      <c r="J1136" s="2451"/>
      <c r="K1136" s="2451"/>
      <c r="L1136" s="2451"/>
      <c r="M1136" s="2452"/>
      <c r="N1136" s="2452"/>
      <c r="O1136" s="2452"/>
      <c r="P1136" s="2452"/>
      <c r="Q1136" s="2452"/>
      <c r="W1136" t="s">
        <v>2062</v>
      </c>
    </row>
    <row r="1137" spans="1:23" ht="13.15" customHeight="1">
      <c r="A1137" s="2" t="s">
        <v>2214</v>
      </c>
      <c r="B1137" s="2">
        <f t="shared" si="34"/>
        <v>2020</v>
      </c>
      <c r="C1137" s="2" t="str">
        <f t="shared" si="35"/>
        <v>LIM333</v>
      </c>
      <c r="D1137" s="2">
        <v>519</v>
      </c>
      <c r="F1137" s="2451"/>
      <c r="G1137" s="2451"/>
      <c r="H1137" s="2451"/>
      <c r="I1137" s="2451"/>
      <c r="J1137" s="2451"/>
      <c r="K1137" s="2451"/>
      <c r="L1137" s="2451"/>
      <c r="M1137" s="2452"/>
      <c r="N1137" s="2452"/>
      <c r="O1137" s="2452"/>
      <c r="P1137" s="2452"/>
      <c r="Q1137" s="2452"/>
      <c r="W1137" t="s">
        <v>2062</v>
      </c>
    </row>
    <row r="1138" spans="1:23" ht="13.15" customHeight="1">
      <c r="A1138" s="2" t="s">
        <v>2214</v>
      </c>
      <c r="B1138" s="2">
        <f t="shared" si="34"/>
        <v>2020</v>
      </c>
      <c r="C1138" s="2" t="str">
        <f t="shared" si="35"/>
        <v>LIM333</v>
      </c>
      <c r="D1138" s="2">
        <v>520</v>
      </c>
      <c r="F1138" s="2451"/>
      <c r="G1138" s="2451"/>
      <c r="H1138" s="2451"/>
      <c r="I1138" s="2451"/>
      <c r="J1138" s="2451"/>
      <c r="K1138" s="2451"/>
      <c r="L1138" s="2451"/>
      <c r="M1138" s="2452"/>
      <c r="N1138" s="2452"/>
      <c r="O1138" s="2452"/>
      <c r="P1138" s="2452"/>
      <c r="Q1138" s="2452"/>
      <c r="W1138" t="s">
        <v>2062</v>
      </c>
    </row>
    <row r="1139" spans="1:23" ht="13.15" customHeight="1">
      <c r="A1139" s="2" t="s">
        <v>2214</v>
      </c>
      <c r="B1139" s="2">
        <f t="shared" si="34"/>
        <v>2020</v>
      </c>
      <c r="C1139" s="2" t="str">
        <f t="shared" si="35"/>
        <v>LIM333</v>
      </c>
      <c r="D1139" s="2">
        <v>521</v>
      </c>
      <c r="F1139" s="2451"/>
      <c r="G1139" s="2451"/>
      <c r="H1139" s="2451"/>
      <c r="I1139" s="2451"/>
      <c r="J1139" s="2451"/>
      <c r="K1139" s="2451"/>
      <c r="L1139" s="2451"/>
      <c r="M1139" s="2452"/>
      <c r="N1139" s="2452"/>
      <c r="O1139" s="2452"/>
      <c r="P1139" s="2452"/>
      <c r="Q1139" s="2452"/>
      <c r="W1139" t="s">
        <v>2062</v>
      </c>
    </row>
    <row r="1140" spans="1:23" ht="13.15" customHeight="1">
      <c r="A1140" s="2" t="s">
        <v>2214</v>
      </c>
      <c r="B1140" s="2">
        <f t="shared" si="34"/>
        <v>2020</v>
      </c>
      <c r="C1140" s="2" t="str">
        <f t="shared" si="35"/>
        <v>LIM333</v>
      </c>
      <c r="D1140" s="2">
        <v>522</v>
      </c>
      <c r="F1140" s="2451"/>
      <c r="G1140" s="2451"/>
      <c r="H1140" s="2451"/>
      <c r="I1140" s="2451"/>
      <c r="J1140" s="2451"/>
      <c r="K1140" s="2451"/>
      <c r="L1140" s="2451"/>
      <c r="M1140" s="2452"/>
      <c r="N1140" s="2452"/>
      <c r="O1140" s="2452"/>
      <c r="P1140" s="2452"/>
      <c r="Q1140" s="2452"/>
      <c r="W1140" t="s">
        <v>2062</v>
      </c>
    </row>
    <row r="1141" spans="1:23" ht="13.15" customHeight="1">
      <c r="A1141" s="2" t="s">
        <v>2214</v>
      </c>
      <c r="B1141" s="2">
        <f t="shared" si="34"/>
        <v>2020</v>
      </c>
      <c r="C1141" s="2" t="str">
        <f t="shared" si="35"/>
        <v>LIM333</v>
      </c>
      <c r="D1141" s="2">
        <v>523</v>
      </c>
      <c r="F1141" s="2451"/>
      <c r="G1141" s="2451"/>
      <c r="H1141" s="2451"/>
      <c r="I1141" s="2451"/>
      <c r="J1141" s="2451"/>
      <c r="K1141" s="2451"/>
      <c r="L1141" s="2451"/>
      <c r="M1141" s="2452"/>
      <c r="N1141" s="2452"/>
      <c r="O1141" s="2452"/>
      <c r="P1141" s="2452"/>
      <c r="Q1141" s="2452"/>
      <c r="W1141" t="s">
        <v>2062</v>
      </c>
    </row>
    <row r="1142" spans="1:23" ht="13.15" customHeight="1">
      <c r="A1142" s="2" t="s">
        <v>2214</v>
      </c>
      <c r="B1142" s="2">
        <f t="shared" si="34"/>
        <v>2020</v>
      </c>
      <c r="C1142" s="2" t="str">
        <f t="shared" si="35"/>
        <v>LIM333</v>
      </c>
      <c r="D1142" s="2">
        <v>524</v>
      </c>
      <c r="F1142" s="2451"/>
      <c r="G1142" s="2451"/>
      <c r="H1142" s="2451"/>
      <c r="I1142" s="2451"/>
      <c r="J1142" s="2451"/>
      <c r="K1142" s="2451"/>
      <c r="L1142" s="2451"/>
      <c r="M1142" s="2452"/>
      <c r="N1142" s="2452"/>
      <c r="O1142" s="2452"/>
      <c r="P1142" s="2452"/>
      <c r="Q1142" s="2452"/>
      <c r="W1142" t="s">
        <v>2062</v>
      </c>
    </row>
    <row r="1143" spans="1:23" ht="13.15" customHeight="1">
      <c r="A1143" s="2" t="s">
        <v>2214</v>
      </c>
      <c r="B1143" s="2">
        <f t="shared" si="34"/>
        <v>2020</v>
      </c>
      <c r="C1143" s="2" t="str">
        <f t="shared" si="35"/>
        <v>LIM333</v>
      </c>
      <c r="D1143" s="2">
        <v>525</v>
      </c>
      <c r="F1143" s="2451"/>
      <c r="G1143" s="2451"/>
      <c r="H1143" s="2451"/>
      <c r="I1143" s="2451"/>
      <c r="J1143" s="2451"/>
      <c r="K1143" s="2451"/>
      <c r="L1143" s="2451"/>
      <c r="M1143" s="2452"/>
      <c r="N1143" s="2452"/>
      <c r="O1143" s="2452"/>
      <c r="P1143" s="2452"/>
      <c r="Q1143" s="2452"/>
      <c r="W1143" t="s">
        <v>2062</v>
      </c>
    </row>
    <row r="1144" spans="1:23" ht="13.15" customHeight="1">
      <c r="A1144" s="2" t="s">
        <v>2214</v>
      </c>
      <c r="B1144" s="2">
        <f t="shared" si="34"/>
        <v>2020</v>
      </c>
      <c r="C1144" s="2" t="str">
        <f t="shared" si="35"/>
        <v>LIM333</v>
      </c>
      <c r="D1144" s="2">
        <v>526</v>
      </c>
      <c r="F1144" s="2451"/>
      <c r="G1144" s="2451"/>
      <c r="H1144" s="2451"/>
      <c r="I1144" s="2451"/>
      <c r="J1144" s="2451"/>
      <c r="K1144" s="2451"/>
      <c r="L1144" s="2451"/>
      <c r="M1144" s="2452"/>
      <c r="N1144" s="2452"/>
      <c r="O1144" s="2452"/>
      <c r="P1144" s="2452"/>
      <c r="Q1144" s="2452"/>
      <c r="W1144" t="s">
        <v>2062</v>
      </c>
    </row>
    <row r="1145" spans="1:23" ht="13.15" customHeight="1">
      <c r="A1145" s="2" t="s">
        <v>2214</v>
      </c>
      <c r="B1145" s="2">
        <f t="shared" si="34"/>
        <v>2020</v>
      </c>
      <c r="C1145" s="2" t="str">
        <f t="shared" si="35"/>
        <v>LIM333</v>
      </c>
      <c r="D1145" s="2">
        <v>527</v>
      </c>
      <c r="F1145" s="2451"/>
      <c r="G1145" s="2451"/>
      <c r="H1145" s="2451"/>
      <c r="I1145" s="2451"/>
      <c r="J1145" s="2451"/>
      <c r="K1145" s="2451"/>
      <c r="L1145" s="2451"/>
      <c r="M1145" s="2452"/>
      <c r="N1145" s="2452"/>
      <c r="O1145" s="2452"/>
      <c r="P1145" s="2452"/>
      <c r="Q1145" s="2452"/>
      <c r="W1145" t="s">
        <v>2062</v>
      </c>
    </row>
    <row r="1146" spans="1:23" ht="13.15" customHeight="1">
      <c r="A1146" s="2" t="s">
        <v>2214</v>
      </c>
      <c r="B1146" s="2">
        <f t="shared" si="34"/>
        <v>2020</v>
      </c>
      <c r="C1146" s="2" t="str">
        <f t="shared" si="35"/>
        <v>LIM333</v>
      </c>
      <c r="D1146" s="2">
        <v>528</v>
      </c>
      <c r="F1146" s="2451"/>
      <c r="G1146" s="2451"/>
      <c r="H1146" s="2451"/>
      <c r="I1146" s="2451"/>
      <c r="J1146" s="2451"/>
      <c r="K1146" s="2451"/>
      <c r="L1146" s="2451"/>
      <c r="M1146" s="2452"/>
      <c r="N1146" s="2452"/>
      <c r="O1146" s="2452"/>
      <c r="P1146" s="2452"/>
      <c r="Q1146" s="2452"/>
      <c r="W1146" t="s">
        <v>2062</v>
      </c>
    </row>
    <row r="1147" spans="1:23" ht="13.15" customHeight="1">
      <c r="A1147" s="2" t="s">
        <v>2214</v>
      </c>
      <c r="B1147" s="2">
        <f t="shared" si="34"/>
        <v>2020</v>
      </c>
      <c r="C1147" s="2" t="str">
        <f t="shared" si="35"/>
        <v>LIM333</v>
      </c>
      <c r="D1147" s="2">
        <v>529</v>
      </c>
      <c r="F1147" s="2451"/>
      <c r="G1147" s="2451"/>
      <c r="H1147" s="2451"/>
      <c r="I1147" s="2451"/>
      <c r="J1147" s="2451"/>
      <c r="K1147" s="2451"/>
      <c r="L1147" s="2451"/>
      <c r="M1147" s="2452"/>
      <c r="N1147" s="2452"/>
      <c r="O1147" s="2452"/>
      <c r="P1147" s="2452"/>
      <c r="Q1147" s="2452"/>
      <c r="W1147" t="s">
        <v>2062</v>
      </c>
    </row>
    <row r="1148" spans="1:23" ht="13.15" customHeight="1">
      <c r="A1148" s="2" t="s">
        <v>2214</v>
      </c>
      <c r="B1148" s="2">
        <f t="shared" si="34"/>
        <v>2020</v>
      </c>
      <c r="C1148" s="2" t="str">
        <f t="shared" si="35"/>
        <v>LIM333</v>
      </c>
      <c r="D1148" s="2">
        <v>530</v>
      </c>
      <c r="F1148" s="2451"/>
      <c r="G1148" s="2451"/>
      <c r="H1148" s="2451"/>
      <c r="I1148" s="2451"/>
      <c r="J1148" s="2451"/>
      <c r="K1148" s="2451"/>
      <c r="L1148" s="2451"/>
      <c r="M1148" s="2452"/>
      <c r="N1148" s="2452"/>
      <c r="O1148" s="2452"/>
      <c r="P1148" s="2452"/>
      <c r="Q1148" s="2452"/>
      <c r="W1148" t="s">
        <v>2062</v>
      </c>
    </row>
    <row r="1149" spans="1:23" ht="13.15" customHeight="1">
      <c r="A1149" s="2" t="s">
        <v>2214</v>
      </c>
      <c r="B1149" s="2">
        <f t="shared" si="34"/>
        <v>2020</v>
      </c>
      <c r="C1149" s="2" t="str">
        <f t="shared" si="35"/>
        <v>LIM333</v>
      </c>
      <c r="D1149" s="2">
        <v>531</v>
      </c>
      <c r="F1149" s="2451"/>
      <c r="G1149" s="2451"/>
      <c r="H1149" s="2451"/>
      <c r="I1149" s="2451"/>
      <c r="J1149" s="2451"/>
      <c r="K1149" s="2451"/>
      <c r="L1149" s="2451"/>
      <c r="M1149" s="2452"/>
      <c r="N1149" s="2452"/>
      <c r="O1149" s="2452"/>
      <c r="P1149" s="2452"/>
      <c r="Q1149" s="2452"/>
      <c r="W1149" t="s">
        <v>2062</v>
      </c>
    </row>
    <row r="1150" spans="1:23" ht="13.15" customHeight="1">
      <c r="A1150" s="2" t="s">
        <v>2214</v>
      </c>
      <c r="B1150" s="2">
        <f t="shared" si="34"/>
        <v>2020</v>
      </c>
      <c r="C1150" s="2" t="str">
        <f t="shared" si="35"/>
        <v>LIM333</v>
      </c>
      <c r="D1150" s="2">
        <v>532</v>
      </c>
      <c r="F1150" s="2451"/>
      <c r="G1150" s="2451"/>
      <c r="H1150" s="2451"/>
      <c r="I1150" s="2451"/>
      <c r="J1150" s="2451"/>
      <c r="K1150" s="2451"/>
      <c r="L1150" s="2451"/>
      <c r="M1150" s="2452"/>
      <c r="N1150" s="2452"/>
      <c r="O1150" s="2452"/>
      <c r="P1150" s="2452"/>
      <c r="Q1150" s="2452"/>
      <c r="W1150" t="s">
        <v>2062</v>
      </c>
    </row>
    <row r="1151" spans="1:23" ht="13.15" customHeight="1">
      <c r="A1151" s="2" t="s">
        <v>2214</v>
      </c>
      <c r="B1151" s="2">
        <f t="shared" si="34"/>
        <v>2020</v>
      </c>
      <c r="C1151" s="2" t="str">
        <f t="shared" si="35"/>
        <v>LIM333</v>
      </c>
      <c r="D1151" s="2">
        <v>533</v>
      </c>
      <c r="F1151" s="2451"/>
      <c r="G1151" s="2451"/>
      <c r="H1151" s="2451"/>
      <c r="I1151" s="2451"/>
      <c r="J1151" s="2451"/>
      <c r="K1151" s="2451"/>
      <c r="L1151" s="2451"/>
      <c r="M1151" s="2452"/>
      <c r="N1151" s="2452"/>
      <c r="O1151" s="2452"/>
      <c r="P1151" s="2452"/>
      <c r="Q1151" s="2452"/>
      <c r="W1151" t="s">
        <v>2062</v>
      </c>
    </row>
    <row r="1152" spans="1:23" ht="13.15" customHeight="1">
      <c r="A1152" s="2" t="s">
        <v>2214</v>
      </c>
      <c r="B1152" s="2">
        <f t="shared" si="34"/>
        <v>2020</v>
      </c>
      <c r="C1152" s="2" t="str">
        <f t="shared" si="35"/>
        <v>LIM333</v>
      </c>
      <c r="D1152" s="2">
        <v>534</v>
      </c>
      <c r="F1152" s="2451"/>
      <c r="G1152" s="2451"/>
      <c r="H1152" s="2451"/>
      <c r="I1152" s="2451"/>
      <c r="J1152" s="2451"/>
      <c r="K1152" s="2451"/>
      <c r="L1152" s="2451"/>
      <c r="M1152" s="2452"/>
      <c r="N1152" s="2452"/>
      <c r="O1152" s="2452"/>
      <c r="P1152" s="2452"/>
      <c r="Q1152" s="2452"/>
      <c r="W1152" t="s">
        <v>2062</v>
      </c>
    </row>
    <row r="1153" spans="1:23" ht="13.15" customHeight="1">
      <c r="A1153" s="2" t="s">
        <v>2214</v>
      </c>
      <c r="B1153" s="2">
        <f t="shared" si="34"/>
        <v>2020</v>
      </c>
      <c r="C1153" s="2" t="str">
        <f t="shared" si="35"/>
        <v>LIM333</v>
      </c>
      <c r="D1153" s="2">
        <v>535</v>
      </c>
      <c r="F1153" s="2451"/>
      <c r="G1153" s="2451"/>
      <c r="H1153" s="2451"/>
      <c r="I1153" s="2451"/>
      <c r="J1153" s="2451"/>
      <c r="K1153" s="2451"/>
      <c r="L1153" s="2451"/>
      <c r="M1153" s="2452"/>
      <c r="N1153" s="2452"/>
      <c r="O1153" s="2452"/>
      <c r="P1153" s="2452"/>
      <c r="Q1153" s="2452"/>
      <c r="W1153" t="s">
        <v>2062</v>
      </c>
    </row>
    <row r="1154" spans="1:23" ht="13.15" customHeight="1">
      <c r="A1154" s="2" t="s">
        <v>2214</v>
      </c>
      <c r="B1154" s="2">
        <f t="shared" ref="B1154:B1217" si="36">+MTREF</f>
        <v>2020</v>
      </c>
      <c r="C1154" s="2" t="str">
        <f t="shared" ref="C1154:C1217" si="37">LEFT(muni,(FIND(" ",muni,1)-1))</f>
        <v>LIM333</v>
      </c>
      <c r="D1154" s="2">
        <v>536</v>
      </c>
      <c r="F1154" s="2451"/>
      <c r="G1154" s="2451"/>
      <c r="H1154" s="2451"/>
      <c r="I1154" s="2451"/>
      <c r="J1154" s="2451"/>
      <c r="K1154" s="2451"/>
      <c r="L1154" s="2451"/>
      <c r="M1154" s="2452"/>
      <c r="N1154" s="2452"/>
      <c r="O1154" s="2452"/>
      <c r="P1154" s="2452"/>
      <c r="Q1154" s="2452"/>
      <c r="W1154" t="s">
        <v>2062</v>
      </c>
    </row>
    <row r="1155" spans="1:23" ht="13.15" customHeight="1">
      <c r="A1155" s="2" t="s">
        <v>2214</v>
      </c>
      <c r="B1155" s="2">
        <f t="shared" si="36"/>
        <v>2020</v>
      </c>
      <c r="C1155" s="2" t="str">
        <f t="shared" si="37"/>
        <v>LIM333</v>
      </c>
      <c r="D1155" s="2">
        <v>537</v>
      </c>
      <c r="F1155" s="2451"/>
      <c r="G1155" s="2451"/>
      <c r="H1155" s="2451"/>
      <c r="I1155" s="2451"/>
      <c r="J1155" s="2451"/>
      <c r="K1155" s="2451"/>
      <c r="L1155" s="2451"/>
      <c r="M1155" s="2452"/>
      <c r="N1155" s="2452"/>
      <c r="O1155" s="2452"/>
      <c r="P1155" s="2452"/>
      <c r="Q1155" s="2452"/>
      <c r="W1155" t="s">
        <v>2062</v>
      </c>
    </row>
    <row r="1156" spans="1:23" ht="13.15" customHeight="1">
      <c r="A1156" s="2" t="s">
        <v>2214</v>
      </c>
      <c r="B1156" s="2">
        <f t="shared" si="36"/>
        <v>2020</v>
      </c>
      <c r="C1156" s="2" t="str">
        <f t="shared" si="37"/>
        <v>LIM333</v>
      </c>
      <c r="D1156" s="2">
        <v>538</v>
      </c>
      <c r="F1156" s="2451"/>
      <c r="G1156" s="2451"/>
      <c r="H1156" s="2451"/>
      <c r="I1156" s="2451"/>
      <c r="J1156" s="2451"/>
      <c r="K1156" s="2451"/>
      <c r="L1156" s="2451"/>
      <c r="M1156" s="2452"/>
      <c r="N1156" s="2452"/>
      <c r="O1156" s="2452"/>
      <c r="P1156" s="2452"/>
      <c r="Q1156" s="2452"/>
      <c r="W1156" t="s">
        <v>2062</v>
      </c>
    </row>
    <row r="1157" spans="1:23" ht="13.15" customHeight="1">
      <c r="A1157" s="2" t="s">
        <v>2214</v>
      </c>
      <c r="B1157" s="2">
        <f t="shared" si="36"/>
        <v>2020</v>
      </c>
      <c r="C1157" s="2" t="str">
        <f t="shared" si="37"/>
        <v>LIM333</v>
      </c>
      <c r="D1157" s="2">
        <v>539</v>
      </c>
      <c r="F1157" s="2451"/>
      <c r="G1157" s="2451"/>
      <c r="H1157" s="2451"/>
      <c r="I1157" s="2451"/>
      <c r="J1157" s="2451"/>
      <c r="K1157" s="2451"/>
      <c r="L1157" s="2451"/>
      <c r="M1157" s="2452"/>
      <c r="N1157" s="2452"/>
      <c r="O1157" s="2452"/>
      <c r="P1157" s="2452"/>
      <c r="Q1157" s="2452"/>
      <c r="W1157" t="s">
        <v>2062</v>
      </c>
    </row>
    <row r="1158" spans="1:23" ht="13.15" customHeight="1">
      <c r="A1158" s="2" t="s">
        <v>2214</v>
      </c>
      <c r="B1158" s="2">
        <f t="shared" si="36"/>
        <v>2020</v>
      </c>
      <c r="C1158" s="2" t="str">
        <f t="shared" si="37"/>
        <v>LIM333</v>
      </c>
      <c r="D1158" s="2">
        <v>540</v>
      </c>
      <c r="F1158" s="2451"/>
      <c r="G1158" s="2451"/>
      <c r="H1158" s="2451"/>
      <c r="I1158" s="2451"/>
      <c r="J1158" s="2451"/>
      <c r="K1158" s="2451"/>
      <c r="L1158" s="2451"/>
      <c r="M1158" s="2452"/>
      <c r="N1158" s="2452"/>
      <c r="O1158" s="2452"/>
      <c r="P1158" s="2452"/>
      <c r="Q1158" s="2452"/>
      <c r="W1158" t="s">
        <v>2062</v>
      </c>
    </row>
    <row r="1159" spans="1:23" ht="13.15" customHeight="1">
      <c r="A1159" s="2" t="s">
        <v>2214</v>
      </c>
      <c r="B1159" s="2">
        <f t="shared" si="36"/>
        <v>2020</v>
      </c>
      <c r="C1159" s="2" t="str">
        <f t="shared" si="37"/>
        <v>LIM333</v>
      </c>
      <c r="D1159" s="2">
        <v>541</v>
      </c>
      <c r="F1159" s="2451"/>
      <c r="G1159" s="2451"/>
      <c r="H1159" s="2451"/>
      <c r="I1159" s="2451"/>
      <c r="J1159" s="2451"/>
      <c r="K1159" s="2451"/>
      <c r="L1159" s="2451"/>
      <c r="M1159" s="2452"/>
      <c r="N1159" s="2452"/>
      <c r="O1159" s="2452"/>
      <c r="P1159" s="2452"/>
      <c r="Q1159" s="2452"/>
      <c r="W1159" t="s">
        <v>2062</v>
      </c>
    </row>
    <row r="1160" spans="1:23" ht="13.15" customHeight="1">
      <c r="A1160" s="2" t="s">
        <v>2214</v>
      </c>
      <c r="B1160" s="2">
        <f t="shared" si="36"/>
        <v>2020</v>
      </c>
      <c r="C1160" s="2" t="str">
        <f t="shared" si="37"/>
        <v>LIM333</v>
      </c>
      <c r="D1160" s="2">
        <v>542</v>
      </c>
      <c r="F1160" s="2451"/>
      <c r="G1160" s="2451"/>
      <c r="H1160" s="2451"/>
      <c r="I1160" s="2451"/>
      <c r="J1160" s="2451"/>
      <c r="K1160" s="2451"/>
      <c r="L1160" s="2451"/>
      <c r="M1160" s="2452"/>
      <c r="N1160" s="2452"/>
      <c r="O1160" s="2452"/>
      <c r="P1160" s="2452"/>
      <c r="Q1160" s="2452"/>
      <c r="W1160" t="s">
        <v>2062</v>
      </c>
    </row>
    <row r="1161" spans="1:23" ht="13.15" customHeight="1">
      <c r="A1161" s="2" t="s">
        <v>2214</v>
      </c>
      <c r="B1161" s="2">
        <f t="shared" si="36"/>
        <v>2020</v>
      </c>
      <c r="C1161" s="2" t="str">
        <f t="shared" si="37"/>
        <v>LIM333</v>
      </c>
      <c r="D1161" s="2">
        <v>543</v>
      </c>
      <c r="F1161" s="2451"/>
      <c r="G1161" s="2451"/>
      <c r="H1161" s="2451"/>
      <c r="I1161" s="2451"/>
      <c r="J1161" s="2451"/>
      <c r="K1161" s="2451"/>
      <c r="L1161" s="2451"/>
      <c r="M1161" s="2452"/>
      <c r="N1161" s="2452"/>
      <c r="O1161" s="2452"/>
      <c r="P1161" s="2452"/>
      <c r="Q1161" s="2452"/>
      <c r="W1161" t="s">
        <v>2062</v>
      </c>
    </row>
    <row r="1162" spans="1:23" ht="13.15" customHeight="1">
      <c r="A1162" s="2" t="s">
        <v>2214</v>
      </c>
      <c r="B1162" s="2">
        <f t="shared" si="36"/>
        <v>2020</v>
      </c>
      <c r="C1162" s="2" t="str">
        <f t="shared" si="37"/>
        <v>LIM333</v>
      </c>
      <c r="D1162" s="2">
        <v>544</v>
      </c>
      <c r="F1162" s="2451"/>
      <c r="G1162" s="2451"/>
      <c r="H1162" s="2451"/>
      <c r="I1162" s="2451"/>
      <c r="J1162" s="2451"/>
      <c r="K1162" s="2451"/>
      <c r="L1162" s="2451"/>
      <c r="M1162" s="2452"/>
      <c r="N1162" s="2452"/>
      <c r="O1162" s="2452"/>
      <c r="P1162" s="2452"/>
      <c r="Q1162" s="2452"/>
      <c r="W1162" t="s">
        <v>2062</v>
      </c>
    </row>
    <row r="1163" spans="1:23" ht="13.15" customHeight="1">
      <c r="A1163" s="2" t="s">
        <v>2214</v>
      </c>
      <c r="B1163" s="2">
        <f t="shared" si="36"/>
        <v>2020</v>
      </c>
      <c r="C1163" s="2" t="str">
        <f t="shared" si="37"/>
        <v>LIM333</v>
      </c>
      <c r="D1163" s="2">
        <v>545</v>
      </c>
      <c r="F1163" s="2451"/>
      <c r="G1163" s="2451"/>
      <c r="H1163" s="2451"/>
      <c r="I1163" s="2451"/>
      <c r="J1163" s="2451"/>
      <c r="K1163" s="2451"/>
      <c r="L1163" s="2451"/>
      <c r="M1163" s="2452"/>
      <c r="N1163" s="2452"/>
      <c r="O1163" s="2452"/>
      <c r="P1163" s="2452"/>
      <c r="Q1163" s="2452"/>
      <c r="W1163" t="s">
        <v>2062</v>
      </c>
    </row>
    <row r="1164" spans="1:23" ht="13.15" customHeight="1">
      <c r="A1164" s="2" t="s">
        <v>2214</v>
      </c>
      <c r="B1164" s="2">
        <f t="shared" si="36"/>
        <v>2020</v>
      </c>
      <c r="C1164" s="2" t="str">
        <f t="shared" si="37"/>
        <v>LIM333</v>
      </c>
      <c r="D1164" s="2">
        <v>546</v>
      </c>
      <c r="F1164" s="2451"/>
      <c r="G1164" s="2451"/>
      <c r="H1164" s="2451"/>
      <c r="I1164" s="2451"/>
      <c r="J1164" s="2451"/>
      <c r="K1164" s="2451"/>
      <c r="L1164" s="2451"/>
      <c r="M1164" s="2452"/>
      <c r="N1164" s="2452"/>
      <c r="O1164" s="2452"/>
      <c r="P1164" s="2452"/>
      <c r="Q1164" s="2452"/>
      <c r="W1164" t="s">
        <v>2062</v>
      </c>
    </row>
    <row r="1165" spans="1:23" ht="13.15" customHeight="1">
      <c r="A1165" s="2" t="s">
        <v>2214</v>
      </c>
      <c r="B1165" s="2">
        <f t="shared" si="36"/>
        <v>2020</v>
      </c>
      <c r="C1165" s="2" t="str">
        <f t="shared" si="37"/>
        <v>LIM333</v>
      </c>
      <c r="D1165" s="2">
        <v>547</v>
      </c>
      <c r="F1165" s="2451"/>
      <c r="G1165" s="2451"/>
      <c r="H1165" s="2451"/>
      <c r="I1165" s="2451"/>
      <c r="J1165" s="2451"/>
      <c r="K1165" s="2451"/>
      <c r="L1165" s="2451"/>
      <c r="M1165" s="2452"/>
      <c r="N1165" s="2452"/>
      <c r="O1165" s="2452"/>
      <c r="P1165" s="2452"/>
      <c r="Q1165" s="2452"/>
      <c r="W1165" t="s">
        <v>2062</v>
      </c>
    </row>
    <row r="1166" spans="1:23" ht="13.15" customHeight="1">
      <c r="A1166" s="2" t="s">
        <v>2214</v>
      </c>
      <c r="B1166" s="2">
        <f t="shared" si="36"/>
        <v>2020</v>
      </c>
      <c r="C1166" s="2" t="str">
        <f t="shared" si="37"/>
        <v>LIM333</v>
      </c>
      <c r="D1166" s="2">
        <v>548</v>
      </c>
      <c r="F1166" s="2451"/>
      <c r="G1166" s="2451"/>
      <c r="H1166" s="2451"/>
      <c r="I1166" s="2451"/>
      <c r="J1166" s="2451"/>
      <c r="K1166" s="2451"/>
      <c r="L1166" s="2451"/>
      <c r="M1166" s="2452"/>
      <c r="N1166" s="2452"/>
      <c r="O1166" s="2452"/>
      <c r="P1166" s="2452"/>
      <c r="Q1166" s="2452"/>
      <c r="W1166" t="s">
        <v>2062</v>
      </c>
    </row>
    <row r="1167" spans="1:23" ht="13.15" customHeight="1">
      <c r="A1167" s="2" t="s">
        <v>2214</v>
      </c>
      <c r="B1167" s="2">
        <f t="shared" si="36"/>
        <v>2020</v>
      </c>
      <c r="C1167" s="2" t="str">
        <f t="shared" si="37"/>
        <v>LIM333</v>
      </c>
      <c r="D1167" s="2">
        <v>549</v>
      </c>
      <c r="F1167" s="2451"/>
      <c r="G1167" s="2451"/>
      <c r="H1167" s="2451"/>
      <c r="I1167" s="2451"/>
      <c r="J1167" s="2451"/>
      <c r="K1167" s="2451"/>
      <c r="L1167" s="2451"/>
      <c r="M1167" s="2452"/>
      <c r="N1167" s="2452"/>
      <c r="O1167" s="2452"/>
      <c r="P1167" s="2452"/>
      <c r="Q1167" s="2452"/>
      <c r="W1167" t="s">
        <v>2062</v>
      </c>
    </row>
    <row r="1168" spans="1:23" ht="13.15" customHeight="1">
      <c r="A1168" s="2" t="s">
        <v>2214</v>
      </c>
      <c r="B1168" s="2">
        <f t="shared" si="36"/>
        <v>2020</v>
      </c>
      <c r="C1168" s="2" t="str">
        <f t="shared" si="37"/>
        <v>LIM333</v>
      </c>
      <c r="D1168" s="2">
        <v>550</v>
      </c>
      <c r="F1168" s="2451"/>
      <c r="G1168" s="2451"/>
      <c r="H1168" s="2451"/>
      <c r="I1168" s="2451"/>
      <c r="J1168" s="2451"/>
      <c r="K1168" s="2451"/>
      <c r="L1168" s="2451"/>
      <c r="M1168" s="2452"/>
      <c r="N1168" s="2452"/>
      <c r="O1168" s="2452"/>
      <c r="P1168" s="2452"/>
      <c r="Q1168" s="2452"/>
      <c r="W1168" t="s">
        <v>2062</v>
      </c>
    </row>
    <row r="1169" spans="1:23" ht="13.15" customHeight="1">
      <c r="A1169" s="2" t="s">
        <v>2214</v>
      </c>
      <c r="B1169" s="2">
        <f t="shared" si="36"/>
        <v>2020</v>
      </c>
      <c r="C1169" s="2" t="str">
        <f t="shared" si="37"/>
        <v>LIM333</v>
      </c>
      <c r="D1169" s="2">
        <v>551</v>
      </c>
      <c r="F1169" s="2451"/>
      <c r="G1169" s="2451"/>
      <c r="H1169" s="2451"/>
      <c r="I1169" s="2451"/>
      <c r="J1169" s="2451"/>
      <c r="K1169" s="2451"/>
      <c r="L1169" s="2451"/>
      <c r="M1169" s="2452"/>
      <c r="N1169" s="2452"/>
      <c r="O1169" s="2452"/>
      <c r="P1169" s="2452"/>
      <c r="Q1169" s="2452"/>
      <c r="W1169" t="s">
        <v>2062</v>
      </c>
    </row>
    <row r="1170" spans="1:23" ht="13.15" customHeight="1">
      <c r="A1170" s="2" t="s">
        <v>2214</v>
      </c>
      <c r="B1170" s="2">
        <f t="shared" si="36"/>
        <v>2020</v>
      </c>
      <c r="C1170" s="2" t="str">
        <f t="shared" si="37"/>
        <v>LIM333</v>
      </c>
      <c r="D1170" s="2">
        <v>552</v>
      </c>
      <c r="F1170" s="2451"/>
      <c r="G1170" s="2451"/>
      <c r="H1170" s="2451"/>
      <c r="I1170" s="2451"/>
      <c r="J1170" s="2451"/>
      <c r="K1170" s="2451"/>
      <c r="L1170" s="2451"/>
      <c r="M1170" s="2452"/>
      <c r="N1170" s="2452"/>
      <c r="O1170" s="2452"/>
      <c r="P1170" s="2452"/>
      <c r="Q1170" s="2452"/>
      <c r="W1170" t="s">
        <v>2062</v>
      </c>
    </row>
    <row r="1171" spans="1:23" ht="13.15" customHeight="1">
      <c r="A1171" s="2" t="s">
        <v>2214</v>
      </c>
      <c r="B1171" s="2">
        <f t="shared" si="36"/>
        <v>2020</v>
      </c>
      <c r="C1171" s="2" t="str">
        <f t="shared" si="37"/>
        <v>LIM333</v>
      </c>
      <c r="D1171" s="2">
        <v>553</v>
      </c>
      <c r="F1171" s="2451"/>
      <c r="G1171" s="2451"/>
      <c r="H1171" s="2451"/>
      <c r="I1171" s="2451"/>
      <c r="J1171" s="2451"/>
      <c r="K1171" s="2451"/>
      <c r="L1171" s="2451"/>
      <c r="M1171" s="2452"/>
      <c r="N1171" s="2452"/>
      <c r="O1171" s="2452"/>
      <c r="P1171" s="2452"/>
      <c r="Q1171" s="2452"/>
      <c r="W1171" t="s">
        <v>2062</v>
      </c>
    </row>
    <row r="1172" spans="1:23" ht="13.15" customHeight="1">
      <c r="A1172" s="2" t="s">
        <v>2214</v>
      </c>
      <c r="B1172" s="2">
        <f t="shared" si="36"/>
        <v>2020</v>
      </c>
      <c r="C1172" s="2" t="str">
        <f t="shared" si="37"/>
        <v>LIM333</v>
      </c>
      <c r="D1172" s="2">
        <v>554</v>
      </c>
      <c r="F1172" s="2451"/>
      <c r="G1172" s="2451"/>
      <c r="H1172" s="2451"/>
      <c r="I1172" s="2451"/>
      <c r="J1172" s="2451"/>
      <c r="K1172" s="2451"/>
      <c r="L1172" s="2451"/>
      <c r="M1172" s="2452"/>
      <c r="N1172" s="2452"/>
      <c r="O1172" s="2452"/>
      <c r="P1172" s="2452"/>
      <c r="Q1172" s="2452"/>
      <c r="W1172" t="s">
        <v>2062</v>
      </c>
    </row>
    <row r="1173" spans="1:23" ht="13.15" customHeight="1">
      <c r="A1173" s="2" t="s">
        <v>2214</v>
      </c>
      <c r="B1173" s="2">
        <f t="shared" si="36"/>
        <v>2020</v>
      </c>
      <c r="C1173" s="2" t="str">
        <f t="shared" si="37"/>
        <v>LIM333</v>
      </c>
      <c r="D1173" s="2">
        <v>555</v>
      </c>
      <c r="F1173" s="2451"/>
      <c r="G1173" s="2451"/>
      <c r="H1173" s="2451"/>
      <c r="I1173" s="2451"/>
      <c r="J1173" s="2451"/>
      <c r="K1173" s="2451"/>
      <c r="L1173" s="2451"/>
      <c r="M1173" s="2452"/>
      <c r="N1173" s="2452"/>
      <c r="O1173" s="2452"/>
      <c r="P1173" s="2452"/>
      <c r="Q1173" s="2452"/>
      <c r="W1173" t="s">
        <v>2062</v>
      </c>
    </row>
    <row r="1174" spans="1:23" ht="13.15" customHeight="1">
      <c r="A1174" s="2" t="s">
        <v>2214</v>
      </c>
      <c r="B1174" s="2">
        <f t="shared" si="36"/>
        <v>2020</v>
      </c>
      <c r="C1174" s="2" t="str">
        <f t="shared" si="37"/>
        <v>LIM333</v>
      </c>
      <c r="D1174" s="2">
        <v>556</v>
      </c>
      <c r="F1174" s="2451"/>
      <c r="G1174" s="2451"/>
      <c r="H1174" s="2451"/>
      <c r="I1174" s="2451"/>
      <c r="J1174" s="2451"/>
      <c r="K1174" s="2451"/>
      <c r="L1174" s="2451"/>
      <c r="M1174" s="2452"/>
      <c r="N1174" s="2452"/>
      <c r="O1174" s="2452"/>
      <c r="P1174" s="2452"/>
      <c r="Q1174" s="2452"/>
      <c r="W1174" t="s">
        <v>2062</v>
      </c>
    </row>
    <row r="1175" spans="1:23" ht="13.15" customHeight="1">
      <c r="A1175" s="2" t="s">
        <v>2214</v>
      </c>
      <c r="B1175" s="2">
        <f t="shared" si="36"/>
        <v>2020</v>
      </c>
      <c r="C1175" s="2" t="str">
        <f t="shared" si="37"/>
        <v>LIM333</v>
      </c>
      <c r="D1175" s="2">
        <v>557</v>
      </c>
      <c r="F1175" s="2451"/>
      <c r="G1175" s="2451"/>
      <c r="H1175" s="2451"/>
      <c r="I1175" s="2451"/>
      <c r="J1175" s="2451"/>
      <c r="K1175" s="2451"/>
      <c r="L1175" s="2451"/>
      <c r="M1175" s="2452"/>
      <c r="N1175" s="2452"/>
      <c r="O1175" s="2452"/>
      <c r="P1175" s="2452"/>
      <c r="Q1175" s="2452"/>
      <c r="W1175" t="s">
        <v>2062</v>
      </c>
    </row>
    <row r="1176" spans="1:23" ht="13.15" customHeight="1">
      <c r="A1176" s="2" t="s">
        <v>2214</v>
      </c>
      <c r="B1176" s="2">
        <f t="shared" si="36"/>
        <v>2020</v>
      </c>
      <c r="C1176" s="2" t="str">
        <f t="shared" si="37"/>
        <v>LIM333</v>
      </c>
      <c r="D1176" s="2">
        <v>558</v>
      </c>
      <c r="F1176" s="2451"/>
      <c r="G1176" s="2451"/>
      <c r="H1176" s="2451"/>
      <c r="I1176" s="2451"/>
      <c r="J1176" s="2451"/>
      <c r="K1176" s="2451"/>
      <c r="L1176" s="2451"/>
      <c r="M1176" s="2452"/>
      <c r="N1176" s="2452"/>
      <c r="O1176" s="2452"/>
      <c r="P1176" s="2452"/>
      <c r="Q1176" s="2452"/>
      <c r="W1176" t="s">
        <v>2062</v>
      </c>
    </row>
    <row r="1177" spans="1:23" ht="13.15" customHeight="1">
      <c r="A1177" s="2" t="s">
        <v>2214</v>
      </c>
      <c r="B1177" s="2">
        <f t="shared" si="36"/>
        <v>2020</v>
      </c>
      <c r="C1177" s="2" t="str">
        <f t="shared" si="37"/>
        <v>LIM333</v>
      </c>
      <c r="D1177" s="2">
        <v>559</v>
      </c>
      <c r="F1177" s="2451"/>
      <c r="G1177" s="2451"/>
      <c r="H1177" s="2451"/>
      <c r="I1177" s="2451"/>
      <c r="J1177" s="2451"/>
      <c r="K1177" s="2451"/>
      <c r="L1177" s="2451"/>
      <c r="M1177" s="2452"/>
      <c r="N1177" s="2452"/>
      <c r="O1177" s="2452"/>
      <c r="P1177" s="2452"/>
      <c r="Q1177" s="2452"/>
      <c r="W1177" t="s">
        <v>2062</v>
      </c>
    </row>
    <row r="1178" spans="1:23" ht="13.15" customHeight="1">
      <c r="A1178" s="2" t="s">
        <v>2214</v>
      </c>
      <c r="B1178" s="2">
        <f t="shared" si="36"/>
        <v>2020</v>
      </c>
      <c r="C1178" s="2" t="str">
        <f t="shared" si="37"/>
        <v>LIM333</v>
      </c>
      <c r="D1178" s="2">
        <v>560</v>
      </c>
      <c r="F1178" s="2451"/>
      <c r="G1178" s="2451"/>
      <c r="H1178" s="2451"/>
      <c r="I1178" s="2451"/>
      <c r="J1178" s="2451"/>
      <c r="K1178" s="2451"/>
      <c r="L1178" s="2451"/>
      <c r="M1178" s="2452"/>
      <c r="N1178" s="2452"/>
      <c r="O1178" s="2452"/>
      <c r="P1178" s="2452"/>
      <c r="Q1178" s="2452"/>
      <c r="W1178" t="s">
        <v>2062</v>
      </c>
    </row>
    <row r="1179" spans="1:23" ht="13.15" customHeight="1">
      <c r="A1179" s="2" t="s">
        <v>2214</v>
      </c>
      <c r="B1179" s="2">
        <f t="shared" si="36"/>
        <v>2020</v>
      </c>
      <c r="C1179" s="2" t="str">
        <f t="shared" si="37"/>
        <v>LIM333</v>
      </c>
      <c r="D1179" s="2">
        <v>561</v>
      </c>
      <c r="F1179" s="2451"/>
      <c r="G1179" s="2451"/>
      <c r="H1179" s="2451"/>
      <c r="I1179" s="2451"/>
      <c r="J1179" s="2451"/>
      <c r="K1179" s="2451"/>
      <c r="L1179" s="2451"/>
      <c r="M1179" s="2452"/>
      <c r="N1179" s="2452"/>
      <c r="O1179" s="2452"/>
      <c r="P1179" s="2452"/>
      <c r="Q1179" s="2452"/>
      <c r="W1179" t="s">
        <v>2062</v>
      </c>
    </row>
    <row r="1180" spans="1:23" ht="13.15" customHeight="1">
      <c r="A1180" s="2" t="s">
        <v>2214</v>
      </c>
      <c r="B1180" s="2">
        <f t="shared" si="36"/>
        <v>2020</v>
      </c>
      <c r="C1180" s="2" t="str">
        <f t="shared" si="37"/>
        <v>LIM333</v>
      </c>
      <c r="D1180" s="2">
        <v>562</v>
      </c>
      <c r="F1180" s="2451"/>
      <c r="G1180" s="2451"/>
      <c r="H1180" s="2451"/>
      <c r="I1180" s="2451"/>
      <c r="J1180" s="2451"/>
      <c r="K1180" s="2451"/>
      <c r="L1180" s="2451"/>
      <c r="M1180" s="2452"/>
      <c r="N1180" s="2452"/>
      <c r="O1180" s="2452"/>
      <c r="P1180" s="2452"/>
      <c r="Q1180" s="2452"/>
      <c r="W1180" t="s">
        <v>2062</v>
      </c>
    </row>
    <row r="1181" spans="1:23" ht="13.15" customHeight="1">
      <c r="A1181" s="2" t="s">
        <v>2214</v>
      </c>
      <c r="B1181" s="2">
        <f t="shared" si="36"/>
        <v>2020</v>
      </c>
      <c r="C1181" s="2" t="str">
        <f t="shared" si="37"/>
        <v>LIM333</v>
      </c>
      <c r="D1181" s="2">
        <v>563</v>
      </c>
      <c r="F1181" s="2451"/>
      <c r="G1181" s="2451"/>
      <c r="H1181" s="2451"/>
      <c r="I1181" s="2451"/>
      <c r="J1181" s="2451"/>
      <c r="K1181" s="2451"/>
      <c r="L1181" s="2451"/>
      <c r="M1181" s="2452"/>
      <c r="N1181" s="2452"/>
      <c r="O1181" s="2452"/>
      <c r="P1181" s="2452"/>
      <c r="Q1181" s="2452"/>
      <c r="W1181" t="s">
        <v>2062</v>
      </c>
    </row>
    <row r="1182" spans="1:23" ht="13.15" customHeight="1">
      <c r="A1182" s="2" t="s">
        <v>2214</v>
      </c>
      <c r="B1182" s="2">
        <f t="shared" si="36"/>
        <v>2020</v>
      </c>
      <c r="C1182" s="2" t="str">
        <f t="shared" si="37"/>
        <v>LIM333</v>
      </c>
      <c r="D1182" s="2">
        <v>564</v>
      </c>
      <c r="F1182" s="2451"/>
      <c r="G1182" s="2451"/>
      <c r="H1182" s="2451"/>
      <c r="I1182" s="2451"/>
      <c r="J1182" s="2451"/>
      <c r="K1182" s="2451"/>
      <c r="L1182" s="2451"/>
      <c r="M1182" s="2452"/>
      <c r="N1182" s="2452"/>
      <c r="O1182" s="2452"/>
      <c r="P1182" s="2452"/>
      <c r="Q1182" s="2452"/>
      <c r="W1182" t="s">
        <v>2062</v>
      </c>
    </row>
    <row r="1183" spans="1:23" ht="13.15" customHeight="1">
      <c r="A1183" s="2" t="s">
        <v>2214</v>
      </c>
      <c r="B1183" s="2">
        <f t="shared" si="36"/>
        <v>2020</v>
      </c>
      <c r="C1183" s="2" t="str">
        <f t="shared" si="37"/>
        <v>LIM333</v>
      </c>
      <c r="D1183" s="2">
        <v>565</v>
      </c>
      <c r="F1183" s="2451"/>
      <c r="G1183" s="2451"/>
      <c r="H1183" s="2451"/>
      <c r="I1183" s="2451"/>
      <c r="J1183" s="2451"/>
      <c r="K1183" s="2451"/>
      <c r="L1183" s="2451"/>
      <c r="M1183" s="2452"/>
      <c r="N1183" s="2452"/>
      <c r="O1183" s="2452"/>
      <c r="P1183" s="2452"/>
      <c r="Q1183" s="2452"/>
      <c r="W1183" t="s">
        <v>2062</v>
      </c>
    </row>
    <row r="1184" spans="1:23" ht="13.15" customHeight="1">
      <c r="A1184" s="2" t="s">
        <v>2214</v>
      </c>
      <c r="B1184" s="2">
        <f t="shared" si="36"/>
        <v>2020</v>
      </c>
      <c r="C1184" s="2" t="str">
        <f t="shared" si="37"/>
        <v>LIM333</v>
      </c>
      <c r="D1184" s="2">
        <v>566</v>
      </c>
      <c r="F1184" s="2451"/>
      <c r="G1184" s="2451"/>
      <c r="H1184" s="2451"/>
      <c r="I1184" s="2451"/>
      <c r="J1184" s="2451"/>
      <c r="K1184" s="2451"/>
      <c r="L1184" s="2451"/>
      <c r="M1184" s="2452"/>
      <c r="N1184" s="2452"/>
      <c r="O1184" s="2452"/>
      <c r="P1184" s="2452"/>
      <c r="Q1184" s="2452"/>
      <c r="W1184" t="s">
        <v>2062</v>
      </c>
    </row>
    <row r="1185" spans="1:23" ht="13.15" customHeight="1">
      <c r="A1185" s="2" t="s">
        <v>2214</v>
      </c>
      <c r="B1185" s="2">
        <f t="shared" si="36"/>
        <v>2020</v>
      </c>
      <c r="C1185" s="2" t="str">
        <f t="shared" si="37"/>
        <v>LIM333</v>
      </c>
      <c r="D1185" s="2">
        <v>567</v>
      </c>
      <c r="F1185" s="2451"/>
      <c r="G1185" s="2451"/>
      <c r="H1185" s="2451"/>
      <c r="I1185" s="2451"/>
      <c r="J1185" s="2451"/>
      <c r="K1185" s="2451"/>
      <c r="L1185" s="2451"/>
      <c r="M1185" s="2452"/>
      <c r="N1185" s="2452"/>
      <c r="O1185" s="2452"/>
      <c r="P1185" s="2452"/>
      <c r="Q1185" s="2452"/>
      <c r="W1185" t="s">
        <v>2062</v>
      </c>
    </row>
    <row r="1186" spans="1:23" ht="13.15" customHeight="1">
      <c r="A1186" s="2" t="s">
        <v>2214</v>
      </c>
      <c r="B1186" s="2">
        <f t="shared" si="36"/>
        <v>2020</v>
      </c>
      <c r="C1186" s="2" t="str">
        <f t="shared" si="37"/>
        <v>LIM333</v>
      </c>
      <c r="D1186" s="2">
        <v>568</v>
      </c>
      <c r="F1186" s="2451"/>
      <c r="G1186" s="2451"/>
      <c r="H1186" s="2451"/>
      <c r="I1186" s="2451"/>
      <c r="J1186" s="2451"/>
      <c r="K1186" s="2451"/>
      <c r="L1186" s="2451"/>
      <c r="M1186" s="2452"/>
      <c r="N1186" s="2452"/>
      <c r="O1186" s="2452"/>
      <c r="P1186" s="2452"/>
      <c r="Q1186" s="2452"/>
      <c r="W1186" t="s">
        <v>2062</v>
      </c>
    </row>
    <row r="1187" spans="1:23" ht="13.15" customHeight="1">
      <c r="A1187" s="2" t="s">
        <v>2214</v>
      </c>
      <c r="B1187" s="2">
        <f t="shared" si="36"/>
        <v>2020</v>
      </c>
      <c r="C1187" s="2" t="str">
        <f t="shared" si="37"/>
        <v>LIM333</v>
      </c>
      <c r="D1187" s="2">
        <v>569</v>
      </c>
      <c r="F1187" s="2451"/>
      <c r="G1187" s="2451"/>
      <c r="H1187" s="2451"/>
      <c r="I1187" s="2451"/>
      <c r="J1187" s="2451"/>
      <c r="K1187" s="2451"/>
      <c r="L1187" s="2451"/>
      <c r="M1187" s="2452"/>
      <c r="N1187" s="2452"/>
      <c r="O1187" s="2452"/>
      <c r="P1187" s="2452"/>
      <c r="Q1187" s="2452"/>
      <c r="W1187" t="s">
        <v>2062</v>
      </c>
    </row>
    <row r="1188" spans="1:23" ht="13.15" customHeight="1">
      <c r="A1188" s="2" t="s">
        <v>2214</v>
      </c>
      <c r="B1188" s="2">
        <f t="shared" si="36"/>
        <v>2020</v>
      </c>
      <c r="C1188" s="2" t="str">
        <f t="shared" si="37"/>
        <v>LIM333</v>
      </c>
      <c r="D1188" s="2">
        <v>570</v>
      </c>
      <c r="F1188" s="2451"/>
      <c r="G1188" s="2451"/>
      <c r="H1188" s="2451"/>
      <c r="I1188" s="2451"/>
      <c r="J1188" s="2451"/>
      <c r="K1188" s="2451"/>
      <c r="L1188" s="2451"/>
      <c r="M1188" s="2452"/>
      <c r="N1188" s="2452"/>
      <c r="O1188" s="2452"/>
      <c r="P1188" s="2452"/>
      <c r="Q1188" s="2452"/>
      <c r="W1188" t="s">
        <v>2062</v>
      </c>
    </row>
    <row r="1189" spans="1:23" ht="13.15" customHeight="1">
      <c r="A1189" s="2" t="s">
        <v>2214</v>
      </c>
      <c r="B1189" s="2">
        <f t="shared" si="36"/>
        <v>2020</v>
      </c>
      <c r="C1189" s="2" t="str">
        <f t="shared" si="37"/>
        <v>LIM333</v>
      </c>
      <c r="D1189" s="2">
        <v>571</v>
      </c>
      <c r="F1189" s="2451"/>
      <c r="G1189" s="2451"/>
      <c r="H1189" s="2451"/>
      <c r="I1189" s="2451"/>
      <c r="J1189" s="2451"/>
      <c r="K1189" s="2451"/>
      <c r="L1189" s="2451"/>
      <c r="M1189" s="2452"/>
      <c r="N1189" s="2452"/>
      <c r="O1189" s="2452"/>
      <c r="P1189" s="2452"/>
      <c r="Q1189" s="2452"/>
      <c r="W1189" t="s">
        <v>2062</v>
      </c>
    </row>
    <row r="1190" spans="1:23" ht="13.15" customHeight="1">
      <c r="A1190" s="2" t="s">
        <v>2214</v>
      </c>
      <c r="B1190" s="2">
        <f t="shared" si="36"/>
        <v>2020</v>
      </c>
      <c r="C1190" s="2" t="str">
        <f t="shared" si="37"/>
        <v>LIM333</v>
      </c>
      <c r="D1190" s="2">
        <v>572</v>
      </c>
      <c r="F1190" s="2451"/>
      <c r="G1190" s="2451"/>
      <c r="H1190" s="2451"/>
      <c r="I1190" s="2451"/>
      <c r="J1190" s="2451"/>
      <c r="K1190" s="2451"/>
      <c r="L1190" s="2451"/>
      <c r="M1190" s="2452"/>
      <c r="N1190" s="2452"/>
      <c r="O1190" s="2452"/>
      <c r="P1190" s="2452"/>
      <c r="Q1190" s="2452"/>
      <c r="W1190" t="s">
        <v>2062</v>
      </c>
    </row>
    <row r="1191" spans="1:23" ht="13.15" customHeight="1">
      <c r="A1191" s="2" t="s">
        <v>2214</v>
      </c>
      <c r="B1191" s="2">
        <f t="shared" si="36"/>
        <v>2020</v>
      </c>
      <c r="C1191" s="2" t="str">
        <f t="shared" si="37"/>
        <v>LIM333</v>
      </c>
      <c r="D1191" s="2">
        <v>573</v>
      </c>
      <c r="F1191" s="2451"/>
      <c r="G1191" s="2451"/>
      <c r="H1191" s="2451"/>
      <c r="I1191" s="2451"/>
      <c r="J1191" s="2451"/>
      <c r="K1191" s="2451"/>
      <c r="L1191" s="2451"/>
      <c r="M1191" s="2452"/>
      <c r="N1191" s="2452"/>
      <c r="O1191" s="2452"/>
      <c r="P1191" s="2452"/>
      <c r="Q1191" s="2452"/>
      <c r="W1191" t="s">
        <v>2062</v>
      </c>
    </row>
    <row r="1192" spans="1:23" ht="13.15" customHeight="1">
      <c r="A1192" s="2" t="s">
        <v>2214</v>
      </c>
      <c r="B1192" s="2">
        <f t="shared" si="36"/>
        <v>2020</v>
      </c>
      <c r="C1192" s="2" t="str">
        <f t="shared" si="37"/>
        <v>LIM333</v>
      </c>
      <c r="D1192" s="2">
        <v>574</v>
      </c>
      <c r="F1192" s="2451"/>
      <c r="G1192" s="2451"/>
      <c r="H1192" s="2451"/>
      <c r="I1192" s="2451"/>
      <c r="J1192" s="2451"/>
      <c r="K1192" s="2451"/>
      <c r="L1192" s="2451"/>
      <c r="M1192" s="2452"/>
      <c r="N1192" s="2452"/>
      <c r="O1192" s="2452"/>
      <c r="P1192" s="2452"/>
      <c r="Q1192" s="2452"/>
      <c r="W1192" t="s">
        <v>2062</v>
      </c>
    </row>
    <row r="1193" spans="1:23" ht="13.15" customHeight="1">
      <c r="A1193" s="2" t="s">
        <v>2214</v>
      </c>
      <c r="B1193" s="2">
        <f t="shared" si="36"/>
        <v>2020</v>
      </c>
      <c r="C1193" s="2" t="str">
        <f t="shared" si="37"/>
        <v>LIM333</v>
      </c>
      <c r="D1193" s="2">
        <v>575</v>
      </c>
      <c r="F1193" s="2451"/>
      <c r="G1193" s="2451"/>
      <c r="H1193" s="2451"/>
      <c r="I1193" s="2451"/>
      <c r="J1193" s="2451"/>
      <c r="K1193" s="2451"/>
      <c r="L1193" s="2451"/>
      <c r="M1193" s="2452"/>
      <c r="N1193" s="2452"/>
      <c r="O1193" s="2452"/>
      <c r="P1193" s="2452"/>
      <c r="Q1193" s="2452"/>
      <c r="W1193" t="s">
        <v>2062</v>
      </c>
    </row>
    <row r="1194" spans="1:23" ht="13.15" customHeight="1">
      <c r="A1194" s="2" t="s">
        <v>2214</v>
      </c>
      <c r="B1194" s="2">
        <f t="shared" si="36"/>
        <v>2020</v>
      </c>
      <c r="C1194" s="2" t="str">
        <f t="shared" si="37"/>
        <v>LIM333</v>
      </c>
      <c r="D1194" s="2">
        <v>576</v>
      </c>
      <c r="F1194" s="2451"/>
      <c r="G1194" s="2451"/>
      <c r="H1194" s="2451"/>
      <c r="I1194" s="2451"/>
      <c r="J1194" s="2451"/>
      <c r="K1194" s="2451"/>
      <c r="L1194" s="2451"/>
      <c r="M1194" s="2452"/>
      <c r="N1194" s="2452"/>
      <c r="O1194" s="2452"/>
      <c r="P1194" s="2452"/>
      <c r="Q1194" s="2452"/>
      <c r="W1194" t="s">
        <v>2062</v>
      </c>
    </row>
    <row r="1195" spans="1:23" ht="13.15" customHeight="1">
      <c r="A1195" s="2" t="s">
        <v>2214</v>
      </c>
      <c r="B1195" s="2">
        <f t="shared" si="36"/>
        <v>2020</v>
      </c>
      <c r="C1195" s="2" t="str">
        <f t="shared" si="37"/>
        <v>LIM333</v>
      </c>
      <c r="D1195" s="2">
        <v>577</v>
      </c>
      <c r="F1195" s="2451"/>
      <c r="G1195" s="2451"/>
      <c r="H1195" s="2451"/>
      <c r="I1195" s="2451"/>
      <c r="J1195" s="2451"/>
      <c r="K1195" s="2451"/>
      <c r="L1195" s="2451"/>
      <c r="M1195" s="2452"/>
      <c r="N1195" s="2452"/>
      <c r="O1195" s="2452"/>
      <c r="P1195" s="2452"/>
      <c r="Q1195" s="2452"/>
      <c r="W1195" t="s">
        <v>2062</v>
      </c>
    </row>
    <row r="1196" spans="1:23" ht="13.15" customHeight="1">
      <c r="A1196" s="2" t="s">
        <v>2214</v>
      </c>
      <c r="B1196" s="2">
        <f t="shared" si="36"/>
        <v>2020</v>
      </c>
      <c r="C1196" s="2" t="str">
        <f t="shared" si="37"/>
        <v>LIM333</v>
      </c>
      <c r="D1196" s="2">
        <v>578</v>
      </c>
      <c r="F1196" s="2451"/>
      <c r="G1196" s="2451"/>
      <c r="H1196" s="2451"/>
      <c r="I1196" s="2451"/>
      <c r="J1196" s="2451"/>
      <c r="K1196" s="2451"/>
      <c r="L1196" s="2451"/>
      <c r="M1196" s="2452"/>
      <c r="N1196" s="2452"/>
      <c r="O1196" s="2452"/>
      <c r="P1196" s="2452"/>
      <c r="Q1196" s="2452"/>
      <c r="W1196" t="s">
        <v>2062</v>
      </c>
    </row>
    <row r="1197" spans="1:23" ht="13.15" customHeight="1">
      <c r="A1197" s="2" t="s">
        <v>2214</v>
      </c>
      <c r="B1197" s="2">
        <f t="shared" si="36"/>
        <v>2020</v>
      </c>
      <c r="C1197" s="2" t="str">
        <f t="shared" si="37"/>
        <v>LIM333</v>
      </c>
      <c r="D1197" s="2">
        <v>579</v>
      </c>
      <c r="F1197" s="2451"/>
      <c r="G1197" s="2451"/>
      <c r="H1197" s="2451"/>
      <c r="I1197" s="2451"/>
      <c r="J1197" s="2451"/>
      <c r="K1197" s="2451"/>
      <c r="L1197" s="2451"/>
      <c r="M1197" s="2452"/>
      <c r="N1197" s="2452"/>
      <c r="O1197" s="2452"/>
      <c r="P1197" s="2452"/>
      <c r="Q1197" s="2452"/>
      <c r="W1197" t="s">
        <v>2062</v>
      </c>
    </row>
    <row r="1198" spans="1:23" ht="13.15" customHeight="1">
      <c r="A1198" s="2" t="s">
        <v>2214</v>
      </c>
      <c r="B1198" s="2">
        <f t="shared" si="36"/>
        <v>2020</v>
      </c>
      <c r="C1198" s="2" t="str">
        <f t="shared" si="37"/>
        <v>LIM333</v>
      </c>
      <c r="D1198" s="2">
        <v>580</v>
      </c>
      <c r="F1198" s="2451"/>
      <c r="G1198" s="2451"/>
      <c r="H1198" s="2451"/>
      <c r="I1198" s="2451"/>
      <c r="J1198" s="2451"/>
      <c r="K1198" s="2451"/>
      <c r="L1198" s="2451"/>
      <c r="M1198" s="2452"/>
      <c r="N1198" s="2452"/>
      <c r="O1198" s="2452"/>
      <c r="P1198" s="2452"/>
      <c r="Q1198" s="2452"/>
      <c r="W1198" t="s">
        <v>2062</v>
      </c>
    </row>
    <row r="1199" spans="1:23" ht="13.15" customHeight="1">
      <c r="A1199" s="2" t="s">
        <v>2214</v>
      </c>
      <c r="B1199" s="2">
        <f t="shared" si="36"/>
        <v>2020</v>
      </c>
      <c r="C1199" s="2" t="str">
        <f t="shared" si="37"/>
        <v>LIM333</v>
      </c>
      <c r="D1199" s="2">
        <v>581</v>
      </c>
      <c r="F1199" s="2451"/>
      <c r="G1199" s="2451"/>
      <c r="H1199" s="2451"/>
      <c r="I1199" s="2451"/>
      <c r="J1199" s="2451"/>
      <c r="K1199" s="2451"/>
      <c r="L1199" s="2451"/>
      <c r="M1199" s="2452"/>
      <c r="N1199" s="2452"/>
      <c r="O1199" s="2452"/>
      <c r="P1199" s="2452"/>
      <c r="Q1199" s="2452"/>
      <c r="W1199" t="s">
        <v>2062</v>
      </c>
    </row>
    <row r="1200" spans="1:23" ht="13.15" customHeight="1">
      <c r="A1200" s="2" t="s">
        <v>2214</v>
      </c>
      <c r="B1200" s="2">
        <f t="shared" si="36"/>
        <v>2020</v>
      </c>
      <c r="C1200" s="2" t="str">
        <f t="shared" si="37"/>
        <v>LIM333</v>
      </c>
      <c r="D1200" s="2">
        <v>582</v>
      </c>
      <c r="F1200" s="2451"/>
      <c r="G1200" s="2451"/>
      <c r="H1200" s="2451"/>
      <c r="I1200" s="2451"/>
      <c r="J1200" s="2451"/>
      <c r="K1200" s="2451"/>
      <c r="L1200" s="2451"/>
      <c r="M1200" s="2452"/>
      <c r="N1200" s="2452"/>
      <c r="O1200" s="2452"/>
      <c r="P1200" s="2452"/>
      <c r="Q1200" s="2452"/>
      <c r="W1200" t="s">
        <v>2062</v>
      </c>
    </row>
    <row r="1201" spans="1:23" ht="13.15" customHeight="1">
      <c r="A1201" s="2" t="s">
        <v>2214</v>
      </c>
      <c r="B1201" s="2">
        <f t="shared" si="36"/>
        <v>2020</v>
      </c>
      <c r="C1201" s="2" t="str">
        <f t="shared" si="37"/>
        <v>LIM333</v>
      </c>
      <c r="D1201" s="2">
        <v>583</v>
      </c>
      <c r="F1201" s="2451"/>
      <c r="G1201" s="2451"/>
      <c r="H1201" s="2451"/>
      <c r="I1201" s="2451"/>
      <c r="J1201" s="2451"/>
      <c r="K1201" s="2451"/>
      <c r="L1201" s="2451"/>
      <c r="M1201" s="2452"/>
      <c r="N1201" s="2452"/>
      <c r="O1201" s="2452"/>
      <c r="P1201" s="2452"/>
      <c r="Q1201" s="2452"/>
      <c r="W1201" t="s">
        <v>2062</v>
      </c>
    </row>
    <row r="1202" spans="1:23" ht="13.15" customHeight="1">
      <c r="A1202" s="2" t="s">
        <v>2214</v>
      </c>
      <c r="B1202" s="2">
        <f t="shared" si="36"/>
        <v>2020</v>
      </c>
      <c r="C1202" s="2" t="str">
        <f t="shared" si="37"/>
        <v>LIM333</v>
      </c>
      <c r="D1202" s="2">
        <v>584</v>
      </c>
      <c r="F1202" s="2451"/>
      <c r="G1202" s="2451"/>
      <c r="H1202" s="2451"/>
      <c r="I1202" s="2451"/>
      <c r="J1202" s="2451"/>
      <c r="K1202" s="2451"/>
      <c r="L1202" s="2451"/>
      <c r="M1202" s="2452"/>
      <c r="N1202" s="2452"/>
      <c r="O1202" s="2452"/>
      <c r="P1202" s="2452"/>
      <c r="Q1202" s="2452"/>
      <c r="W1202" t="s">
        <v>2062</v>
      </c>
    </row>
    <row r="1203" spans="1:23" ht="13.15" customHeight="1">
      <c r="A1203" s="2" t="s">
        <v>2214</v>
      </c>
      <c r="B1203" s="2">
        <f t="shared" si="36"/>
        <v>2020</v>
      </c>
      <c r="C1203" s="2" t="str">
        <f t="shared" si="37"/>
        <v>LIM333</v>
      </c>
      <c r="D1203" s="2">
        <v>585</v>
      </c>
      <c r="F1203" s="2451"/>
      <c r="G1203" s="2451"/>
      <c r="H1203" s="2451"/>
      <c r="I1203" s="2451"/>
      <c r="J1203" s="2451"/>
      <c r="K1203" s="2451"/>
      <c r="L1203" s="2451"/>
      <c r="M1203" s="2452"/>
      <c r="N1203" s="2452"/>
      <c r="O1203" s="2452"/>
      <c r="P1203" s="2452"/>
      <c r="Q1203" s="2452"/>
      <c r="W1203" t="s">
        <v>2062</v>
      </c>
    </row>
    <row r="1204" spans="1:23" ht="13.15" customHeight="1">
      <c r="A1204" s="2" t="s">
        <v>2214</v>
      </c>
      <c r="B1204" s="2">
        <f t="shared" si="36"/>
        <v>2020</v>
      </c>
      <c r="C1204" s="2" t="str">
        <f t="shared" si="37"/>
        <v>LIM333</v>
      </c>
      <c r="D1204" s="2">
        <v>586</v>
      </c>
      <c r="F1204" s="2451"/>
      <c r="G1204" s="2451"/>
      <c r="H1204" s="2451"/>
      <c r="I1204" s="2451"/>
      <c r="J1204" s="2451"/>
      <c r="K1204" s="2451"/>
      <c r="L1204" s="2451"/>
      <c r="M1204" s="2452"/>
      <c r="N1204" s="2452"/>
      <c r="O1204" s="2452"/>
      <c r="P1204" s="2452"/>
      <c r="Q1204" s="2452"/>
      <c r="W1204" t="s">
        <v>2062</v>
      </c>
    </row>
    <row r="1205" spans="1:23" ht="13.15" customHeight="1">
      <c r="A1205" s="2" t="s">
        <v>2214</v>
      </c>
      <c r="B1205" s="2">
        <f t="shared" si="36"/>
        <v>2020</v>
      </c>
      <c r="C1205" s="2" t="str">
        <f t="shared" si="37"/>
        <v>LIM333</v>
      </c>
      <c r="D1205" s="2">
        <v>587</v>
      </c>
      <c r="F1205" s="2451"/>
      <c r="G1205" s="2451"/>
      <c r="H1205" s="2451"/>
      <c r="I1205" s="2451"/>
      <c r="J1205" s="2451"/>
      <c r="K1205" s="2451"/>
      <c r="L1205" s="2451"/>
      <c r="M1205" s="2452"/>
      <c r="N1205" s="2452"/>
      <c r="O1205" s="2452"/>
      <c r="P1205" s="2452"/>
      <c r="Q1205" s="2452"/>
      <c r="W1205" t="s">
        <v>2062</v>
      </c>
    </row>
    <row r="1206" spans="1:23" ht="13.15" customHeight="1">
      <c r="A1206" s="2" t="s">
        <v>2214</v>
      </c>
      <c r="B1206" s="2">
        <f t="shared" si="36"/>
        <v>2020</v>
      </c>
      <c r="C1206" s="2" t="str">
        <f t="shared" si="37"/>
        <v>LIM333</v>
      </c>
      <c r="D1206" s="2">
        <v>588</v>
      </c>
      <c r="F1206" s="2451"/>
      <c r="G1206" s="2451"/>
      <c r="H1206" s="2451"/>
      <c r="I1206" s="2451"/>
      <c r="J1206" s="2451"/>
      <c r="K1206" s="2451"/>
      <c r="L1206" s="2451"/>
      <c r="M1206" s="2452"/>
      <c r="N1206" s="2452"/>
      <c r="O1206" s="2452"/>
      <c r="P1206" s="2452"/>
      <c r="Q1206" s="2452"/>
      <c r="W1206" t="s">
        <v>2062</v>
      </c>
    </row>
    <row r="1207" spans="1:23" ht="13.15" customHeight="1">
      <c r="A1207" s="2" t="s">
        <v>2214</v>
      </c>
      <c r="B1207" s="2">
        <f t="shared" si="36"/>
        <v>2020</v>
      </c>
      <c r="C1207" s="2" t="str">
        <f t="shared" si="37"/>
        <v>LIM333</v>
      </c>
      <c r="D1207" s="2">
        <v>589</v>
      </c>
      <c r="F1207" s="2451"/>
      <c r="G1207" s="2451"/>
      <c r="H1207" s="2451"/>
      <c r="I1207" s="2451"/>
      <c r="J1207" s="2451"/>
      <c r="K1207" s="2451"/>
      <c r="L1207" s="2451"/>
      <c r="M1207" s="2452"/>
      <c r="N1207" s="2452"/>
      <c r="O1207" s="2452"/>
      <c r="P1207" s="2452"/>
      <c r="Q1207" s="2452"/>
      <c r="W1207" t="s">
        <v>2062</v>
      </c>
    </row>
    <row r="1208" spans="1:23" ht="13.15" customHeight="1">
      <c r="A1208" s="2" t="s">
        <v>2214</v>
      </c>
      <c r="B1208" s="2">
        <f t="shared" si="36"/>
        <v>2020</v>
      </c>
      <c r="C1208" s="2" t="str">
        <f t="shared" si="37"/>
        <v>LIM333</v>
      </c>
      <c r="D1208" s="2">
        <v>590</v>
      </c>
      <c r="F1208" s="2451"/>
      <c r="G1208" s="2451"/>
      <c r="H1208" s="2451"/>
      <c r="I1208" s="2451"/>
      <c r="J1208" s="2451"/>
      <c r="K1208" s="2451"/>
      <c r="L1208" s="2451"/>
      <c r="M1208" s="2452"/>
      <c r="N1208" s="2452"/>
      <c r="O1208" s="2452"/>
      <c r="P1208" s="2452"/>
      <c r="Q1208" s="2452"/>
      <c r="W1208" t="s">
        <v>2062</v>
      </c>
    </row>
    <row r="1209" spans="1:23" ht="13.15" customHeight="1">
      <c r="A1209" s="2" t="s">
        <v>2214</v>
      </c>
      <c r="B1209" s="2">
        <f t="shared" si="36"/>
        <v>2020</v>
      </c>
      <c r="C1209" s="2" t="str">
        <f t="shared" si="37"/>
        <v>LIM333</v>
      </c>
      <c r="D1209" s="2">
        <v>591</v>
      </c>
      <c r="F1209" s="2451"/>
      <c r="G1209" s="2451"/>
      <c r="H1209" s="2451"/>
      <c r="I1209" s="2451"/>
      <c r="J1209" s="2451"/>
      <c r="K1209" s="2451"/>
      <c r="L1209" s="2451"/>
      <c r="M1209" s="2452"/>
      <c r="N1209" s="2452"/>
      <c r="O1209" s="2452"/>
      <c r="P1209" s="2452"/>
      <c r="Q1209" s="2452"/>
      <c r="W1209" t="s">
        <v>2062</v>
      </c>
    </row>
    <row r="1210" spans="1:23" ht="13.15" customHeight="1">
      <c r="A1210" s="2" t="s">
        <v>2214</v>
      </c>
      <c r="B1210" s="2">
        <f t="shared" si="36"/>
        <v>2020</v>
      </c>
      <c r="C1210" s="2" t="str">
        <f t="shared" si="37"/>
        <v>LIM333</v>
      </c>
      <c r="D1210" s="2">
        <v>592</v>
      </c>
      <c r="F1210" s="2451"/>
      <c r="G1210" s="2451"/>
      <c r="H1210" s="2451"/>
      <c r="I1210" s="2451"/>
      <c r="J1210" s="2451"/>
      <c r="K1210" s="2451"/>
      <c r="L1210" s="2451"/>
      <c r="M1210" s="2452"/>
      <c r="N1210" s="2452"/>
      <c r="O1210" s="2452"/>
      <c r="P1210" s="2452"/>
      <c r="Q1210" s="2452"/>
      <c r="W1210" t="s">
        <v>2062</v>
      </c>
    </row>
    <row r="1211" spans="1:23" ht="13.15" customHeight="1">
      <c r="A1211" s="2" t="s">
        <v>2214</v>
      </c>
      <c r="B1211" s="2">
        <f t="shared" si="36"/>
        <v>2020</v>
      </c>
      <c r="C1211" s="2" t="str">
        <f t="shared" si="37"/>
        <v>LIM333</v>
      </c>
      <c r="D1211" s="2">
        <v>593</v>
      </c>
      <c r="F1211" s="2451"/>
      <c r="G1211" s="2451"/>
      <c r="H1211" s="2451"/>
      <c r="I1211" s="2451"/>
      <c r="J1211" s="2451"/>
      <c r="K1211" s="2451"/>
      <c r="L1211" s="2451"/>
      <c r="M1211" s="2452"/>
      <c r="N1211" s="2452"/>
      <c r="O1211" s="2452"/>
      <c r="P1211" s="2452"/>
      <c r="Q1211" s="2452"/>
      <c r="W1211" t="s">
        <v>2062</v>
      </c>
    </row>
    <row r="1212" spans="1:23" ht="13.15" customHeight="1">
      <c r="A1212" s="2" t="s">
        <v>2214</v>
      </c>
      <c r="B1212" s="2">
        <f t="shared" si="36"/>
        <v>2020</v>
      </c>
      <c r="C1212" s="2" t="str">
        <f t="shared" si="37"/>
        <v>LIM333</v>
      </c>
      <c r="D1212" s="2">
        <v>594</v>
      </c>
      <c r="F1212" s="2451"/>
      <c r="G1212" s="2451"/>
      <c r="H1212" s="2451"/>
      <c r="I1212" s="2451"/>
      <c r="J1212" s="2451"/>
      <c r="K1212" s="2451"/>
      <c r="L1212" s="2451"/>
      <c r="M1212" s="2452"/>
      <c r="N1212" s="2452"/>
      <c r="O1212" s="2452"/>
      <c r="P1212" s="2452"/>
      <c r="Q1212" s="2452"/>
      <c r="W1212" t="s">
        <v>2062</v>
      </c>
    </row>
    <row r="1213" spans="1:23" ht="13.15" customHeight="1">
      <c r="A1213" s="2" t="s">
        <v>2214</v>
      </c>
      <c r="B1213" s="2">
        <f t="shared" si="36"/>
        <v>2020</v>
      </c>
      <c r="C1213" s="2" t="str">
        <f t="shared" si="37"/>
        <v>LIM333</v>
      </c>
      <c r="D1213" s="2">
        <v>595</v>
      </c>
      <c r="F1213" s="2451"/>
      <c r="G1213" s="2451"/>
      <c r="H1213" s="2451"/>
      <c r="I1213" s="2451"/>
      <c r="J1213" s="2451"/>
      <c r="K1213" s="2451"/>
      <c r="L1213" s="2451"/>
      <c r="M1213" s="2452"/>
      <c r="N1213" s="2452"/>
      <c r="O1213" s="2452"/>
      <c r="P1213" s="2452"/>
      <c r="Q1213" s="2452"/>
      <c r="W1213" t="s">
        <v>2062</v>
      </c>
    </row>
    <row r="1214" spans="1:23" ht="13.15" customHeight="1">
      <c r="A1214" s="2" t="s">
        <v>2214</v>
      </c>
      <c r="B1214" s="2">
        <f t="shared" si="36"/>
        <v>2020</v>
      </c>
      <c r="C1214" s="2" t="str">
        <f t="shared" si="37"/>
        <v>LIM333</v>
      </c>
      <c r="D1214" s="2">
        <v>596</v>
      </c>
      <c r="F1214" s="2451"/>
      <c r="G1214" s="2451"/>
      <c r="H1214" s="2451"/>
      <c r="I1214" s="2451"/>
      <c r="J1214" s="2451"/>
      <c r="K1214" s="2451"/>
      <c r="L1214" s="2451"/>
      <c r="M1214" s="2452"/>
      <c r="N1214" s="2452"/>
      <c r="O1214" s="2452"/>
      <c r="P1214" s="2452"/>
      <c r="Q1214" s="2452"/>
      <c r="W1214" t="s">
        <v>2062</v>
      </c>
    </row>
    <row r="1215" spans="1:23" ht="13.15" customHeight="1">
      <c r="A1215" s="2" t="s">
        <v>2214</v>
      </c>
      <c r="B1215" s="2">
        <f t="shared" si="36"/>
        <v>2020</v>
      </c>
      <c r="C1215" s="2" t="str">
        <f t="shared" si="37"/>
        <v>LIM333</v>
      </c>
      <c r="D1215" s="2">
        <v>597</v>
      </c>
      <c r="F1215" s="2451"/>
      <c r="G1215" s="2451"/>
      <c r="H1215" s="2451"/>
      <c r="I1215" s="2451"/>
      <c r="J1215" s="2451"/>
      <c r="K1215" s="2451"/>
      <c r="L1215" s="2451"/>
      <c r="M1215" s="2452"/>
      <c r="N1215" s="2452"/>
      <c r="O1215" s="2452"/>
      <c r="P1215" s="2452"/>
      <c r="Q1215" s="2452"/>
      <c r="W1215" t="s">
        <v>2062</v>
      </c>
    </row>
    <row r="1216" spans="1:23" ht="13.15" customHeight="1">
      <c r="A1216" s="2" t="s">
        <v>2214</v>
      </c>
      <c r="B1216" s="2">
        <f t="shared" si="36"/>
        <v>2020</v>
      </c>
      <c r="C1216" s="2" t="str">
        <f t="shared" si="37"/>
        <v>LIM333</v>
      </c>
      <c r="D1216" s="2">
        <v>598</v>
      </c>
      <c r="F1216" s="2451"/>
      <c r="G1216" s="2451"/>
      <c r="H1216" s="2451"/>
      <c r="I1216" s="2451"/>
      <c r="J1216" s="2451"/>
      <c r="K1216" s="2451"/>
      <c r="L1216" s="2451"/>
      <c r="M1216" s="2452"/>
      <c r="N1216" s="2452"/>
      <c r="O1216" s="2452"/>
      <c r="P1216" s="2452"/>
      <c r="Q1216" s="2452"/>
      <c r="W1216" t="s">
        <v>2062</v>
      </c>
    </row>
    <row r="1217" spans="1:23" ht="13.15" customHeight="1">
      <c r="A1217" s="2" t="s">
        <v>2214</v>
      </c>
      <c r="B1217" s="2">
        <f t="shared" si="36"/>
        <v>2020</v>
      </c>
      <c r="C1217" s="2" t="str">
        <f t="shared" si="37"/>
        <v>LIM333</v>
      </c>
      <c r="D1217" s="2">
        <v>599</v>
      </c>
      <c r="F1217" s="2451"/>
      <c r="G1217" s="2451"/>
      <c r="H1217" s="2451"/>
      <c r="I1217" s="2451"/>
      <c r="J1217" s="2451"/>
      <c r="K1217" s="2451"/>
      <c r="L1217" s="2451"/>
      <c r="M1217" s="2452"/>
      <c r="N1217" s="2452"/>
      <c r="O1217" s="2452"/>
      <c r="P1217" s="2452"/>
      <c r="Q1217" s="2452"/>
      <c r="W1217" t="s">
        <v>2062</v>
      </c>
    </row>
    <row r="1218" spans="1:23" ht="13.15" customHeight="1">
      <c r="A1218" s="2" t="s">
        <v>2214</v>
      </c>
      <c r="B1218" s="2">
        <f t="shared" ref="B1218:B1281" si="38">+MTREF</f>
        <v>2020</v>
      </c>
      <c r="C1218" s="2" t="str">
        <f t="shared" ref="C1218:C1281" si="39">LEFT(muni,(FIND(" ",muni,1)-1))</f>
        <v>LIM333</v>
      </c>
      <c r="D1218" s="2">
        <v>600</v>
      </c>
      <c r="F1218" s="2451"/>
      <c r="G1218" s="2451"/>
      <c r="H1218" s="2451"/>
      <c r="I1218" s="2451"/>
      <c r="J1218" s="2451"/>
      <c r="K1218" s="2451"/>
      <c r="L1218" s="2451"/>
      <c r="M1218" s="2452"/>
      <c r="N1218" s="2452"/>
      <c r="O1218" s="2452"/>
      <c r="P1218" s="2452"/>
      <c r="Q1218" s="2452"/>
      <c r="W1218" t="s">
        <v>2062</v>
      </c>
    </row>
    <row r="1219" spans="1:23" ht="13.15" customHeight="1">
      <c r="A1219" s="2" t="s">
        <v>2214</v>
      </c>
      <c r="B1219" s="2">
        <f t="shared" si="38"/>
        <v>2020</v>
      </c>
      <c r="C1219" s="2" t="str">
        <f t="shared" si="39"/>
        <v>LIM333</v>
      </c>
      <c r="D1219" s="2">
        <v>601</v>
      </c>
      <c r="F1219" s="2451"/>
      <c r="G1219" s="2451"/>
      <c r="H1219" s="2451"/>
      <c r="I1219" s="2451"/>
      <c r="J1219" s="2451"/>
      <c r="K1219" s="2451"/>
      <c r="L1219" s="2451"/>
      <c r="M1219" s="2452"/>
      <c r="N1219" s="2452"/>
      <c r="O1219" s="2452"/>
      <c r="P1219" s="2452"/>
      <c r="Q1219" s="2452"/>
      <c r="W1219" t="s">
        <v>2062</v>
      </c>
    </row>
    <row r="1220" spans="1:23" ht="13.15" customHeight="1">
      <c r="A1220" s="2" t="s">
        <v>2214</v>
      </c>
      <c r="B1220" s="2">
        <f t="shared" si="38"/>
        <v>2020</v>
      </c>
      <c r="C1220" s="2" t="str">
        <f t="shared" si="39"/>
        <v>LIM333</v>
      </c>
      <c r="D1220" s="2">
        <v>602</v>
      </c>
      <c r="F1220" s="2451"/>
      <c r="G1220" s="2451"/>
      <c r="H1220" s="2451"/>
      <c r="I1220" s="2451"/>
      <c r="J1220" s="2451"/>
      <c r="K1220" s="2451"/>
      <c r="L1220" s="2451"/>
      <c r="M1220" s="2452"/>
      <c r="N1220" s="2452"/>
      <c r="O1220" s="2452"/>
      <c r="P1220" s="2452"/>
      <c r="Q1220" s="2452"/>
      <c r="W1220" t="s">
        <v>2062</v>
      </c>
    </row>
    <row r="1221" spans="1:23" ht="13.15" customHeight="1">
      <c r="A1221" s="2" t="s">
        <v>2214</v>
      </c>
      <c r="B1221" s="2">
        <f t="shared" si="38"/>
        <v>2020</v>
      </c>
      <c r="C1221" s="2" t="str">
        <f t="shared" si="39"/>
        <v>LIM333</v>
      </c>
      <c r="D1221" s="2">
        <v>603</v>
      </c>
      <c r="F1221" s="2451"/>
      <c r="G1221" s="2451"/>
      <c r="H1221" s="2451"/>
      <c r="I1221" s="2451"/>
      <c r="J1221" s="2451"/>
      <c r="K1221" s="2451"/>
      <c r="L1221" s="2451"/>
      <c r="M1221" s="2452"/>
      <c r="N1221" s="2452"/>
      <c r="O1221" s="2452"/>
      <c r="P1221" s="2452"/>
      <c r="Q1221" s="2452"/>
      <c r="W1221" t="s">
        <v>2062</v>
      </c>
    </row>
    <row r="1222" spans="1:23" ht="13.15" customHeight="1">
      <c r="A1222" s="2" t="s">
        <v>2214</v>
      </c>
      <c r="B1222" s="2">
        <f t="shared" si="38"/>
        <v>2020</v>
      </c>
      <c r="C1222" s="2" t="str">
        <f t="shared" si="39"/>
        <v>LIM333</v>
      </c>
      <c r="D1222" s="2">
        <v>604</v>
      </c>
      <c r="F1222" s="2451"/>
      <c r="G1222" s="2451"/>
      <c r="H1222" s="2451"/>
      <c r="I1222" s="2451"/>
      <c r="J1222" s="2451"/>
      <c r="K1222" s="2451"/>
      <c r="L1222" s="2451"/>
      <c r="M1222" s="2452"/>
      <c r="N1222" s="2452"/>
      <c r="O1222" s="2452"/>
      <c r="P1222" s="2452"/>
      <c r="Q1222" s="2452"/>
      <c r="W1222" t="s">
        <v>2062</v>
      </c>
    </row>
    <row r="1223" spans="1:23" ht="13.15" customHeight="1">
      <c r="A1223" s="2" t="s">
        <v>2214</v>
      </c>
      <c r="B1223" s="2">
        <f t="shared" si="38"/>
        <v>2020</v>
      </c>
      <c r="C1223" s="2" t="str">
        <f t="shared" si="39"/>
        <v>LIM333</v>
      </c>
      <c r="D1223" s="2">
        <v>605</v>
      </c>
      <c r="F1223" s="2451"/>
      <c r="G1223" s="2451"/>
      <c r="H1223" s="2451"/>
      <c r="I1223" s="2451"/>
      <c r="J1223" s="2451"/>
      <c r="K1223" s="2451"/>
      <c r="L1223" s="2451"/>
      <c r="M1223" s="2452"/>
      <c r="N1223" s="2452"/>
      <c r="O1223" s="2452"/>
      <c r="P1223" s="2452"/>
      <c r="Q1223" s="2452"/>
      <c r="W1223" t="s">
        <v>2062</v>
      </c>
    </row>
    <row r="1224" spans="1:23" ht="13.15" customHeight="1">
      <c r="A1224" s="2" t="s">
        <v>2214</v>
      </c>
      <c r="B1224" s="2">
        <f t="shared" si="38"/>
        <v>2020</v>
      </c>
      <c r="C1224" s="2" t="str">
        <f t="shared" si="39"/>
        <v>LIM333</v>
      </c>
      <c r="D1224" s="2">
        <v>606</v>
      </c>
      <c r="F1224" s="2451"/>
      <c r="G1224" s="2451"/>
      <c r="H1224" s="2451"/>
      <c r="I1224" s="2451"/>
      <c r="J1224" s="2451"/>
      <c r="K1224" s="2451"/>
      <c r="L1224" s="2451"/>
      <c r="M1224" s="2452"/>
      <c r="N1224" s="2452"/>
      <c r="O1224" s="2452"/>
      <c r="P1224" s="2452"/>
      <c r="Q1224" s="2452"/>
      <c r="W1224" t="s">
        <v>2062</v>
      </c>
    </row>
    <row r="1225" spans="1:23" ht="13.15" customHeight="1">
      <c r="A1225" s="2" t="s">
        <v>2214</v>
      </c>
      <c r="B1225" s="2">
        <f t="shared" si="38"/>
        <v>2020</v>
      </c>
      <c r="C1225" s="2" t="str">
        <f t="shared" si="39"/>
        <v>LIM333</v>
      </c>
      <c r="D1225" s="2">
        <v>607</v>
      </c>
      <c r="F1225" s="2451"/>
      <c r="G1225" s="2451"/>
      <c r="H1225" s="2451"/>
      <c r="I1225" s="2451"/>
      <c r="J1225" s="2451"/>
      <c r="K1225" s="2451"/>
      <c r="L1225" s="2451"/>
      <c r="M1225" s="2452"/>
      <c r="N1225" s="2452"/>
      <c r="O1225" s="2452"/>
      <c r="P1225" s="2452"/>
      <c r="Q1225" s="2452"/>
      <c r="W1225" t="s">
        <v>2062</v>
      </c>
    </row>
    <row r="1226" spans="1:23" ht="13.15" customHeight="1">
      <c r="A1226" s="2" t="s">
        <v>2214</v>
      </c>
      <c r="B1226" s="2">
        <f t="shared" si="38"/>
        <v>2020</v>
      </c>
      <c r="C1226" s="2" t="str">
        <f t="shared" si="39"/>
        <v>LIM333</v>
      </c>
      <c r="D1226" s="2">
        <v>608</v>
      </c>
      <c r="F1226" s="2451"/>
      <c r="G1226" s="2451"/>
      <c r="H1226" s="2451"/>
      <c r="I1226" s="2451"/>
      <c r="J1226" s="2451"/>
      <c r="K1226" s="2451"/>
      <c r="L1226" s="2451"/>
      <c r="M1226" s="2452"/>
      <c r="N1226" s="2452"/>
      <c r="O1226" s="2452"/>
      <c r="P1226" s="2452"/>
      <c r="Q1226" s="2452"/>
      <c r="W1226" t="s">
        <v>2062</v>
      </c>
    </row>
    <row r="1227" spans="1:23" ht="13.15" customHeight="1">
      <c r="A1227" s="2" t="s">
        <v>2214</v>
      </c>
      <c r="B1227" s="2">
        <f t="shared" si="38"/>
        <v>2020</v>
      </c>
      <c r="C1227" s="2" t="str">
        <f t="shared" si="39"/>
        <v>LIM333</v>
      </c>
      <c r="D1227" s="2">
        <v>609</v>
      </c>
      <c r="F1227" s="2451"/>
      <c r="G1227" s="2451"/>
      <c r="H1227" s="2451"/>
      <c r="I1227" s="2451"/>
      <c r="J1227" s="2451"/>
      <c r="K1227" s="2451"/>
      <c r="L1227" s="2451"/>
      <c r="M1227" s="2452"/>
      <c r="N1227" s="2452"/>
      <c r="O1227" s="2452"/>
      <c r="P1227" s="2452"/>
      <c r="Q1227" s="2452"/>
      <c r="W1227" t="s">
        <v>2062</v>
      </c>
    </row>
    <row r="1228" spans="1:23" ht="13.15" customHeight="1">
      <c r="A1228" s="2" t="s">
        <v>2214</v>
      </c>
      <c r="B1228" s="2">
        <f t="shared" si="38"/>
        <v>2020</v>
      </c>
      <c r="C1228" s="2" t="str">
        <f t="shared" si="39"/>
        <v>LIM333</v>
      </c>
      <c r="D1228" s="2">
        <v>610</v>
      </c>
      <c r="F1228" s="2451"/>
      <c r="G1228" s="2451"/>
      <c r="H1228" s="2451"/>
      <c r="I1228" s="2451"/>
      <c r="J1228" s="2451"/>
      <c r="K1228" s="2451"/>
      <c r="L1228" s="2451"/>
      <c r="M1228" s="2452"/>
      <c r="N1228" s="2452"/>
      <c r="O1228" s="2452"/>
      <c r="P1228" s="2452"/>
      <c r="Q1228" s="2452"/>
      <c r="W1228" t="s">
        <v>2062</v>
      </c>
    </row>
    <row r="1229" spans="1:23" ht="13.15" customHeight="1">
      <c r="A1229" s="2" t="s">
        <v>2214</v>
      </c>
      <c r="B1229" s="2">
        <f t="shared" si="38"/>
        <v>2020</v>
      </c>
      <c r="C1229" s="2" t="str">
        <f t="shared" si="39"/>
        <v>LIM333</v>
      </c>
      <c r="D1229" s="2">
        <v>611</v>
      </c>
      <c r="F1229" s="2451"/>
      <c r="G1229" s="2451"/>
      <c r="H1229" s="2451"/>
      <c r="I1229" s="2451"/>
      <c r="J1229" s="2451"/>
      <c r="K1229" s="2451"/>
      <c r="L1229" s="2451"/>
      <c r="M1229" s="2452"/>
      <c r="N1229" s="2452"/>
      <c r="O1229" s="2452"/>
      <c r="P1229" s="2452"/>
      <c r="Q1229" s="2452"/>
      <c r="W1229" t="s">
        <v>2062</v>
      </c>
    </row>
    <row r="1230" spans="1:23" ht="13.15" customHeight="1">
      <c r="A1230" s="2" t="s">
        <v>2214</v>
      </c>
      <c r="B1230" s="2">
        <f t="shared" si="38"/>
        <v>2020</v>
      </c>
      <c r="C1230" s="2" t="str">
        <f t="shared" si="39"/>
        <v>LIM333</v>
      </c>
      <c r="D1230" s="2">
        <v>612</v>
      </c>
      <c r="F1230" s="2451"/>
      <c r="G1230" s="2451"/>
      <c r="H1230" s="2451"/>
      <c r="I1230" s="2451"/>
      <c r="J1230" s="2451"/>
      <c r="K1230" s="2451"/>
      <c r="L1230" s="2451"/>
      <c r="M1230" s="2452"/>
      <c r="N1230" s="2452"/>
      <c r="O1230" s="2452"/>
      <c r="P1230" s="2452"/>
      <c r="Q1230" s="2452"/>
      <c r="W1230" t="s">
        <v>2062</v>
      </c>
    </row>
    <row r="1231" spans="1:23" ht="13.15" customHeight="1">
      <c r="A1231" s="2" t="s">
        <v>2214</v>
      </c>
      <c r="B1231" s="2">
        <f t="shared" si="38"/>
        <v>2020</v>
      </c>
      <c r="C1231" s="2" t="str">
        <f t="shared" si="39"/>
        <v>LIM333</v>
      </c>
      <c r="D1231" s="2">
        <v>613</v>
      </c>
      <c r="F1231" s="2451"/>
      <c r="G1231" s="2451"/>
      <c r="H1231" s="2451"/>
      <c r="I1231" s="2451"/>
      <c r="J1231" s="2451"/>
      <c r="K1231" s="2451"/>
      <c r="L1231" s="2451"/>
      <c r="M1231" s="2452"/>
      <c r="N1231" s="2452"/>
      <c r="O1231" s="2452"/>
      <c r="P1231" s="2452"/>
      <c r="Q1231" s="2452"/>
      <c r="W1231" t="s">
        <v>2062</v>
      </c>
    </row>
    <row r="1232" spans="1:23" ht="13.15" customHeight="1">
      <c r="A1232" s="2" t="s">
        <v>2214</v>
      </c>
      <c r="B1232" s="2">
        <f t="shared" si="38"/>
        <v>2020</v>
      </c>
      <c r="C1232" s="2" t="str">
        <f t="shared" si="39"/>
        <v>LIM333</v>
      </c>
      <c r="D1232" s="2">
        <v>614</v>
      </c>
      <c r="F1232" s="2451"/>
      <c r="G1232" s="2451"/>
      <c r="H1232" s="2451"/>
      <c r="I1232" s="2451"/>
      <c r="J1232" s="2451"/>
      <c r="K1232" s="2451"/>
      <c r="L1232" s="2451"/>
      <c r="M1232" s="2452"/>
      <c r="N1232" s="2452"/>
      <c r="O1232" s="2452"/>
      <c r="P1232" s="2452"/>
      <c r="Q1232" s="2452"/>
      <c r="W1232" t="s">
        <v>2062</v>
      </c>
    </row>
    <row r="1233" spans="1:23" ht="13.15" customHeight="1">
      <c r="A1233" s="2" t="s">
        <v>2214</v>
      </c>
      <c r="B1233" s="2">
        <f t="shared" si="38"/>
        <v>2020</v>
      </c>
      <c r="C1233" s="2" t="str">
        <f t="shared" si="39"/>
        <v>LIM333</v>
      </c>
      <c r="D1233" s="2">
        <v>615</v>
      </c>
      <c r="F1233" s="2451"/>
      <c r="G1233" s="2451"/>
      <c r="H1233" s="2451"/>
      <c r="I1233" s="2451"/>
      <c r="J1233" s="2451"/>
      <c r="K1233" s="2451"/>
      <c r="L1233" s="2451"/>
      <c r="M1233" s="2452"/>
      <c r="N1233" s="2452"/>
      <c r="O1233" s="2452"/>
      <c r="P1233" s="2452"/>
      <c r="Q1233" s="2452"/>
      <c r="W1233" t="s">
        <v>2062</v>
      </c>
    </row>
    <row r="1234" spans="1:23" ht="13.15" customHeight="1">
      <c r="A1234" s="2" t="s">
        <v>2214</v>
      </c>
      <c r="B1234" s="2">
        <f t="shared" si="38"/>
        <v>2020</v>
      </c>
      <c r="C1234" s="2" t="str">
        <f t="shared" si="39"/>
        <v>LIM333</v>
      </c>
      <c r="D1234" s="2">
        <v>616</v>
      </c>
      <c r="F1234" s="2451"/>
      <c r="G1234" s="2451"/>
      <c r="H1234" s="2451"/>
      <c r="I1234" s="2451"/>
      <c r="J1234" s="2451"/>
      <c r="K1234" s="2451"/>
      <c r="L1234" s="2451"/>
      <c r="M1234" s="2452"/>
      <c r="N1234" s="2452"/>
      <c r="O1234" s="2452"/>
      <c r="P1234" s="2452"/>
      <c r="Q1234" s="2452"/>
      <c r="W1234" t="s">
        <v>2062</v>
      </c>
    </row>
    <row r="1235" spans="1:23" ht="13.15" customHeight="1">
      <c r="A1235" s="2" t="s">
        <v>2214</v>
      </c>
      <c r="B1235" s="2">
        <f t="shared" si="38"/>
        <v>2020</v>
      </c>
      <c r="C1235" s="2" t="str">
        <f t="shared" si="39"/>
        <v>LIM333</v>
      </c>
      <c r="D1235" s="2">
        <v>617</v>
      </c>
      <c r="F1235" s="2451"/>
      <c r="G1235" s="2451"/>
      <c r="H1235" s="2451"/>
      <c r="I1235" s="2451"/>
      <c r="J1235" s="2451"/>
      <c r="K1235" s="2451"/>
      <c r="L1235" s="2451"/>
      <c r="M1235" s="2452"/>
      <c r="N1235" s="2452"/>
      <c r="O1235" s="2452"/>
      <c r="P1235" s="2452"/>
      <c r="Q1235" s="2452"/>
      <c r="W1235" t="s">
        <v>2062</v>
      </c>
    </row>
    <row r="1236" spans="1:23" ht="13.15" customHeight="1">
      <c r="A1236" s="2" t="s">
        <v>2214</v>
      </c>
      <c r="B1236" s="2">
        <f t="shared" si="38"/>
        <v>2020</v>
      </c>
      <c r="C1236" s="2" t="str">
        <f t="shared" si="39"/>
        <v>LIM333</v>
      </c>
      <c r="D1236" s="2">
        <v>618</v>
      </c>
      <c r="F1236" s="2451"/>
      <c r="G1236" s="2451"/>
      <c r="H1236" s="2451"/>
      <c r="I1236" s="2451"/>
      <c r="J1236" s="2451"/>
      <c r="K1236" s="2451"/>
      <c r="L1236" s="2451"/>
      <c r="M1236" s="2452"/>
      <c r="N1236" s="2452"/>
      <c r="O1236" s="2452"/>
      <c r="P1236" s="2452"/>
      <c r="Q1236" s="2452"/>
      <c r="W1236" t="s">
        <v>2062</v>
      </c>
    </row>
    <row r="1237" spans="1:23" ht="13.15" customHeight="1">
      <c r="A1237" s="2" t="s">
        <v>2214</v>
      </c>
      <c r="B1237" s="2">
        <f t="shared" si="38"/>
        <v>2020</v>
      </c>
      <c r="C1237" s="2" t="str">
        <f t="shared" si="39"/>
        <v>LIM333</v>
      </c>
      <c r="D1237" s="2">
        <v>619</v>
      </c>
      <c r="F1237" s="2451"/>
      <c r="G1237" s="2451"/>
      <c r="H1237" s="2451"/>
      <c r="I1237" s="2451"/>
      <c r="J1237" s="2451"/>
      <c r="K1237" s="2451"/>
      <c r="L1237" s="2451"/>
      <c r="M1237" s="2452"/>
      <c r="N1237" s="2452"/>
      <c r="O1237" s="2452"/>
      <c r="P1237" s="2452"/>
      <c r="Q1237" s="2452"/>
      <c r="W1237" t="s">
        <v>2062</v>
      </c>
    </row>
    <row r="1238" spans="1:23" ht="13.15" customHeight="1">
      <c r="A1238" s="2" t="s">
        <v>2214</v>
      </c>
      <c r="B1238" s="2">
        <f t="shared" si="38"/>
        <v>2020</v>
      </c>
      <c r="C1238" s="2" t="str">
        <f t="shared" si="39"/>
        <v>LIM333</v>
      </c>
      <c r="D1238" s="2">
        <v>620</v>
      </c>
      <c r="F1238" s="2451"/>
      <c r="G1238" s="2451"/>
      <c r="H1238" s="2451"/>
      <c r="I1238" s="2451"/>
      <c r="J1238" s="2451"/>
      <c r="K1238" s="2451"/>
      <c r="L1238" s="2451"/>
      <c r="M1238" s="2452"/>
      <c r="N1238" s="2452"/>
      <c r="O1238" s="2452"/>
      <c r="P1238" s="2452"/>
      <c r="Q1238" s="2452"/>
      <c r="W1238" t="s">
        <v>2062</v>
      </c>
    </row>
    <row r="1239" spans="1:23" ht="13.15" customHeight="1">
      <c r="A1239" s="2" t="s">
        <v>2214</v>
      </c>
      <c r="B1239" s="2">
        <f t="shared" si="38"/>
        <v>2020</v>
      </c>
      <c r="C1239" s="2" t="str">
        <f t="shared" si="39"/>
        <v>LIM333</v>
      </c>
      <c r="D1239" s="2">
        <v>621</v>
      </c>
      <c r="F1239" s="2451"/>
      <c r="G1239" s="2451"/>
      <c r="H1239" s="2451"/>
      <c r="I1239" s="2451"/>
      <c r="J1239" s="2451"/>
      <c r="K1239" s="2451"/>
      <c r="L1239" s="2451"/>
      <c r="M1239" s="2452"/>
      <c r="N1239" s="2452"/>
      <c r="O1239" s="2452"/>
      <c r="P1239" s="2452"/>
      <c r="Q1239" s="2452"/>
      <c r="W1239" t="s">
        <v>2062</v>
      </c>
    </row>
    <row r="1240" spans="1:23" ht="13.15" customHeight="1">
      <c r="A1240" s="2" t="s">
        <v>2214</v>
      </c>
      <c r="B1240" s="2">
        <f t="shared" si="38"/>
        <v>2020</v>
      </c>
      <c r="C1240" s="2" t="str">
        <f t="shared" si="39"/>
        <v>LIM333</v>
      </c>
      <c r="D1240" s="2">
        <v>622</v>
      </c>
      <c r="F1240" s="2451"/>
      <c r="G1240" s="2451"/>
      <c r="H1240" s="2451"/>
      <c r="I1240" s="2451"/>
      <c r="J1240" s="2451"/>
      <c r="K1240" s="2451"/>
      <c r="L1240" s="2451"/>
      <c r="M1240" s="2452"/>
      <c r="N1240" s="2452"/>
      <c r="O1240" s="2452"/>
      <c r="P1240" s="2452"/>
      <c r="Q1240" s="2452"/>
      <c r="W1240" t="s">
        <v>2062</v>
      </c>
    </row>
    <row r="1241" spans="1:23" ht="13.15" customHeight="1">
      <c r="A1241" s="2" t="s">
        <v>2214</v>
      </c>
      <c r="B1241" s="2">
        <f t="shared" si="38"/>
        <v>2020</v>
      </c>
      <c r="C1241" s="2" t="str">
        <f t="shared" si="39"/>
        <v>LIM333</v>
      </c>
      <c r="D1241" s="2">
        <v>623</v>
      </c>
      <c r="F1241" s="2451"/>
      <c r="G1241" s="2451"/>
      <c r="H1241" s="2451"/>
      <c r="I1241" s="2451"/>
      <c r="J1241" s="2451"/>
      <c r="K1241" s="2451"/>
      <c r="L1241" s="2451"/>
      <c r="M1241" s="2452"/>
      <c r="N1241" s="2452"/>
      <c r="O1241" s="2452"/>
      <c r="P1241" s="2452"/>
      <c r="Q1241" s="2452"/>
      <c r="W1241" t="s">
        <v>2062</v>
      </c>
    </row>
    <row r="1242" spans="1:23" ht="13.15" customHeight="1">
      <c r="A1242" s="2" t="s">
        <v>2214</v>
      </c>
      <c r="B1242" s="2">
        <f t="shared" si="38"/>
        <v>2020</v>
      </c>
      <c r="C1242" s="2" t="str">
        <f t="shared" si="39"/>
        <v>LIM333</v>
      </c>
      <c r="D1242" s="2">
        <v>624</v>
      </c>
      <c r="F1242" s="2451"/>
      <c r="G1242" s="2451"/>
      <c r="H1242" s="2451"/>
      <c r="I1242" s="2451"/>
      <c r="J1242" s="2451"/>
      <c r="K1242" s="2451"/>
      <c r="L1242" s="2451"/>
      <c r="M1242" s="2452"/>
      <c r="N1242" s="2452"/>
      <c r="O1242" s="2452"/>
      <c r="P1242" s="2452"/>
      <c r="Q1242" s="2452"/>
      <c r="W1242" t="s">
        <v>2062</v>
      </c>
    </row>
    <row r="1243" spans="1:23" ht="13.15" customHeight="1">
      <c r="A1243" s="2" t="s">
        <v>2214</v>
      </c>
      <c r="B1243" s="2">
        <f t="shared" si="38"/>
        <v>2020</v>
      </c>
      <c r="C1243" s="2" t="str">
        <f t="shared" si="39"/>
        <v>LIM333</v>
      </c>
      <c r="D1243" s="2">
        <v>625</v>
      </c>
      <c r="F1243" s="2451"/>
      <c r="G1243" s="2451"/>
      <c r="H1243" s="2451"/>
      <c r="I1243" s="2451"/>
      <c r="J1243" s="2451"/>
      <c r="K1243" s="2451"/>
      <c r="L1243" s="2451"/>
      <c r="M1243" s="2452"/>
      <c r="N1243" s="2452"/>
      <c r="O1243" s="2452"/>
      <c r="P1243" s="2452"/>
      <c r="Q1243" s="2452"/>
      <c r="W1243" t="s">
        <v>2062</v>
      </c>
    </row>
    <row r="1244" spans="1:23" ht="13.15" customHeight="1">
      <c r="A1244" s="2" t="s">
        <v>2214</v>
      </c>
      <c r="B1244" s="2">
        <f t="shared" si="38"/>
        <v>2020</v>
      </c>
      <c r="C1244" s="2" t="str">
        <f t="shared" si="39"/>
        <v>LIM333</v>
      </c>
      <c r="D1244" s="2">
        <v>626</v>
      </c>
      <c r="F1244" s="2451"/>
      <c r="G1244" s="2451"/>
      <c r="H1244" s="2451"/>
      <c r="I1244" s="2451"/>
      <c r="J1244" s="2451"/>
      <c r="K1244" s="2451"/>
      <c r="L1244" s="2451"/>
      <c r="M1244" s="2452"/>
      <c r="N1244" s="2452"/>
      <c r="O1244" s="2452"/>
      <c r="P1244" s="2452"/>
      <c r="Q1244" s="2452"/>
      <c r="W1244" t="s">
        <v>2062</v>
      </c>
    </row>
    <row r="1245" spans="1:23" ht="13.15" customHeight="1">
      <c r="A1245" s="2" t="s">
        <v>2214</v>
      </c>
      <c r="B1245" s="2">
        <f t="shared" si="38"/>
        <v>2020</v>
      </c>
      <c r="C1245" s="2" t="str">
        <f t="shared" si="39"/>
        <v>LIM333</v>
      </c>
      <c r="D1245" s="2">
        <v>627</v>
      </c>
      <c r="F1245" s="2451"/>
      <c r="G1245" s="2451"/>
      <c r="H1245" s="2451"/>
      <c r="I1245" s="2451"/>
      <c r="J1245" s="2451"/>
      <c r="K1245" s="2451"/>
      <c r="L1245" s="2451"/>
      <c r="M1245" s="2452"/>
      <c r="N1245" s="2452"/>
      <c r="O1245" s="2452"/>
      <c r="P1245" s="2452"/>
      <c r="Q1245" s="2452"/>
      <c r="W1245" t="s">
        <v>2062</v>
      </c>
    </row>
    <row r="1246" spans="1:23" ht="13.15" customHeight="1">
      <c r="A1246" s="2" t="s">
        <v>2214</v>
      </c>
      <c r="B1246" s="2">
        <f t="shared" si="38"/>
        <v>2020</v>
      </c>
      <c r="C1246" s="2" t="str">
        <f t="shared" si="39"/>
        <v>LIM333</v>
      </c>
      <c r="D1246" s="2">
        <v>628</v>
      </c>
      <c r="F1246" s="2451"/>
      <c r="G1246" s="2451"/>
      <c r="H1246" s="2451"/>
      <c r="I1246" s="2451"/>
      <c r="J1246" s="2451"/>
      <c r="K1246" s="2451"/>
      <c r="L1246" s="2451"/>
      <c r="M1246" s="2452"/>
      <c r="N1246" s="2452"/>
      <c r="O1246" s="2452"/>
      <c r="P1246" s="2452"/>
      <c r="Q1246" s="2452"/>
      <c r="W1246" t="s">
        <v>2062</v>
      </c>
    </row>
    <row r="1247" spans="1:23" ht="13.15" customHeight="1">
      <c r="A1247" s="2" t="s">
        <v>2214</v>
      </c>
      <c r="B1247" s="2">
        <f t="shared" si="38"/>
        <v>2020</v>
      </c>
      <c r="C1247" s="2" t="str">
        <f t="shared" si="39"/>
        <v>LIM333</v>
      </c>
      <c r="D1247" s="2">
        <v>629</v>
      </c>
      <c r="F1247" s="2451"/>
      <c r="G1247" s="2451"/>
      <c r="H1247" s="2451"/>
      <c r="I1247" s="2451"/>
      <c r="J1247" s="2451"/>
      <c r="K1247" s="2451"/>
      <c r="L1247" s="2451"/>
      <c r="M1247" s="2452"/>
      <c r="N1247" s="2452"/>
      <c r="O1247" s="2452"/>
      <c r="P1247" s="2452"/>
      <c r="Q1247" s="2452"/>
      <c r="W1247" t="s">
        <v>2062</v>
      </c>
    </row>
    <row r="1248" spans="1:23" ht="13.15" customHeight="1">
      <c r="A1248" s="2" t="s">
        <v>2214</v>
      </c>
      <c r="B1248" s="2">
        <f t="shared" si="38"/>
        <v>2020</v>
      </c>
      <c r="C1248" s="2" t="str">
        <f t="shared" si="39"/>
        <v>LIM333</v>
      </c>
      <c r="D1248" s="2">
        <v>630</v>
      </c>
      <c r="F1248" s="2451"/>
      <c r="G1248" s="2451"/>
      <c r="H1248" s="2451"/>
      <c r="I1248" s="2451"/>
      <c r="J1248" s="2451"/>
      <c r="K1248" s="2451"/>
      <c r="L1248" s="2451"/>
      <c r="M1248" s="2452"/>
      <c r="N1248" s="2452"/>
      <c r="O1248" s="2452"/>
      <c r="P1248" s="2452"/>
      <c r="Q1248" s="2452"/>
      <c r="W1248" t="s">
        <v>2062</v>
      </c>
    </row>
    <row r="1249" spans="1:23" ht="13.15" customHeight="1">
      <c r="A1249" s="2" t="s">
        <v>2214</v>
      </c>
      <c r="B1249" s="2">
        <f t="shared" si="38"/>
        <v>2020</v>
      </c>
      <c r="C1249" s="2" t="str">
        <f t="shared" si="39"/>
        <v>LIM333</v>
      </c>
      <c r="D1249" s="2">
        <v>631</v>
      </c>
      <c r="F1249" s="2451"/>
      <c r="G1249" s="2451"/>
      <c r="H1249" s="2451"/>
      <c r="I1249" s="2451"/>
      <c r="J1249" s="2451"/>
      <c r="K1249" s="2451"/>
      <c r="L1249" s="2451"/>
      <c r="M1249" s="2452"/>
      <c r="N1249" s="2452"/>
      <c r="O1249" s="2452"/>
      <c r="P1249" s="2452"/>
      <c r="Q1249" s="2452"/>
      <c r="W1249" t="s">
        <v>2062</v>
      </c>
    </row>
    <row r="1250" spans="1:23" ht="13.15" customHeight="1">
      <c r="A1250" s="2" t="s">
        <v>2214</v>
      </c>
      <c r="B1250" s="2">
        <f t="shared" si="38"/>
        <v>2020</v>
      </c>
      <c r="C1250" s="2" t="str">
        <f t="shared" si="39"/>
        <v>LIM333</v>
      </c>
      <c r="D1250" s="2">
        <v>632</v>
      </c>
      <c r="F1250" s="2451"/>
      <c r="G1250" s="2451"/>
      <c r="H1250" s="2451"/>
      <c r="I1250" s="2451"/>
      <c r="J1250" s="2451"/>
      <c r="K1250" s="2451"/>
      <c r="L1250" s="2451"/>
      <c r="M1250" s="2452"/>
      <c r="N1250" s="2452"/>
      <c r="O1250" s="2452"/>
      <c r="P1250" s="2452"/>
      <c r="Q1250" s="2452"/>
      <c r="W1250" t="s">
        <v>2062</v>
      </c>
    </row>
    <row r="1251" spans="1:23" ht="13.15" customHeight="1">
      <c r="A1251" s="2" t="s">
        <v>2214</v>
      </c>
      <c r="B1251" s="2">
        <f t="shared" si="38"/>
        <v>2020</v>
      </c>
      <c r="C1251" s="2" t="str">
        <f t="shared" si="39"/>
        <v>LIM333</v>
      </c>
      <c r="D1251" s="2">
        <v>633</v>
      </c>
      <c r="F1251" s="2451"/>
      <c r="G1251" s="2451"/>
      <c r="H1251" s="2451"/>
      <c r="I1251" s="2451"/>
      <c r="J1251" s="2451"/>
      <c r="K1251" s="2451"/>
      <c r="L1251" s="2451"/>
      <c r="M1251" s="2452"/>
      <c r="N1251" s="2452"/>
      <c r="O1251" s="2452"/>
      <c r="P1251" s="2452"/>
      <c r="Q1251" s="2452"/>
      <c r="W1251" t="s">
        <v>2062</v>
      </c>
    </row>
    <row r="1252" spans="1:23" ht="13.15" customHeight="1">
      <c r="A1252" s="2" t="s">
        <v>2214</v>
      </c>
      <c r="B1252" s="2">
        <f t="shared" si="38"/>
        <v>2020</v>
      </c>
      <c r="C1252" s="2" t="str">
        <f t="shared" si="39"/>
        <v>LIM333</v>
      </c>
      <c r="D1252" s="2">
        <v>634</v>
      </c>
      <c r="F1252" s="2451"/>
      <c r="G1252" s="2451"/>
      <c r="H1252" s="2451"/>
      <c r="I1252" s="2451"/>
      <c r="J1252" s="2451"/>
      <c r="K1252" s="2451"/>
      <c r="L1252" s="2451"/>
      <c r="M1252" s="2452"/>
      <c r="N1252" s="2452"/>
      <c r="O1252" s="2452"/>
      <c r="P1252" s="2452"/>
      <c r="Q1252" s="2452"/>
      <c r="W1252" t="s">
        <v>2062</v>
      </c>
    </row>
    <row r="1253" spans="1:23" ht="13.15" customHeight="1">
      <c r="A1253" s="2" t="s">
        <v>2214</v>
      </c>
      <c r="B1253" s="2">
        <f t="shared" si="38"/>
        <v>2020</v>
      </c>
      <c r="C1253" s="2" t="str">
        <f t="shared" si="39"/>
        <v>LIM333</v>
      </c>
      <c r="D1253" s="2">
        <v>635</v>
      </c>
      <c r="F1253" s="2451"/>
      <c r="G1253" s="2451"/>
      <c r="H1253" s="2451"/>
      <c r="I1253" s="2451"/>
      <c r="J1253" s="2451"/>
      <c r="K1253" s="2451"/>
      <c r="L1253" s="2451"/>
      <c r="M1253" s="2452"/>
      <c r="N1253" s="2452"/>
      <c r="O1253" s="2452"/>
      <c r="P1253" s="2452"/>
      <c r="Q1253" s="2452"/>
      <c r="W1253" t="s">
        <v>2062</v>
      </c>
    </row>
    <row r="1254" spans="1:23" ht="13.15" customHeight="1">
      <c r="A1254" s="2" t="s">
        <v>2214</v>
      </c>
      <c r="B1254" s="2">
        <f t="shared" si="38"/>
        <v>2020</v>
      </c>
      <c r="C1254" s="2" t="str">
        <f t="shared" si="39"/>
        <v>LIM333</v>
      </c>
      <c r="D1254" s="2">
        <v>636</v>
      </c>
      <c r="F1254" s="2451"/>
      <c r="G1254" s="2451"/>
      <c r="H1254" s="2451"/>
      <c r="I1254" s="2451"/>
      <c r="J1254" s="2451"/>
      <c r="K1254" s="2451"/>
      <c r="L1254" s="2451"/>
      <c r="M1254" s="2452"/>
      <c r="N1254" s="2452"/>
      <c r="O1254" s="2452"/>
      <c r="P1254" s="2452"/>
      <c r="Q1254" s="2452"/>
      <c r="W1254" t="s">
        <v>2062</v>
      </c>
    </row>
    <row r="1255" spans="1:23" ht="13.15" customHeight="1">
      <c r="A1255" s="2" t="s">
        <v>2214</v>
      </c>
      <c r="B1255" s="2">
        <f t="shared" si="38"/>
        <v>2020</v>
      </c>
      <c r="C1255" s="2" t="str">
        <f t="shared" si="39"/>
        <v>LIM333</v>
      </c>
      <c r="D1255" s="2">
        <v>637</v>
      </c>
      <c r="F1255" s="2451"/>
      <c r="G1255" s="2451"/>
      <c r="H1255" s="2451"/>
      <c r="I1255" s="2451"/>
      <c r="J1255" s="2451"/>
      <c r="K1255" s="2451"/>
      <c r="L1255" s="2451"/>
      <c r="M1255" s="2452"/>
      <c r="N1255" s="2452"/>
      <c r="O1255" s="2452"/>
      <c r="P1255" s="2452"/>
      <c r="Q1255" s="2452"/>
      <c r="W1255" t="s">
        <v>2062</v>
      </c>
    </row>
    <row r="1256" spans="1:23" ht="13.15" customHeight="1">
      <c r="A1256" s="2" t="s">
        <v>2214</v>
      </c>
      <c r="B1256" s="2">
        <f t="shared" si="38"/>
        <v>2020</v>
      </c>
      <c r="C1256" s="2" t="str">
        <f t="shared" si="39"/>
        <v>LIM333</v>
      </c>
      <c r="D1256" s="2">
        <v>638</v>
      </c>
      <c r="F1256" s="2451"/>
      <c r="G1256" s="2451"/>
      <c r="H1256" s="2451"/>
      <c r="I1256" s="2451"/>
      <c r="J1256" s="2451"/>
      <c r="K1256" s="2451"/>
      <c r="L1256" s="2451"/>
      <c r="M1256" s="2452"/>
      <c r="N1256" s="2452"/>
      <c r="O1256" s="2452"/>
      <c r="P1256" s="2452"/>
      <c r="Q1256" s="2452"/>
      <c r="W1256" t="s">
        <v>2062</v>
      </c>
    </row>
    <row r="1257" spans="1:23" ht="13.15" customHeight="1">
      <c r="A1257" s="2" t="s">
        <v>2214</v>
      </c>
      <c r="B1257" s="2">
        <f t="shared" si="38"/>
        <v>2020</v>
      </c>
      <c r="C1257" s="2" t="str">
        <f t="shared" si="39"/>
        <v>LIM333</v>
      </c>
      <c r="D1257" s="2">
        <v>639</v>
      </c>
      <c r="F1257" s="2451"/>
      <c r="G1257" s="2451"/>
      <c r="H1257" s="2451"/>
      <c r="I1257" s="2451"/>
      <c r="J1257" s="2451"/>
      <c r="K1257" s="2451"/>
      <c r="L1257" s="2451"/>
      <c r="M1257" s="2452"/>
      <c r="N1257" s="2452"/>
      <c r="O1257" s="2452"/>
      <c r="P1257" s="2452"/>
      <c r="Q1257" s="2452"/>
      <c r="W1257" t="s">
        <v>2062</v>
      </c>
    </row>
    <row r="1258" spans="1:23" ht="13.15" customHeight="1">
      <c r="A1258" s="2" t="s">
        <v>2214</v>
      </c>
      <c r="B1258" s="2">
        <f t="shared" si="38"/>
        <v>2020</v>
      </c>
      <c r="C1258" s="2" t="str">
        <f t="shared" si="39"/>
        <v>LIM333</v>
      </c>
      <c r="D1258" s="2">
        <v>640</v>
      </c>
      <c r="F1258" s="2451"/>
      <c r="G1258" s="2451"/>
      <c r="H1258" s="2451"/>
      <c r="I1258" s="2451"/>
      <c r="J1258" s="2451"/>
      <c r="K1258" s="2451"/>
      <c r="L1258" s="2451"/>
      <c r="M1258" s="2452"/>
      <c r="N1258" s="2452"/>
      <c r="O1258" s="2452"/>
      <c r="P1258" s="2452"/>
      <c r="Q1258" s="2452"/>
      <c r="W1258" t="s">
        <v>2062</v>
      </c>
    </row>
    <row r="1259" spans="1:23" ht="13.15" customHeight="1">
      <c r="A1259" s="2" t="s">
        <v>2214</v>
      </c>
      <c r="B1259" s="2">
        <f t="shared" si="38"/>
        <v>2020</v>
      </c>
      <c r="C1259" s="2" t="str">
        <f t="shared" si="39"/>
        <v>LIM333</v>
      </c>
      <c r="D1259" s="2">
        <v>641</v>
      </c>
      <c r="F1259" s="2451"/>
      <c r="G1259" s="2451"/>
      <c r="H1259" s="2451"/>
      <c r="I1259" s="2451"/>
      <c r="J1259" s="2451"/>
      <c r="K1259" s="2451"/>
      <c r="L1259" s="2451"/>
      <c r="M1259" s="2452"/>
      <c r="N1259" s="2452"/>
      <c r="O1259" s="2452"/>
      <c r="P1259" s="2452"/>
      <c r="Q1259" s="2452"/>
      <c r="W1259" t="s">
        <v>2062</v>
      </c>
    </row>
    <row r="1260" spans="1:23" ht="13.15" customHeight="1">
      <c r="A1260" s="2" t="s">
        <v>2214</v>
      </c>
      <c r="B1260" s="2">
        <f t="shared" si="38"/>
        <v>2020</v>
      </c>
      <c r="C1260" s="2" t="str">
        <f t="shared" si="39"/>
        <v>LIM333</v>
      </c>
      <c r="D1260" s="2">
        <v>642</v>
      </c>
      <c r="F1260" s="2451"/>
      <c r="G1260" s="2451"/>
      <c r="H1260" s="2451"/>
      <c r="I1260" s="2451"/>
      <c r="J1260" s="2451"/>
      <c r="K1260" s="2451"/>
      <c r="L1260" s="2451"/>
      <c r="M1260" s="2452"/>
      <c r="N1260" s="2452"/>
      <c r="O1260" s="2452"/>
      <c r="P1260" s="2452"/>
      <c r="Q1260" s="2452"/>
      <c r="W1260" t="s">
        <v>2062</v>
      </c>
    </row>
    <row r="1261" spans="1:23" ht="13.15" customHeight="1">
      <c r="A1261" s="2" t="s">
        <v>2214</v>
      </c>
      <c r="B1261" s="2">
        <f t="shared" si="38"/>
        <v>2020</v>
      </c>
      <c r="C1261" s="2" t="str">
        <f t="shared" si="39"/>
        <v>LIM333</v>
      </c>
      <c r="D1261" s="2">
        <v>643</v>
      </c>
      <c r="F1261" s="2451"/>
      <c r="G1261" s="2451"/>
      <c r="H1261" s="2451"/>
      <c r="I1261" s="2451"/>
      <c r="J1261" s="2451"/>
      <c r="K1261" s="2451"/>
      <c r="L1261" s="2451"/>
      <c r="M1261" s="2452"/>
      <c r="N1261" s="2452"/>
      <c r="O1261" s="2452"/>
      <c r="P1261" s="2452"/>
      <c r="Q1261" s="2452"/>
      <c r="W1261" t="s">
        <v>2062</v>
      </c>
    </row>
    <row r="1262" spans="1:23" ht="13.15" customHeight="1">
      <c r="A1262" s="2" t="s">
        <v>2214</v>
      </c>
      <c r="B1262" s="2">
        <f t="shared" si="38"/>
        <v>2020</v>
      </c>
      <c r="C1262" s="2" t="str">
        <f t="shared" si="39"/>
        <v>LIM333</v>
      </c>
      <c r="D1262" s="2">
        <v>644</v>
      </c>
      <c r="F1262" s="2451"/>
      <c r="G1262" s="2451"/>
      <c r="H1262" s="2451"/>
      <c r="I1262" s="2451"/>
      <c r="J1262" s="2451"/>
      <c r="K1262" s="2451"/>
      <c r="L1262" s="2451"/>
      <c r="M1262" s="2452"/>
      <c r="N1262" s="2452"/>
      <c r="O1262" s="2452"/>
      <c r="P1262" s="2452"/>
      <c r="Q1262" s="2452"/>
      <c r="W1262" t="s">
        <v>2062</v>
      </c>
    </row>
    <row r="1263" spans="1:23" ht="13.15" customHeight="1">
      <c r="A1263" s="2" t="s">
        <v>2214</v>
      </c>
      <c r="B1263" s="2">
        <f t="shared" si="38"/>
        <v>2020</v>
      </c>
      <c r="C1263" s="2" t="str">
        <f t="shared" si="39"/>
        <v>LIM333</v>
      </c>
      <c r="D1263" s="2">
        <v>645</v>
      </c>
      <c r="F1263" s="2451"/>
      <c r="G1263" s="2451"/>
      <c r="H1263" s="2451"/>
      <c r="I1263" s="2451"/>
      <c r="J1263" s="2451"/>
      <c r="K1263" s="2451"/>
      <c r="L1263" s="2451"/>
      <c r="M1263" s="2452"/>
      <c r="N1263" s="2452"/>
      <c r="O1263" s="2452"/>
      <c r="P1263" s="2452"/>
      <c r="Q1263" s="2452"/>
      <c r="W1263" t="s">
        <v>2062</v>
      </c>
    </row>
    <row r="1264" spans="1:23" ht="13.15" customHeight="1">
      <c r="A1264" s="2" t="s">
        <v>2214</v>
      </c>
      <c r="B1264" s="2">
        <f t="shared" si="38"/>
        <v>2020</v>
      </c>
      <c r="C1264" s="2" t="str">
        <f t="shared" si="39"/>
        <v>LIM333</v>
      </c>
      <c r="D1264" s="2">
        <v>646</v>
      </c>
      <c r="F1264" s="2451"/>
      <c r="G1264" s="2451"/>
      <c r="H1264" s="2451"/>
      <c r="I1264" s="2451"/>
      <c r="J1264" s="2451"/>
      <c r="K1264" s="2451"/>
      <c r="L1264" s="2451"/>
      <c r="M1264" s="2452"/>
      <c r="N1264" s="2452"/>
      <c r="O1264" s="2452"/>
      <c r="P1264" s="2452"/>
      <c r="Q1264" s="2452"/>
      <c r="W1264" t="s">
        <v>2062</v>
      </c>
    </row>
    <row r="1265" spans="1:23" ht="13.15" customHeight="1">
      <c r="A1265" s="2" t="s">
        <v>2214</v>
      </c>
      <c r="B1265" s="2">
        <f t="shared" si="38"/>
        <v>2020</v>
      </c>
      <c r="C1265" s="2" t="str">
        <f t="shared" si="39"/>
        <v>LIM333</v>
      </c>
      <c r="D1265" s="2">
        <v>647</v>
      </c>
      <c r="F1265" s="2451"/>
      <c r="G1265" s="2451"/>
      <c r="H1265" s="2451"/>
      <c r="I1265" s="2451"/>
      <c r="J1265" s="2451"/>
      <c r="K1265" s="2451"/>
      <c r="L1265" s="2451"/>
      <c r="M1265" s="2452"/>
      <c r="N1265" s="2452"/>
      <c r="O1265" s="2452"/>
      <c r="P1265" s="2452"/>
      <c r="Q1265" s="2452"/>
      <c r="W1265" t="s">
        <v>2062</v>
      </c>
    </row>
    <row r="1266" spans="1:23" ht="13.15" customHeight="1">
      <c r="A1266" s="2" t="s">
        <v>2214</v>
      </c>
      <c r="B1266" s="2">
        <f t="shared" si="38"/>
        <v>2020</v>
      </c>
      <c r="C1266" s="2" t="str">
        <f t="shared" si="39"/>
        <v>LIM333</v>
      </c>
      <c r="D1266" s="2">
        <v>648</v>
      </c>
      <c r="F1266" s="2451"/>
      <c r="G1266" s="2451"/>
      <c r="H1266" s="2451"/>
      <c r="I1266" s="2451"/>
      <c r="J1266" s="2451"/>
      <c r="K1266" s="2451"/>
      <c r="L1266" s="2451"/>
      <c r="M1266" s="2452"/>
      <c r="N1266" s="2452"/>
      <c r="O1266" s="2452"/>
      <c r="P1266" s="2452"/>
      <c r="Q1266" s="2452"/>
      <c r="W1266" t="s">
        <v>2062</v>
      </c>
    </row>
    <row r="1267" spans="1:23" ht="13.15" customHeight="1">
      <c r="A1267" s="2" t="s">
        <v>2214</v>
      </c>
      <c r="B1267" s="2">
        <f t="shared" si="38"/>
        <v>2020</v>
      </c>
      <c r="C1267" s="2" t="str">
        <f t="shared" si="39"/>
        <v>LIM333</v>
      </c>
      <c r="D1267" s="2">
        <v>649</v>
      </c>
      <c r="F1267" s="2451"/>
      <c r="G1267" s="2451"/>
      <c r="H1267" s="2451"/>
      <c r="I1267" s="2451"/>
      <c r="J1267" s="2451"/>
      <c r="K1267" s="2451"/>
      <c r="L1267" s="2451"/>
      <c r="M1267" s="2452"/>
      <c r="N1267" s="2452"/>
      <c r="O1267" s="2452"/>
      <c r="P1267" s="2452"/>
      <c r="Q1267" s="2452"/>
      <c r="W1267" t="s">
        <v>2062</v>
      </c>
    </row>
    <row r="1268" spans="1:23" ht="13.15" customHeight="1">
      <c r="A1268" s="2" t="s">
        <v>2214</v>
      </c>
      <c r="B1268" s="2">
        <f t="shared" si="38"/>
        <v>2020</v>
      </c>
      <c r="C1268" s="2" t="str">
        <f t="shared" si="39"/>
        <v>LIM333</v>
      </c>
      <c r="D1268" s="2">
        <v>650</v>
      </c>
      <c r="F1268" s="2451"/>
      <c r="G1268" s="2451"/>
      <c r="H1268" s="2451"/>
      <c r="I1268" s="2451"/>
      <c r="J1268" s="2451"/>
      <c r="K1268" s="2451"/>
      <c r="L1268" s="2451"/>
      <c r="M1268" s="2452"/>
      <c r="N1268" s="2452"/>
      <c r="O1268" s="2452"/>
      <c r="P1268" s="2452"/>
      <c r="Q1268" s="2452"/>
      <c r="W1268" t="s">
        <v>2062</v>
      </c>
    </row>
    <row r="1269" spans="1:23" ht="13.15" customHeight="1">
      <c r="A1269" s="2" t="s">
        <v>2214</v>
      </c>
      <c r="B1269" s="2">
        <f t="shared" si="38"/>
        <v>2020</v>
      </c>
      <c r="C1269" s="2" t="str">
        <f t="shared" si="39"/>
        <v>LIM333</v>
      </c>
      <c r="D1269" s="2">
        <v>651</v>
      </c>
      <c r="F1269" s="2451"/>
      <c r="G1269" s="2451"/>
      <c r="H1269" s="2451"/>
      <c r="I1269" s="2451"/>
      <c r="J1269" s="2451"/>
      <c r="K1269" s="2451"/>
      <c r="L1269" s="2451"/>
      <c r="M1269" s="2452"/>
      <c r="N1269" s="2452"/>
      <c r="O1269" s="2452"/>
      <c r="P1269" s="2452"/>
      <c r="Q1269" s="2452"/>
      <c r="W1269" t="s">
        <v>2062</v>
      </c>
    </row>
    <row r="1270" spans="1:23" ht="13.15" customHeight="1">
      <c r="A1270" s="2" t="s">
        <v>2214</v>
      </c>
      <c r="B1270" s="2">
        <f t="shared" si="38"/>
        <v>2020</v>
      </c>
      <c r="C1270" s="2" t="str">
        <f t="shared" si="39"/>
        <v>LIM333</v>
      </c>
      <c r="D1270" s="2">
        <v>652</v>
      </c>
      <c r="F1270" s="2451"/>
      <c r="G1270" s="2451"/>
      <c r="H1270" s="2451"/>
      <c r="I1270" s="2451"/>
      <c r="J1270" s="2451"/>
      <c r="K1270" s="2451"/>
      <c r="L1270" s="2451"/>
      <c r="M1270" s="2452"/>
      <c r="N1270" s="2452"/>
      <c r="O1270" s="2452"/>
      <c r="P1270" s="2452"/>
      <c r="Q1270" s="2452"/>
      <c r="W1270" t="s">
        <v>2062</v>
      </c>
    </row>
    <row r="1271" spans="1:23" ht="13.15" customHeight="1">
      <c r="A1271" s="2" t="s">
        <v>2214</v>
      </c>
      <c r="B1271" s="2">
        <f t="shared" si="38"/>
        <v>2020</v>
      </c>
      <c r="C1271" s="2" t="str">
        <f t="shared" si="39"/>
        <v>LIM333</v>
      </c>
      <c r="D1271" s="2">
        <v>653</v>
      </c>
      <c r="F1271" s="2451"/>
      <c r="G1271" s="2451"/>
      <c r="H1271" s="2451"/>
      <c r="I1271" s="2451"/>
      <c r="J1271" s="2451"/>
      <c r="K1271" s="2451"/>
      <c r="L1271" s="2451"/>
      <c r="M1271" s="2452"/>
      <c r="N1271" s="2452"/>
      <c r="O1271" s="2452"/>
      <c r="P1271" s="2452"/>
      <c r="Q1271" s="2452"/>
      <c r="W1271" t="s">
        <v>2062</v>
      </c>
    </row>
    <row r="1272" spans="1:23" ht="13.15" customHeight="1">
      <c r="A1272" s="2" t="s">
        <v>2214</v>
      </c>
      <c r="B1272" s="2">
        <f t="shared" si="38"/>
        <v>2020</v>
      </c>
      <c r="C1272" s="2" t="str">
        <f t="shared" si="39"/>
        <v>LIM333</v>
      </c>
      <c r="D1272" s="2">
        <v>654</v>
      </c>
      <c r="F1272" s="2451"/>
      <c r="G1272" s="2451"/>
      <c r="H1272" s="2451"/>
      <c r="I1272" s="2451"/>
      <c r="J1272" s="2451"/>
      <c r="K1272" s="2451"/>
      <c r="L1272" s="2451"/>
      <c r="M1272" s="2452"/>
      <c r="N1272" s="2452"/>
      <c r="O1272" s="2452"/>
      <c r="P1272" s="2452"/>
      <c r="Q1272" s="2452"/>
      <c r="W1272" t="s">
        <v>2062</v>
      </c>
    </row>
    <row r="1273" spans="1:23" ht="13.15" customHeight="1">
      <c r="A1273" s="2" t="s">
        <v>2214</v>
      </c>
      <c r="B1273" s="2">
        <f t="shared" si="38"/>
        <v>2020</v>
      </c>
      <c r="C1273" s="2" t="str">
        <f t="shared" si="39"/>
        <v>LIM333</v>
      </c>
      <c r="D1273" s="2">
        <v>655</v>
      </c>
      <c r="F1273" s="2451"/>
      <c r="G1273" s="2451"/>
      <c r="H1273" s="2451"/>
      <c r="I1273" s="2451"/>
      <c r="J1273" s="2451"/>
      <c r="K1273" s="2451"/>
      <c r="L1273" s="2451"/>
      <c r="M1273" s="2452"/>
      <c r="N1273" s="2452"/>
      <c r="O1273" s="2452"/>
      <c r="P1273" s="2452"/>
      <c r="Q1273" s="2452"/>
      <c r="W1273" t="s">
        <v>2062</v>
      </c>
    </row>
    <row r="1274" spans="1:23" ht="13.15" customHeight="1">
      <c r="A1274" s="2" t="s">
        <v>2214</v>
      </c>
      <c r="B1274" s="2">
        <f t="shared" si="38"/>
        <v>2020</v>
      </c>
      <c r="C1274" s="2" t="str">
        <f t="shared" si="39"/>
        <v>LIM333</v>
      </c>
      <c r="D1274" s="2">
        <v>656</v>
      </c>
      <c r="F1274" s="2451"/>
      <c r="G1274" s="2451"/>
      <c r="H1274" s="2451"/>
      <c r="I1274" s="2451"/>
      <c r="J1274" s="2451"/>
      <c r="K1274" s="2451"/>
      <c r="L1274" s="2451"/>
      <c r="M1274" s="2452"/>
      <c r="N1274" s="2452"/>
      <c r="O1274" s="2452"/>
      <c r="P1274" s="2452"/>
      <c r="Q1274" s="2452"/>
      <c r="W1274" t="s">
        <v>2062</v>
      </c>
    </row>
    <row r="1275" spans="1:23" ht="13.15" customHeight="1">
      <c r="A1275" s="2" t="s">
        <v>2214</v>
      </c>
      <c r="B1275" s="2">
        <f t="shared" si="38"/>
        <v>2020</v>
      </c>
      <c r="C1275" s="2" t="str">
        <f t="shared" si="39"/>
        <v>LIM333</v>
      </c>
      <c r="D1275" s="2">
        <v>657</v>
      </c>
      <c r="F1275" s="2451"/>
      <c r="G1275" s="2451"/>
      <c r="H1275" s="2451"/>
      <c r="I1275" s="2451"/>
      <c r="J1275" s="2451"/>
      <c r="K1275" s="2451"/>
      <c r="L1275" s="2451"/>
      <c r="M1275" s="2452"/>
      <c r="N1275" s="2452"/>
      <c r="O1275" s="2452"/>
      <c r="P1275" s="2452"/>
      <c r="Q1275" s="2452"/>
      <c r="W1275" t="s">
        <v>2062</v>
      </c>
    </row>
    <row r="1276" spans="1:23" ht="13.15" customHeight="1">
      <c r="A1276" s="2" t="s">
        <v>2214</v>
      </c>
      <c r="B1276" s="2">
        <f t="shared" si="38"/>
        <v>2020</v>
      </c>
      <c r="C1276" s="2" t="str">
        <f t="shared" si="39"/>
        <v>LIM333</v>
      </c>
      <c r="D1276" s="2">
        <v>658</v>
      </c>
      <c r="F1276" s="2451"/>
      <c r="G1276" s="2451"/>
      <c r="H1276" s="2451"/>
      <c r="I1276" s="2451"/>
      <c r="J1276" s="2451"/>
      <c r="K1276" s="2451"/>
      <c r="L1276" s="2451"/>
      <c r="M1276" s="2452"/>
      <c r="N1276" s="2452"/>
      <c r="O1276" s="2452"/>
      <c r="P1276" s="2452"/>
      <c r="Q1276" s="2452"/>
      <c r="W1276" t="s">
        <v>2062</v>
      </c>
    </row>
    <row r="1277" spans="1:23" ht="13.15" customHeight="1">
      <c r="A1277" s="2" t="s">
        <v>2214</v>
      </c>
      <c r="B1277" s="2">
        <f t="shared" si="38"/>
        <v>2020</v>
      </c>
      <c r="C1277" s="2" t="str">
        <f t="shared" si="39"/>
        <v>LIM333</v>
      </c>
      <c r="D1277" s="2">
        <v>659</v>
      </c>
      <c r="F1277" s="2451"/>
      <c r="G1277" s="2451"/>
      <c r="H1277" s="2451"/>
      <c r="I1277" s="2451"/>
      <c r="J1277" s="2451"/>
      <c r="K1277" s="2451"/>
      <c r="L1277" s="2451"/>
      <c r="M1277" s="2452"/>
      <c r="N1277" s="2452"/>
      <c r="O1277" s="2452"/>
      <c r="P1277" s="2452"/>
      <c r="Q1277" s="2452"/>
      <c r="W1277" t="s">
        <v>2062</v>
      </c>
    </row>
    <row r="1278" spans="1:23" ht="13.15" customHeight="1">
      <c r="A1278" s="2" t="s">
        <v>2214</v>
      </c>
      <c r="B1278" s="2">
        <f t="shared" si="38"/>
        <v>2020</v>
      </c>
      <c r="C1278" s="2" t="str">
        <f t="shared" si="39"/>
        <v>LIM333</v>
      </c>
      <c r="D1278" s="2">
        <v>660</v>
      </c>
      <c r="F1278" s="2451"/>
      <c r="G1278" s="2451"/>
      <c r="H1278" s="2451"/>
      <c r="I1278" s="2451"/>
      <c r="J1278" s="2451"/>
      <c r="K1278" s="2451"/>
      <c r="L1278" s="2451"/>
      <c r="M1278" s="2452"/>
      <c r="N1278" s="2452"/>
      <c r="O1278" s="2452"/>
      <c r="P1278" s="2452"/>
      <c r="Q1278" s="2452"/>
      <c r="W1278" t="s">
        <v>2062</v>
      </c>
    </row>
    <row r="1279" spans="1:23" ht="13.15" customHeight="1">
      <c r="A1279" s="2" t="s">
        <v>2214</v>
      </c>
      <c r="B1279" s="2">
        <f t="shared" si="38"/>
        <v>2020</v>
      </c>
      <c r="C1279" s="2" t="str">
        <f t="shared" si="39"/>
        <v>LIM333</v>
      </c>
      <c r="D1279" s="2">
        <v>661</v>
      </c>
      <c r="F1279" s="2451"/>
      <c r="G1279" s="2451"/>
      <c r="H1279" s="2451"/>
      <c r="I1279" s="2451"/>
      <c r="J1279" s="2451"/>
      <c r="K1279" s="2451"/>
      <c r="L1279" s="2451"/>
      <c r="M1279" s="2452"/>
      <c r="N1279" s="2452"/>
      <c r="O1279" s="2452"/>
      <c r="P1279" s="2452"/>
      <c r="Q1279" s="2452"/>
      <c r="W1279" t="s">
        <v>2062</v>
      </c>
    </row>
    <row r="1280" spans="1:23" ht="13.15" customHeight="1">
      <c r="A1280" s="2" t="s">
        <v>2214</v>
      </c>
      <c r="B1280" s="2">
        <f t="shared" si="38"/>
        <v>2020</v>
      </c>
      <c r="C1280" s="2" t="str">
        <f t="shared" si="39"/>
        <v>LIM333</v>
      </c>
      <c r="D1280" s="2">
        <v>662</v>
      </c>
      <c r="F1280" s="2451"/>
      <c r="G1280" s="2451"/>
      <c r="H1280" s="2451"/>
      <c r="I1280" s="2451"/>
      <c r="J1280" s="2451"/>
      <c r="K1280" s="2451"/>
      <c r="L1280" s="2451"/>
      <c r="M1280" s="2452"/>
      <c r="N1280" s="2452"/>
      <c r="O1280" s="2452"/>
      <c r="P1280" s="2452"/>
      <c r="Q1280" s="2452"/>
      <c r="W1280" t="s">
        <v>2062</v>
      </c>
    </row>
    <row r="1281" spans="1:23" ht="13.15" customHeight="1">
      <c r="A1281" s="2" t="s">
        <v>2214</v>
      </c>
      <c r="B1281" s="2">
        <f t="shared" si="38"/>
        <v>2020</v>
      </c>
      <c r="C1281" s="2" t="str">
        <f t="shared" si="39"/>
        <v>LIM333</v>
      </c>
      <c r="D1281" s="2">
        <v>663</v>
      </c>
      <c r="F1281" s="2451"/>
      <c r="G1281" s="2451"/>
      <c r="H1281" s="2451"/>
      <c r="I1281" s="2451"/>
      <c r="J1281" s="2451"/>
      <c r="K1281" s="2451"/>
      <c r="L1281" s="2451"/>
      <c r="M1281" s="2452"/>
      <c r="N1281" s="2452"/>
      <c r="O1281" s="2452"/>
      <c r="P1281" s="2452"/>
      <c r="Q1281" s="2452"/>
      <c r="W1281" t="s">
        <v>2062</v>
      </c>
    </row>
    <row r="1282" spans="1:23" ht="13.15" customHeight="1">
      <c r="A1282" s="2" t="s">
        <v>2214</v>
      </c>
      <c r="B1282" s="2">
        <f t="shared" ref="B1282:B1345" si="40">+MTREF</f>
        <v>2020</v>
      </c>
      <c r="C1282" s="2" t="str">
        <f t="shared" ref="C1282:C1345" si="41">LEFT(muni,(FIND(" ",muni,1)-1))</f>
        <v>LIM333</v>
      </c>
      <c r="D1282" s="2">
        <v>664</v>
      </c>
      <c r="F1282" s="2451"/>
      <c r="G1282" s="2451"/>
      <c r="H1282" s="2451"/>
      <c r="I1282" s="2451"/>
      <c r="J1282" s="2451"/>
      <c r="K1282" s="2451"/>
      <c r="L1282" s="2451"/>
      <c r="M1282" s="2452"/>
      <c r="N1282" s="2452"/>
      <c r="O1282" s="2452"/>
      <c r="P1282" s="2452"/>
      <c r="Q1282" s="2452"/>
      <c r="W1282" t="s">
        <v>2062</v>
      </c>
    </row>
    <row r="1283" spans="1:23" ht="13.15" customHeight="1">
      <c r="A1283" s="2" t="s">
        <v>2214</v>
      </c>
      <c r="B1283" s="2">
        <f t="shared" si="40"/>
        <v>2020</v>
      </c>
      <c r="C1283" s="2" t="str">
        <f t="shared" si="41"/>
        <v>LIM333</v>
      </c>
      <c r="D1283" s="2">
        <v>665</v>
      </c>
      <c r="F1283" s="2451"/>
      <c r="G1283" s="2451"/>
      <c r="H1283" s="2451"/>
      <c r="I1283" s="2451"/>
      <c r="J1283" s="2451"/>
      <c r="K1283" s="2451"/>
      <c r="L1283" s="2451"/>
      <c r="M1283" s="2452"/>
      <c r="N1283" s="2452"/>
      <c r="O1283" s="2452"/>
      <c r="P1283" s="2452"/>
      <c r="Q1283" s="2452"/>
      <c r="W1283" t="s">
        <v>2062</v>
      </c>
    </row>
    <row r="1284" spans="1:23" ht="13.15" customHeight="1">
      <c r="A1284" s="2" t="s">
        <v>2214</v>
      </c>
      <c r="B1284" s="2">
        <f t="shared" si="40"/>
        <v>2020</v>
      </c>
      <c r="C1284" s="2" t="str">
        <f t="shared" si="41"/>
        <v>LIM333</v>
      </c>
      <c r="D1284" s="2">
        <v>666</v>
      </c>
      <c r="F1284" s="2451"/>
      <c r="G1284" s="2451"/>
      <c r="H1284" s="2451"/>
      <c r="I1284" s="2451"/>
      <c r="J1284" s="2451"/>
      <c r="K1284" s="2451"/>
      <c r="L1284" s="2451"/>
      <c r="M1284" s="2452"/>
      <c r="N1284" s="2452"/>
      <c r="O1284" s="2452"/>
      <c r="P1284" s="2452"/>
      <c r="Q1284" s="2452"/>
      <c r="W1284" t="s">
        <v>2062</v>
      </c>
    </row>
    <row r="1285" spans="1:23" ht="13.15" customHeight="1">
      <c r="A1285" s="2" t="s">
        <v>2214</v>
      </c>
      <c r="B1285" s="2">
        <f t="shared" si="40"/>
        <v>2020</v>
      </c>
      <c r="C1285" s="2" t="str">
        <f t="shared" si="41"/>
        <v>LIM333</v>
      </c>
      <c r="D1285" s="2">
        <v>667</v>
      </c>
      <c r="F1285" s="2451"/>
      <c r="G1285" s="2451"/>
      <c r="H1285" s="2451"/>
      <c r="I1285" s="2451"/>
      <c r="J1285" s="2451"/>
      <c r="K1285" s="2451"/>
      <c r="L1285" s="2451"/>
      <c r="M1285" s="2452"/>
      <c r="N1285" s="2452"/>
      <c r="O1285" s="2452"/>
      <c r="P1285" s="2452"/>
      <c r="Q1285" s="2452"/>
      <c r="W1285" t="s">
        <v>2062</v>
      </c>
    </row>
    <row r="1286" spans="1:23" ht="13.15" customHeight="1">
      <c r="A1286" s="2" t="s">
        <v>2214</v>
      </c>
      <c r="B1286" s="2">
        <f t="shared" si="40"/>
        <v>2020</v>
      </c>
      <c r="C1286" s="2" t="str">
        <f t="shared" si="41"/>
        <v>LIM333</v>
      </c>
      <c r="D1286" s="2">
        <v>668</v>
      </c>
      <c r="F1286" s="2451"/>
      <c r="G1286" s="2451"/>
      <c r="H1286" s="2451"/>
      <c r="I1286" s="2451"/>
      <c r="J1286" s="2451"/>
      <c r="K1286" s="2451"/>
      <c r="L1286" s="2451"/>
      <c r="M1286" s="2452"/>
      <c r="N1286" s="2452"/>
      <c r="O1286" s="2452"/>
      <c r="P1286" s="2452"/>
      <c r="Q1286" s="2452"/>
      <c r="W1286" t="s">
        <v>2062</v>
      </c>
    </row>
    <row r="1287" spans="1:23" ht="13.15" customHeight="1">
      <c r="A1287" s="2" t="s">
        <v>2214</v>
      </c>
      <c r="B1287" s="2">
        <f t="shared" si="40"/>
        <v>2020</v>
      </c>
      <c r="C1287" s="2" t="str">
        <f t="shared" si="41"/>
        <v>LIM333</v>
      </c>
      <c r="D1287" s="2">
        <v>669</v>
      </c>
      <c r="F1287" s="2451"/>
      <c r="G1287" s="2451"/>
      <c r="H1287" s="2451"/>
      <c r="I1287" s="2451"/>
      <c r="J1287" s="2451"/>
      <c r="K1287" s="2451"/>
      <c r="L1287" s="2451"/>
      <c r="M1287" s="2452"/>
      <c r="N1287" s="2452"/>
      <c r="O1287" s="2452"/>
      <c r="P1287" s="2452"/>
      <c r="Q1287" s="2452"/>
      <c r="W1287" t="s">
        <v>2062</v>
      </c>
    </row>
    <row r="1288" spans="1:23" ht="13.15" customHeight="1">
      <c r="A1288" s="2" t="s">
        <v>2214</v>
      </c>
      <c r="B1288" s="2">
        <f t="shared" si="40"/>
        <v>2020</v>
      </c>
      <c r="C1288" s="2" t="str">
        <f t="shared" si="41"/>
        <v>LIM333</v>
      </c>
      <c r="D1288" s="2">
        <v>670</v>
      </c>
      <c r="F1288" s="2451"/>
      <c r="G1288" s="2451"/>
      <c r="H1288" s="2451"/>
      <c r="I1288" s="2451"/>
      <c r="J1288" s="2451"/>
      <c r="K1288" s="2451"/>
      <c r="L1288" s="2451"/>
      <c r="M1288" s="2452"/>
      <c r="N1288" s="2452"/>
      <c r="O1288" s="2452"/>
      <c r="P1288" s="2452"/>
      <c r="Q1288" s="2452"/>
      <c r="W1288" t="s">
        <v>2062</v>
      </c>
    </row>
    <row r="1289" spans="1:23" ht="13.15" customHeight="1">
      <c r="A1289" s="2" t="s">
        <v>2214</v>
      </c>
      <c r="B1289" s="2">
        <f t="shared" si="40"/>
        <v>2020</v>
      </c>
      <c r="C1289" s="2" t="str">
        <f t="shared" si="41"/>
        <v>LIM333</v>
      </c>
      <c r="D1289" s="2">
        <v>671</v>
      </c>
      <c r="F1289" s="2451"/>
      <c r="G1289" s="2451"/>
      <c r="H1289" s="2451"/>
      <c r="I1289" s="2451"/>
      <c r="J1289" s="2451"/>
      <c r="K1289" s="2451"/>
      <c r="L1289" s="2451"/>
      <c r="M1289" s="2452"/>
      <c r="N1289" s="2452"/>
      <c r="O1289" s="2452"/>
      <c r="P1289" s="2452"/>
      <c r="Q1289" s="2452"/>
      <c r="W1289" t="s">
        <v>2062</v>
      </c>
    </row>
    <row r="1290" spans="1:23" ht="13.15" customHeight="1">
      <c r="A1290" s="2" t="s">
        <v>2214</v>
      </c>
      <c r="B1290" s="2">
        <f t="shared" si="40"/>
        <v>2020</v>
      </c>
      <c r="C1290" s="2" t="str">
        <f t="shared" si="41"/>
        <v>LIM333</v>
      </c>
      <c r="D1290" s="2">
        <v>672</v>
      </c>
      <c r="F1290" s="2451"/>
      <c r="G1290" s="2451"/>
      <c r="H1290" s="2451"/>
      <c r="I1290" s="2451"/>
      <c r="J1290" s="2451"/>
      <c r="K1290" s="2451"/>
      <c r="L1290" s="2451"/>
      <c r="M1290" s="2452"/>
      <c r="N1290" s="2452"/>
      <c r="O1290" s="2452"/>
      <c r="P1290" s="2452"/>
      <c r="Q1290" s="2452"/>
      <c r="W1290" t="s">
        <v>2062</v>
      </c>
    </row>
    <row r="1291" spans="1:23" ht="13.15" customHeight="1">
      <c r="A1291" s="2" t="s">
        <v>2214</v>
      </c>
      <c r="B1291" s="2">
        <f t="shared" si="40"/>
        <v>2020</v>
      </c>
      <c r="C1291" s="2" t="str">
        <f t="shared" si="41"/>
        <v>LIM333</v>
      </c>
      <c r="D1291" s="2">
        <v>673</v>
      </c>
      <c r="F1291" s="2451"/>
      <c r="G1291" s="2451"/>
      <c r="H1291" s="2451"/>
      <c r="I1291" s="2451"/>
      <c r="J1291" s="2451"/>
      <c r="K1291" s="2451"/>
      <c r="L1291" s="2451"/>
      <c r="M1291" s="2452"/>
      <c r="N1291" s="2452"/>
      <c r="O1291" s="2452"/>
      <c r="P1291" s="2452"/>
      <c r="Q1291" s="2452"/>
      <c r="W1291" t="s">
        <v>2062</v>
      </c>
    </row>
    <row r="1292" spans="1:23" ht="13.15" customHeight="1">
      <c r="A1292" s="2" t="s">
        <v>2214</v>
      </c>
      <c r="B1292" s="2">
        <f t="shared" si="40"/>
        <v>2020</v>
      </c>
      <c r="C1292" s="2" t="str">
        <f t="shared" si="41"/>
        <v>LIM333</v>
      </c>
      <c r="D1292" s="2">
        <v>674</v>
      </c>
      <c r="F1292" s="2451"/>
      <c r="G1292" s="2451"/>
      <c r="H1292" s="2451"/>
      <c r="I1292" s="2451"/>
      <c r="J1292" s="2451"/>
      <c r="K1292" s="2451"/>
      <c r="L1292" s="2451"/>
      <c r="M1292" s="2452"/>
      <c r="N1292" s="2452"/>
      <c r="O1292" s="2452"/>
      <c r="P1292" s="2452"/>
      <c r="Q1292" s="2452"/>
      <c r="W1292" t="s">
        <v>2062</v>
      </c>
    </row>
    <row r="1293" spans="1:23" ht="13.15" customHeight="1">
      <c r="A1293" s="2" t="s">
        <v>2214</v>
      </c>
      <c r="B1293" s="2">
        <f t="shared" si="40"/>
        <v>2020</v>
      </c>
      <c r="C1293" s="2" t="str">
        <f t="shared" si="41"/>
        <v>LIM333</v>
      </c>
      <c r="D1293" s="2">
        <v>675</v>
      </c>
      <c r="F1293" s="2451"/>
      <c r="G1293" s="2451"/>
      <c r="H1293" s="2451"/>
      <c r="I1293" s="2451"/>
      <c r="J1293" s="2451"/>
      <c r="K1293" s="2451"/>
      <c r="L1293" s="2451"/>
      <c r="M1293" s="2452"/>
      <c r="N1293" s="2452"/>
      <c r="O1293" s="2452"/>
      <c r="P1293" s="2452"/>
      <c r="Q1293" s="2452"/>
      <c r="W1293" t="s">
        <v>2062</v>
      </c>
    </row>
    <row r="1294" spans="1:23" ht="13.15" customHeight="1">
      <c r="A1294" s="2" t="s">
        <v>2214</v>
      </c>
      <c r="B1294" s="2">
        <f t="shared" si="40"/>
        <v>2020</v>
      </c>
      <c r="C1294" s="2" t="str">
        <f t="shared" si="41"/>
        <v>LIM333</v>
      </c>
      <c r="D1294" s="2">
        <v>676</v>
      </c>
      <c r="F1294" s="2451"/>
      <c r="G1294" s="2451"/>
      <c r="H1294" s="2451"/>
      <c r="I1294" s="2451"/>
      <c r="J1294" s="2451"/>
      <c r="K1294" s="2451"/>
      <c r="L1294" s="2451"/>
      <c r="M1294" s="2452"/>
      <c r="N1294" s="2452"/>
      <c r="O1294" s="2452"/>
      <c r="P1294" s="2452"/>
      <c r="Q1294" s="2452"/>
      <c r="W1294" t="s">
        <v>2062</v>
      </c>
    </row>
    <row r="1295" spans="1:23" ht="13.15" customHeight="1">
      <c r="A1295" s="2" t="s">
        <v>2214</v>
      </c>
      <c r="B1295" s="2">
        <f t="shared" si="40"/>
        <v>2020</v>
      </c>
      <c r="C1295" s="2" t="str">
        <f t="shared" si="41"/>
        <v>LIM333</v>
      </c>
      <c r="D1295" s="2">
        <v>677</v>
      </c>
      <c r="F1295" s="2451"/>
      <c r="G1295" s="2451"/>
      <c r="H1295" s="2451"/>
      <c r="I1295" s="2451"/>
      <c r="J1295" s="2451"/>
      <c r="K1295" s="2451"/>
      <c r="L1295" s="2451"/>
      <c r="M1295" s="2452"/>
      <c r="N1295" s="2452"/>
      <c r="O1295" s="2452"/>
      <c r="P1295" s="2452"/>
      <c r="Q1295" s="2452"/>
      <c r="W1295" t="s">
        <v>2062</v>
      </c>
    </row>
    <row r="1296" spans="1:23" ht="13.15" customHeight="1">
      <c r="A1296" s="2" t="s">
        <v>2214</v>
      </c>
      <c r="B1296" s="2">
        <f t="shared" si="40"/>
        <v>2020</v>
      </c>
      <c r="C1296" s="2" t="str">
        <f t="shared" si="41"/>
        <v>LIM333</v>
      </c>
      <c r="D1296" s="2">
        <v>678</v>
      </c>
      <c r="F1296" s="2451"/>
      <c r="G1296" s="2451"/>
      <c r="H1296" s="2451"/>
      <c r="I1296" s="2451"/>
      <c r="J1296" s="2451"/>
      <c r="K1296" s="2451"/>
      <c r="L1296" s="2451"/>
      <c r="M1296" s="2452"/>
      <c r="N1296" s="2452"/>
      <c r="O1296" s="2452"/>
      <c r="P1296" s="2452"/>
      <c r="Q1296" s="2452"/>
      <c r="W1296" t="s">
        <v>2062</v>
      </c>
    </row>
    <row r="1297" spans="1:23" ht="13.15" customHeight="1">
      <c r="A1297" s="2" t="s">
        <v>2214</v>
      </c>
      <c r="B1297" s="2">
        <f t="shared" si="40"/>
        <v>2020</v>
      </c>
      <c r="C1297" s="2" t="str">
        <f t="shared" si="41"/>
        <v>LIM333</v>
      </c>
      <c r="D1297" s="2">
        <v>679</v>
      </c>
      <c r="F1297" s="2451"/>
      <c r="G1297" s="2451"/>
      <c r="H1297" s="2451"/>
      <c r="I1297" s="2451"/>
      <c r="J1297" s="2451"/>
      <c r="K1297" s="2451"/>
      <c r="L1297" s="2451"/>
      <c r="M1297" s="2452"/>
      <c r="N1297" s="2452"/>
      <c r="O1297" s="2452"/>
      <c r="P1297" s="2452"/>
      <c r="Q1297" s="2452"/>
      <c r="W1297" t="s">
        <v>2062</v>
      </c>
    </row>
    <row r="1298" spans="1:23" ht="13.15" customHeight="1">
      <c r="A1298" s="2" t="s">
        <v>2214</v>
      </c>
      <c r="B1298" s="2">
        <f t="shared" si="40"/>
        <v>2020</v>
      </c>
      <c r="C1298" s="2" t="str">
        <f t="shared" si="41"/>
        <v>LIM333</v>
      </c>
      <c r="D1298" s="2">
        <v>680</v>
      </c>
      <c r="F1298" s="2451"/>
      <c r="G1298" s="2451"/>
      <c r="H1298" s="2451"/>
      <c r="I1298" s="2451"/>
      <c r="J1298" s="2451"/>
      <c r="K1298" s="2451"/>
      <c r="L1298" s="2451"/>
      <c r="M1298" s="2452"/>
      <c r="N1298" s="2452"/>
      <c r="O1298" s="2452"/>
      <c r="P1298" s="2452"/>
      <c r="Q1298" s="2452"/>
      <c r="W1298" t="s">
        <v>2062</v>
      </c>
    </row>
    <row r="1299" spans="1:23" ht="13.15" customHeight="1">
      <c r="A1299" s="2" t="s">
        <v>2214</v>
      </c>
      <c r="B1299" s="2">
        <f t="shared" si="40"/>
        <v>2020</v>
      </c>
      <c r="C1299" s="2" t="str">
        <f t="shared" si="41"/>
        <v>LIM333</v>
      </c>
      <c r="D1299" s="2">
        <v>681</v>
      </c>
      <c r="F1299" s="2451"/>
      <c r="G1299" s="2451"/>
      <c r="H1299" s="2451"/>
      <c r="I1299" s="2451"/>
      <c r="J1299" s="2451"/>
      <c r="K1299" s="2451"/>
      <c r="L1299" s="2451"/>
      <c r="M1299" s="2452"/>
      <c r="N1299" s="2452"/>
      <c r="O1299" s="2452"/>
      <c r="P1299" s="2452"/>
      <c r="Q1299" s="2452"/>
      <c r="W1299" t="s">
        <v>2062</v>
      </c>
    </row>
    <row r="1300" spans="1:23" ht="13.15" customHeight="1">
      <c r="A1300" s="2" t="s">
        <v>2214</v>
      </c>
      <c r="B1300" s="2">
        <f t="shared" si="40"/>
        <v>2020</v>
      </c>
      <c r="C1300" s="2" t="str">
        <f t="shared" si="41"/>
        <v>LIM333</v>
      </c>
      <c r="D1300" s="2">
        <v>682</v>
      </c>
      <c r="F1300" s="2451"/>
      <c r="G1300" s="2451"/>
      <c r="H1300" s="2451"/>
      <c r="I1300" s="2451"/>
      <c r="J1300" s="2451"/>
      <c r="K1300" s="2451"/>
      <c r="L1300" s="2451"/>
      <c r="M1300" s="2452"/>
      <c r="N1300" s="2452"/>
      <c r="O1300" s="2452"/>
      <c r="P1300" s="2452"/>
      <c r="Q1300" s="2452"/>
      <c r="W1300" t="s">
        <v>2062</v>
      </c>
    </row>
    <row r="1301" spans="1:23" ht="13.15" customHeight="1">
      <c r="A1301" s="2" t="s">
        <v>2214</v>
      </c>
      <c r="B1301" s="2">
        <f t="shared" si="40"/>
        <v>2020</v>
      </c>
      <c r="C1301" s="2" t="str">
        <f t="shared" si="41"/>
        <v>LIM333</v>
      </c>
      <c r="D1301" s="2">
        <v>683</v>
      </c>
      <c r="F1301" s="2451"/>
      <c r="G1301" s="2451"/>
      <c r="H1301" s="2451"/>
      <c r="I1301" s="2451"/>
      <c r="J1301" s="2451"/>
      <c r="K1301" s="2451"/>
      <c r="L1301" s="2451"/>
      <c r="M1301" s="2452"/>
      <c r="N1301" s="2452"/>
      <c r="O1301" s="2452"/>
      <c r="P1301" s="2452"/>
      <c r="Q1301" s="2452"/>
      <c r="W1301" t="s">
        <v>2062</v>
      </c>
    </row>
    <row r="1302" spans="1:23" ht="13.15" customHeight="1">
      <c r="A1302" s="2" t="s">
        <v>2214</v>
      </c>
      <c r="B1302" s="2">
        <f t="shared" si="40"/>
        <v>2020</v>
      </c>
      <c r="C1302" s="2" t="str">
        <f t="shared" si="41"/>
        <v>LIM333</v>
      </c>
      <c r="D1302" s="2">
        <v>684</v>
      </c>
      <c r="F1302" s="2451"/>
      <c r="G1302" s="2451"/>
      <c r="H1302" s="2451"/>
      <c r="I1302" s="2451"/>
      <c r="J1302" s="2451"/>
      <c r="K1302" s="2451"/>
      <c r="L1302" s="2451"/>
      <c r="M1302" s="2452"/>
      <c r="N1302" s="2452"/>
      <c r="O1302" s="2452"/>
      <c r="P1302" s="2452"/>
      <c r="Q1302" s="2452"/>
      <c r="W1302" t="s">
        <v>2062</v>
      </c>
    </row>
    <row r="1303" spans="1:23" ht="13.15" customHeight="1">
      <c r="A1303" s="2" t="s">
        <v>2214</v>
      </c>
      <c r="B1303" s="2">
        <f t="shared" si="40"/>
        <v>2020</v>
      </c>
      <c r="C1303" s="2" t="str">
        <f t="shared" si="41"/>
        <v>LIM333</v>
      </c>
      <c r="D1303" s="2">
        <v>685</v>
      </c>
      <c r="F1303" s="2451"/>
      <c r="G1303" s="2451"/>
      <c r="H1303" s="2451"/>
      <c r="I1303" s="2451"/>
      <c r="J1303" s="2451"/>
      <c r="K1303" s="2451"/>
      <c r="L1303" s="2451"/>
      <c r="M1303" s="2452"/>
      <c r="N1303" s="2452"/>
      <c r="O1303" s="2452"/>
      <c r="P1303" s="2452"/>
      <c r="Q1303" s="2452"/>
      <c r="W1303" t="s">
        <v>2062</v>
      </c>
    </row>
    <row r="1304" spans="1:23" ht="13.15" customHeight="1">
      <c r="A1304" s="2" t="s">
        <v>2214</v>
      </c>
      <c r="B1304" s="2">
        <f t="shared" si="40"/>
        <v>2020</v>
      </c>
      <c r="C1304" s="2" t="str">
        <f t="shared" si="41"/>
        <v>LIM333</v>
      </c>
      <c r="D1304" s="2">
        <v>686</v>
      </c>
      <c r="F1304" s="2451"/>
      <c r="G1304" s="2451"/>
      <c r="H1304" s="2451"/>
      <c r="I1304" s="2451"/>
      <c r="J1304" s="2451"/>
      <c r="K1304" s="2451"/>
      <c r="L1304" s="2451"/>
      <c r="M1304" s="2452"/>
      <c r="N1304" s="2452"/>
      <c r="O1304" s="2452"/>
      <c r="P1304" s="2452"/>
      <c r="Q1304" s="2452"/>
      <c r="W1304" t="s">
        <v>2062</v>
      </c>
    </row>
    <row r="1305" spans="1:23" ht="13.15" customHeight="1">
      <c r="A1305" s="2" t="s">
        <v>2214</v>
      </c>
      <c r="B1305" s="2">
        <f t="shared" si="40"/>
        <v>2020</v>
      </c>
      <c r="C1305" s="2" t="str">
        <f t="shared" si="41"/>
        <v>LIM333</v>
      </c>
      <c r="D1305" s="2">
        <v>687</v>
      </c>
      <c r="F1305" s="2451"/>
      <c r="G1305" s="2451"/>
      <c r="H1305" s="2451"/>
      <c r="I1305" s="2451"/>
      <c r="J1305" s="2451"/>
      <c r="K1305" s="2451"/>
      <c r="L1305" s="2451"/>
      <c r="M1305" s="2452"/>
      <c r="N1305" s="2452"/>
      <c r="O1305" s="2452"/>
      <c r="P1305" s="2452"/>
      <c r="Q1305" s="2452"/>
      <c r="W1305" t="s">
        <v>2062</v>
      </c>
    </row>
    <row r="1306" spans="1:23" ht="13.15" customHeight="1">
      <c r="A1306" s="2" t="s">
        <v>2214</v>
      </c>
      <c r="B1306" s="2">
        <f t="shared" si="40"/>
        <v>2020</v>
      </c>
      <c r="C1306" s="2" t="str">
        <f t="shared" si="41"/>
        <v>LIM333</v>
      </c>
      <c r="D1306" s="2">
        <v>688</v>
      </c>
      <c r="F1306" s="2451"/>
      <c r="G1306" s="2451"/>
      <c r="H1306" s="2451"/>
      <c r="I1306" s="2451"/>
      <c r="J1306" s="2451"/>
      <c r="K1306" s="2451"/>
      <c r="L1306" s="2451"/>
      <c r="M1306" s="2452"/>
      <c r="N1306" s="2452"/>
      <c r="O1306" s="2452"/>
      <c r="P1306" s="2452"/>
      <c r="Q1306" s="2452"/>
      <c r="W1306" t="s">
        <v>2062</v>
      </c>
    </row>
    <row r="1307" spans="1:23" ht="13.15" customHeight="1">
      <c r="A1307" s="2" t="s">
        <v>2214</v>
      </c>
      <c r="B1307" s="2">
        <f t="shared" si="40"/>
        <v>2020</v>
      </c>
      <c r="C1307" s="2" t="str">
        <f t="shared" si="41"/>
        <v>LIM333</v>
      </c>
      <c r="D1307" s="2">
        <v>689</v>
      </c>
      <c r="F1307" s="2451"/>
      <c r="G1307" s="2451"/>
      <c r="H1307" s="2451"/>
      <c r="I1307" s="2451"/>
      <c r="J1307" s="2451"/>
      <c r="K1307" s="2451"/>
      <c r="L1307" s="2451"/>
      <c r="M1307" s="2452"/>
      <c r="N1307" s="2452"/>
      <c r="O1307" s="2452"/>
      <c r="P1307" s="2452"/>
      <c r="Q1307" s="2452"/>
      <c r="W1307" t="s">
        <v>2062</v>
      </c>
    </row>
    <row r="1308" spans="1:23" ht="13.15" customHeight="1">
      <c r="A1308" s="2" t="s">
        <v>2214</v>
      </c>
      <c r="B1308" s="2">
        <f t="shared" si="40"/>
        <v>2020</v>
      </c>
      <c r="C1308" s="2" t="str">
        <f t="shared" si="41"/>
        <v>LIM333</v>
      </c>
      <c r="D1308" s="2">
        <v>690</v>
      </c>
      <c r="F1308" s="2451"/>
      <c r="G1308" s="2451"/>
      <c r="H1308" s="2451"/>
      <c r="I1308" s="2451"/>
      <c r="J1308" s="2451"/>
      <c r="K1308" s="2451"/>
      <c r="L1308" s="2451"/>
      <c r="M1308" s="2452"/>
      <c r="N1308" s="2452"/>
      <c r="O1308" s="2452"/>
      <c r="P1308" s="2452"/>
      <c r="Q1308" s="2452"/>
      <c r="W1308" t="s">
        <v>2062</v>
      </c>
    </row>
    <row r="1309" spans="1:23" ht="13.15" customHeight="1">
      <c r="A1309" s="2" t="s">
        <v>2214</v>
      </c>
      <c r="B1309" s="2">
        <f t="shared" si="40"/>
        <v>2020</v>
      </c>
      <c r="C1309" s="2" t="str">
        <f t="shared" si="41"/>
        <v>LIM333</v>
      </c>
      <c r="D1309" s="2">
        <v>691</v>
      </c>
      <c r="F1309" s="2451"/>
      <c r="G1309" s="2451"/>
      <c r="H1309" s="2451"/>
      <c r="I1309" s="2451"/>
      <c r="J1309" s="2451"/>
      <c r="K1309" s="2451"/>
      <c r="L1309" s="2451"/>
      <c r="M1309" s="2452"/>
      <c r="N1309" s="2452"/>
      <c r="O1309" s="2452"/>
      <c r="P1309" s="2452"/>
      <c r="Q1309" s="2452"/>
      <c r="W1309" t="s">
        <v>2062</v>
      </c>
    </row>
    <row r="1310" spans="1:23" ht="13.15" customHeight="1">
      <c r="A1310" s="2" t="s">
        <v>2214</v>
      </c>
      <c r="B1310" s="2">
        <f t="shared" si="40"/>
        <v>2020</v>
      </c>
      <c r="C1310" s="2" t="str">
        <f t="shared" si="41"/>
        <v>LIM333</v>
      </c>
      <c r="D1310" s="2">
        <v>692</v>
      </c>
      <c r="F1310" s="2451"/>
      <c r="G1310" s="2451"/>
      <c r="H1310" s="2451"/>
      <c r="I1310" s="2451"/>
      <c r="J1310" s="2451"/>
      <c r="K1310" s="2451"/>
      <c r="L1310" s="2451"/>
      <c r="M1310" s="2452"/>
      <c r="N1310" s="2452"/>
      <c r="O1310" s="2452"/>
      <c r="P1310" s="2452"/>
      <c r="Q1310" s="2452"/>
      <c r="W1310" t="s">
        <v>2062</v>
      </c>
    </row>
    <row r="1311" spans="1:23" ht="13.15" customHeight="1">
      <c r="A1311" s="2" t="s">
        <v>2214</v>
      </c>
      <c r="B1311" s="2">
        <f t="shared" si="40"/>
        <v>2020</v>
      </c>
      <c r="C1311" s="2" t="str">
        <f t="shared" si="41"/>
        <v>LIM333</v>
      </c>
      <c r="D1311" s="2">
        <v>693</v>
      </c>
      <c r="F1311" s="2451"/>
      <c r="G1311" s="2451"/>
      <c r="H1311" s="2451"/>
      <c r="I1311" s="2451"/>
      <c r="J1311" s="2451"/>
      <c r="K1311" s="2451"/>
      <c r="L1311" s="2451"/>
      <c r="M1311" s="2452"/>
      <c r="N1311" s="2452"/>
      <c r="O1311" s="2452"/>
      <c r="P1311" s="2452"/>
      <c r="Q1311" s="2452"/>
      <c r="W1311" t="s">
        <v>2062</v>
      </c>
    </row>
    <row r="1312" spans="1:23" ht="13.15" customHeight="1">
      <c r="A1312" s="2" t="s">
        <v>2214</v>
      </c>
      <c r="B1312" s="2">
        <f t="shared" si="40"/>
        <v>2020</v>
      </c>
      <c r="C1312" s="2" t="str">
        <f t="shared" si="41"/>
        <v>LIM333</v>
      </c>
      <c r="D1312" s="2">
        <v>694</v>
      </c>
      <c r="F1312" s="2451"/>
      <c r="G1312" s="2451"/>
      <c r="H1312" s="2451"/>
      <c r="I1312" s="2451"/>
      <c r="J1312" s="2451"/>
      <c r="K1312" s="2451"/>
      <c r="L1312" s="2451"/>
      <c r="M1312" s="2452"/>
      <c r="N1312" s="2452"/>
      <c r="O1312" s="2452"/>
      <c r="P1312" s="2452"/>
      <c r="Q1312" s="2452"/>
      <c r="W1312" t="s">
        <v>2062</v>
      </c>
    </row>
    <row r="1313" spans="1:23" ht="13.15" customHeight="1">
      <c r="A1313" s="2" t="s">
        <v>2214</v>
      </c>
      <c r="B1313" s="2">
        <f t="shared" si="40"/>
        <v>2020</v>
      </c>
      <c r="C1313" s="2" t="str">
        <f t="shared" si="41"/>
        <v>LIM333</v>
      </c>
      <c r="D1313" s="2">
        <v>695</v>
      </c>
      <c r="F1313" s="2451"/>
      <c r="G1313" s="2451"/>
      <c r="H1313" s="2451"/>
      <c r="I1313" s="2451"/>
      <c r="J1313" s="2451"/>
      <c r="K1313" s="2451"/>
      <c r="L1313" s="2451"/>
      <c r="M1313" s="2452"/>
      <c r="N1313" s="2452"/>
      <c r="O1313" s="2452"/>
      <c r="P1313" s="2452"/>
      <c r="Q1313" s="2452"/>
      <c r="W1313" t="s">
        <v>2062</v>
      </c>
    </row>
    <row r="1314" spans="1:23" ht="13.15" customHeight="1">
      <c r="A1314" s="2" t="s">
        <v>2214</v>
      </c>
      <c r="B1314" s="2">
        <f t="shared" si="40"/>
        <v>2020</v>
      </c>
      <c r="C1314" s="2" t="str">
        <f t="shared" si="41"/>
        <v>LIM333</v>
      </c>
      <c r="D1314" s="2">
        <v>696</v>
      </c>
      <c r="F1314" s="2451"/>
      <c r="G1314" s="2451"/>
      <c r="H1314" s="2451"/>
      <c r="I1314" s="2451"/>
      <c r="J1314" s="2451"/>
      <c r="K1314" s="2451"/>
      <c r="L1314" s="2451"/>
      <c r="M1314" s="2452"/>
      <c r="N1314" s="2452"/>
      <c r="O1314" s="2452"/>
      <c r="P1314" s="2452"/>
      <c r="Q1314" s="2452"/>
      <c r="W1314" t="s">
        <v>2062</v>
      </c>
    </row>
    <row r="1315" spans="1:23" ht="13.15" customHeight="1">
      <c r="A1315" s="2" t="s">
        <v>2214</v>
      </c>
      <c r="B1315" s="2">
        <f t="shared" si="40"/>
        <v>2020</v>
      </c>
      <c r="C1315" s="2" t="str">
        <f t="shared" si="41"/>
        <v>LIM333</v>
      </c>
      <c r="D1315" s="2">
        <v>697</v>
      </c>
      <c r="F1315" s="2451"/>
      <c r="G1315" s="2451"/>
      <c r="H1315" s="2451"/>
      <c r="I1315" s="2451"/>
      <c r="J1315" s="2451"/>
      <c r="K1315" s="2451"/>
      <c r="L1315" s="2451"/>
      <c r="M1315" s="2452"/>
      <c r="N1315" s="2452"/>
      <c r="O1315" s="2452"/>
      <c r="P1315" s="2452"/>
      <c r="Q1315" s="2452"/>
      <c r="W1315" t="s">
        <v>2062</v>
      </c>
    </row>
    <row r="1316" spans="1:23" ht="13.15" customHeight="1">
      <c r="A1316" s="2" t="s">
        <v>2214</v>
      </c>
      <c r="B1316" s="2">
        <f t="shared" si="40"/>
        <v>2020</v>
      </c>
      <c r="C1316" s="2" t="str">
        <f t="shared" si="41"/>
        <v>LIM333</v>
      </c>
      <c r="D1316" s="2">
        <v>698</v>
      </c>
      <c r="F1316" s="2451"/>
      <c r="G1316" s="2451"/>
      <c r="H1316" s="2451"/>
      <c r="I1316" s="2451"/>
      <c r="J1316" s="2451"/>
      <c r="K1316" s="2451"/>
      <c r="L1316" s="2451"/>
      <c r="M1316" s="2452"/>
      <c r="N1316" s="2452"/>
      <c r="O1316" s="2452"/>
      <c r="P1316" s="2452"/>
      <c r="Q1316" s="2452"/>
      <c r="W1316" t="s">
        <v>2062</v>
      </c>
    </row>
    <row r="1317" spans="1:23" ht="13.15" customHeight="1">
      <c r="A1317" s="2" t="s">
        <v>2214</v>
      </c>
      <c r="B1317" s="2">
        <f t="shared" si="40"/>
        <v>2020</v>
      </c>
      <c r="C1317" s="2" t="str">
        <f t="shared" si="41"/>
        <v>LIM333</v>
      </c>
      <c r="D1317" s="2">
        <v>699</v>
      </c>
      <c r="F1317" s="2451"/>
      <c r="G1317" s="2451"/>
      <c r="H1317" s="2451"/>
      <c r="I1317" s="2451"/>
      <c r="J1317" s="2451"/>
      <c r="K1317" s="2451"/>
      <c r="L1317" s="2451"/>
      <c r="M1317" s="2452"/>
      <c r="N1317" s="2452"/>
      <c r="O1317" s="2452"/>
      <c r="P1317" s="2452"/>
      <c r="Q1317" s="2452"/>
      <c r="W1317" t="s">
        <v>2062</v>
      </c>
    </row>
    <row r="1318" spans="1:23" ht="13.15" customHeight="1">
      <c r="A1318" s="2" t="s">
        <v>2214</v>
      </c>
      <c r="B1318" s="2">
        <f t="shared" si="40"/>
        <v>2020</v>
      </c>
      <c r="C1318" s="2" t="str">
        <f t="shared" si="41"/>
        <v>LIM333</v>
      </c>
      <c r="D1318" s="2">
        <v>700</v>
      </c>
      <c r="F1318" s="2451"/>
      <c r="G1318" s="2451"/>
      <c r="H1318" s="2451"/>
      <c r="I1318" s="2451"/>
      <c r="J1318" s="2451"/>
      <c r="K1318" s="2451"/>
      <c r="L1318" s="2451"/>
      <c r="M1318" s="2452"/>
      <c r="N1318" s="2452"/>
      <c r="O1318" s="2452"/>
      <c r="P1318" s="2452"/>
      <c r="Q1318" s="2452"/>
      <c r="W1318" t="s">
        <v>2062</v>
      </c>
    </row>
    <row r="1319" spans="1:23" ht="13.15" customHeight="1">
      <c r="A1319" s="2" t="s">
        <v>2214</v>
      </c>
      <c r="B1319" s="2">
        <f t="shared" si="40"/>
        <v>2020</v>
      </c>
      <c r="C1319" s="2" t="str">
        <f t="shared" si="41"/>
        <v>LIM333</v>
      </c>
      <c r="D1319" s="2">
        <v>701</v>
      </c>
      <c r="F1319" s="2451"/>
      <c r="G1319" s="2451"/>
      <c r="H1319" s="2451"/>
      <c r="I1319" s="2451"/>
      <c r="J1319" s="2451"/>
      <c r="K1319" s="2451"/>
      <c r="L1319" s="2451"/>
      <c r="M1319" s="2452"/>
      <c r="N1319" s="2452"/>
      <c r="O1319" s="2452"/>
      <c r="P1319" s="2452"/>
      <c r="Q1319" s="2452"/>
      <c r="W1319" t="s">
        <v>2062</v>
      </c>
    </row>
    <row r="1320" spans="1:23" ht="13.15" customHeight="1">
      <c r="A1320" s="2" t="s">
        <v>2214</v>
      </c>
      <c r="B1320" s="2">
        <f t="shared" si="40"/>
        <v>2020</v>
      </c>
      <c r="C1320" s="2" t="str">
        <f t="shared" si="41"/>
        <v>LIM333</v>
      </c>
      <c r="D1320" s="2">
        <v>702</v>
      </c>
      <c r="F1320" s="2451"/>
      <c r="G1320" s="2451"/>
      <c r="H1320" s="2451"/>
      <c r="I1320" s="2451"/>
      <c r="J1320" s="2451"/>
      <c r="K1320" s="2451"/>
      <c r="L1320" s="2451"/>
      <c r="M1320" s="2452"/>
      <c r="N1320" s="2452"/>
      <c r="O1320" s="2452"/>
      <c r="P1320" s="2452"/>
      <c r="Q1320" s="2452"/>
      <c r="W1320" t="s">
        <v>2062</v>
      </c>
    </row>
    <row r="1321" spans="1:23" ht="13.15" customHeight="1">
      <c r="A1321" s="2" t="s">
        <v>2214</v>
      </c>
      <c r="B1321" s="2">
        <f t="shared" si="40"/>
        <v>2020</v>
      </c>
      <c r="C1321" s="2" t="str">
        <f t="shared" si="41"/>
        <v>LIM333</v>
      </c>
      <c r="D1321" s="2">
        <v>703</v>
      </c>
      <c r="F1321" s="2451"/>
      <c r="G1321" s="2451"/>
      <c r="H1321" s="2451"/>
      <c r="I1321" s="2451"/>
      <c r="J1321" s="2451"/>
      <c r="K1321" s="2451"/>
      <c r="L1321" s="2451"/>
      <c r="M1321" s="2452"/>
      <c r="N1321" s="2452"/>
      <c r="O1321" s="2452"/>
      <c r="P1321" s="2452"/>
      <c r="Q1321" s="2452"/>
      <c r="W1321" t="s">
        <v>2062</v>
      </c>
    </row>
    <row r="1322" spans="1:23" ht="13.15" customHeight="1">
      <c r="A1322" s="2" t="s">
        <v>2214</v>
      </c>
      <c r="B1322" s="2">
        <f t="shared" si="40"/>
        <v>2020</v>
      </c>
      <c r="C1322" s="2" t="str">
        <f t="shared" si="41"/>
        <v>LIM333</v>
      </c>
      <c r="D1322" s="2">
        <v>704</v>
      </c>
      <c r="F1322" s="2451"/>
      <c r="G1322" s="2451"/>
      <c r="H1322" s="2451"/>
      <c r="I1322" s="2451"/>
      <c r="J1322" s="2451"/>
      <c r="K1322" s="2451"/>
      <c r="L1322" s="2451"/>
      <c r="M1322" s="2452"/>
      <c r="N1322" s="2452"/>
      <c r="O1322" s="2452"/>
      <c r="P1322" s="2452"/>
      <c r="Q1322" s="2452"/>
      <c r="W1322" t="s">
        <v>2062</v>
      </c>
    </row>
    <row r="1323" spans="1:23" ht="13.15" customHeight="1">
      <c r="A1323" s="2" t="s">
        <v>2214</v>
      </c>
      <c r="B1323" s="2">
        <f t="shared" si="40"/>
        <v>2020</v>
      </c>
      <c r="C1323" s="2" t="str">
        <f t="shared" si="41"/>
        <v>LIM333</v>
      </c>
      <c r="D1323" s="2">
        <v>705</v>
      </c>
      <c r="F1323" s="2451"/>
      <c r="G1323" s="2451"/>
      <c r="H1323" s="2451"/>
      <c r="I1323" s="2451"/>
      <c r="J1323" s="2451"/>
      <c r="K1323" s="2451"/>
      <c r="L1323" s="2451"/>
      <c r="M1323" s="2452"/>
      <c r="N1323" s="2452"/>
      <c r="O1323" s="2452"/>
      <c r="P1323" s="2452"/>
      <c r="Q1323" s="2452"/>
      <c r="W1323" t="s">
        <v>2062</v>
      </c>
    </row>
    <row r="1324" spans="1:23" ht="13.15" customHeight="1">
      <c r="A1324" s="2" t="s">
        <v>2214</v>
      </c>
      <c r="B1324" s="2">
        <f t="shared" si="40"/>
        <v>2020</v>
      </c>
      <c r="C1324" s="2" t="str">
        <f t="shared" si="41"/>
        <v>LIM333</v>
      </c>
      <c r="D1324" s="2">
        <v>706</v>
      </c>
      <c r="F1324" s="2451"/>
      <c r="G1324" s="2451"/>
      <c r="H1324" s="2451"/>
      <c r="I1324" s="2451"/>
      <c r="J1324" s="2451"/>
      <c r="K1324" s="2451"/>
      <c r="L1324" s="2451"/>
      <c r="M1324" s="2452"/>
      <c r="N1324" s="2452"/>
      <c r="O1324" s="2452"/>
      <c r="P1324" s="2452"/>
      <c r="Q1324" s="2452"/>
      <c r="W1324" t="s">
        <v>2062</v>
      </c>
    </row>
    <row r="1325" spans="1:23" ht="13.15" customHeight="1">
      <c r="A1325" s="2" t="s">
        <v>2214</v>
      </c>
      <c r="B1325" s="2">
        <f t="shared" si="40"/>
        <v>2020</v>
      </c>
      <c r="C1325" s="2" t="str">
        <f t="shared" si="41"/>
        <v>LIM333</v>
      </c>
      <c r="D1325" s="2">
        <v>707</v>
      </c>
      <c r="F1325" s="2451"/>
      <c r="G1325" s="2451"/>
      <c r="H1325" s="2451"/>
      <c r="I1325" s="2451"/>
      <c r="J1325" s="2451"/>
      <c r="K1325" s="2451"/>
      <c r="L1325" s="2451"/>
      <c r="M1325" s="2452"/>
      <c r="N1325" s="2452"/>
      <c r="O1325" s="2452"/>
      <c r="P1325" s="2452"/>
      <c r="Q1325" s="2452"/>
      <c r="W1325" t="s">
        <v>2062</v>
      </c>
    </row>
    <row r="1326" spans="1:23" ht="13.15" customHeight="1">
      <c r="A1326" s="2" t="s">
        <v>2214</v>
      </c>
      <c r="B1326" s="2">
        <f t="shared" si="40"/>
        <v>2020</v>
      </c>
      <c r="C1326" s="2" t="str">
        <f t="shared" si="41"/>
        <v>LIM333</v>
      </c>
      <c r="D1326" s="2">
        <v>708</v>
      </c>
      <c r="F1326" s="2451"/>
      <c r="G1326" s="2451"/>
      <c r="H1326" s="2451"/>
      <c r="I1326" s="2451"/>
      <c r="J1326" s="2451"/>
      <c r="K1326" s="2451"/>
      <c r="L1326" s="2451"/>
      <c r="M1326" s="2452"/>
      <c r="N1326" s="2452"/>
      <c r="O1326" s="2452"/>
      <c r="P1326" s="2452"/>
      <c r="Q1326" s="2452"/>
      <c r="W1326" t="s">
        <v>2062</v>
      </c>
    </row>
    <row r="1327" spans="1:23" ht="13.15" customHeight="1">
      <c r="A1327" s="2" t="s">
        <v>2214</v>
      </c>
      <c r="B1327" s="2">
        <f t="shared" si="40"/>
        <v>2020</v>
      </c>
      <c r="C1327" s="2" t="str">
        <f t="shared" si="41"/>
        <v>LIM333</v>
      </c>
      <c r="D1327" s="2">
        <v>709</v>
      </c>
      <c r="F1327" s="2451"/>
      <c r="G1327" s="2451"/>
      <c r="H1327" s="2451"/>
      <c r="I1327" s="2451"/>
      <c r="J1327" s="2451"/>
      <c r="K1327" s="2451"/>
      <c r="L1327" s="2451"/>
      <c r="M1327" s="2452"/>
      <c r="N1327" s="2452"/>
      <c r="O1327" s="2452"/>
      <c r="P1327" s="2452"/>
      <c r="Q1327" s="2452"/>
      <c r="W1327" t="s">
        <v>2062</v>
      </c>
    </row>
    <row r="1328" spans="1:23" ht="13.15" customHeight="1">
      <c r="A1328" s="2" t="s">
        <v>2214</v>
      </c>
      <c r="B1328" s="2">
        <f t="shared" si="40"/>
        <v>2020</v>
      </c>
      <c r="C1328" s="2" t="str">
        <f t="shared" si="41"/>
        <v>LIM333</v>
      </c>
      <c r="D1328" s="2">
        <v>710</v>
      </c>
      <c r="F1328" s="2451"/>
      <c r="G1328" s="2451"/>
      <c r="H1328" s="2451"/>
      <c r="I1328" s="2451"/>
      <c r="J1328" s="2451"/>
      <c r="K1328" s="2451"/>
      <c r="L1328" s="2451"/>
      <c r="M1328" s="2452"/>
      <c r="N1328" s="2452"/>
      <c r="O1328" s="2452"/>
      <c r="P1328" s="2452"/>
      <c r="Q1328" s="2452"/>
      <c r="W1328" t="s">
        <v>2062</v>
      </c>
    </row>
    <row r="1329" spans="1:23" ht="13.15" customHeight="1">
      <c r="A1329" s="2" t="s">
        <v>2214</v>
      </c>
      <c r="B1329" s="2">
        <f t="shared" si="40"/>
        <v>2020</v>
      </c>
      <c r="C1329" s="2" t="str">
        <f t="shared" si="41"/>
        <v>LIM333</v>
      </c>
      <c r="D1329" s="2">
        <v>711</v>
      </c>
      <c r="F1329" s="2451"/>
      <c r="G1329" s="2451"/>
      <c r="H1329" s="2451"/>
      <c r="I1329" s="2451"/>
      <c r="J1329" s="2451"/>
      <c r="K1329" s="2451"/>
      <c r="L1329" s="2451"/>
      <c r="M1329" s="2452"/>
      <c r="N1329" s="2452"/>
      <c r="O1329" s="2452"/>
      <c r="P1329" s="2452"/>
      <c r="Q1329" s="2452"/>
      <c r="W1329" t="s">
        <v>2062</v>
      </c>
    </row>
    <row r="1330" spans="1:23" ht="13.15" customHeight="1">
      <c r="A1330" s="2" t="s">
        <v>2214</v>
      </c>
      <c r="B1330" s="2">
        <f t="shared" si="40"/>
        <v>2020</v>
      </c>
      <c r="C1330" s="2" t="str">
        <f t="shared" si="41"/>
        <v>LIM333</v>
      </c>
      <c r="D1330" s="2">
        <v>712</v>
      </c>
      <c r="F1330" s="2451"/>
      <c r="G1330" s="2451"/>
      <c r="H1330" s="2451"/>
      <c r="I1330" s="2451"/>
      <c r="J1330" s="2451"/>
      <c r="K1330" s="2451"/>
      <c r="L1330" s="2451"/>
      <c r="M1330" s="2452"/>
      <c r="N1330" s="2452"/>
      <c r="O1330" s="2452"/>
      <c r="P1330" s="2452"/>
      <c r="Q1330" s="2452"/>
      <c r="W1330" t="s">
        <v>2062</v>
      </c>
    </row>
    <row r="1331" spans="1:23" ht="13.15" customHeight="1">
      <c r="A1331" s="2" t="s">
        <v>2214</v>
      </c>
      <c r="B1331" s="2">
        <f t="shared" si="40"/>
        <v>2020</v>
      </c>
      <c r="C1331" s="2" t="str">
        <f t="shared" si="41"/>
        <v>LIM333</v>
      </c>
      <c r="D1331" s="2">
        <v>713</v>
      </c>
      <c r="F1331" s="2451"/>
      <c r="G1331" s="2451"/>
      <c r="H1331" s="2451"/>
      <c r="I1331" s="2451"/>
      <c r="J1331" s="2451"/>
      <c r="K1331" s="2451"/>
      <c r="L1331" s="2451"/>
      <c r="M1331" s="2452"/>
      <c r="N1331" s="2452"/>
      <c r="O1331" s="2452"/>
      <c r="P1331" s="2452"/>
      <c r="Q1331" s="2452"/>
      <c r="W1331" t="s">
        <v>2062</v>
      </c>
    </row>
    <row r="1332" spans="1:23" ht="13.15" customHeight="1">
      <c r="A1332" s="2" t="s">
        <v>2214</v>
      </c>
      <c r="B1332" s="2">
        <f t="shared" si="40"/>
        <v>2020</v>
      </c>
      <c r="C1332" s="2" t="str">
        <f t="shared" si="41"/>
        <v>LIM333</v>
      </c>
      <c r="D1332" s="2">
        <v>714</v>
      </c>
      <c r="F1332" s="2451"/>
      <c r="G1332" s="2451"/>
      <c r="H1332" s="2451"/>
      <c r="I1332" s="2451"/>
      <c r="J1332" s="2451"/>
      <c r="K1332" s="2451"/>
      <c r="L1332" s="2451"/>
      <c r="M1332" s="2452"/>
      <c r="N1332" s="2452"/>
      <c r="O1332" s="2452"/>
      <c r="P1332" s="2452"/>
      <c r="Q1332" s="2452"/>
      <c r="W1332" t="s">
        <v>2062</v>
      </c>
    </row>
    <row r="1333" spans="1:23" ht="13.15" customHeight="1">
      <c r="A1333" s="2" t="s">
        <v>2214</v>
      </c>
      <c r="B1333" s="2">
        <f t="shared" si="40"/>
        <v>2020</v>
      </c>
      <c r="C1333" s="2" t="str">
        <f t="shared" si="41"/>
        <v>LIM333</v>
      </c>
      <c r="D1333" s="2">
        <v>715</v>
      </c>
      <c r="F1333" s="2451"/>
      <c r="G1333" s="2451"/>
      <c r="H1333" s="2451"/>
      <c r="I1333" s="2451"/>
      <c r="J1333" s="2451"/>
      <c r="K1333" s="2451"/>
      <c r="L1333" s="2451"/>
      <c r="M1333" s="2452"/>
      <c r="N1333" s="2452"/>
      <c r="O1333" s="2452"/>
      <c r="P1333" s="2452"/>
      <c r="Q1333" s="2452"/>
      <c r="W1333" t="s">
        <v>2062</v>
      </c>
    </row>
    <row r="1334" spans="1:23" ht="13.15" customHeight="1">
      <c r="A1334" s="2" t="s">
        <v>2214</v>
      </c>
      <c r="B1334" s="2">
        <f t="shared" si="40"/>
        <v>2020</v>
      </c>
      <c r="C1334" s="2" t="str">
        <f t="shared" si="41"/>
        <v>LIM333</v>
      </c>
      <c r="D1334" s="2">
        <v>716</v>
      </c>
      <c r="F1334" s="2451"/>
      <c r="G1334" s="2451"/>
      <c r="H1334" s="2451"/>
      <c r="I1334" s="2451"/>
      <c r="J1334" s="2451"/>
      <c r="K1334" s="2451"/>
      <c r="L1334" s="2451"/>
      <c r="M1334" s="2452"/>
      <c r="N1334" s="2452"/>
      <c r="O1334" s="2452"/>
      <c r="P1334" s="2452"/>
      <c r="Q1334" s="2452"/>
      <c r="W1334" t="s">
        <v>2062</v>
      </c>
    </row>
    <row r="1335" spans="1:23" ht="13.15" customHeight="1">
      <c r="A1335" s="2" t="s">
        <v>2214</v>
      </c>
      <c r="B1335" s="2">
        <f t="shared" si="40"/>
        <v>2020</v>
      </c>
      <c r="C1335" s="2" t="str">
        <f t="shared" si="41"/>
        <v>LIM333</v>
      </c>
      <c r="D1335" s="2">
        <v>717</v>
      </c>
      <c r="F1335" s="2451"/>
      <c r="G1335" s="2451"/>
      <c r="H1335" s="2451"/>
      <c r="I1335" s="2451"/>
      <c r="J1335" s="2451"/>
      <c r="K1335" s="2451"/>
      <c r="L1335" s="2451"/>
      <c r="M1335" s="2452"/>
      <c r="N1335" s="2452"/>
      <c r="O1335" s="2452"/>
      <c r="P1335" s="2452"/>
      <c r="Q1335" s="2452"/>
      <c r="W1335" t="s">
        <v>2062</v>
      </c>
    </row>
    <row r="1336" spans="1:23" ht="13.15" customHeight="1">
      <c r="A1336" s="2" t="s">
        <v>2214</v>
      </c>
      <c r="B1336" s="2">
        <f t="shared" si="40"/>
        <v>2020</v>
      </c>
      <c r="C1336" s="2" t="str">
        <f t="shared" si="41"/>
        <v>LIM333</v>
      </c>
      <c r="D1336" s="2">
        <v>718</v>
      </c>
      <c r="F1336" s="2451"/>
      <c r="G1336" s="2451"/>
      <c r="H1336" s="2451"/>
      <c r="I1336" s="2451"/>
      <c r="J1336" s="2451"/>
      <c r="K1336" s="2451"/>
      <c r="L1336" s="2451"/>
      <c r="M1336" s="2452"/>
      <c r="N1336" s="2452"/>
      <c r="O1336" s="2452"/>
      <c r="P1336" s="2452"/>
      <c r="Q1336" s="2452"/>
      <c r="W1336" t="s">
        <v>2062</v>
      </c>
    </row>
    <row r="1337" spans="1:23" ht="13.15" customHeight="1">
      <c r="A1337" s="2" t="s">
        <v>2214</v>
      </c>
      <c r="B1337" s="2">
        <f t="shared" si="40"/>
        <v>2020</v>
      </c>
      <c r="C1337" s="2" t="str">
        <f t="shared" si="41"/>
        <v>LIM333</v>
      </c>
      <c r="D1337" s="2">
        <v>719</v>
      </c>
      <c r="F1337" s="2451"/>
      <c r="G1337" s="2451"/>
      <c r="H1337" s="2451"/>
      <c r="I1337" s="2451"/>
      <c r="J1337" s="2451"/>
      <c r="K1337" s="2451"/>
      <c r="L1337" s="2451"/>
      <c r="M1337" s="2452"/>
      <c r="N1337" s="2452"/>
      <c r="O1337" s="2452"/>
      <c r="P1337" s="2452"/>
      <c r="Q1337" s="2452"/>
      <c r="W1337" t="s">
        <v>2062</v>
      </c>
    </row>
    <row r="1338" spans="1:23" ht="13.15" customHeight="1">
      <c r="A1338" s="2" t="s">
        <v>2214</v>
      </c>
      <c r="B1338" s="2">
        <f t="shared" si="40"/>
        <v>2020</v>
      </c>
      <c r="C1338" s="2" t="str">
        <f t="shared" si="41"/>
        <v>LIM333</v>
      </c>
      <c r="D1338" s="2">
        <v>720</v>
      </c>
      <c r="F1338" s="2451"/>
      <c r="G1338" s="2451"/>
      <c r="H1338" s="2451"/>
      <c r="I1338" s="2451"/>
      <c r="J1338" s="2451"/>
      <c r="K1338" s="2451"/>
      <c r="L1338" s="2451"/>
      <c r="M1338" s="2452"/>
      <c r="N1338" s="2452"/>
      <c r="O1338" s="2452"/>
      <c r="P1338" s="2452"/>
      <c r="Q1338" s="2452"/>
      <c r="W1338" t="s">
        <v>2062</v>
      </c>
    </row>
    <row r="1339" spans="1:23" ht="13.15" customHeight="1">
      <c r="A1339" s="2" t="s">
        <v>2214</v>
      </c>
      <c r="B1339" s="2">
        <f t="shared" si="40"/>
        <v>2020</v>
      </c>
      <c r="C1339" s="2" t="str">
        <f t="shared" si="41"/>
        <v>LIM333</v>
      </c>
      <c r="D1339" s="2">
        <v>721</v>
      </c>
      <c r="F1339" s="2451"/>
      <c r="G1339" s="2451"/>
      <c r="H1339" s="2451"/>
      <c r="I1339" s="2451"/>
      <c r="J1339" s="2451"/>
      <c r="K1339" s="2451"/>
      <c r="L1339" s="2451"/>
      <c r="M1339" s="2452"/>
      <c r="N1339" s="2452"/>
      <c r="O1339" s="2452"/>
      <c r="P1339" s="2452"/>
      <c r="Q1339" s="2452"/>
      <c r="W1339" t="s">
        <v>2062</v>
      </c>
    </row>
    <row r="1340" spans="1:23" ht="13.15" customHeight="1">
      <c r="A1340" s="2" t="s">
        <v>2214</v>
      </c>
      <c r="B1340" s="2">
        <f t="shared" si="40"/>
        <v>2020</v>
      </c>
      <c r="C1340" s="2" t="str">
        <f t="shared" si="41"/>
        <v>LIM333</v>
      </c>
      <c r="D1340" s="2">
        <v>722</v>
      </c>
      <c r="F1340" s="2451"/>
      <c r="G1340" s="2451"/>
      <c r="H1340" s="2451"/>
      <c r="I1340" s="2451"/>
      <c r="J1340" s="2451"/>
      <c r="K1340" s="2451"/>
      <c r="L1340" s="2451"/>
      <c r="M1340" s="2452"/>
      <c r="N1340" s="2452"/>
      <c r="O1340" s="2452"/>
      <c r="P1340" s="2452"/>
      <c r="Q1340" s="2452"/>
      <c r="W1340" t="s">
        <v>2062</v>
      </c>
    </row>
    <row r="1341" spans="1:23" ht="13.15" customHeight="1">
      <c r="A1341" s="2" t="s">
        <v>2214</v>
      </c>
      <c r="B1341" s="2">
        <f t="shared" si="40"/>
        <v>2020</v>
      </c>
      <c r="C1341" s="2" t="str">
        <f t="shared" si="41"/>
        <v>LIM333</v>
      </c>
      <c r="D1341" s="2">
        <v>723</v>
      </c>
      <c r="F1341" s="2451"/>
      <c r="G1341" s="2451"/>
      <c r="H1341" s="2451"/>
      <c r="I1341" s="2451"/>
      <c r="J1341" s="2451"/>
      <c r="K1341" s="2451"/>
      <c r="L1341" s="2451"/>
      <c r="M1341" s="2452"/>
      <c r="N1341" s="2452"/>
      <c r="O1341" s="2452"/>
      <c r="P1341" s="2452"/>
      <c r="Q1341" s="2452"/>
      <c r="W1341" t="s">
        <v>2062</v>
      </c>
    </row>
    <row r="1342" spans="1:23" ht="13.15" customHeight="1">
      <c r="A1342" s="2" t="s">
        <v>2214</v>
      </c>
      <c r="B1342" s="2">
        <f t="shared" si="40"/>
        <v>2020</v>
      </c>
      <c r="C1342" s="2" t="str">
        <f t="shared" si="41"/>
        <v>LIM333</v>
      </c>
      <c r="D1342" s="2">
        <v>724</v>
      </c>
      <c r="F1342" s="2451"/>
      <c r="G1342" s="2451"/>
      <c r="H1342" s="2451"/>
      <c r="I1342" s="2451"/>
      <c r="J1342" s="2451"/>
      <c r="K1342" s="2451"/>
      <c r="L1342" s="2451"/>
      <c r="M1342" s="2452"/>
      <c r="N1342" s="2452"/>
      <c r="O1342" s="2452"/>
      <c r="P1342" s="2452"/>
      <c r="Q1342" s="2452"/>
      <c r="W1342" t="s">
        <v>2062</v>
      </c>
    </row>
    <row r="1343" spans="1:23" ht="13.15" customHeight="1">
      <c r="A1343" s="2" t="s">
        <v>2214</v>
      </c>
      <c r="B1343" s="2">
        <f t="shared" si="40"/>
        <v>2020</v>
      </c>
      <c r="C1343" s="2" t="str">
        <f t="shared" si="41"/>
        <v>LIM333</v>
      </c>
      <c r="D1343" s="2">
        <v>725</v>
      </c>
      <c r="F1343" s="2451"/>
      <c r="G1343" s="2451"/>
      <c r="H1343" s="2451"/>
      <c r="I1343" s="2451"/>
      <c r="J1343" s="2451"/>
      <c r="K1343" s="2451"/>
      <c r="L1343" s="2451"/>
      <c r="M1343" s="2452"/>
      <c r="N1343" s="2452"/>
      <c r="O1343" s="2452"/>
      <c r="P1343" s="2452"/>
      <c r="Q1343" s="2452"/>
      <c r="W1343" t="s">
        <v>2062</v>
      </c>
    </row>
    <row r="1344" spans="1:23" ht="13.15" customHeight="1">
      <c r="A1344" s="2" t="s">
        <v>2214</v>
      </c>
      <c r="B1344" s="2">
        <f t="shared" si="40"/>
        <v>2020</v>
      </c>
      <c r="C1344" s="2" t="str">
        <f t="shared" si="41"/>
        <v>LIM333</v>
      </c>
      <c r="D1344" s="2">
        <v>726</v>
      </c>
      <c r="F1344" s="2451"/>
      <c r="G1344" s="2451"/>
      <c r="H1344" s="2451"/>
      <c r="I1344" s="2451"/>
      <c r="J1344" s="2451"/>
      <c r="K1344" s="2451"/>
      <c r="L1344" s="2451"/>
      <c r="M1344" s="2452"/>
      <c r="N1344" s="2452"/>
      <c r="O1344" s="2452"/>
      <c r="P1344" s="2452"/>
      <c r="Q1344" s="2452"/>
      <c r="W1344" t="s">
        <v>2062</v>
      </c>
    </row>
    <row r="1345" spans="1:23" ht="13.15" customHeight="1">
      <c r="A1345" s="2" t="s">
        <v>2214</v>
      </c>
      <c r="B1345" s="2">
        <f t="shared" si="40"/>
        <v>2020</v>
      </c>
      <c r="C1345" s="2" t="str">
        <f t="shared" si="41"/>
        <v>LIM333</v>
      </c>
      <c r="D1345" s="2">
        <v>727</v>
      </c>
      <c r="F1345" s="2451"/>
      <c r="G1345" s="2451"/>
      <c r="H1345" s="2451"/>
      <c r="I1345" s="2451"/>
      <c r="J1345" s="2451"/>
      <c r="K1345" s="2451"/>
      <c r="L1345" s="2451"/>
      <c r="M1345" s="2452"/>
      <c r="N1345" s="2452"/>
      <c r="O1345" s="2452"/>
      <c r="P1345" s="2452"/>
      <c r="Q1345" s="2452"/>
      <c r="W1345" t="s">
        <v>2062</v>
      </c>
    </row>
    <row r="1346" spans="1:23" ht="13.15" customHeight="1">
      <c r="A1346" s="2" t="s">
        <v>2214</v>
      </c>
      <c r="B1346" s="2">
        <f t="shared" ref="B1346:B1409" si="42">+MTREF</f>
        <v>2020</v>
      </c>
      <c r="C1346" s="2" t="str">
        <f t="shared" ref="C1346:C1409" si="43">LEFT(muni,(FIND(" ",muni,1)-1))</f>
        <v>LIM333</v>
      </c>
      <c r="D1346" s="2">
        <v>728</v>
      </c>
      <c r="F1346" s="2451"/>
      <c r="G1346" s="2451"/>
      <c r="H1346" s="2451"/>
      <c r="I1346" s="2451"/>
      <c r="J1346" s="2451"/>
      <c r="K1346" s="2451"/>
      <c r="L1346" s="2451"/>
      <c r="M1346" s="2452"/>
      <c r="N1346" s="2452"/>
      <c r="O1346" s="2452"/>
      <c r="P1346" s="2452"/>
      <c r="Q1346" s="2452"/>
      <c r="W1346" t="s">
        <v>2062</v>
      </c>
    </row>
    <row r="1347" spans="1:23" ht="13.15" customHeight="1">
      <c r="A1347" s="2" t="s">
        <v>2214</v>
      </c>
      <c r="B1347" s="2">
        <f t="shared" si="42"/>
        <v>2020</v>
      </c>
      <c r="C1347" s="2" t="str">
        <f t="shared" si="43"/>
        <v>LIM333</v>
      </c>
      <c r="D1347" s="2">
        <v>729</v>
      </c>
      <c r="F1347" s="2451"/>
      <c r="G1347" s="2451"/>
      <c r="H1347" s="2451"/>
      <c r="I1347" s="2451"/>
      <c r="J1347" s="2451"/>
      <c r="K1347" s="2451"/>
      <c r="L1347" s="2451"/>
      <c r="M1347" s="2452"/>
      <c r="N1347" s="2452"/>
      <c r="O1347" s="2452"/>
      <c r="P1347" s="2452"/>
      <c r="Q1347" s="2452"/>
      <c r="W1347" t="s">
        <v>2062</v>
      </c>
    </row>
    <row r="1348" spans="1:23" ht="13.15" customHeight="1">
      <c r="A1348" s="2" t="s">
        <v>2214</v>
      </c>
      <c r="B1348" s="2">
        <f t="shared" si="42"/>
        <v>2020</v>
      </c>
      <c r="C1348" s="2" t="str">
        <f t="shared" si="43"/>
        <v>LIM333</v>
      </c>
      <c r="D1348" s="2">
        <v>730</v>
      </c>
      <c r="F1348" s="2451"/>
      <c r="G1348" s="2451"/>
      <c r="H1348" s="2451"/>
      <c r="I1348" s="2451"/>
      <c r="J1348" s="2451"/>
      <c r="K1348" s="2451"/>
      <c r="L1348" s="2451"/>
      <c r="M1348" s="2452"/>
      <c r="N1348" s="2452"/>
      <c r="O1348" s="2452"/>
      <c r="P1348" s="2452"/>
      <c r="Q1348" s="2452"/>
      <c r="W1348" t="s">
        <v>2062</v>
      </c>
    </row>
    <row r="1349" spans="1:23" ht="13.15" customHeight="1">
      <c r="A1349" s="2" t="s">
        <v>2214</v>
      </c>
      <c r="B1349" s="2">
        <f t="shared" si="42"/>
        <v>2020</v>
      </c>
      <c r="C1349" s="2" t="str">
        <f t="shared" si="43"/>
        <v>LIM333</v>
      </c>
      <c r="D1349" s="2">
        <v>731</v>
      </c>
      <c r="F1349" s="2451"/>
      <c r="G1349" s="2451"/>
      <c r="H1349" s="2451"/>
      <c r="I1349" s="2451"/>
      <c r="J1349" s="2451"/>
      <c r="K1349" s="2451"/>
      <c r="L1349" s="2451"/>
      <c r="M1349" s="2452"/>
      <c r="N1349" s="2452"/>
      <c r="O1349" s="2452"/>
      <c r="P1349" s="2452"/>
      <c r="Q1349" s="2452"/>
      <c r="W1349" t="s">
        <v>2062</v>
      </c>
    </row>
    <row r="1350" spans="1:23" ht="13.15" customHeight="1">
      <c r="A1350" s="2" t="s">
        <v>2214</v>
      </c>
      <c r="B1350" s="2">
        <f t="shared" si="42"/>
        <v>2020</v>
      </c>
      <c r="C1350" s="2" t="str">
        <f t="shared" si="43"/>
        <v>LIM333</v>
      </c>
      <c r="D1350" s="2">
        <v>732</v>
      </c>
      <c r="F1350" s="2451"/>
      <c r="G1350" s="2451"/>
      <c r="H1350" s="2451"/>
      <c r="I1350" s="2451"/>
      <c r="J1350" s="2451"/>
      <c r="K1350" s="2451"/>
      <c r="L1350" s="2451"/>
      <c r="M1350" s="2452"/>
      <c r="N1350" s="2452"/>
      <c r="O1350" s="2452"/>
      <c r="P1350" s="2452"/>
      <c r="Q1350" s="2452"/>
      <c r="W1350" t="s">
        <v>2062</v>
      </c>
    </row>
    <row r="1351" spans="1:23" ht="13.15" customHeight="1">
      <c r="A1351" s="2" t="s">
        <v>2214</v>
      </c>
      <c r="B1351" s="2">
        <f t="shared" si="42"/>
        <v>2020</v>
      </c>
      <c r="C1351" s="2" t="str">
        <f t="shared" si="43"/>
        <v>LIM333</v>
      </c>
      <c r="D1351" s="2">
        <v>733</v>
      </c>
      <c r="F1351" s="2451"/>
      <c r="G1351" s="2451"/>
      <c r="H1351" s="2451"/>
      <c r="I1351" s="2451"/>
      <c r="J1351" s="2451"/>
      <c r="K1351" s="2451"/>
      <c r="L1351" s="2451"/>
      <c r="M1351" s="2452"/>
      <c r="N1351" s="2452"/>
      <c r="O1351" s="2452"/>
      <c r="P1351" s="2452"/>
      <c r="Q1351" s="2452"/>
      <c r="W1351" t="s">
        <v>2062</v>
      </c>
    </row>
    <row r="1352" spans="1:23" ht="13.15" customHeight="1">
      <c r="A1352" s="2" t="s">
        <v>2214</v>
      </c>
      <c r="B1352" s="2">
        <f t="shared" si="42"/>
        <v>2020</v>
      </c>
      <c r="C1352" s="2" t="str">
        <f t="shared" si="43"/>
        <v>LIM333</v>
      </c>
      <c r="D1352" s="2">
        <v>734</v>
      </c>
      <c r="F1352" s="2451"/>
      <c r="G1352" s="2451"/>
      <c r="H1352" s="2451"/>
      <c r="I1352" s="2451"/>
      <c r="J1352" s="2451"/>
      <c r="K1352" s="2451"/>
      <c r="L1352" s="2451"/>
      <c r="M1352" s="2452"/>
      <c r="N1352" s="2452"/>
      <c r="O1352" s="2452"/>
      <c r="P1352" s="2452"/>
      <c r="Q1352" s="2452"/>
      <c r="W1352" t="s">
        <v>2062</v>
      </c>
    </row>
    <row r="1353" spans="1:23" ht="13.15" customHeight="1">
      <c r="A1353" s="2" t="s">
        <v>2214</v>
      </c>
      <c r="B1353" s="2">
        <f t="shared" si="42"/>
        <v>2020</v>
      </c>
      <c r="C1353" s="2" t="str">
        <f t="shared" si="43"/>
        <v>LIM333</v>
      </c>
      <c r="D1353" s="2">
        <v>735</v>
      </c>
      <c r="F1353" s="2451"/>
      <c r="G1353" s="2451"/>
      <c r="H1353" s="2451"/>
      <c r="I1353" s="2451"/>
      <c r="J1353" s="2451"/>
      <c r="K1353" s="2451"/>
      <c r="L1353" s="2451"/>
      <c r="M1353" s="2452"/>
      <c r="N1353" s="2452"/>
      <c r="O1353" s="2452"/>
      <c r="P1353" s="2452"/>
      <c r="Q1353" s="2452"/>
      <c r="W1353" t="s">
        <v>2062</v>
      </c>
    </row>
    <row r="1354" spans="1:23" ht="13.15" customHeight="1">
      <c r="A1354" s="2" t="s">
        <v>2214</v>
      </c>
      <c r="B1354" s="2">
        <f t="shared" si="42"/>
        <v>2020</v>
      </c>
      <c r="C1354" s="2" t="str">
        <f t="shared" si="43"/>
        <v>LIM333</v>
      </c>
      <c r="D1354" s="2">
        <v>736</v>
      </c>
      <c r="F1354" s="2451"/>
      <c r="G1354" s="2451"/>
      <c r="H1354" s="2451"/>
      <c r="I1354" s="2451"/>
      <c r="J1354" s="2451"/>
      <c r="K1354" s="2451"/>
      <c r="L1354" s="2451"/>
      <c r="M1354" s="2452"/>
      <c r="N1354" s="2452"/>
      <c r="O1354" s="2452"/>
      <c r="P1354" s="2452"/>
      <c r="Q1354" s="2452"/>
      <c r="W1354" t="s">
        <v>2062</v>
      </c>
    </row>
    <row r="1355" spans="1:23" ht="13.15" customHeight="1">
      <c r="A1355" s="2" t="s">
        <v>2214</v>
      </c>
      <c r="B1355" s="2">
        <f t="shared" si="42"/>
        <v>2020</v>
      </c>
      <c r="C1355" s="2" t="str">
        <f t="shared" si="43"/>
        <v>LIM333</v>
      </c>
      <c r="D1355" s="2">
        <v>737</v>
      </c>
      <c r="F1355" s="2451"/>
      <c r="G1355" s="2451"/>
      <c r="H1355" s="2451"/>
      <c r="I1355" s="2451"/>
      <c r="J1355" s="2451"/>
      <c r="K1355" s="2451"/>
      <c r="L1355" s="2451"/>
      <c r="M1355" s="2452"/>
      <c r="N1355" s="2452"/>
      <c r="O1355" s="2452"/>
      <c r="P1355" s="2452"/>
      <c r="Q1355" s="2452"/>
      <c r="W1355" t="s">
        <v>2062</v>
      </c>
    </row>
    <row r="1356" spans="1:23" ht="13.15" customHeight="1">
      <c r="A1356" s="2" t="s">
        <v>2214</v>
      </c>
      <c r="B1356" s="2">
        <f t="shared" si="42"/>
        <v>2020</v>
      </c>
      <c r="C1356" s="2" t="str">
        <f t="shared" si="43"/>
        <v>LIM333</v>
      </c>
      <c r="D1356" s="2">
        <v>738</v>
      </c>
      <c r="F1356" s="2451"/>
      <c r="G1356" s="2451"/>
      <c r="H1356" s="2451"/>
      <c r="I1356" s="2451"/>
      <c r="J1356" s="2451"/>
      <c r="K1356" s="2451"/>
      <c r="L1356" s="2451"/>
      <c r="M1356" s="2452"/>
      <c r="N1356" s="2452"/>
      <c r="O1356" s="2452"/>
      <c r="P1356" s="2452"/>
      <c r="Q1356" s="2452"/>
      <c r="W1356" t="s">
        <v>2062</v>
      </c>
    </row>
    <row r="1357" spans="1:23" ht="13.15" customHeight="1">
      <c r="A1357" s="2" t="s">
        <v>2214</v>
      </c>
      <c r="B1357" s="2">
        <f t="shared" si="42"/>
        <v>2020</v>
      </c>
      <c r="C1357" s="2" t="str">
        <f t="shared" si="43"/>
        <v>LIM333</v>
      </c>
      <c r="D1357" s="2">
        <v>739</v>
      </c>
      <c r="F1357" s="2451"/>
      <c r="G1357" s="2451"/>
      <c r="H1357" s="2451"/>
      <c r="I1357" s="2451"/>
      <c r="J1357" s="2451"/>
      <c r="K1357" s="2451"/>
      <c r="L1357" s="2451"/>
      <c r="M1357" s="2452"/>
      <c r="N1357" s="2452"/>
      <c r="O1357" s="2452"/>
      <c r="P1357" s="2452"/>
      <c r="Q1357" s="2452"/>
      <c r="W1357" t="s">
        <v>2062</v>
      </c>
    </row>
    <row r="1358" spans="1:23" ht="13.15" customHeight="1">
      <c r="A1358" s="2" t="s">
        <v>2214</v>
      </c>
      <c r="B1358" s="2">
        <f t="shared" si="42"/>
        <v>2020</v>
      </c>
      <c r="C1358" s="2" t="str">
        <f t="shared" si="43"/>
        <v>LIM333</v>
      </c>
      <c r="D1358" s="2">
        <v>740</v>
      </c>
      <c r="F1358" s="2451"/>
      <c r="G1358" s="2451"/>
      <c r="H1358" s="2451"/>
      <c r="I1358" s="2451"/>
      <c r="J1358" s="2451"/>
      <c r="K1358" s="2451"/>
      <c r="L1358" s="2451"/>
      <c r="M1358" s="2452"/>
      <c r="N1358" s="2452"/>
      <c r="O1358" s="2452"/>
      <c r="P1358" s="2452"/>
      <c r="Q1358" s="2452"/>
      <c r="W1358" t="s">
        <v>2062</v>
      </c>
    </row>
    <row r="1359" spans="1:23" ht="13.15" customHeight="1">
      <c r="A1359" s="2" t="s">
        <v>2214</v>
      </c>
      <c r="B1359" s="2">
        <f t="shared" si="42"/>
        <v>2020</v>
      </c>
      <c r="C1359" s="2" t="str">
        <f t="shared" si="43"/>
        <v>LIM333</v>
      </c>
      <c r="D1359" s="2">
        <v>741</v>
      </c>
      <c r="F1359" s="2451"/>
      <c r="G1359" s="2451"/>
      <c r="H1359" s="2451"/>
      <c r="I1359" s="2451"/>
      <c r="J1359" s="2451"/>
      <c r="K1359" s="2451"/>
      <c r="L1359" s="2451"/>
      <c r="M1359" s="2452"/>
      <c r="N1359" s="2452"/>
      <c r="O1359" s="2452"/>
      <c r="P1359" s="2452"/>
      <c r="Q1359" s="2452"/>
      <c r="W1359" t="s">
        <v>2062</v>
      </c>
    </row>
    <row r="1360" spans="1:23" ht="13.15" customHeight="1">
      <c r="A1360" s="2" t="s">
        <v>2214</v>
      </c>
      <c r="B1360" s="2">
        <f t="shared" si="42"/>
        <v>2020</v>
      </c>
      <c r="C1360" s="2" t="str">
        <f t="shared" si="43"/>
        <v>LIM333</v>
      </c>
      <c r="D1360" s="2">
        <v>742</v>
      </c>
      <c r="F1360" s="2451"/>
      <c r="G1360" s="2451"/>
      <c r="H1360" s="2451"/>
      <c r="I1360" s="2451"/>
      <c r="J1360" s="2451"/>
      <c r="K1360" s="2451"/>
      <c r="L1360" s="2451"/>
      <c r="M1360" s="2452"/>
      <c r="N1360" s="2452"/>
      <c r="O1360" s="2452"/>
      <c r="P1360" s="2452"/>
      <c r="Q1360" s="2452"/>
      <c r="W1360" t="s">
        <v>2062</v>
      </c>
    </row>
    <row r="1361" spans="1:23" ht="13.15" customHeight="1">
      <c r="A1361" s="2" t="s">
        <v>2214</v>
      </c>
      <c r="B1361" s="2">
        <f t="shared" si="42"/>
        <v>2020</v>
      </c>
      <c r="C1361" s="2" t="str">
        <f t="shared" si="43"/>
        <v>LIM333</v>
      </c>
      <c r="D1361" s="2">
        <v>743</v>
      </c>
      <c r="F1361" s="2451"/>
      <c r="G1361" s="2451"/>
      <c r="H1361" s="2451"/>
      <c r="I1361" s="2451"/>
      <c r="J1361" s="2451"/>
      <c r="K1361" s="2451"/>
      <c r="L1361" s="2451"/>
      <c r="M1361" s="2452"/>
      <c r="N1361" s="2452"/>
      <c r="O1361" s="2452"/>
      <c r="P1361" s="2452"/>
      <c r="Q1361" s="2452"/>
      <c r="W1361" t="s">
        <v>2062</v>
      </c>
    </row>
    <row r="1362" spans="1:23" ht="13.15" customHeight="1">
      <c r="A1362" s="2" t="s">
        <v>2214</v>
      </c>
      <c r="B1362" s="2">
        <f t="shared" si="42"/>
        <v>2020</v>
      </c>
      <c r="C1362" s="2" t="str">
        <f t="shared" si="43"/>
        <v>LIM333</v>
      </c>
      <c r="D1362" s="2">
        <v>744</v>
      </c>
      <c r="F1362" s="2451"/>
      <c r="G1362" s="2451"/>
      <c r="H1362" s="2451"/>
      <c r="I1362" s="2451"/>
      <c r="J1362" s="2451"/>
      <c r="K1362" s="2451"/>
      <c r="L1362" s="2451"/>
      <c r="M1362" s="2452"/>
      <c r="N1362" s="2452"/>
      <c r="O1362" s="2452"/>
      <c r="P1362" s="2452"/>
      <c r="Q1362" s="2452"/>
      <c r="W1362" t="s">
        <v>2062</v>
      </c>
    </row>
    <row r="1363" spans="1:23" ht="13.15" customHeight="1">
      <c r="A1363" s="2" t="s">
        <v>2214</v>
      </c>
      <c r="B1363" s="2">
        <f t="shared" si="42"/>
        <v>2020</v>
      </c>
      <c r="C1363" s="2" t="str">
        <f t="shared" si="43"/>
        <v>LIM333</v>
      </c>
      <c r="D1363" s="2">
        <v>745</v>
      </c>
      <c r="F1363" s="2451"/>
      <c r="G1363" s="2451"/>
      <c r="H1363" s="2451"/>
      <c r="I1363" s="2451"/>
      <c r="J1363" s="2451"/>
      <c r="K1363" s="2451"/>
      <c r="L1363" s="2451"/>
      <c r="M1363" s="2452"/>
      <c r="N1363" s="2452"/>
      <c r="O1363" s="2452"/>
      <c r="P1363" s="2452"/>
      <c r="Q1363" s="2452"/>
      <c r="W1363" t="s">
        <v>2062</v>
      </c>
    </row>
    <row r="1364" spans="1:23" ht="13.15" customHeight="1">
      <c r="A1364" s="2" t="s">
        <v>2214</v>
      </c>
      <c r="B1364" s="2">
        <f t="shared" si="42"/>
        <v>2020</v>
      </c>
      <c r="C1364" s="2" t="str">
        <f t="shared" si="43"/>
        <v>LIM333</v>
      </c>
      <c r="D1364" s="2">
        <v>746</v>
      </c>
      <c r="F1364" s="2451"/>
      <c r="G1364" s="2451"/>
      <c r="H1364" s="2451"/>
      <c r="I1364" s="2451"/>
      <c r="J1364" s="2451"/>
      <c r="K1364" s="2451"/>
      <c r="L1364" s="2451"/>
      <c r="M1364" s="2452"/>
      <c r="N1364" s="2452"/>
      <c r="O1364" s="2452"/>
      <c r="P1364" s="2452"/>
      <c r="Q1364" s="2452"/>
      <c r="W1364" t="s">
        <v>2062</v>
      </c>
    </row>
    <row r="1365" spans="1:23" ht="13.15" customHeight="1">
      <c r="A1365" s="2" t="s">
        <v>2214</v>
      </c>
      <c r="B1365" s="2">
        <f t="shared" si="42"/>
        <v>2020</v>
      </c>
      <c r="C1365" s="2" t="str">
        <f t="shared" si="43"/>
        <v>LIM333</v>
      </c>
      <c r="D1365" s="2">
        <v>747</v>
      </c>
      <c r="F1365" s="2451"/>
      <c r="G1365" s="2451"/>
      <c r="H1365" s="2451"/>
      <c r="I1365" s="2451"/>
      <c r="J1365" s="2451"/>
      <c r="K1365" s="2451"/>
      <c r="L1365" s="2451"/>
      <c r="M1365" s="2452"/>
      <c r="N1365" s="2452"/>
      <c r="O1365" s="2452"/>
      <c r="P1365" s="2452"/>
      <c r="Q1365" s="2452"/>
      <c r="W1365" t="s">
        <v>2062</v>
      </c>
    </row>
    <row r="1366" spans="1:23" ht="13.15" customHeight="1">
      <c r="A1366" s="2" t="s">
        <v>2214</v>
      </c>
      <c r="B1366" s="2">
        <f t="shared" si="42"/>
        <v>2020</v>
      </c>
      <c r="C1366" s="2" t="str">
        <f t="shared" si="43"/>
        <v>LIM333</v>
      </c>
      <c r="D1366" s="2">
        <v>748</v>
      </c>
      <c r="F1366" s="2451"/>
      <c r="G1366" s="2451"/>
      <c r="H1366" s="2451"/>
      <c r="I1366" s="2451"/>
      <c r="J1366" s="2451"/>
      <c r="K1366" s="2451"/>
      <c r="L1366" s="2451"/>
      <c r="M1366" s="2452"/>
      <c r="N1366" s="2452"/>
      <c r="O1366" s="2452"/>
      <c r="P1366" s="2452"/>
      <c r="Q1366" s="2452"/>
      <c r="W1366" t="s">
        <v>2062</v>
      </c>
    </row>
    <row r="1367" spans="1:23" ht="13.15" customHeight="1">
      <c r="A1367" s="2" t="s">
        <v>2214</v>
      </c>
      <c r="B1367" s="2">
        <f t="shared" si="42"/>
        <v>2020</v>
      </c>
      <c r="C1367" s="2" t="str">
        <f t="shared" si="43"/>
        <v>LIM333</v>
      </c>
      <c r="D1367" s="2">
        <v>749</v>
      </c>
      <c r="F1367" s="2451"/>
      <c r="G1367" s="2451"/>
      <c r="H1367" s="2451"/>
      <c r="I1367" s="2451"/>
      <c r="J1367" s="2451"/>
      <c r="K1367" s="2451"/>
      <c r="L1367" s="2451"/>
      <c r="M1367" s="2452"/>
      <c r="N1367" s="2452"/>
      <c r="O1367" s="2452"/>
      <c r="P1367" s="2452"/>
      <c r="Q1367" s="2452"/>
      <c r="W1367" t="s">
        <v>2062</v>
      </c>
    </row>
    <row r="1368" spans="1:23" ht="13.15" customHeight="1">
      <c r="A1368" s="2" t="s">
        <v>2214</v>
      </c>
      <c r="B1368" s="2">
        <f t="shared" si="42"/>
        <v>2020</v>
      </c>
      <c r="C1368" s="2" t="str">
        <f t="shared" si="43"/>
        <v>LIM333</v>
      </c>
      <c r="D1368" s="2">
        <v>750</v>
      </c>
      <c r="F1368" s="2451"/>
      <c r="G1368" s="2451"/>
      <c r="H1368" s="2451"/>
      <c r="I1368" s="2451"/>
      <c r="J1368" s="2451"/>
      <c r="K1368" s="2451"/>
      <c r="L1368" s="2451"/>
      <c r="M1368" s="2452"/>
      <c r="N1368" s="2452"/>
      <c r="O1368" s="2452"/>
      <c r="P1368" s="2452"/>
      <c r="Q1368" s="2452"/>
      <c r="W1368" t="s">
        <v>2062</v>
      </c>
    </row>
    <row r="1369" spans="1:23" ht="13.15" customHeight="1">
      <c r="A1369" s="2" t="s">
        <v>2214</v>
      </c>
      <c r="B1369" s="2">
        <f t="shared" si="42"/>
        <v>2020</v>
      </c>
      <c r="C1369" s="2" t="str">
        <f t="shared" si="43"/>
        <v>LIM333</v>
      </c>
      <c r="D1369" s="2">
        <v>751</v>
      </c>
      <c r="F1369" s="2451"/>
      <c r="G1369" s="2451"/>
      <c r="H1369" s="2451"/>
      <c r="I1369" s="2451"/>
      <c r="J1369" s="2451"/>
      <c r="K1369" s="2451"/>
      <c r="L1369" s="2451"/>
      <c r="M1369" s="2452"/>
      <c r="N1369" s="2452"/>
      <c r="O1369" s="2452"/>
      <c r="P1369" s="2452"/>
      <c r="Q1369" s="2452"/>
      <c r="W1369" t="s">
        <v>2062</v>
      </c>
    </row>
    <row r="1370" spans="1:23" ht="13.15" customHeight="1">
      <c r="A1370" s="2" t="s">
        <v>2214</v>
      </c>
      <c r="B1370" s="2">
        <f t="shared" si="42"/>
        <v>2020</v>
      </c>
      <c r="C1370" s="2" t="str">
        <f t="shared" si="43"/>
        <v>LIM333</v>
      </c>
      <c r="D1370" s="2">
        <v>752</v>
      </c>
      <c r="F1370" s="2451"/>
      <c r="G1370" s="2451"/>
      <c r="H1370" s="2451"/>
      <c r="I1370" s="2451"/>
      <c r="J1370" s="2451"/>
      <c r="K1370" s="2451"/>
      <c r="L1370" s="2451"/>
      <c r="M1370" s="2452"/>
      <c r="N1370" s="2452"/>
      <c r="O1370" s="2452"/>
      <c r="P1370" s="2452"/>
      <c r="Q1370" s="2452"/>
      <c r="W1370" t="s">
        <v>2062</v>
      </c>
    </row>
    <row r="1371" spans="1:23" ht="13.15" customHeight="1">
      <c r="A1371" s="2" t="s">
        <v>2214</v>
      </c>
      <c r="B1371" s="2">
        <f t="shared" si="42"/>
        <v>2020</v>
      </c>
      <c r="C1371" s="2" t="str">
        <f t="shared" si="43"/>
        <v>LIM333</v>
      </c>
      <c r="D1371" s="2">
        <v>753</v>
      </c>
      <c r="F1371" s="2451"/>
      <c r="G1371" s="2451"/>
      <c r="H1371" s="2451"/>
      <c r="I1371" s="2451"/>
      <c r="J1371" s="2451"/>
      <c r="K1371" s="2451"/>
      <c r="L1371" s="2451"/>
      <c r="M1371" s="2452"/>
      <c r="N1371" s="2452"/>
      <c r="O1371" s="2452"/>
      <c r="P1371" s="2452"/>
      <c r="Q1371" s="2452"/>
      <c r="W1371" t="s">
        <v>2062</v>
      </c>
    </row>
    <row r="1372" spans="1:23" ht="13.15" customHeight="1">
      <c r="A1372" s="2" t="s">
        <v>2214</v>
      </c>
      <c r="B1372" s="2">
        <f t="shared" si="42"/>
        <v>2020</v>
      </c>
      <c r="C1372" s="2" t="str">
        <f t="shared" si="43"/>
        <v>LIM333</v>
      </c>
      <c r="D1372" s="2">
        <v>754</v>
      </c>
      <c r="F1372" s="2451"/>
      <c r="G1372" s="2451"/>
      <c r="H1372" s="2451"/>
      <c r="I1372" s="2451"/>
      <c r="J1372" s="2451"/>
      <c r="K1372" s="2451"/>
      <c r="L1372" s="2451"/>
      <c r="M1372" s="2452"/>
      <c r="N1372" s="2452"/>
      <c r="O1372" s="2452"/>
      <c r="P1372" s="2452"/>
      <c r="Q1372" s="2452"/>
      <c r="W1372" t="s">
        <v>2062</v>
      </c>
    </row>
    <row r="1373" spans="1:23" ht="13.15" customHeight="1">
      <c r="A1373" s="2" t="s">
        <v>2214</v>
      </c>
      <c r="B1373" s="2">
        <f t="shared" si="42"/>
        <v>2020</v>
      </c>
      <c r="C1373" s="2" t="str">
        <f t="shared" si="43"/>
        <v>LIM333</v>
      </c>
      <c r="D1373" s="2">
        <v>755</v>
      </c>
      <c r="F1373" s="2451"/>
      <c r="G1373" s="2451"/>
      <c r="H1373" s="2451"/>
      <c r="I1373" s="2451"/>
      <c r="J1373" s="2451"/>
      <c r="K1373" s="2451"/>
      <c r="L1373" s="2451"/>
      <c r="M1373" s="2452"/>
      <c r="N1373" s="2452"/>
      <c r="O1373" s="2452"/>
      <c r="P1373" s="2452"/>
      <c r="Q1373" s="2452"/>
      <c r="W1373" t="s">
        <v>2062</v>
      </c>
    </row>
    <row r="1374" spans="1:23" ht="13.15" customHeight="1">
      <c r="A1374" s="2" t="s">
        <v>2214</v>
      </c>
      <c r="B1374" s="2">
        <f t="shared" si="42"/>
        <v>2020</v>
      </c>
      <c r="C1374" s="2" t="str">
        <f t="shared" si="43"/>
        <v>LIM333</v>
      </c>
      <c r="D1374" s="2">
        <v>756</v>
      </c>
      <c r="F1374" s="2451"/>
      <c r="G1374" s="2451"/>
      <c r="H1374" s="2451"/>
      <c r="I1374" s="2451"/>
      <c r="J1374" s="2451"/>
      <c r="K1374" s="2451"/>
      <c r="L1374" s="2451"/>
      <c r="M1374" s="2452"/>
      <c r="N1374" s="2452"/>
      <c r="O1374" s="2452"/>
      <c r="P1374" s="2452"/>
      <c r="Q1374" s="2452"/>
      <c r="W1374" t="s">
        <v>2062</v>
      </c>
    </row>
    <row r="1375" spans="1:23" ht="13.15" customHeight="1">
      <c r="A1375" s="2" t="s">
        <v>2214</v>
      </c>
      <c r="B1375" s="2">
        <f t="shared" si="42"/>
        <v>2020</v>
      </c>
      <c r="C1375" s="2" t="str">
        <f t="shared" si="43"/>
        <v>LIM333</v>
      </c>
      <c r="D1375" s="2">
        <v>757</v>
      </c>
      <c r="F1375" s="2451"/>
      <c r="G1375" s="2451"/>
      <c r="H1375" s="2451"/>
      <c r="I1375" s="2451"/>
      <c r="J1375" s="2451"/>
      <c r="K1375" s="2451"/>
      <c r="L1375" s="2451"/>
      <c r="M1375" s="2452"/>
      <c r="N1375" s="2452"/>
      <c r="O1375" s="2452"/>
      <c r="P1375" s="2452"/>
      <c r="Q1375" s="2452"/>
      <c r="W1375" t="s">
        <v>2062</v>
      </c>
    </row>
    <row r="1376" spans="1:23" ht="13.15" customHeight="1">
      <c r="A1376" s="2" t="s">
        <v>2214</v>
      </c>
      <c r="B1376" s="2">
        <f t="shared" si="42"/>
        <v>2020</v>
      </c>
      <c r="C1376" s="2" t="str">
        <f t="shared" si="43"/>
        <v>LIM333</v>
      </c>
      <c r="D1376" s="2">
        <v>758</v>
      </c>
      <c r="F1376" s="2451"/>
      <c r="G1376" s="2451"/>
      <c r="H1376" s="2451"/>
      <c r="I1376" s="2451"/>
      <c r="J1376" s="2451"/>
      <c r="K1376" s="2451"/>
      <c r="L1376" s="2451"/>
      <c r="M1376" s="2452"/>
      <c r="N1376" s="2452"/>
      <c r="O1376" s="2452"/>
      <c r="P1376" s="2452"/>
      <c r="Q1376" s="2452"/>
      <c r="W1376" t="s">
        <v>2062</v>
      </c>
    </row>
    <row r="1377" spans="1:23" ht="13.15" customHeight="1">
      <c r="A1377" s="2" t="s">
        <v>2214</v>
      </c>
      <c r="B1377" s="2">
        <f t="shared" si="42"/>
        <v>2020</v>
      </c>
      <c r="C1377" s="2" t="str">
        <f t="shared" si="43"/>
        <v>LIM333</v>
      </c>
      <c r="D1377" s="2">
        <v>759</v>
      </c>
      <c r="F1377" s="2451"/>
      <c r="G1377" s="2451"/>
      <c r="H1377" s="2451"/>
      <c r="I1377" s="2451"/>
      <c r="J1377" s="2451"/>
      <c r="K1377" s="2451"/>
      <c r="L1377" s="2451"/>
      <c r="M1377" s="2452"/>
      <c r="N1377" s="2452"/>
      <c r="O1377" s="2452"/>
      <c r="P1377" s="2452"/>
      <c r="Q1377" s="2452"/>
      <c r="W1377" t="s">
        <v>2062</v>
      </c>
    </row>
    <row r="1378" spans="1:23" ht="13.15" customHeight="1">
      <c r="A1378" s="2" t="s">
        <v>2214</v>
      </c>
      <c r="B1378" s="2">
        <f t="shared" si="42"/>
        <v>2020</v>
      </c>
      <c r="C1378" s="2" t="str">
        <f t="shared" si="43"/>
        <v>LIM333</v>
      </c>
      <c r="D1378" s="2">
        <v>760</v>
      </c>
      <c r="F1378" s="2451"/>
      <c r="G1378" s="2451"/>
      <c r="H1378" s="2451"/>
      <c r="I1378" s="2451"/>
      <c r="J1378" s="2451"/>
      <c r="K1378" s="2451"/>
      <c r="L1378" s="2451"/>
      <c r="M1378" s="2452"/>
      <c r="N1378" s="2452"/>
      <c r="O1378" s="2452"/>
      <c r="P1378" s="2452"/>
      <c r="Q1378" s="2452"/>
      <c r="W1378" t="s">
        <v>2062</v>
      </c>
    </row>
    <row r="1379" spans="1:23" ht="13.15" customHeight="1">
      <c r="A1379" s="2" t="s">
        <v>2214</v>
      </c>
      <c r="B1379" s="2">
        <f t="shared" si="42"/>
        <v>2020</v>
      </c>
      <c r="C1379" s="2" t="str">
        <f t="shared" si="43"/>
        <v>LIM333</v>
      </c>
      <c r="D1379" s="2">
        <v>761</v>
      </c>
      <c r="F1379" s="2451"/>
      <c r="G1379" s="2451"/>
      <c r="H1379" s="2451"/>
      <c r="I1379" s="2451"/>
      <c r="J1379" s="2451"/>
      <c r="K1379" s="2451"/>
      <c r="L1379" s="2451"/>
      <c r="M1379" s="2452"/>
      <c r="N1379" s="2452"/>
      <c r="O1379" s="2452"/>
      <c r="P1379" s="2452"/>
      <c r="Q1379" s="2452"/>
      <c r="W1379" t="s">
        <v>2062</v>
      </c>
    </row>
    <row r="1380" spans="1:23" ht="13.15" customHeight="1">
      <c r="A1380" s="2" t="s">
        <v>2214</v>
      </c>
      <c r="B1380" s="2">
        <f t="shared" si="42"/>
        <v>2020</v>
      </c>
      <c r="C1380" s="2" t="str">
        <f t="shared" si="43"/>
        <v>LIM333</v>
      </c>
      <c r="D1380" s="2">
        <v>762</v>
      </c>
      <c r="F1380" s="2451"/>
      <c r="G1380" s="2451"/>
      <c r="H1380" s="2451"/>
      <c r="I1380" s="2451"/>
      <c r="J1380" s="2451"/>
      <c r="K1380" s="2451"/>
      <c r="L1380" s="2451"/>
      <c r="M1380" s="2452"/>
      <c r="N1380" s="2452"/>
      <c r="O1380" s="2452"/>
      <c r="P1380" s="2452"/>
      <c r="Q1380" s="2452"/>
      <c r="W1380" t="s">
        <v>2062</v>
      </c>
    </row>
    <row r="1381" spans="1:23" ht="13.15" customHeight="1">
      <c r="A1381" s="2" t="s">
        <v>2214</v>
      </c>
      <c r="B1381" s="2">
        <f t="shared" si="42"/>
        <v>2020</v>
      </c>
      <c r="C1381" s="2" t="str">
        <f t="shared" si="43"/>
        <v>LIM333</v>
      </c>
      <c r="D1381" s="2">
        <v>763</v>
      </c>
      <c r="F1381" s="2451"/>
      <c r="G1381" s="2451"/>
      <c r="H1381" s="2451"/>
      <c r="I1381" s="2451"/>
      <c r="J1381" s="2451"/>
      <c r="K1381" s="2451"/>
      <c r="L1381" s="2451"/>
      <c r="M1381" s="2452"/>
      <c r="N1381" s="2452"/>
      <c r="O1381" s="2452"/>
      <c r="P1381" s="2452"/>
      <c r="Q1381" s="2452"/>
      <c r="W1381" t="s">
        <v>2062</v>
      </c>
    </row>
    <row r="1382" spans="1:23" ht="13.15" customHeight="1">
      <c r="A1382" s="2" t="s">
        <v>2214</v>
      </c>
      <c r="B1382" s="2">
        <f t="shared" si="42"/>
        <v>2020</v>
      </c>
      <c r="C1382" s="2" t="str">
        <f t="shared" si="43"/>
        <v>LIM333</v>
      </c>
      <c r="D1382" s="2">
        <v>764</v>
      </c>
      <c r="F1382" s="2451"/>
      <c r="G1382" s="2451"/>
      <c r="H1382" s="2451"/>
      <c r="I1382" s="2451"/>
      <c r="J1382" s="2451"/>
      <c r="K1382" s="2451"/>
      <c r="L1382" s="2451"/>
      <c r="M1382" s="2452"/>
      <c r="N1382" s="2452"/>
      <c r="O1382" s="2452"/>
      <c r="P1382" s="2452"/>
      <c r="Q1382" s="2452"/>
      <c r="W1382" t="s">
        <v>2062</v>
      </c>
    </row>
    <row r="1383" spans="1:23" ht="13.15" customHeight="1">
      <c r="A1383" s="2" t="s">
        <v>2214</v>
      </c>
      <c r="B1383" s="2">
        <f t="shared" si="42"/>
        <v>2020</v>
      </c>
      <c r="C1383" s="2" t="str">
        <f t="shared" si="43"/>
        <v>LIM333</v>
      </c>
      <c r="D1383" s="2">
        <v>765</v>
      </c>
      <c r="F1383" s="2451"/>
      <c r="G1383" s="2451"/>
      <c r="H1383" s="2451"/>
      <c r="I1383" s="2451"/>
      <c r="J1383" s="2451"/>
      <c r="K1383" s="2451"/>
      <c r="L1383" s="2451"/>
      <c r="M1383" s="2452"/>
      <c r="N1383" s="2452"/>
      <c r="O1383" s="2452"/>
      <c r="P1383" s="2452"/>
      <c r="Q1383" s="2452"/>
      <c r="W1383" t="s">
        <v>2062</v>
      </c>
    </row>
    <row r="1384" spans="1:23" ht="13.15" customHeight="1">
      <c r="A1384" s="2" t="s">
        <v>2214</v>
      </c>
      <c r="B1384" s="2">
        <f t="shared" si="42"/>
        <v>2020</v>
      </c>
      <c r="C1384" s="2" t="str">
        <f t="shared" si="43"/>
        <v>LIM333</v>
      </c>
      <c r="D1384" s="2">
        <v>766</v>
      </c>
      <c r="F1384" s="2451"/>
      <c r="G1384" s="2451"/>
      <c r="H1384" s="2451"/>
      <c r="I1384" s="2451"/>
      <c r="J1384" s="2451"/>
      <c r="K1384" s="2451"/>
      <c r="L1384" s="2451"/>
      <c r="M1384" s="2452"/>
      <c r="N1384" s="2452"/>
      <c r="O1384" s="2452"/>
      <c r="P1384" s="2452"/>
      <c r="Q1384" s="2452"/>
      <c r="W1384" t="s">
        <v>2062</v>
      </c>
    </row>
    <row r="1385" spans="1:23" ht="13.15" customHeight="1">
      <c r="A1385" s="2" t="s">
        <v>2214</v>
      </c>
      <c r="B1385" s="2">
        <f t="shared" si="42"/>
        <v>2020</v>
      </c>
      <c r="C1385" s="2" t="str">
        <f t="shared" si="43"/>
        <v>LIM333</v>
      </c>
      <c r="D1385" s="2">
        <v>767</v>
      </c>
      <c r="F1385" s="2451"/>
      <c r="G1385" s="2451"/>
      <c r="H1385" s="2451"/>
      <c r="I1385" s="2451"/>
      <c r="J1385" s="2451"/>
      <c r="K1385" s="2451"/>
      <c r="L1385" s="2451"/>
      <c r="M1385" s="2452"/>
      <c r="N1385" s="2452"/>
      <c r="O1385" s="2452"/>
      <c r="P1385" s="2452"/>
      <c r="Q1385" s="2452"/>
      <c r="W1385" t="s">
        <v>2062</v>
      </c>
    </row>
    <row r="1386" spans="1:23" ht="13.15" customHeight="1">
      <c r="A1386" s="2" t="s">
        <v>2214</v>
      </c>
      <c r="B1386" s="2">
        <f t="shared" si="42"/>
        <v>2020</v>
      </c>
      <c r="C1386" s="2" t="str">
        <f t="shared" si="43"/>
        <v>LIM333</v>
      </c>
      <c r="D1386" s="2">
        <v>768</v>
      </c>
      <c r="F1386" s="2451"/>
      <c r="G1386" s="2451"/>
      <c r="H1386" s="2451"/>
      <c r="I1386" s="2451"/>
      <c r="J1386" s="2451"/>
      <c r="K1386" s="2451"/>
      <c r="L1386" s="2451"/>
      <c r="M1386" s="2452"/>
      <c r="N1386" s="2452"/>
      <c r="O1386" s="2452"/>
      <c r="P1386" s="2452"/>
      <c r="Q1386" s="2452"/>
      <c r="W1386" t="s">
        <v>2062</v>
      </c>
    </row>
    <row r="1387" spans="1:23" ht="13.15" customHeight="1">
      <c r="A1387" s="2" t="s">
        <v>2214</v>
      </c>
      <c r="B1387" s="2">
        <f t="shared" si="42"/>
        <v>2020</v>
      </c>
      <c r="C1387" s="2" t="str">
        <f t="shared" si="43"/>
        <v>LIM333</v>
      </c>
      <c r="D1387" s="2">
        <v>769</v>
      </c>
      <c r="F1387" s="2451"/>
      <c r="G1387" s="2451"/>
      <c r="H1387" s="2451"/>
      <c r="I1387" s="2451"/>
      <c r="J1387" s="2451"/>
      <c r="K1387" s="2451"/>
      <c r="L1387" s="2451"/>
      <c r="M1387" s="2452"/>
      <c r="N1387" s="2452"/>
      <c r="O1387" s="2452"/>
      <c r="P1387" s="2452"/>
      <c r="Q1387" s="2452"/>
      <c r="W1387" t="s">
        <v>2062</v>
      </c>
    </row>
    <row r="1388" spans="1:23" ht="13.15" customHeight="1">
      <c r="A1388" s="2" t="s">
        <v>2214</v>
      </c>
      <c r="B1388" s="2">
        <f t="shared" si="42"/>
        <v>2020</v>
      </c>
      <c r="C1388" s="2" t="str">
        <f t="shared" si="43"/>
        <v>LIM333</v>
      </c>
      <c r="D1388" s="2">
        <v>770</v>
      </c>
      <c r="F1388" s="2451"/>
      <c r="G1388" s="2451"/>
      <c r="H1388" s="2451"/>
      <c r="I1388" s="2451"/>
      <c r="J1388" s="2451"/>
      <c r="K1388" s="2451"/>
      <c r="L1388" s="2451"/>
      <c r="M1388" s="2452"/>
      <c r="N1388" s="2452"/>
      <c r="O1388" s="2452"/>
      <c r="P1388" s="2452"/>
      <c r="Q1388" s="2452"/>
      <c r="W1388" t="s">
        <v>2062</v>
      </c>
    </row>
    <row r="1389" spans="1:23" ht="13.15" customHeight="1">
      <c r="A1389" s="2" t="s">
        <v>2214</v>
      </c>
      <c r="B1389" s="2">
        <f t="shared" si="42"/>
        <v>2020</v>
      </c>
      <c r="C1389" s="2" t="str">
        <f t="shared" si="43"/>
        <v>LIM333</v>
      </c>
      <c r="D1389" s="2">
        <v>771</v>
      </c>
      <c r="F1389" s="2451"/>
      <c r="G1389" s="2451"/>
      <c r="H1389" s="2451"/>
      <c r="I1389" s="2451"/>
      <c r="J1389" s="2451"/>
      <c r="K1389" s="2451"/>
      <c r="L1389" s="2451"/>
      <c r="M1389" s="2452"/>
      <c r="N1389" s="2452"/>
      <c r="O1389" s="2452"/>
      <c r="P1389" s="2452"/>
      <c r="Q1389" s="2452"/>
      <c r="W1389" t="s">
        <v>2062</v>
      </c>
    </row>
    <row r="1390" spans="1:23" ht="13.15" customHeight="1">
      <c r="A1390" s="2" t="s">
        <v>2214</v>
      </c>
      <c r="B1390" s="2">
        <f t="shared" si="42"/>
        <v>2020</v>
      </c>
      <c r="C1390" s="2" t="str">
        <f t="shared" si="43"/>
        <v>LIM333</v>
      </c>
      <c r="D1390" s="2">
        <v>772</v>
      </c>
      <c r="F1390" s="2451"/>
      <c r="G1390" s="2451"/>
      <c r="H1390" s="2451"/>
      <c r="I1390" s="2451"/>
      <c r="J1390" s="2451"/>
      <c r="K1390" s="2451"/>
      <c r="L1390" s="2451"/>
      <c r="M1390" s="2452"/>
      <c r="N1390" s="2452"/>
      <c r="O1390" s="2452"/>
      <c r="P1390" s="2452"/>
      <c r="Q1390" s="2452"/>
      <c r="W1390" t="s">
        <v>2062</v>
      </c>
    </row>
    <row r="1391" spans="1:23" ht="13.15" customHeight="1">
      <c r="A1391" s="2" t="s">
        <v>2214</v>
      </c>
      <c r="B1391" s="2">
        <f t="shared" si="42"/>
        <v>2020</v>
      </c>
      <c r="C1391" s="2" t="str">
        <f t="shared" si="43"/>
        <v>LIM333</v>
      </c>
      <c r="D1391" s="2">
        <v>773</v>
      </c>
      <c r="F1391" s="2451"/>
      <c r="G1391" s="2451"/>
      <c r="H1391" s="2451"/>
      <c r="I1391" s="2451"/>
      <c r="J1391" s="2451"/>
      <c r="K1391" s="2451"/>
      <c r="L1391" s="2451"/>
      <c r="M1391" s="2452"/>
      <c r="N1391" s="2452"/>
      <c r="O1391" s="2452"/>
      <c r="P1391" s="2452"/>
      <c r="Q1391" s="2452"/>
      <c r="W1391" t="s">
        <v>2062</v>
      </c>
    </row>
    <row r="1392" spans="1:23" ht="13.15" customHeight="1">
      <c r="A1392" s="2" t="s">
        <v>2214</v>
      </c>
      <c r="B1392" s="2">
        <f t="shared" si="42"/>
        <v>2020</v>
      </c>
      <c r="C1392" s="2" t="str">
        <f t="shared" si="43"/>
        <v>LIM333</v>
      </c>
      <c r="D1392" s="2">
        <v>774</v>
      </c>
      <c r="F1392" s="2451"/>
      <c r="G1392" s="2451"/>
      <c r="H1392" s="2451"/>
      <c r="I1392" s="2451"/>
      <c r="J1392" s="2451"/>
      <c r="K1392" s="2451"/>
      <c r="L1392" s="2451"/>
      <c r="M1392" s="2452"/>
      <c r="N1392" s="2452"/>
      <c r="O1392" s="2452"/>
      <c r="P1392" s="2452"/>
      <c r="Q1392" s="2452"/>
      <c r="W1392" t="s">
        <v>2062</v>
      </c>
    </row>
    <row r="1393" spans="1:23" ht="13.15" customHeight="1">
      <c r="A1393" s="2" t="s">
        <v>2214</v>
      </c>
      <c r="B1393" s="2">
        <f t="shared" si="42"/>
        <v>2020</v>
      </c>
      <c r="C1393" s="2" t="str">
        <f t="shared" si="43"/>
        <v>LIM333</v>
      </c>
      <c r="D1393" s="2">
        <v>775</v>
      </c>
      <c r="F1393" s="2451"/>
      <c r="G1393" s="2451"/>
      <c r="H1393" s="2451"/>
      <c r="I1393" s="2451"/>
      <c r="J1393" s="2451"/>
      <c r="K1393" s="2451"/>
      <c r="L1393" s="2451"/>
      <c r="M1393" s="2452"/>
      <c r="N1393" s="2452"/>
      <c r="O1393" s="2452"/>
      <c r="P1393" s="2452"/>
      <c r="Q1393" s="2452"/>
      <c r="W1393" t="s">
        <v>2062</v>
      </c>
    </row>
    <row r="1394" spans="1:23" ht="13.15" customHeight="1">
      <c r="A1394" s="2" t="s">
        <v>2214</v>
      </c>
      <c r="B1394" s="2">
        <f t="shared" si="42"/>
        <v>2020</v>
      </c>
      <c r="C1394" s="2" t="str">
        <f t="shared" si="43"/>
        <v>LIM333</v>
      </c>
      <c r="D1394" s="2">
        <v>776</v>
      </c>
      <c r="F1394" s="2451"/>
      <c r="G1394" s="2451"/>
      <c r="H1394" s="2451"/>
      <c r="I1394" s="2451"/>
      <c r="J1394" s="2451"/>
      <c r="K1394" s="2451"/>
      <c r="L1394" s="2451"/>
      <c r="M1394" s="2452"/>
      <c r="N1394" s="2452"/>
      <c r="O1394" s="2452"/>
      <c r="P1394" s="2452"/>
      <c r="Q1394" s="2452"/>
      <c r="W1394" t="s">
        <v>2062</v>
      </c>
    </row>
    <row r="1395" spans="1:23" ht="13.15" customHeight="1">
      <c r="A1395" s="2" t="s">
        <v>2214</v>
      </c>
      <c r="B1395" s="2">
        <f t="shared" si="42"/>
        <v>2020</v>
      </c>
      <c r="C1395" s="2" t="str">
        <f t="shared" si="43"/>
        <v>LIM333</v>
      </c>
      <c r="D1395" s="2">
        <v>777</v>
      </c>
      <c r="F1395" s="2451"/>
      <c r="G1395" s="2451"/>
      <c r="H1395" s="2451"/>
      <c r="I1395" s="2451"/>
      <c r="J1395" s="2451"/>
      <c r="K1395" s="2451"/>
      <c r="L1395" s="2451"/>
      <c r="M1395" s="2452"/>
      <c r="N1395" s="2452"/>
      <c r="O1395" s="2452"/>
      <c r="P1395" s="2452"/>
      <c r="Q1395" s="2452"/>
      <c r="W1395" t="s">
        <v>2062</v>
      </c>
    </row>
    <row r="1396" spans="1:23" ht="13.15" customHeight="1">
      <c r="A1396" s="2" t="s">
        <v>2214</v>
      </c>
      <c r="B1396" s="2">
        <f t="shared" si="42"/>
        <v>2020</v>
      </c>
      <c r="C1396" s="2" t="str">
        <f t="shared" si="43"/>
        <v>LIM333</v>
      </c>
      <c r="D1396" s="2">
        <v>778</v>
      </c>
      <c r="F1396" s="2451"/>
      <c r="G1396" s="2451"/>
      <c r="H1396" s="2451"/>
      <c r="I1396" s="2451"/>
      <c r="J1396" s="2451"/>
      <c r="K1396" s="2451"/>
      <c r="L1396" s="2451"/>
      <c r="M1396" s="2452"/>
      <c r="N1396" s="2452"/>
      <c r="O1396" s="2452"/>
      <c r="P1396" s="2452"/>
      <c r="Q1396" s="2452"/>
      <c r="W1396" t="s">
        <v>2062</v>
      </c>
    </row>
    <row r="1397" spans="1:23" ht="13.15" customHeight="1">
      <c r="A1397" s="2" t="s">
        <v>2214</v>
      </c>
      <c r="B1397" s="2">
        <f t="shared" si="42"/>
        <v>2020</v>
      </c>
      <c r="C1397" s="2" t="str">
        <f t="shared" si="43"/>
        <v>LIM333</v>
      </c>
      <c r="D1397" s="2">
        <v>779</v>
      </c>
      <c r="F1397" s="2451"/>
      <c r="G1397" s="2451"/>
      <c r="H1397" s="2451"/>
      <c r="I1397" s="2451"/>
      <c r="J1397" s="2451"/>
      <c r="K1397" s="2451"/>
      <c r="L1397" s="2451"/>
      <c r="M1397" s="2452"/>
      <c r="N1397" s="2452"/>
      <c r="O1397" s="2452"/>
      <c r="P1397" s="2452"/>
      <c r="Q1397" s="2452"/>
      <c r="W1397" t="s">
        <v>2062</v>
      </c>
    </row>
    <row r="1398" spans="1:23" ht="13.15" customHeight="1">
      <c r="A1398" s="2" t="s">
        <v>2214</v>
      </c>
      <c r="B1398" s="2">
        <f t="shared" si="42"/>
        <v>2020</v>
      </c>
      <c r="C1398" s="2" t="str">
        <f t="shared" si="43"/>
        <v>LIM333</v>
      </c>
      <c r="D1398" s="2">
        <v>780</v>
      </c>
      <c r="F1398" s="2451"/>
      <c r="G1398" s="2451"/>
      <c r="H1398" s="2451"/>
      <c r="I1398" s="2451"/>
      <c r="J1398" s="2451"/>
      <c r="K1398" s="2451"/>
      <c r="L1398" s="2451"/>
      <c r="M1398" s="2452"/>
      <c r="N1398" s="2452"/>
      <c r="O1398" s="2452"/>
      <c r="P1398" s="2452"/>
      <c r="Q1398" s="2452"/>
      <c r="W1398" t="s">
        <v>2062</v>
      </c>
    </row>
    <row r="1399" spans="1:23" ht="13.15" customHeight="1">
      <c r="A1399" s="2" t="s">
        <v>2214</v>
      </c>
      <c r="B1399" s="2">
        <f t="shared" si="42"/>
        <v>2020</v>
      </c>
      <c r="C1399" s="2" t="str">
        <f t="shared" si="43"/>
        <v>LIM333</v>
      </c>
      <c r="D1399" s="2">
        <v>781</v>
      </c>
      <c r="F1399" s="2451"/>
      <c r="G1399" s="2451"/>
      <c r="H1399" s="2451"/>
      <c r="I1399" s="2451"/>
      <c r="J1399" s="2451"/>
      <c r="K1399" s="2451"/>
      <c r="L1399" s="2451"/>
      <c r="M1399" s="2452"/>
      <c r="N1399" s="2452"/>
      <c r="O1399" s="2452"/>
      <c r="P1399" s="2452"/>
      <c r="Q1399" s="2452"/>
      <c r="W1399" t="s">
        <v>2062</v>
      </c>
    </row>
    <row r="1400" spans="1:23" ht="13.15" customHeight="1">
      <c r="A1400" s="2" t="s">
        <v>2214</v>
      </c>
      <c r="B1400" s="2">
        <f t="shared" si="42"/>
        <v>2020</v>
      </c>
      <c r="C1400" s="2" t="str">
        <f t="shared" si="43"/>
        <v>LIM333</v>
      </c>
      <c r="D1400" s="2">
        <v>782</v>
      </c>
      <c r="F1400" s="2451"/>
      <c r="G1400" s="2451"/>
      <c r="H1400" s="2451"/>
      <c r="I1400" s="2451"/>
      <c r="J1400" s="2451"/>
      <c r="K1400" s="2451"/>
      <c r="L1400" s="2451"/>
      <c r="M1400" s="2452"/>
      <c r="N1400" s="2452"/>
      <c r="O1400" s="2452"/>
      <c r="P1400" s="2452"/>
      <c r="Q1400" s="2452"/>
      <c r="W1400" t="s">
        <v>2062</v>
      </c>
    </row>
    <row r="1401" spans="1:23" ht="13.15" customHeight="1">
      <c r="A1401" s="2" t="s">
        <v>2214</v>
      </c>
      <c r="B1401" s="2">
        <f t="shared" si="42"/>
        <v>2020</v>
      </c>
      <c r="C1401" s="2" t="str">
        <f t="shared" si="43"/>
        <v>LIM333</v>
      </c>
      <c r="D1401" s="2">
        <v>783</v>
      </c>
      <c r="F1401" s="2451"/>
      <c r="G1401" s="2451"/>
      <c r="H1401" s="2451"/>
      <c r="I1401" s="2451"/>
      <c r="J1401" s="2451"/>
      <c r="K1401" s="2451"/>
      <c r="L1401" s="2451"/>
      <c r="M1401" s="2452"/>
      <c r="N1401" s="2452"/>
      <c r="O1401" s="2452"/>
      <c r="P1401" s="2452"/>
      <c r="Q1401" s="2452"/>
      <c r="W1401" t="s">
        <v>2062</v>
      </c>
    </row>
    <row r="1402" spans="1:23" ht="13.15" customHeight="1">
      <c r="A1402" s="2" t="s">
        <v>2214</v>
      </c>
      <c r="B1402" s="2">
        <f t="shared" si="42"/>
        <v>2020</v>
      </c>
      <c r="C1402" s="2" t="str">
        <f t="shared" si="43"/>
        <v>LIM333</v>
      </c>
      <c r="D1402" s="2">
        <v>784</v>
      </c>
      <c r="F1402" s="2451"/>
      <c r="G1402" s="2451"/>
      <c r="H1402" s="2451"/>
      <c r="I1402" s="2451"/>
      <c r="J1402" s="2451"/>
      <c r="K1402" s="2451"/>
      <c r="L1402" s="2451"/>
      <c r="M1402" s="2452"/>
      <c r="N1402" s="2452"/>
      <c r="O1402" s="2452"/>
      <c r="P1402" s="2452"/>
      <c r="Q1402" s="2452"/>
      <c r="W1402" t="s">
        <v>2062</v>
      </c>
    </row>
    <row r="1403" spans="1:23" ht="13.15" customHeight="1">
      <c r="A1403" s="2" t="s">
        <v>2214</v>
      </c>
      <c r="B1403" s="2">
        <f t="shared" si="42"/>
        <v>2020</v>
      </c>
      <c r="C1403" s="2" t="str">
        <f t="shared" si="43"/>
        <v>LIM333</v>
      </c>
      <c r="D1403" s="2">
        <v>785</v>
      </c>
      <c r="F1403" s="2451"/>
      <c r="G1403" s="2451"/>
      <c r="H1403" s="2451"/>
      <c r="I1403" s="2451"/>
      <c r="J1403" s="2451"/>
      <c r="K1403" s="2451"/>
      <c r="L1403" s="2451"/>
      <c r="M1403" s="2452"/>
      <c r="N1403" s="2452"/>
      <c r="O1403" s="2452"/>
      <c r="P1403" s="2452"/>
      <c r="Q1403" s="2452"/>
      <c r="W1403" t="s">
        <v>2062</v>
      </c>
    </row>
    <row r="1404" spans="1:23" ht="13.15" customHeight="1">
      <c r="A1404" s="2" t="s">
        <v>2214</v>
      </c>
      <c r="B1404" s="2">
        <f t="shared" si="42"/>
        <v>2020</v>
      </c>
      <c r="C1404" s="2" t="str">
        <f t="shared" si="43"/>
        <v>LIM333</v>
      </c>
      <c r="D1404" s="2">
        <v>786</v>
      </c>
      <c r="F1404" s="2451"/>
      <c r="G1404" s="2451"/>
      <c r="H1404" s="2451"/>
      <c r="I1404" s="2451"/>
      <c r="J1404" s="2451"/>
      <c r="K1404" s="2451"/>
      <c r="L1404" s="2451"/>
      <c r="M1404" s="2452"/>
      <c r="N1404" s="2452"/>
      <c r="O1404" s="2452"/>
      <c r="P1404" s="2452"/>
      <c r="Q1404" s="2452"/>
      <c r="W1404" t="s">
        <v>2062</v>
      </c>
    </row>
    <row r="1405" spans="1:23" ht="13.15" customHeight="1">
      <c r="A1405" s="2" t="s">
        <v>2214</v>
      </c>
      <c r="B1405" s="2">
        <f t="shared" si="42"/>
        <v>2020</v>
      </c>
      <c r="C1405" s="2" t="str">
        <f t="shared" si="43"/>
        <v>LIM333</v>
      </c>
      <c r="D1405" s="2">
        <v>787</v>
      </c>
      <c r="F1405" s="2451"/>
      <c r="G1405" s="2451"/>
      <c r="H1405" s="2451"/>
      <c r="I1405" s="2451"/>
      <c r="J1405" s="2451"/>
      <c r="K1405" s="2451"/>
      <c r="L1405" s="2451"/>
      <c r="M1405" s="2452"/>
      <c r="N1405" s="2452"/>
      <c r="O1405" s="2452"/>
      <c r="P1405" s="2452"/>
      <c r="Q1405" s="2452"/>
      <c r="W1405" t="s">
        <v>2062</v>
      </c>
    </row>
    <row r="1406" spans="1:23" ht="13.15" customHeight="1">
      <c r="A1406" s="2" t="s">
        <v>2214</v>
      </c>
      <c r="B1406" s="2">
        <f t="shared" si="42"/>
        <v>2020</v>
      </c>
      <c r="C1406" s="2" t="str">
        <f t="shared" si="43"/>
        <v>LIM333</v>
      </c>
      <c r="D1406" s="2">
        <v>788</v>
      </c>
      <c r="F1406" s="2451"/>
      <c r="G1406" s="2451"/>
      <c r="H1406" s="2451"/>
      <c r="I1406" s="2451"/>
      <c r="J1406" s="2451"/>
      <c r="K1406" s="2451"/>
      <c r="L1406" s="2451"/>
      <c r="M1406" s="2452"/>
      <c r="N1406" s="2452"/>
      <c r="O1406" s="2452"/>
      <c r="P1406" s="2452"/>
      <c r="Q1406" s="2452"/>
      <c r="W1406" t="s">
        <v>2062</v>
      </c>
    </row>
    <row r="1407" spans="1:23" ht="13.15" customHeight="1">
      <c r="A1407" s="2" t="s">
        <v>2214</v>
      </c>
      <c r="B1407" s="2">
        <f t="shared" si="42"/>
        <v>2020</v>
      </c>
      <c r="C1407" s="2" t="str">
        <f t="shared" si="43"/>
        <v>LIM333</v>
      </c>
      <c r="D1407" s="2">
        <v>789</v>
      </c>
      <c r="F1407" s="2451"/>
      <c r="G1407" s="2451"/>
      <c r="H1407" s="2451"/>
      <c r="I1407" s="2451"/>
      <c r="J1407" s="2451"/>
      <c r="K1407" s="2451"/>
      <c r="L1407" s="2451"/>
      <c r="M1407" s="2452"/>
      <c r="N1407" s="2452"/>
      <c r="O1407" s="2452"/>
      <c r="P1407" s="2452"/>
      <c r="Q1407" s="2452"/>
      <c r="W1407" t="s">
        <v>2062</v>
      </c>
    </row>
    <row r="1408" spans="1:23" ht="13.15" customHeight="1">
      <c r="A1408" s="2" t="s">
        <v>2214</v>
      </c>
      <c r="B1408" s="2">
        <f t="shared" si="42"/>
        <v>2020</v>
      </c>
      <c r="C1408" s="2" t="str">
        <f t="shared" si="43"/>
        <v>LIM333</v>
      </c>
      <c r="D1408" s="2">
        <v>790</v>
      </c>
      <c r="F1408" s="2451"/>
      <c r="G1408" s="2451"/>
      <c r="H1408" s="2451"/>
      <c r="I1408" s="2451"/>
      <c r="J1408" s="2451"/>
      <c r="K1408" s="2451"/>
      <c r="L1408" s="2451"/>
      <c r="M1408" s="2452"/>
      <c r="N1408" s="2452"/>
      <c r="O1408" s="2452"/>
      <c r="P1408" s="2452"/>
      <c r="Q1408" s="2452"/>
      <c r="W1408" t="s">
        <v>2062</v>
      </c>
    </row>
    <row r="1409" spans="1:23" ht="13.15" customHeight="1">
      <c r="A1409" s="2" t="s">
        <v>2214</v>
      </c>
      <c r="B1409" s="2">
        <f t="shared" si="42"/>
        <v>2020</v>
      </c>
      <c r="C1409" s="2" t="str">
        <f t="shared" si="43"/>
        <v>LIM333</v>
      </c>
      <c r="D1409" s="2">
        <v>791</v>
      </c>
      <c r="F1409" s="2451"/>
      <c r="G1409" s="2451"/>
      <c r="H1409" s="2451"/>
      <c r="I1409" s="2451"/>
      <c r="J1409" s="2451"/>
      <c r="K1409" s="2451"/>
      <c r="L1409" s="2451"/>
      <c r="M1409" s="2452"/>
      <c r="N1409" s="2452"/>
      <c r="O1409" s="2452"/>
      <c r="P1409" s="2452"/>
      <c r="Q1409" s="2452"/>
      <c r="W1409" t="s">
        <v>2062</v>
      </c>
    </row>
    <row r="1410" spans="1:23" ht="13.15" customHeight="1">
      <c r="A1410" s="2" t="s">
        <v>2214</v>
      </c>
      <c r="B1410" s="2">
        <f t="shared" ref="B1410:B1473" si="44">+MTREF</f>
        <v>2020</v>
      </c>
      <c r="C1410" s="2" t="str">
        <f t="shared" ref="C1410:C1473" si="45">LEFT(muni,(FIND(" ",muni,1)-1))</f>
        <v>LIM333</v>
      </c>
      <c r="D1410" s="2">
        <v>792</v>
      </c>
      <c r="F1410" s="2451"/>
      <c r="G1410" s="2451"/>
      <c r="H1410" s="2451"/>
      <c r="I1410" s="2451"/>
      <c r="J1410" s="2451"/>
      <c r="K1410" s="2451"/>
      <c r="L1410" s="2451"/>
      <c r="M1410" s="2452"/>
      <c r="N1410" s="2452"/>
      <c r="O1410" s="2452"/>
      <c r="P1410" s="2452"/>
      <c r="Q1410" s="2452"/>
      <c r="W1410" t="s">
        <v>2062</v>
      </c>
    </row>
    <row r="1411" spans="1:23" ht="13.15" customHeight="1">
      <c r="A1411" s="2" t="s">
        <v>2214</v>
      </c>
      <c r="B1411" s="2">
        <f t="shared" si="44"/>
        <v>2020</v>
      </c>
      <c r="C1411" s="2" t="str">
        <f t="shared" si="45"/>
        <v>LIM333</v>
      </c>
      <c r="D1411" s="2">
        <v>793</v>
      </c>
      <c r="F1411" s="2451"/>
      <c r="G1411" s="2451"/>
      <c r="H1411" s="2451"/>
      <c r="I1411" s="2451"/>
      <c r="J1411" s="2451"/>
      <c r="K1411" s="2451"/>
      <c r="L1411" s="2451"/>
      <c r="M1411" s="2452"/>
      <c r="N1411" s="2452"/>
      <c r="O1411" s="2452"/>
      <c r="P1411" s="2452"/>
      <c r="Q1411" s="2452"/>
      <c r="W1411" t="s">
        <v>2062</v>
      </c>
    </row>
    <row r="1412" spans="1:23" ht="13.15" customHeight="1">
      <c r="A1412" s="2" t="s">
        <v>2214</v>
      </c>
      <c r="B1412" s="2">
        <f t="shared" si="44"/>
        <v>2020</v>
      </c>
      <c r="C1412" s="2" t="str">
        <f t="shared" si="45"/>
        <v>LIM333</v>
      </c>
      <c r="D1412" s="2">
        <v>794</v>
      </c>
      <c r="F1412" s="2451"/>
      <c r="G1412" s="2451"/>
      <c r="H1412" s="2451"/>
      <c r="I1412" s="2451"/>
      <c r="J1412" s="2451"/>
      <c r="K1412" s="2451"/>
      <c r="L1412" s="2451"/>
      <c r="M1412" s="2452"/>
      <c r="N1412" s="2452"/>
      <c r="O1412" s="2452"/>
      <c r="P1412" s="2452"/>
      <c r="Q1412" s="2452"/>
      <c r="W1412" t="s">
        <v>2062</v>
      </c>
    </row>
    <row r="1413" spans="1:23" ht="13.15" customHeight="1">
      <c r="A1413" s="2" t="s">
        <v>2214</v>
      </c>
      <c r="B1413" s="2">
        <f t="shared" si="44"/>
        <v>2020</v>
      </c>
      <c r="C1413" s="2" t="str">
        <f t="shared" si="45"/>
        <v>LIM333</v>
      </c>
      <c r="D1413" s="2">
        <v>795</v>
      </c>
      <c r="F1413" s="2451"/>
      <c r="G1413" s="2451"/>
      <c r="H1413" s="2451"/>
      <c r="I1413" s="2451"/>
      <c r="J1413" s="2451"/>
      <c r="K1413" s="2451"/>
      <c r="L1413" s="2451"/>
      <c r="M1413" s="2452"/>
      <c r="N1413" s="2452"/>
      <c r="O1413" s="2452"/>
      <c r="P1413" s="2452"/>
      <c r="Q1413" s="2452"/>
      <c r="W1413" t="s">
        <v>2062</v>
      </c>
    </row>
    <row r="1414" spans="1:23" ht="13.15" customHeight="1">
      <c r="A1414" s="2" t="s">
        <v>2214</v>
      </c>
      <c r="B1414" s="2">
        <f t="shared" si="44"/>
        <v>2020</v>
      </c>
      <c r="C1414" s="2" t="str">
        <f t="shared" si="45"/>
        <v>LIM333</v>
      </c>
      <c r="D1414" s="2">
        <v>796</v>
      </c>
      <c r="F1414" s="2451"/>
      <c r="G1414" s="2451"/>
      <c r="H1414" s="2451"/>
      <c r="I1414" s="2451"/>
      <c r="J1414" s="2451"/>
      <c r="K1414" s="2451"/>
      <c r="L1414" s="2451"/>
      <c r="M1414" s="2452"/>
      <c r="N1414" s="2452"/>
      <c r="O1414" s="2452"/>
      <c r="P1414" s="2452"/>
      <c r="Q1414" s="2452"/>
      <c r="W1414" t="s">
        <v>2062</v>
      </c>
    </row>
    <row r="1415" spans="1:23" ht="13.15" customHeight="1">
      <c r="A1415" s="2" t="s">
        <v>2214</v>
      </c>
      <c r="B1415" s="2">
        <f t="shared" si="44"/>
        <v>2020</v>
      </c>
      <c r="C1415" s="2" t="str">
        <f t="shared" si="45"/>
        <v>LIM333</v>
      </c>
      <c r="D1415" s="2">
        <v>797</v>
      </c>
      <c r="F1415" s="2451"/>
      <c r="G1415" s="2451"/>
      <c r="H1415" s="2451"/>
      <c r="I1415" s="2451"/>
      <c r="J1415" s="2451"/>
      <c r="K1415" s="2451"/>
      <c r="L1415" s="2451"/>
      <c r="M1415" s="2452"/>
      <c r="N1415" s="2452"/>
      <c r="O1415" s="2452"/>
      <c r="P1415" s="2452"/>
      <c r="Q1415" s="2452"/>
      <c r="W1415" t="s">
        <v>2062</v>
      </c>
    </row>
    <row r="1416" spans="1:23" ht="13.15" customHeight="1">
      <c r="A1416" s="2" t="s">
        <v>2214</v>
      </c>
      <c r="B1416" s="2">
        <f t="shared" si="44"/>
        <v>2020</v>
      </c>
      <c r="C1416" s="2" t="str">
        <f t="shared" si="45"/>
        <v>LIM333</v>
      </c>
      <c r="D1416" s="2">
        <v>798</v>
      </c>
      <c r="F1416" s="2451"/>
      <c r="G1416" s="2451"/>
      <c r="H1416" s="2451"/>
      <c r="I1416" s="2451"/>
      <c r="J1416" s="2451"/>
      <c r="K1416" s="2451"/>
      <c r="L1416" s="2451"/>
      <c r="M1416" s="2452"/>
      <c r="N1416" s="2452"/>
      <c r="O1416" s="2452"/>
      <c r="P1416" s="2452"/>
      <c r="Q1416" s="2452"/>
      <c r="W1416" t="s">
        <v>2062</v>
      </c>
    </row>
    <row r="1417" spans="1:23" ht="13.15" customHeight="1">
      <c r="A1417" s="2" t="s">
        <v>2214</v>
      </c>
      <c r="B1417" s="2">
        <f t="shared" si="44"/>
        <v>2020</v>
      </c>
      <c r="C1417" s="2" t="str">
        <f t="shared" si="45"/>
        <v>LIM333</v>
      </c>
      <c r="D1417" s="2">
        <v>799</v>
      </c>
      <c r="F1417" s="2451"/>
      <c r="G1417" s="2451"/>
      <c r="H1417" s="2451"/>
      <c r="I1417" s="2451"/>
      <c r="J1417" s="2451"/>
      <c r="K1417" s="2451"/>
      <c r="L1417" s="2451"/>
      <c r="M1417" s="2452"/>
      <c r="N1417" s="2452"/>
      <c r="O1417" s="2452"/>
      <c r="P1417" s="2452"/>
      <c r="Q1417" s="2452"/>
      <c r="W1417" t="s">
        <v>2062</v>
      </c>
    </row>
    <row r="1418" spans="1:23" ht="13.15" customHeight="1">
      <c r="A1418" s="2" t="s">
        <v>2214</v>
      </c>
      <c r="B1418" s="2">
        <f t="shared" si="44"/>
        <v>2020</v>
      </c>
      <c r="C1418" s="2" t="str">
        <f t="shared" si="45"/>
        <v>LIM333</v>
      </c>
      <c r="D1418" s="2">
        <v>800</v>
      </c>
      <c r="F1418" s="2451"/>
      <c r="G1418" s="2451"/>
      <c r="H1418" s="2451"/>
      <c r="I1418" s="2451"/>
      <c r="J1418" s="2451"/>
      <c r="K1418" s="2451"/>
      <c r="L1418" s="2451"/>
      <c r="M1418" s="2452"/>
      <c r="N1418" s="2452"/>
      <c r="O1418" s="2452"/>
      <c r="P1418" s="2452"/>
      <c r="Q1418" s="2452"/>
      <c r="W1418" t="s">
        <v>2062</v>
      </c>
    </row>
    <row r="1419" spans="1:23" ht="13.15" customHeight="1">
      <c r="A1419" s="2" t="s">
        <v>2214</v>
      </c>
      <c r="B1419" s="2">
        <f t="shared" si="44"/>
        <v>2020</v>
      </c>
      <c r="C1419" s="2" t="str">
        <f t="shared" si="45"/>
        <v>LIM333</v>
      </c>
      <c r="D1419" s="2">
        <v>801</v>
      </c>
      <c r="F1419" s="2451"/>
      <c r="G1419" s="2451"/>
      <c r="H1419" s="2451"/>
      <c r="I1419" s="2451"/>
      <c r="J1419" s="2451"/>
      <c r="K1419" s="2451"/>
      <c r="L1419" s="2451"/>
      <c r="M1419" s="2452"/>
      <c r="N1419" s="2452"/>
      <c r="O1419" s="2452"/>
      <c r="P1419" s="2452"/>
      <c r="Q1419" s="2452"/>
      <c r="W1419" t="s">
        <v>2062</v>
      </c>
    </row>
    <row r="1420" spans="1:23" ht="13.15" customHeight="1">
      <c r="A1420" s="2" t="s">
        <v>2214</v>
      </c>
      <c r="B1420" s="2">
        <f t="shared" si="44"/>
        <v>2020</v>
      </c>
      <c r="C1420" s="2" t="str">
        <f t="shared" si="45"/>
        <v>LIM333</v>
      </c>
      <c r="D1420" s="2">
        <v>802</v>
      </c>
      <c r="F1420" s="2451"/>
      <c r="G1420" s="2451"/>
      <c r="H1420" s="2451"/>
      <c r="I1420" s="2451"/>
      <c r="J1420" s="2451"/>
      <c r="K1420" s="2451"/>
      <c r="L1420" s="2451"/>
      <c r="M1420" s="2452"/>
      <c r="N1420" s="2452"/>
      <c r="O1420" s="2452"/>
      <c r="P1420" s="2452"/>
      <c r="Q1420" s="2452"/>
      <c r="W1420" t="s">
        <v>2062</v>
      </c>
    </row>
    <row r="1421" spans="1:23" ht="13.15" customHeight="1">
      <c r="A1421" s="2" t="s">
        <v>2214</v>
      </c>
      <c r="B1421" s="2">
        <f t="shared" si="44"/>
        <v>2020</v>
      </c>
      <c r="C1421" s="2" t="str">
        <f t="shared" si="45"/>
        <v>LIM333</v>
      </c>
      <c r="D1421" s="2">
        <v>803</v>
      </c>
      <c r="F1421" s="2451"/>
      <c r="G1421" s="2451"/>
      <c r="H1421" s="2451"/>
      <c r="I1421" s="2451"/>
      <c r="J1421" s="2451"/>
      <c r="K1421" s="2451"/>
      <c r="L1421" s="2451"/>
      <c r="M1421" s="2452"/>
      <c r="N1421" s="2452"/>
      <c r="O1421" s="2452"/>
      <c r="P1421" s="2452"/>
      <c r="Q1421" s="2452"/>
      <c r="W1421" t="s">
        <v>2062</v>
      </c>
    </row>
    <row r="1422" spans="1:23" ht="13.15" customHeight="1">
      <c r="A1422" s="2" t="s">
        <v>2214</v>
      </c>
      <c r="B1422" s="2">
        <f t="shared" si="44"/>
        <v>2020</v>
      </c>
      <c r="C1422" s="2" t="str">
        <f t="shared" si="45"/>
        <v>LIM333</v>
      </c>
      <c r="D1422" s="2">
        <v>804</v>
      </c>
      <c r="F1422" s="2451"/>
      <c r="G1422" s="2451"/>
      <c r="H1422" s="2451"/>
      <c r="I1422" s="2451"/>
      <c r="J1422" s="2451"/>
      <c r="K1422" s="2451"/>
      <c r="L1422" s="2451"/>
      <c r="M1422" s="2452"/>
      <c r="N1422" s="2452"/>
      <c r="O1422" s="2452"/>
      <c r="P1422" s="2452"/>
      <c r="Q1422" s="2452"/>
      <c r="W1422" t="s">
        <v>2062</v>
      </c>
    </row>
    <row r="1423" spans="1:23" ht="13.15" customHeight="1">
      <c r="A1423" s="2" t="s">
        <v>2214</v>
      </c>
      <c r="B1423" s="2">
        <f t="shared" si="44"/>
        <v>2020</v>
      </c>
      <c r="C1423" s="2" t="str">
        <f t="shared" si="45"/>
        <v>LIM333</v>
      </c>
      <c r="D1423" s="2">
        <v>805</v>
      </c>
      <c r="F1423" s="2451"/>
      <c r="G1423" s="2451"/>
      <c r="H1423" s="2451"/>
      <c r="I1423" s="2451"/>
      <c r="J1423" s="2451"/>
      <c r="K1423" s="2451"/>
      <c r="L1423" s="2451"/>
      <c r="M1423" s="2452"/>
      <c r="N1423" s="2452"/>
      <c r="O1423" s="2452"/>
      <c r="P1423" s="2452"/>
      <c r="Q1423" s="2452"/>
      <c r="W1423" t="s">
        <v>2062</v>
      </c>
    </row>
    <row r="1424" spans="1:23" ht="13.15" customHeight="1">
      <c r="A1424" s="2" t="s">
        <v>2214</v>
      </c>
      <c r="B1424" s="2">
        <f t="shared" si="44"/>
        <v>2020</v>
      </c>
      <c r="C1424" s="2" t="str">
        <f t="shared" si="45"/>
        <v>LIM333</v>
      </c>
      <c r="D1424" s="2">
        <v>806</v>
      </c>
      <c r="F1424" s="2451"/>
      <c r="G1424" s="2451"/>
      <c r="H1424" s="2451"/>
      <c r="I1424" s="2451"/>
      <c r="J1424" s="2451"/>
      <c r="K1424" s="2451"/>
      <c r="L1424" s="2451"/>
      <c r="M1424" s="2452"/>
      <c r="N1424" s="2452"/>
      <c r="O1424" s="2452"/>
      <c r="P1424" s="2452"/>
      <c r="Q1424" s="2452"/>
      <c r="W1424" t="s">
        <v>2062</v>
      </c>
    </row>
    <row r="1425" spans="1:23" ht="13.15" customHeight="1">
      <c r="A1425" s="2" t="s">
        <v>2214</v>
      </c>
      <c r="B1425" s="2">
        <f t="shared" si="44"/>
        <v>2020</v>
      </c>
      <c r="C1425" s="2" t="str">
        <f t="shared" si="45"/>
        <v>LIM333</v>
      </c>
      <c r="D1425" s="2">
        <v>807</v>
      </c>
      <c r="F1425" s="2451"/>
      <c r="G1425" s="2451"/>
      <c r="H1425" s="2451"/>
      <c r="I1425" s="2451"/>
      <c r="J1425" s="2451"/>
      <c r="K1425" s="2451"/>
      <c r="L1425" s="2451"/>
      <c r="M1425" s="2452"/>
      <c r="N1425" s="2452"/>
      <c r="O1425" s="2452"/>
      <c r="P1425" s="2452"/>
      <c r="Q1425" s="2452"/>
      <c r="W1425" t="s">
        <v>2062</v>
      </c>
    </row>
    <row r="1426" spans="1:23" ht="13.15" customHeight="1">
      <c r="A1426" s="2" t="s">
        <v>2214</v>
      </c>
      <c r="B1426" s="2">
        <f t="shared" si="44"/>
        <v>2020</v>
      </c>
      <c r="C1426" s="2" t="str">
        <f t="shared" si="45"/>
        <v>LIM333</v>
      </c>
      <c r="D1426" s="2">
        <v>808</v>
      </c>
      <c r="F1426" s="2451"/>
      <c r="G1426" s="2451"/>
      <c r="H1426" s="2451"/>
      <c r="I1426" s="2451"/>
      <c r="J1426" s="2451"/>
      <c r="K1426" s="2451"/>
      <c r="L1426" s="2451"/>
      <c r="M1426" s="2452"/>
      <c r="N1426" s="2452"/>
      <c r="O1426" s="2452"/>
      <c r="P1426" s="2452"/>
      <c r="Q1426" s="2452"/>
      <c r="W1426" t="s">
        <v>2062</v>
      </c>
    </row>
    <row r="1427" spans="1:23" ht="13.15" customHeight="1">
      <c r="A1427" s="2" t="s">
        <v>2214</v>
      </c>
      <c r="B1427" s="2">
        <f t="shared" si="44"/>
        <v>2020</v>
      </c>
      <c r="C1427" s="2" t="str">
        <f t="shared" si="45"/>
        <v>LIM333</v>
      </c>
      <c r="D1427" s="2">
        <v>809</v>
      </c>
      <c r="F1427" s="2451"/>
      <c r="G1427" s="2451"/>
      <c r="H1427" s="2451"/>
      <c r="I1427" s="2451"/>
      <c r="J1427" s="2451"/>
      <c r="K1427" s="2451"/>
      <c r="L1427" s="2451"/>
      <c r="M1427" s="2452"/>
      <c r="N1427" s="2452"/>
      <c r="O1427" s="2452"/>
      <c r="P1427" s="2452"/>
      <c r="Q1427" s="2452"/>
      <c r="W1427" t="s">
        <v>2062</v>
      </c>
    </row>
    <row r="1428" spans="1:23" ht="13.15" customHeight="1">
      <c r="A1428" s="2" t="s">
        <v>2214</v>
      </c>
      <c r="B1428" s="2">
        <f t="shared" si="44"/>
        <v>2020</v>
      </c>
      <c r="C1428" s="2" t="str">
        <f t="shared" si="45"/>
        <v>LIM333</v>
      </c>
      <c r="D1428" s="2">
        <v>810</v>
      </c>
      <c r="F1428" s="2451"/>
      <c r="G1428" s="2451"/>
      <c r="H1428" s="2451"/>
      <c r="I1428" s="2451"/>
      <c r="J1428" s="2451"/>
      <c r="K1428" s="2451"/>
      <c r="L1428" s="2451"/>
      <c r="M1428" s="2452"/>
      <c r="N1428" s="2452"/>
      <c r="O1428" s="2452"/>
      <c r="P1428" s="2452"/>
      <c r="Q1428" s="2452"/>
      <c r="W1428" t="s">
        <v>2062</v>
      </c>
    </row>
    <row r="1429" spans="1:23" ht="13.15" customHeight="1">
      <c r="A1429" s="2" t="s">
        <v>2214</v>
      </c>
      <c r="B1429" s="2">
        <f t="shared" si="44"/>
        <v>2020</v>
      </c>
      <c r="C1429" s="2" t="str">
        <f t="shared" si="45"/>
        <v>LIM333</v>
      </c>
      <c r="D1429" s="2">
        <v>811</v>
      </c>
      <c r="F1429" s="2451"/>
      <c r="G1429" s="2451"/>
      <c r="H1429" s="2451"/>
      <c r="I1429" s="2451"/>
      <c r="J1429" s="2451"/>
      <c r="K1429" s="2451"/>
      <c r="L1429" s="2451"/>
      <c r="M1429" s="2452"/>
      <c r="N1429" s="2452"/>
      <c r="O1429" s="2452"/>
      <c r="P1429" s="2452"/>
      <c r="Q1429" s="2452"/>
      <c r="W1429" t="s">
        <v>2062</v>
      </c>
    </row>
    <row r="1430" spans="1:23" ht="13.15" customHeight="1">
      <c r="A1430" s="2" t="s">
        <v>2214</v>
      </c>
      <c r="B1430" s="2">
        <f t="shared" si="44"/>
        <v>2020</v>
      </c>
      <c r="C1430" s="2" t="str">
        <f t="shared" si="45"/>
        <v>LIM333</v>
      </c>
      <c r="D1430" s="2">
        <v>812</v>
      </c>
      <c r="F1430" s="2451"/>
      <c r="G1430" s="2451"/>
      <c r="H1430" s="2451"/>
      <c r="I1430" s="2451"/>
      <c r="J1430" s="2451"/>
      <c r="K1430" s="2451"/>
      <c r="L1430" s="2451"/>
      <c r="M1430" s="2452"/>
      <c r="N1430" s="2452"/>
      <c r="O1430" s="2452"/>
      <c r="P1430" s="2452"/>
      <c r="Q1430" s="2452"/>
      <c r="W1430" t="s">
        <v>2062</v>
      </c>
    </row>
    <row r="1431" spans="1:23" ht="13.15" customHeight="1">
      <c r="A1431" s="2" t="s">
        <v>2214</v>
      </c>
      <c r="B1431" s="2">
        <f t="shared" si="44"/>
        <v>2020</v>
      </c>
      <c r="C1431" s="2" t="str">
        <f t="shared" si="45"/>
        <v>LIM333</v>
      </c>
      <c r="D1431" s="2">
        <v>813</v>
      </c>
      <c r="F1431" s="2451"/>
      <c r="G1431" s="2451"/>
      <c r="H1431" s="2451"/>
      <c r="I1431" s="2451"/>
      <c r="J1431" s="2451"/>
      <c r="K1431" s="2451"/>
      <c r="L1431" s="2451"/>
      <c r="M1431" s="2452"/>
      <c r="N1431" s="2452"/>
      <c r="O1431" s="2452"/>
      <c r="P1431" s="2452"/>
      <c r="Q1431" s="2452"/>
      <c r="W1431" t="s">
        <v>2062</v>
      </c>
    </row>
    <row r="1432" spans="1:23" ht="13.15" customHeight="1">
      <c r="A1432" s="2" t="s">
        <v>2214</v>
      </c>
      <c r="B1432" s="2">
        <f t="shared" si="44"/>
        <v>2020</v>
      </c>
      <c r="C1432" s="2" t="str">
        <f t="shared" si="45"/>
        <v>LIM333</v>
      </c>
      <c r="D1432" s="2">
        <v>814</v>
      </c>
      <c r="F1432" s="2451"/>
      <c r="G1432" s="2451"/>
      <c r="H1432" s="2451"/>
      <c r="I1432" s="2451"/>
      <c r="J1432" s="2451"/>
      <c r="K1432" s="2451"/>
      <c r="L1432" s="2451"/>
      <c r="M1432" s="2452"/>
      <c r="N1432" s="2452"/>
      <c r="O1432" s="2452"/>
      <c r="P1432" s="2452"/>
      <c r="Q1432" s="2452"/>
      <c r="W1432" t="s">
        <v>2062</v>
      </c>
    </row>
    <row r="1433" spans="1:23" ht="13.15" customHeight="1">
      <c r="A1433" s="2" t="s">
        <v>2214</v>
      </c>
      <c r="B1433" s="2">
        <f t="shared" si="44"/>
        <v>2020</v>
      </c>
      <c r="C1433" s="2" t="str">
        <f t="shared" si="45"/>
        <v>LIM333</v>
      </c>
      <c r="D1433" s="2">
        <v>815</v>
      </c>
      <c r="F1433" s="2451"/>
      <c r="G1433" s="2451"/>
      <c r="H1433" s="2451"/>
      <c r="I1433" s="2451"/>
      <c r="J1433" s="2451"/>
      <c r="K1433" s="2451"/>
      <c r="L1433" s="2451"/>
      <c r="M1433" s="2452"/>
      <c r="N1433" s="2452"/>
      <c r="O1433" s="2452"/>
      <c r="P1433" s="2452"/>
      <c r="Q1433" s="2452"/>
      <c r="W1433" t="s">
        <v>2062</v>
      </c>
    </row>
    <row r="1434" spans="1:23" ht="13.15" customHeight="1">
      <c r="A1434" s="2" t="s">
        <v>2214</v>
      </c>
      <c r="B1434" s="2">
        <f t="shared" si="44"/>
        <v>2020</v>
      </c>
      <c r="C1434" s="2" t="str">
        <f t="shared" si="45"/>
        <v>LIM333</v>
      </c>
      <c r="D1434" s="2">
        <v>816</v>
      </c>
      <c r="F1434" s="2451"/>
      <c r="G1434" s="2451"/>
      <c r="H1434" s="2451"/>
      <c r="I1434" s="2451"/>
      <c r="J1434" s="2451"/>
      <c r="K1434" s="2451"/>
      <c r="L1434" s="2451"/>
      <c r="M1434" s="2452"/>
      <c r="N1434" s="2452"/>
      <c r="O1434" s="2452"/>
      <c r="P1434" s="2452"/>
      <c r="Q1434" s="2452"/>
      <c r="W1434" t="s">
        <v>2062</v>
      </c>
    </row>
    <row r="1435" spans="1:23" ht="13.15" customHeight="1">
      <c r="A1435" s="2" t="s">
        <v>2214</v>
      </c>
      <c r="B1435" s="2">
        <f t="shared" si="44"/>
        <v>2020</v>
      </c>
      <c r="C1435" s="2" t="str">
        <f t="shared" si="45"/>
        <v>LIM333</v>
      </c>
      <c r="D1435" s="2">
        <v>817</v>
      </c>
      <c r="F1435" s="2451"/>
      <c r="G1435" s="2451"/>
      <c r="H1435" s="2451"/>
      <c r="I1435" s="2451"/>
      <c r="J1435" s="2451"/>
      <c r="K1435" s="2451"/>
      <c r="L1435" s="2451"/>
      <c r="M1435" s="2452"/>
      <c r="N1435" s="2452"/>
      <c r="O1435" s="2452"/>
      <c r="P1435" s="2452"/>
      <c r="Q1435" s="2452"/>
      <c r="W1435" t="s">
        <v>2062</v>
      </c>
    </row>
    <row r="1436" spans="1:23" ht="13.15" customHeight="1">
      <c r="A1436" s="2" t="s">
        <v>2214</v>
      </c>
      <c r="B1436" s="2">
        <f t="shared" si="44"/>
        <v>2020</v>
      </c>
      <c r="C1436" s="2" t="str">
        <f t="shared" si="45"/>
        <v>LIM333</v>
      </c>
      <c r="D1436" s="2">
        <v>818</v>
      </c>
      <c r="F1436" s="2451"/>
      <c r="G1436" s="2451"/>
      <c r="H1436" s="2451"/>
      <c r="I1436" s="2451"/>
      <c r="J1436" s="2451"/>
      <c r="K1436" s="2451"/>
      <c r="L1436" s="2451"/>
      <c r="M1436" s="2452"/>
      <c r="N1436" s="2452"/>
      <c r="O1436" s="2452"/>
      <c r="P1436" s="2452"/>
      <c r="Q1436" s="2452"/>
      <c r="W1436" t="s">
        <v>2062</v>
      </c>
    </row>
    <row r="1437" spans="1:23" ht="13.15" customHeight="1">
      <c r="A1437" s="2" t="s">
        <v>2214</v>
      </c>
      <c r="B1437" s="2">
        <f t="shared" si="44"/>
        <v>2020</v>
      </c>
      <c r="C1437" s="2" t="str">
        <f t="shared" si="45"/>
        <v>LIM333</v>
      </c>
      <c r="D1437" s="2">
        <v>819</v>
      </c>
      <c r="F1437" s="2451"/>
      <c r="G1437" s="2451"/>
      <c r="H1437" s="2451"/>
      <c r="I1437" s="2451"/>
      <c r="J1437" s="2451"/>
      <c r="K1437" s="2451"/>
      <c r="L1437" s="2451"/>
      <c r="M1437" s="2452"/>
      <c r="N1437" s="2452"/>
      <c r="O1437" s="2452"/>
      <c r="P1437" s="2452"/>
      <c r="Q1437" s="2452"/>
      <c r="W1437" t="s">
        <v>2062</v>
      </c>
    </row>
    <row r="1438" spans="1:23" ht="13.15" customHeight="1">
      <c r="A1438" s="2" t="s">
        <v>2214</v>
      </c>
      <c r="B1438" s="2">
        <f t="shared" si="44"/>
        <v>2020</v>
      </c>
      <c r="C1438" s="2" t="str">
        <f t="shared" si="45"/>
        <v>LIM333</v>
      </c>
      <c r="D1438" s="2">
        <v>820</v>
      </c>
      <c r="F1438" s="2451"/>
      <c r="G1438" s="2451"/>
      <c r="H1438" s="2451"/>
      <c r="I1438" s="2451"/>
      <c r="J1438" s="2451"/>
      <c r="K1438" s="2451"/>
      <c r="L1438" s="2451"/>
      <c r="M1438" s="2452"/>
      <c r="N1438" s="2452"/>
      <c r="O1438" s="2452"/>
      <c r="P1438" s="2452"/>
      <c r="Q1438" s="2452"/>
      <c r="W1438" t="s">
        <v>2062</v>
      </c>
    </row>
    <row r="1439" spans="1:23" ht="13.15" customHeight="1">
      <c r="A1439" s="2" t="s">
        <v>2214</v>
      </c>
      <c r="B1439" s="2">
        <f t="shared" si="44"/>
        <v>2020</v>
      </c>
      <c r="C1439" s="2" t="str">
        <f t="shared" si="45"/>
        <v>LIM333</v>
      </c>
      <c r="D1439" s="2">
        <v>821</v>
      </c>
      <c r="F1439" s="2451"/>
      <c r="G1439" s="2451"/>
      <c r="H1439" s="2451"/>
      <c r="I1439" s="2451"/>
      <c r="J1439" s="2451"/>
      <c r="K1439" s="2451"/>
      <c r="L1439" s="2451"/>
      <c r="M1439" s="2452"/>
      <c r="N1439" s="2452"/>
      <c r="O1439" s="2452"/>
      <c r="P1439" s="2452"/>
      <c r="Q1439" s="2452"/>
      <c r="W1439" t="s">
        <v>2062</v>
      </c>
    </row>
    <row r="1440" spans="1:23" ht="13.15" customHeight="1">
      <c r="A1440" s="2" t="s">
        <v>2214</v>
      </c>
      <c r="B1440" s="2">
        <f t="shared" si="44"/>
        <v>2020</v>
      </c>
      <c r="C1440" s="2" t="str">
        <f t="shared" si="45"/>
        <v>LIM333</v>
      </c>
      <c r="D1440" s="2">
        <v>822</v>
      </c>
      <c r="F1440" s="2451"/>
      <c r="G1440" s="2451"/>
      <c r="H1440" s="2451"/>
      <c r="I1440" s="2451"/>
      <c r="J1440" s="2451"/>
      <c r="K1440" s="2451"/>
      <c r="L1440" s="2451"/>
      <c r="M1440" s="2452"/>
      <c r="N1440" s="2452"/>
      <c r="O1440" s="2452"/>
      <c r="P1440" s="2452"/>
      <c r="Q1440" s="2452"/>
      <c r="W1440" t="s">
        <v>2062</v>
      </c>
    </row>
    <row r="1441" spans="1:23" ht="13.15" customHeight="1">
      <c r="A1441" s="2" t="s">
        <v>2214</v>
      </c>
      <c r="B1441" s="2">
        <f t="shared" si="44"/>
        <v>2020</v>
      </c>
      <c r="C1441" s="2" t="str">
        <f t="shared" si="45"/>
        <v>LIM333</v>
      </c>
      <c r="D1441" s="2">
        <v>823</v>
      </c>
      <c r="F1441" s="2451"/>
      <c r="G1441" s="2451"/>
      <c r="H1441" s="2451"/>
      <c r="I1441" s="2451"/>
      <c r="J1441" s="2451"/>
      <c r="K1441" s="2451"/>
      <c r="L1441" s="2451"/>
      <c r="M1441" s="2452"/>
      <c r="N1441" s="2452"/>
      <c r="O1441" s="2452"/>
      <c r="P1441" s="2452"/>
      <c r="Q1441" s="2452"/>
      <c r="W1441" t="s">
        <v>2062</v>
      </c>
    </row>
    <row r="1442" spans="1:23" ht="13.15" customHeight="1">
      <c r="A1442" s="2" t="s">
        <v>2214</v>
      </c>
      <c r="B1442" s="2">
        <f t="shared" si="44"/>
        <v>2020</v>
      </c>
      <c r="C1442" s="2" t="str">
        <f t="shared" si="45"/>
        <v>LIM333</v>
      </c>
      <c r="D1442" s="2">
        <v>824</v>
      </c>
      <c r="F1442" s="2451"/>
      <c r="G1442" s="2451"/>
      <c r="H1442" s="2451"/>
      <c r="I1442" s="2451"/>
      <c r="J1442" s="2451"/>
      <c r="K1442" s="2451"/>
      <c r="L1442" s="2451"/>
      <c r="M1442" s="2452"/>
      <c r="N1442" s="2452"/>
      <c r="O1442" s="2452"/>
      <c r="P1442" s="2452"/>
      <c r="Q1442" s="2452"/>
      <c r="W1442" t="s">
        <v>2062</v>
      </c>
    </row>
    <row r="1443" spans="1:23" ht="13.15" customHeight="1">
      <c r="A1443" s="2" t="s">
        <v>2214</v>
      </c>
      <c r="B1443" s="2">
        <f t="shared" si="44"/>
        <v>2020</v>
      </c>
      <c r="C1443" s="2" t="str">
        <f t="shared" si="45"/>
        <v>LIM333</v>
      </c>
      <c r="D1443" s="2">
        <v>825</v>
      </c>
      <c r="F1443" s="2451"/>
      <c r="G1443" s="2451"/>
      <c r="H1443" s="2451"/>
      <c r="I1443" s="2451"/>
      <c r="J1443" s="2451"/>
      <c r="K1443" s="2451"/>
      <c r="L1443" s="2451"/>
      <c r="M1443" s="2452"/>
      <c r="N1443" s="2452"/>
      <c r="O1443" s="2452"/>
      <c r="P1443" s="2452"/>
      <c r="Q1443" s="2452"/>
      <c r="W1443" t="s">
        <v>2062</v>
      </c>
    </row>
    <row r="1444" spans="1:23" ht="13.15" customHeight="1">
      <c r="A1444" s="2" t="s">
        <v>2214</v>
      </c>
      <c r="B1444" s="2">
        <f t="shared" si="44"/>
        <v>2020</v>
      </c>
      <c r="C1444" s="2" t="str">
        <f t="shared" si="45"/>
        <v>LIM333</v>
      </c>
      <c r="D1444" s="2">
        <v>826</v>
      </c>
      <c r="F1444" s="2451"/>
      <c r="G1444" s="2451"/>
      <c r="H1444" s="2451"/>
      <c r="I1444" s="2451"/>
      <c r="J1444" s="2451"/>
      <c r="K1444" s="2451"/>
      <c r="L1444" s="2451"/>
      <c r="M1444" s="2452"/>
      <c r="N1444" s="2452"/>
      <c r="O1444" s="2452"/>
      <c r="P1444" s="2452"/>
      <c r="Q1444" s="2452"/>
      <c r="W1444" t="s">
        <v>2062</v>
      </c>
    </row>
    <row r="1445" spans="1:23" ht="13.15" customHeight="1">
      <c r="A1445" s="2" t="s">
        <v>2214</v>
      </c>
      <c r="B1445" s="2">
        <f t="shared" si="44"/>
        <v>2020</v>
      </c>
      <c r="C1445" s="2" t="str">
        <f t="shared" si="45"/>
        <v>LIM333</v>
      </c>
      <c r="D1445" s="2">
        <v>827</v>
      </c>
      <c r="F1445" s="2451"/>
      <c r="G1445" s="2451"/>
      <c r="H1445" s="2451"/>
      <c r="I1445" s="2451"/>
      <c r="J1445" s="2451"/>
      <c r="K1445" s="2451"/>
      <c r="L1445" s="2451"/>
      <c r="M1445" s="2452"/>
      <c r="N1445" s="2452"/>
      <c r="O1445" s="2452"/>
      <c r="P1445" s="2452"/>
      <c r="Q1445" s="2452"/>
      <c r="W1445" t="s">
        <v>2062</v>
      </c>
    </row>
    <row r="1446" spans="1:23" ht="13.15" customHeight="1">
      <c r="A1446" s="2" t="s">
        <v>2214</v>
      </c>
      <c r="B1446" s="2">
        <f t="shared" si="44"/>
        <v>2020</v>
      </c>
      <c r="C1446" s="2" t="str">
        <f t="shared" si="45"/>
        <v>LIM333</v>
      </c>
      <c r="D1446" s="2">
        <v>828</v>
      </c>
      <c r="F1446" s="2451"/>
      <c r="G1446" s="2451"/>
      <c r="H1446" s="2451"/>
      <c r="I1446" s="2451"/>
      <c r="J1446" s="2451"/>
      <c r="K1446" s="2451"/>
      <c r="L1446" s="2451"/>
      <c r="M1446" s="2452"/>
      <c r="N1446" s="2452"/>
      <c r="O1446" s="2452"/>
      <c r="P1446" s="2452"/>
      <c r="Q1446" s="2452"/>
      <c r="W1446" t="s">
        <v>2062</v>
      </c>
    </row>
    <row r="1447" spans="1:23" ht="13.15" customHeight="1">
      <c r="A1447" s="2" t="s">
        <v>2214</v>
      </c>
      <c r="B1447" s="2">
        <f t="shared" si="44"/>
        <v>2020</v>
      </c>
      <c r="C1447" s="2" t="str">
        <f t="shared" si="45"/>
        <v>LIM333</v>
      </c>
      <c r="D1447" s="2">
        <v>829</v>
      </c>
      <c r="F1447" s="2451"/>
      <c r="G1447" s="2451"/>
      <c r="H1447" s="2451"/>
      <c r="I1447" s="2451"/>
      <c r="J1447" s="2451"/>
      <c r="K1447" s="2451"/>
      <c r="L1447" s="2451"/>
      <c r="M1447" s="2452"/>
      <c r="N1447" s="2452"/>
      <c r="O1447" s="2452"/>
      <c r="P1447" s="2452"/>
      <c r="Q1447" s="2452"/>
      <c r="W1447" t="s">
        <v>2062</v>
      </c>
    </row>
    <row r="1448" spans="1:23" ht="13.15" customHeight="1">
      <c r="A1448" s="2" t="s">
        <v>2214</v>
      </c>
      <c r="B1448" s="2">
        <f t="shared" si="44"/>
        <v>2020</v>
      </c>
      <c r="C1448" s="2" t="str">
        <f t="shared" si="45"/>
        <v>LIM333</v>
      </c>
      <c r="D1448" s="2">
        <v>830</v>
      </c>
      <c r="F1448" s="2451"/>
      <c r="G1448" s="2451"/>
      <c r="H1448" s="2451"/>
      <c r="I1448" s="2451"/>
      <c r="J1448" s="2451"/>
      <c r="K1448" s="2451"/>
      <c r="L1448" s="2451"/>
      <c r="M1448" s="2452"/>
      <c r="N1448" s="2452"/>
      <c r="O1448" s="2452"/>
      <c r="P1448" s="2452"/>
      <c r="Q1448" s="2452"/>
      <c r="W1448" t="s">
        <v>2062</v>
      </c>
    </row>
    <row r="1449" spans="1:23" ht="13.15" customHeight="1">
      <c r="A1449" s="2" t="s">
        <v>2214</v>
      </c>
      <c r="B1449" s="2">
        <f t="shared" si="44"/>
        <v>2020</v>
      </c>
      <c r="C1449" s="2" t="str">
        <f t="shared" si="45"/>
        <v>LIM333</v>
      </c>
      <c r="D1449" s="2">
        <v>831</v>
      </c>
      <c r="F1449" s="2451"/>
      <c r="G1449" s="2451"/>
      <c r="H1449" s="2451"/>
      <c r="I1449" s="2451"/>
      <c r="J1449" s="2451"/>
      <c r="K1449" s="2451"/>
      <c r="L1449" s="2451"/>
      <c r="M1449" s="2452"/>
      <c r="N1449" s="2452"/>
      <c r="O1449" s="2452"/>
      <c r="P1449" s="2452"/>
      <c r="Q1449" s="2452"/>
      <c r="W1449" t="s">
        <v>2062</v>
      </c>
    </row>
    <row r="1450" spans="1:23" ht="13.15" customHeight="1">
      <c r="A1450" s="2" t="s">
        <v>2214</v>
      </c>
      <c r="B1450" s="2">
        <f t="shared" si="44"/>
        <v>2020</v>
      </c>
      <c r="C1450" s="2" t="str">
        <f t="shared" si="45"/>
        <v>LIM333</v>
      </c>
      <c r="D1450" s="2">
        <v>832</v>
      </c>
      <c r="F1450" s="2451"/>
      <c r="G1450" s="2451"/>
      <c r="H1450" s="2451"/>
      <c r="I1450" s="2451"/>
      <c r="J1450" s="2451"/>
      <c r="K1450" s="2451"/>
      <c r="L1450" s="2451"/>
      <c r="M1450" s="2452"/>
      <c r="N1450" s="2452"/>
      <c r="O1450" s="2452"/>
      <c r="P1450" s="2452"/>
      <c r="Q1450" s="2452"/>
      <c r="W1450" t="s">
        <v>2062</v>
      </c>
    </row>
    <row r="1451" spans="1:23" ht="13.15" customHeight="1">
      <c r="A1451" s="2" t="s">
        <v>2214</v>
      </c>
      <c r="B1451" s="2">
        <f t="shared" si="44"/>
        <v>2020</v>
      </c>
      <c r="C1451" s="2" t="str">
        <f t="shared" si="45"/>
        <v>LIM333</v>
      </c>
      <c r="D1451" s="2">
        <v>833</v>
      </c>
      <c r="F1451" s="2451"/>
      <c r="G1451" s="2451"/>
      <c r="H1451" s="2451"/>
      <c r="I1451" s="2451"/>
      <c r="J1451" s="2451"/>
      <c r="K1451" s="2451"/>
      <c r="L1451" s="2451"/>
      <c r="M1451" s="2452"/>
      <c r="N1451" s="2452"/>
      <c r="O1451" s="2452"/>
      <c r="P1451" s="2452"/>
      <c r="Q1451" s="2452"/>
      <c r="W1451" t="s">
        <v>2062</v>
      </c>
    </row>
    <row r="1452" spans="1:23" ht="13.15" customHeight="1">
      <c r="A1452" s="2" t="s">
        <v>2214</v>
      </c>
      <c r="B1452" s="2">
        <f t="shared" si="44"/>
        <v>2020</v>
      </c>
      <c r="C1452" s="2" t="str">
        <f t="shared" si="45"/>
        <v>LIM333</v>
      </c>
      <c r="D1452" s="2">
        <v>834</v>
      </c>
      <c r="F1452" s="2451"/>
      <c r="G1452" s="2451"/>
      <c r="H1452" s="2451"/>
      <c r="I1452" s="2451"/>
      <c r="J1452" s="2451"/>
      <c r="K1452" s="2451"/>
      <c r="L1452" s="2451"/>
      <c r="M1452" s="2452"/>
      <c r="N1452" s="2452"/>
      <c r="O1452" s="2452"/>
      <c r="P1452" s="2452"/>
      <c r="Q1452" s="2452"/>
      <c r="W1452" t="s">
        <v>2062</v>
      </c>
    </row>
    <row r="1453" spans="1:23" ht="13.15" customHeight="1">
      <c r="A1453" s="2" t="s">
        <v>2214</v>
      </c>
      <c r="B1453" s="2">
        <f t="shared" si="44"/>
        <v>2020</v>
      </c>
      <c r="C1453" s="2" t="str">
        <f t="shared" si="45"/>
        <v>LIM333</v>
      </c>
      <c r="D1453" s="2">
        <v>835</v>
      </c>
      <c r="F1453" s="2451"/>
      <c r="G1453" s="2451"/>
      <c r="H1453" s="2451"/>
      <c r="I1453" s="2451"/>
      <c r="J1453" s="2451"/>
      <c r="K1453" s="2451"/>
      <c r="L1453" s="2451"/>
      <c r="M1453" s="2452"/>
      <c r="N1453" s="2452"/>
      <c r="O1453" s="2452"/>
      <c r="P1453" s="2452"/>
      <c r="Q1453" s="2452"/>
      <c r="W1453" t="s">
        <v>2062</v>
      </c>
    </row>
    <row r="1454" spans="1:23" ht="13.15" customHeight="1">
      <c r="A1454" s="2" t="s">
        <v>2214</v>
      </c>
      <c r="B1454" s="2">
        <f t="shared" si="44"/>
        <v>2020</v>
      </c>
      <c r="C1454" s="2" t="str">
        <f t="shared" si="45"/>
        <v>LIM333</v>
      </c>
      <c r="D1454" s="2">
        <v>836</v>
      </c>
      <c r="F1454" s="2451"/>
      <c r="G1454" s="2451"/>
      <c r="H1454" s="2451"/>
      <c r="I1454" s="2451"/>
      <c r="J1454" s="2451"/>
      <c r="K1454" s="2451"/>
      <c r="L1454" s="2451"/>
      <c r="M1454" s="2452"/>
      <c r="N1454" s="2452"/>
      <c r="O1454" s="2452"/>
      <c r="P1454" s="2452"/>
      <c r="Q1454" s="2452"/>
      <c r="W1454" t="s">
        <v>2062</v>
      </c>
    </row>
    <row r="1455" spans="1:23" ht="13.15" customHeight="1">
      <c r="A1455" s="2" t="s">
        <v>2214</v>
      </c>
      <c r="B1455" s="2">
        <f t="shared" si="44"/>
        <v>2020</v>
      </c>
      <c r="C1455" s="2" t="str">
        <f t="shared" si="45"/>
        <v>LIM333</v>
      </c>
      <c r="D1455" s="2">
        <v>837</v>
      </c>
      <c r="F1455" s="2451"/>
      <c r="G1455" s="2451"/>
      <c r="H1455" s="2451"/>
      <c r="I1455" s="2451"/>
      <c r="J1455" s="2451"/>
      <c r="K1455" s="2451"/>
      <c r="L1455" s="2451"/>
      <c r="M1455" s="2452"/>
      <c r="N1455" s="2452"/>
      <c r="O1455" s="2452"/>
      <c r="P1455" s="2452"/>
      <c r="Q1455" s="2452"/>
      <c r="W1455" t="s">
        <v>2062</v>
      </c>
    </row>
    <row r="1456" spans="1:23" ht="13.15" customHeight="1">
      <c r="A1456" s="2" t="s">
        <v>2214</v>
      </c>
      <c r="B1456" s="2">
        <f t="shared" si="44"/>
        <v>2020</v>
      </c>
      <c r="C1456" s="2" t="str">
        <f t="shared" si="45"/>
        <v>LIM333</v>
      </c>
      <c r="D1456" s="2">
        <v>838</v>
      </c>
      <c r="F1456" s="2451"/>
      <c r="G1456" s="2451"/>
      <c r="H1456" s="2451"/>
      <c r="I1456" s="2451"/>
      <c r="J1456" s="2451"/>
      <c r="K1456" s="2451"/>
      <c r="L1456" s="2451"/>
      <c r="M1456" s="2452"/>
      <c r="N1456" s="2452"/>
      <c r="O1456" s="2452"/>
      <c r="P1456" s="2452"/>
      <c r="Q1456" s="2452"/>
      <c r="W1456" t="s">
        <v>2062</v>
      </c>
    </row>
    <row r="1457" spans="1:23" ht="13.15" customHeight="1">
      <c r="A1457" s="2" t="s">
        <v>2214</v>
      </c>
      <c r="B1457" s="2">
        <f t="shared" si="44"/>
        <v>2020</v>
      </c>
      <c r="C1457" s="2" t="str">
        <f t="shared" si="45"/>
        <v>LIM333</v>
      </c>
      <c r="D1457" s="2">
        <v>839</v>
      </c>
      <c r="F1457" s="2451"/>
      <c r="G1457" s="2451"/>
      <c r="H1457" s="2451"/>
      <c r="I1457" s="2451"/>
      <c r="J1457" s="2451"/>
      <c r="K1457" s="2451"/>
      <c r="L1457" s="2451"/>
      <c r="M1457" s="2452"/>
      <c r="N1457" s="2452"/>
      <c r="O1457" s="2452"/>
      <c r="P1457" s="2452"/>
      <c r="Q1457" s="2452"/>
      <c r="W1457" t="s">
        <v>2062</v>
      </c>
    </row>
    <row r="1458" spans="1:23" ht="13.15" customHeight="1">
      <c r="A1458" s="2" t="s">
        <v>2214</v>
      </c>
      <c r="B1458" s="2">
        <f t="shared" si="44"/>
        <v>2020</v>
      </c>
      <c r="C1458" s="2" t="str">
        <f t="shared" si="45"/>
        <v>LIM333</v>
      </c>
      <c r="D1458" s="2">
        <v>840</v>
      </c>
      <c r="F1458" s="2451"/>
      <c r="G1458" s="2451"/>
      <c r="H1458" s="2451"/>
      <c r="I1458" s="2451"/>
      <c r="J1458" s="2451"/>
      <c r="K1458" s="2451"/>
      <c r="L1458" s="2451"/>
      <c r="M1458" s="2452"/>
      <c r="N1458" s="2452"/>
      <c r="O1458" s="2452"/>
      <c r="P1458" s="2452"/>
      <c r="Q1458" s="2452"/>
      <c r="W1458" t="s">
        <v>2062</v>
      </c>
    </row>
    <row r="1459" spans="1:23" ht="13.15" customHeight="1">
      <c r="A1459" s="2" t="s">
        <v>2214</v>
      </c>
      <c r="B1459" s="2">
        <f t="shared" si="44"/>
        <v>2020</v>
      </c>
      <c r="C1459" s="2" t="str">
        <f t="shared" si="45"/>
        <v>LIM333</v>
      </c>
      <c r="D1459" s="2">
        <v>841</v>
      </c>
      <c r="F1459" s="2451"/>
      <c r="G1459" s="2451"/>
      <c r="H1459" s="2451"/>
      <c r="I1459" s="2451"/>
      <c r="J1459" s="2451"/>
      <c r="K1459" s="2451"/>
      <c r="L1459" s="2451"/>
      <c r="M1459" s="2452"/>
      <c r="N1459" s="2452"/>
      <c r="O1459" s="2452"/>
      <c r="P1459" s="2452"/>
      <c r="Q1459" s="2452"/>
      <c r="W1459" t="s">
        <v>2062</v>
      </c>
    </row>
    <row r="1460" spans="1:23" ht="13.15" customHeight="1">
      <c r="A1460" s="2" t="s">
        <v>2214</v>
      </c>
      <c r="B1460" s="2">
        <f t="shared" si="44"/>
        <v>2020</v>
      </c>
      <c r="C1460" s="2" t="str">
        <f t="shared" si="45"/>
        <v>LIM333</v>
      </c>
      <c r="D1460" s="2">
        <v>842</v>
      </c>
      <c r="F1460" s="2451"/>
      <c r="G1460" s="2451"/>
      <c r="H1460" s="2451"/>
      <c r="I1460" s="2451"/>
      <c r="J1460" s="2451"/>
      <c r="K1460" s="2451"/>
      <c r="L1460" s="2451"/>
      <c r="M1460" s="2452"/>
      <c r="N1460" s="2452"/>
      <c r="O1460" s="2452"/>
      <c r="P1460" s="2452"/>
      <c r="Q1460" s="2452"/>
      <c r="W1460" t="s">
        <v>2062</v>
      </c>
    </row>
    <row r="1461" spans="1:23" ht="13.15" customHeight="1">
      <c r="A1461" s="2" t="s">
        <v>2214</v>
      </c>
      <c r="B1461" s="2">
        <f t="shared" si="44"/>
        <v>2020</v>
      </c>
      <c r="C1461" s="2" t="str">
        <f t="shared" si="45"/>
        <v>LIM333</v>
      </c>
      <c r="D1461" s="2">
        <v>843</v>
      </c>
      <c r="F1461" s="2451"/>
      <c r="G1461" s="2451"/>
      <c r="H1461" s="2451"/>
      <c r="I1461" s="2451"/>
      <c r="J1461" s="2451"/>
      <c r="K1461" s="2451"/>
      <c r="L1461" s="2451"/>
      <c r="M1461" s="2452"/>
      <c r="N1461" s="2452"/>
      <c r="O1461" s="2452"/>
      <c r="P1461" s="2452"/>
      <c r="Q1461" s="2452"/>
      <c r="W1461" t="s">
        <v>2062</v>
      </c>
    </row>
    <row r="1462" spans="1:23" ht="13.15" customHeight="1">
      <c r="A1462" s="2" t="s">
        <v>2214</v>
      </c>
      <c r="B1462" s="2">
        <f t="shared" si="44"/>
        <v>2020</v>
      </c>
      <c r="C1462" s="2" t="str">
        <f t="shared" si="45"/>
        <v>LIM333</v>
      </c>
      <c r="D1462" s="2">
        <v>844</v>
      </c>
      <c r="F1462" s="2451"/>
      <c r="G1462" s="2451"/>
      <c r="H1462" s="2451"/>
      <c r="I1462" s="2451"/>
      <c r="J1462" s="2451"/>
      <c r="K1462" s="2451"/>
      <c r="L1462" s="2451"/>
      <c r="M1462" s="2452"/>
      <c r="N1462" s="2452"/>
      <c r="O1462" s="2452"/>
      <c r="P1462" s="2452"/>
      <c r="Q1462" s="2452"/>
      <c r="W1462" t="s">
        <v>2062</v>
      </c>
    </row>
    <row r="1463" spans="1:23" ht="13.15" customHeight="1">
      <c r="A1463" s="2" t="s">
        <v>2214</v>
      </c>
      <c r="B1463" s="2">
        <f t="shared" si="44"/>
        <v>2020</v>
      </c>
      <c r="C1463" s="2" t="str">
        <f t="shared" si="45"/>
        <v>LIM333</v>
      </c>
      <c r="D1463" s="2">
        <v>845</v>
      </c>
      <c r="F1463" s="2451"/>
      <c r="G1463" s="2451"/>
      <c r="H1463" s="2451"/>
      <c r="I1463" s="2451"/>
      <c r="J1463" s="2451"/>
      <c r="K1463" s="2451"/>
      <c r="L1463" s="2451"/>
      <c r="M1463" s="2452"/>
      <c r="N1463" s="2452"/>
      <c r="O1463" s="2452"/>
      <c r="P1463" s="2452"/>
      <c r="Q1463" s="2452"/>
      <c r="W1463" t="s">
        <v>2062</v>
      </c>
    </row>
    <row r="1464" spans="1:23" ht="13.15" customHeight="1">
      <c r="A1464" s="2" t="s">
        <v>2214</v>
      </c>
      <c r="B1464" s="2">
        <f t="shared" si="44"/>
        <v>2020</v>
      </c>
      <c r="C1464" s="2" t="str">
        <f t="shared" si="45"/>
        <v>LIM333</v>
      </c>
      <c r="D1464" s="2">
        <v>846</v>
      </c>
      <c r="F1464" s="2451"/>
      <c r="G1464" s="2451"/>
      <c r="H1464" s="2451"/>
      <c r="I1464" s="2451"/>
      <c r="J1464" s="2451"/>
      <c r="K1464" s="2451"/>
      <c r="L1464" s="2451"/>
      <c r="M1464" s="2452"/>
      <c r="N1464" s="2452"/>
      <c r="O1464" s="2452"/>
      <c r="P1464" s="2452"/>
      <c r="Q1464" s="2452"/>
      <c r="W1464" t="s">
        <v>2062</v>
      </c>
    </row>
    <row r="1465" spans="1:23" ht="13.15" customHeight="1">
      <c r="A1465" s="2" t="s">
        <v>2214</v>
      </c>
      <c r="B1465" s="2">
        <f t="shared" si="44"/>
        <v>2020</v>
      </c>
      <c r="C1465" s="2" t="str">
        <f t="shared" si="45"/>
        <v>LIM333</v>
      </c>
      <c r="D1465" s="2">
        <v>847</v>
      </c>
      <c r="F1465" s="2451"/>
      <c r="G1465" s="2451"/>
      <c r="H1465" s="2451"/>
      <c r="I1465" s="2451"/>
      <c r="J1465" s="2451"/>
      <c r="K1465" s="2451"/>
      <c r="L1465" s="2451"/>
      <c r="M1465" s="2452"/>
      <c r="N1465" s="2452"/>
      <c r="O1465" s="2452"/>
      <c r="P1465" s="2452"/>
      <c r="Q1465" s="2452"/>
      <c r="W1465" t="s">
        <v>2062</v>
      </c>
    </row>
    <row r="1466" spans="1:23" ht="13.15" customHeight="1">
      <c r="A1466" s="2" t="s">
        <v>2214</v>
      </c>
      <c r="B1466" s="2">
        <f t="shared" si="44"/>
        <v>2020</v>
      </c>
      <c r="C1466" s="2" t="str">
        <f t="shared" si="45"/>
        <v>LIM333</v>
      </c>
      <c r="D1466" s="2">
        <v>848</v>
      </c>
      <c r="F1466" s="2451"/>
      <c r="G1466" s="2451"/>
      <c r="H1466" s="2451"/>
      <c r="I1466" s="2451"/>
      <c r="J1466" s="2451"/>
      <c r="K1466" s="2451"/>
      <c r="L1466" s="2451"/>
      <c r="M1466" s="2452"/>
      <c r="N1466" s="2452"/>
      <c r="O1466" s="2452"/>
      <c r="P1466" s="2452"/>
      <c r="Q1466" s="2452"/>
      <c r="W1466" t="s">
        <v>2062</v>
      </c>
    </row>
    <row r="1467" spans="1:23" ht="13.15" customHeight="1">
      <c r="A1467" s="2" t="s">
        <v>2214</v>
      </c>
      <c r="B1467" s="2">
        <f t="shared" si="44"/>
        <v>2020</v>
      </c>
      <c r="C1467" s="2" t="str">
        <f t="shared" si="45"/>
        <v>LIM333</v>
      </c>
      <c r="D1467" s="2">
        <v>849</v>
      </c>
      <c r="F1467" s="2451"/>
      <c r="G1467" s="2451"/>
      <c r="H1467" s="2451"/>
      <c r="I1467" s="2451"/>
      <c r="J1467" s="2451"/>
      <c r="K1467" s="2451"/>
      <c r="L1467" s="2451"/>
      <c r="M1467" s="2452"/>
      <c r="N1467" s="2452"/>
      <c r="O1467" s="2452"/>
      <c r="P1467" s="2452"/>
      <c r="Q1467" s="2452"/>
      <c r="W1467" t="s">
        <v>2062</v>
      </c>
    </row>
    <row r="1468" spans="1:23" ht="13.15" customHeight="1">
      <c r="A1468" s="2" t="s">
        <v>2214</v>
      </c>
      <c r="B1468" s="2">
        <f t="shared" si="44"/>
        <v>2020</v>
      </c>
      <c r="C1468" s="2" t="str">
        <f t="shared" si="45"/>
        <v>LIM333</v>
      </c>
      <c r="D1468" s="2">
        <v>850</v>
      </c>
      <c r="F1468" s="2451"/>
      <c r="G1468" s="2451"/>
      <c r="H1468" s="2451"/>
      <c r="I1468" s="2451"/>
      <c r="J1468" s="2451"/>
      <c r="K1468" s="2451"/>
      <c r="L1468" s="2451"/>
      <c r="M1468" s="2452"/>
      <c r="N1468" s="2452"/>
      <c r="O1468" s="2452"/>
      <c r="P1468" s="2452"/>
      <c r="Q1468" s="2452"/>
      <c r="W1468" t="s">
        <v>2062</v>
      </c>
    </row>
    <row r="1469" spans="1:23" ht="13.15" customHeight="1">
      <c r="A1469" s="2" t="s">
        <v>2214</v>
      </c>
      <c r="B1469" s="2">
        <f t="shared" si="44"/>
        <v>2020</v>
      </c>
      <c r="C1469" s="2" t="str">
        <f t="shared" si="45"/>
        <v>LIM333</v>
      </c>
      <c r="D1469" s="2">
        <v>851</v>
      </c>
      <c r="F1469" s="2451"/>
      <c r="G1469" s="2451"/>
      <c r="H1469" s="2451"/>
      <c r="I1469" s="2451"/>
      <c r="J1469" s="2451"/>
      <c r="K1469" s="2451"/>
      <c r="L1469" s="2451"/>
      <c r="M1469" s="2452"/>
      <c r="N1469" s="2452"/>
      <c r="O1469" s="2452"/>
      <c r="P1469" s="2452"/>
      <c r="Q1469" s="2452"/>
      <c r="W1469" t="s">
        <v>2062</v>
      </c>
    </row>
    <row r="1470" spans="1:23" ht="13.15" customHeight="1">
      <c r="A1470" s="2" t="s">
        <v>2214</v>
      </c>
      <c r="B1470" s="2">
        <f t="shared" si="44"/>
        <v>2020</v>
      </c>
      <c r="C1470" s="2" t="str">
        <f t="shared" si="45"/>
        <v>LIM333</v>
      </c>
      <c r="D1470" s="2">
        <v>852</v>
      </c>
      <c r="F1470" s="2451"/>
      <c r="G1470" s="2451"/>
      <c r="H1470" s="2451"/>
      <c r="I1470" s="2451"/>
      <c r="J1470" s="2451"/>
      <c r="K1470" s="2451"/>
      <c r="L1470" s="2451"/>
      <c r="M1470" s="2452"/>
      <c r="N1470" s="2452"/>
      <c r="O1470" s="2452"/>
      <c r="P1470" s="2452"/>
      <c r="Q1470" s="2452"/>
      <c r="W1470" t="s">
        <v>2062</v>
      </c>
    </row>
    <row r="1471" spans="1:23" ht="13.15" customHeight="1">
      <c r="A1471" s="2" t="s">
        <v>2214</v>
      </c>
      <c r="B1471" s="2">
        <f t="shared" si="44"/>
        <v>2020</v>
      </c>
      <c r="C1471" s="2" t="str">
        <f t="shared" si="45"/>
        <v>LIM333</v>
      </c>
      <c r="D1471" s="2">
        <v>853</v>
      </c>
      <c r="F1471" s="2451"/>
      <c r="G1471" s="2451"/>
      <c r="H1471" s="2451"/>
      <c r="I1471" s="2451"/>
      <c r="J1471" s="2451"/>
      <c r="K1471" s="2451"/>
      <c r="L1471" s="2451"/>
      <c r="M1471" s="2452"/>
      <c r="N1471" s="2452"/>
      <c r="O1471" s="2452"/>
      <c r="P1471" s="2452"/>
      <c r="Q1471" s="2452"/>
      <c r="W1471" t="s">
        <v>2062</v>
      </c>
    </row>
    <row r="1472" spans="1:23" ht="13.15" customHeight="1">
      <c r="A1472" s="2" t="s">
        <v>2214</v>
      </c>
      <c r="B1472" s="2">
        <f t="shared" si="44"/>
        <v>2020</v>
      </c>
      <c r="C1472" s="2" t="str">
        <f t="shared" si="45"/>
        <v>LIM333</v>
      </c>
      <c r="D1472" s="2">
        <v>854</v>
      </c>
      <c r="F1472" s="2451"/>
      <c r="G1472" s="2451"/>
      <c r="H1472" s="2451"/>
      <c r="I1472" s="2451"/>
      <c r="J1472" s="2451"/>
      <c r="K1472" s="2451"/>
      <c r="L1472" s="2451"/>
      <c r="M1472" s="2452"/>
      <c r="N1472" s="2452"/>
      <c r="O1472" s="2452"/>
      <c r="P1472" s="2452"/>
      <c r="Q1472" s="2452"/>
      <c r="W1472" t="s">
        <v>2062</v>
      </c>
    </row>
    <row r="1473" spans="1:23" ht="13.15" customHeight="1">
      <c r="A1473" s="2" t="s">
        <v>2214</v>
      </c>
      <c r="B1473" s="2">
        <f t="shared" si="44"/>
        <v>2020</v>
      </c>
      <c r="C1473" s="2" t="str">
        <f t="shared" si="45"/>
        <v>LIM333</v>
      </c>
      <c r="D1473" s="2">
        <v>855</v>
      </c>
      <c r="F1473" s="2451"/>
      <c r="G1473" s="2451"/>
      <c r="H1473" s="2451"/>
      <c r="I1473" s="2451"/>
      <c r="J1473" s="2451"/>
      <c r="K1473" s="2451"/>
      <c r="L1473" s="2451"/>
      <c r="M1473" s="2452"/>
      <c r="N1473" s="2452"/>
      <c r="O1473" s="2452"/>
      <c r="P1473" s="2452"/>
      <c r="Q1473" s="2452"/>
      <c r="W1473" t="s">
        <v>2062</v>
      </c>
    </row>
    <row r="1474" spans="1:23" ht="13.15" customHeight="1">
      <c r="A1474" s="2" t="s">
        <v>2214</v>
      </c>
      <c r="B1474" s="2">
        <f t="shared" ref="B1474:B1537" si="46">+MTREF</f>
        <v>2020</v>
      </c>
      <c r="C1474" s="2" t="str">
        <f t="shared" ref="C1474:C1537" si="47">LEFT(muni,(FIND(" ",muni,1)-1))</f>
        <v>LIM333</v>
      </c>
      <c r="D1474" s="2">
        <v>856</v>
      </c>
      <c r="F1474" s="2451"/>
      <c r="G1474" s="2451"/>
      <c r="H1474" s="2451"/>
      <c r="I1474" s="2451"/>
      <c r="J1474" s="2451"/>
      <c r="K1474" s="2451"/>
      <c r="L1474" s="2451"/>
      <c r="M1474" s="2452"/>
      <c r="N1474" s="2452"/>
      <c r="O1474" s="2452"/>
      <c r="P1474" s="2452"/>
      <c r="Q1474" s="2452"/>
      <c r="W1474" t="s">
        <v>2062</v>
      </c>
    </row>
    <row r="1475" spans="1:23" ht="13.15" customHeight="1">
      <c r="A1475" s="2" t="s">
        <v>2214</v>
      </c>
      <c r="B1475" s="2">
        <f t="shared" si="46"/>
        <v>2020</v>
      </c>
      <c r="C1475" s="2" t="str">
        <f t="shared" si="47"/>
        <v>LIM333</v>
      </c>
      <c r="D1475" s="2">
        <v>857</v>
      </c>
      <c r="F1475" s="2451"/>
      <c r="G1475" s="2451"/>
      <c r="H1475" s="2451"/>
      <c r="I1475" s="2451"/>
      <c r="J1475" s="2451"/>
      <c r="K1475" s="2451"/>
      <c r="L1475" s="2451"/>
      <c r="M1475" s="2452"/>
      <c r="N1475" s="2452"/>
      <c r="O1475" s="2452"/>
      <c r="P1475" s="2452"/>
      <c r="Q1475" s="2452"/>
      <c r="W1475" t="s">
        <v>2062</v>
      </c>
    </row>
    <row r="1476" spans="1:23" ht="13.15" customHeight="1">
      <c r="A1476" s="2" t="s">
        <v>2214</v>
      </c>
      <c r="B1476" s="2">
        <f t="shared" si="46"/>
        <v>2020</v>
      </c>
      <c r="C1476" s="2" t="str">
        <f t="shared" si="47"/>
        <v>LIM333</v>
      </c>
      <c r="D1476" s="2">
        <v>858</v>
      </c>
      <c r="F1476" s="2451"/>
      <c r="G1476" s="2451"/>
      <c r="H1476" s="2451"/>
      <c r="I1476" s="2451"/>
      <c r="J1476" s="2451"/>
      <c r="K1476" s="2451"/>
      <c r="L1476" s="2451"/>
      <c r="M1476" s="2452"/>
      <c r="N1476" s="2452"/>
      <c r="O1476" s="2452"/>
      <c r="P1476" s="2452"/>
      <c r="Q1476" s="2452"/>
      <c r="W1476" t="s">
        <v>2062</v>
      </c>
    </row>
    <row r="1477" spans="1:23" ht="13.15" customHeight="1">
      <c r="A1477" s="2" t="s">
        <v>2214</v>
      </c>
      <c r="B1477" s="2">
        <f t="shared" si="46"/>
        <v>2020</v>
      </c>
      <c r="C1477" s="2" t="str">
        <f t="shared" si="47"/>
        <v>LIM333</v>
      </c>
      <c r="D1477" s="2">
        <v>859</v>
      </c>
      <c r="F1477" s="2451"/>
      <c r="G1477" s="2451"/>
      <c r="H1477" s="2451"/>
      <c r="I1477" s="2451"/>
      <c r="J1477" s="2451"/>
      <c r="K1477" s="2451"/>
      <c r="L1477" s="2451"/>
      <c r="M1477" s="2452"/>
      <c r="N1477" s="2452"/>
      <c r="O1477" s="2452"/>
      <c r="P1477" s="2452"/>
      <c r="Q1477" s="2452"/>
      <c r="W1477" t="s">
        <v>2062</v>
      </c>
    </row>
    <row r="1478" spans="1:23" ht="13.15" customHeight="1">
      <c r="A1478" s="2" t="s">
        <v>2214</v>
      </c>
      <c r="B1478" s="2">
        <f t="shared" si="46"/>
        <v>2020</v>
      </c>
      <c r="C1478" s="2" t="str">
        <f t="shared" si="47"/>
        <v>LIM333</v>
      </c>
      <c r="D1478" s="2">
        <v>860</v>
      </c>
      <c r="F1478" s="2451"/>
      <c r="G1478" s="2451"/>
      <c r="H1478" s="2451"/>
      <c r="I1478" s="2451"/>
      <c r="J1478" s="2451"/>
      <c r="K1478" s="2451"/>
      <c r="L1478" s="2451"/>
      <c r="M1478" s="2452"/>
      <c r="N1478" s="2452"/>
      <c r="O1478" s="2452"/>
      <c r="P1478" s="2452"/>
      <c r="Q1478" s="2452"/>
      <c r="W1478" t="s">
        <v>2062</v>
      </c>
    </row>
    <row r="1479" spans="1:23" ht="13.15" customHeight="1">
      <c r="A1479" s="2" t="s">
        <v>2214</v>
      </c>
      <c r="B1479" s="2">
        <f t="shared" si="46"/>
        <v>2020</v>
      </c>
      <c r="C1479" s="2" t="str">
        <f t="shared" si="47"/>
        <v>LIM333</v>
      </c>
      <c r="D1479" s="2">
        <v>861</v>
      </c>
      <c r="F1479" s="2451"/>
      <c r="G1479" s="2451"/>
      <c r="H1479" s="2451"/>
      <c r="I1479" s="2451"/>
      <c r="J1479" s="2451"/>
      <c r="K1479" s="2451"/>
      <c r="L1479" s="2451"/>
      <c r="M1479" s="2452"/>
      <c r="N1479" s="2452"/>
      <c r="O1479" s="2452"/>
      <c r="P1479" s="2452"/>
      <c r="Q1479" s="2452"/>
      <c r="W1479" t="s">
        <v>2062</v>
      </c>
    </row>
    <row r="1480" spans="1:23" ht="13.15" customHeight="1">
      <c r="A1480" s="2" t="s">
        <v>2214</v>
      </c>
      <c r="B1480" s="2">
        <f t="shared" si="46"/>
        <v>2020</v>
      </c>
      <c r="C1480" s="2" t="str">
        <f t="shared" si="47"/>
        <v>LIM333</v>
      </c>
      <c r="D1480" s="2">
        <v>862</v>
      </c>
      <c r="F1480" s="2451"/>
      <c r="G1480" s="2451"/>
      <c r="H1480" s="2451"/>
      <c r="I1480" s="2451"/>
      <c r="J1480" s="2451"/>
      <c r="K1480" s="2451"/>
      <c r="L1480" s="2451"/>
      <c r="M1480" s="2452"/>
      <c r="N1480" s="2452"/>
      <c r="O1480" s="2452"/>
      <c r="P1480" s="2452"/>
      <c r="Q1480" s="2452"/>
      <c r="W1480" t="s">
        <v>2062</v>
      </c>
    </row>
    <row r="1481" spans="1:23" ht="13.15" customHeight="1">
      <c r="A1481" s="2" t="s">
        <v>2214</v>
      </c>
      <c r="B1481" s="2">
        <f t="shared" si="46"/>
        <v>2020</v>
      </c>
      <c r="C1481" s="2" t="str">
        <f t="shared" si="47"/>
        <v>LIM333</v>
      </c>
      <c r="D1481" s="2">
        <v>863</v>
      </c>
      <c r="F1481" s="2451"/>
      <c r="G1481" s="2451"/>
      <c r="H1481" s="2451"/>
      <c r="I1481" s="2451"/>
      <c r="J1481" s="2451"/>
      <c r="K1481" s="2451"/>
      <c r="L1481" s="2451"/>
      <c r="M1481" s="2452"/>
      <c r="N1481" s="2452"/>
      <c r="O1481" s="2452"/>
      <c r="P1481" s="2452"/>
      <c r="Q1481" s="2452"/>
      <c r="W1481" t="s">
        <v>2062</v>
      </c>
    </row>
    <row r="1482" spans="1:23" ht="13.15" customHeight="1">
      <c r="A1482" s="2" t="s">
        <v>2214</v>
      </c>
      <c r="B1482" s="2">
        <f t="shared" si="46"/>
        <v>2020</v>
      </c>
      <c r="C1482" s="2" t="str">
        <f t="shared" si="47"/>
        <v>LIM333</v>
      </c>
      <c r="D1482" s="2">
        <v>864</v>
      </c>
      <c r="F1482" s="2451"/>
      <c r="G1482" s="2451"/>
      <c r="H1482" s="2451"/>
      <c r="I1482" s="2451"/>
      <c r="J1482" s="2451"/>
      <c r="K1482" s="2451"/>
      <c r="L1482" s="2451"/>
      <c r="M1482" s="2452"/>
      <c r="N1482" s="2452"/>
      <c r="O1482" s="2452"/>
      <c r="P1482" s="2452"/>
      <c r="Q1482" s="2452"/>
      <c r="W1482" t="s">
        <v>2062</v>
      </c>
    </row>
    <row r="1483" spans="1:23" ht="13.15" customHeight="1">
      <c r="A1483" s="2" t="s">
        <v>2214</v>
      </c>
      <c r="B1483" s="2">
        <f t="shared" si="46"/>
        <v>2020</v>
      </c>
      <c r="C1483" s="2" t="str">
        <f t="shared" si="47"/>
        <v>LIM333</v>
      </c>
      <c r="D1483" s="2">
        <v>865</v>
      </c>
      <c r="F1483" s="2451"/>
      <c r="G1483" s="2451"/>
      <c r="H1483" s="2451"/>
      <c r="I1483" s="2451"/>
      <c r="J1483" s="2451"/>
      <c r="K1483" s="2451"/>
      <c r="L1483" s="2451"/>
      <c r="M1483" s="2452"/>
      <c r="N1483" s="2452"/>
      <c r="O1483" s="2452"/>
      <c r="P1483" s="2452"/>
      <c r="Q1483" s="2452"/>
      <c r="W1483" t="s">
        <v>2062</v>
      </c>
    </row>
    <row r="1484" spans="1:23" ht="13.15" customHeight="1">
      <c r="A1484" s="2" t="s">
        <v>2214</v>
      </c>
      <c r="B1484" s="2">
        <f t="shared" si="46"/>
        <v>2020</v>
      </c>
      <c r="C1484" s="2" t="str">
        <f t="shared" si="47"/>
        <v>LIM333</v>
      </c>
      <c r="D1484" s="2">
        <v>866</v>
      </c>
      <c r="F1484" s="2451"/>
      <c r="G1484" s="2451"/>
      <c r="H1484" s="2451"/>
      <c r="I1484" s="2451"/>
      <c r="J1484" s="2451"/>
      <c r="K1484" s="2451"/>
      <c r="L1484" s="2451"/>
      <c r="M1484" s="2452"/>
      <c r="N1484" s="2452"/>
      <c r="O1484" s="2452"/>
      <c r="P1484" s="2452"/>
      <c r="Q1484" s="2452"/>
      <c r="W1484" t="s">
        <v>2062</v>
      </c>
    </row>
    <row r="1485" spans="1:23" ht="13.15" customHeight="1">
      <c r="A1485" s="2" t="s">
        <v>2214</v>
      </c>
      <c r="B1485" s="2">
        <f t="shared" si="46"/>
        <v>2020</v>
      </c>
      <c r="C1485" s="2" t="str">
        <f t="shared" si="47"/>
        <v>LIM333</v>
      </c>
      <c r="D1485" s="2">
        <v>867</v>
      </c>
      <c r="F1485" s="2451"/>
      <c r="G1485" s="2451"/>
      <c r="H1485" s="2451"/>
      <c r="I1485" s="2451"/>
      <c r="J1485" s="2451"/>
      <c r="K1485" s="2451"/>
      <c r="L1485" s="2451"/>
      <c r="M1485" s="2452"/>
      <c r="N1485" s="2452"/>
      <c r="O1485" s="2452"/>
      <c r="P1485" s="2452"/>
      <c r="Q1485" s="2452"/>
      <c r="W1485" t="s">
        <v>2062</v>
      </c>
    </row>
    <row r="1486" spans="1:23" ht="13.15" customHeight="1">
      <c r="A1486" s="2" t="s">
        <v>2214</v>
      </c>
      <c r="B1486" s="2">
        <f t="shared" si="46"/>
        <v>2020</v>
      </c>
      <c r="C1486" s="2" t="str">
        <f t="shared" si="47"/>
        <v>LIM333</v>
      </c>
      <c r="D1486" s="2">
        <v>868</v>
      </c>
      <c r="F1486" s="2451"/>
      <c r="G1486" s="2451"/>
      <c r="H1486" s="2451"/>
      <c r="I1486" s="2451"/>
      <c r="J1486" s="2451"/>
      <c r="K1486" s="2451"/>
      <c r="L1486" s="2451"/>
      <c r="M1486" s="2452"/>
      <c r="N1486" s="2452"/>
      <c r="O1486" s="2452"/>
      <c r="P1486" s="2452"/>
      <c r="Q1486" s="2452"/>
      <c r="W1486" t="s">
        <v>2062</v>
      </c>
    </row>
    <row r="1487" spans="1:23" ht="13.15" customHeight="1">
      <c r="A1487" s="2" t="s">
        <v>2214</v>
      </c>
      <c r="B1487" s="2">
        <f t="shared" si="46"/>
        <v>2020</v>
      </c>
      <c r="C1487" s="2" t="str">
        <f t="shared" si="47"/>
        <v>LIM333</v>
      </c>
      <c r="D1487" s="2">
        <v>869</v>
      </c>
      <c r="F1487" s="2451"/>
      <c r="G1487" s="2451"/>
      <c r="H1487" s="2451"/>
      <c r="I1487" s="2451"/>
      <c r="J1487" s="2451"/>
      <c r="K1487" s="2451"/>
      <c r="L1487" s="2451"/>
      <c r="M1487" s="2452"/>
      <c r="N1487" s="2452"/>
      <c r="O1487" s="2452"/>
      <c r="P1487" s="2452"/>
      <c r="Q1487" s="2452"/>
      <c r="W1487" t="s">
        <v>2062</v>
      </c>
    </row>
    <row r="1488" spans="1:23" ht="13.15" customHeight="1">
      <c r="A1488" s="2" t="s">
        <v>2214</v>
      </c>
      <c r="B1488" s="2">
        <f t="shared" si="46"/>
        <v>2020</v>
      </c>
      <c r="C1488" s="2" t="str">
        <f t="shared" si="47"/>
        <v>LIM333</v>
      </c>
      <c r="D1488" s="2">
        <v>870</v>
      </c>
      <c r="F1488" s="2451"/>
      <c r="G1488" s="2451"/>
      <c r="H1488" s="2451"/>
      <c r="I1488" s="2451"/>
      <c r="J1488" s="2451"/>
      <c r="K1488" s="2451"/>
      <c r="L1488" s="2451"/>
      <c r="M1488" s="2452"/>
      <c r="N1488" s="2452"/>
      <c r="O1488" s="2452"/>
      <c r="P1488" s="2452"/>
      <c r="Q1488" s="2452"/>
      <c r="W1488" t="s">
        <v>2062</v>
      </c>
    </row>
    <row r="1489" spans="1:23" ht="13.15" customHeight="1">
      <c r="A1489" s="2" t="s">
        <v>2214</v>
      </c>
      <c r="B1489" s="2">
        <f t="shared" si="46"/>
        <v>2020</v>
      </c>
      <c r="C1489" s="2" t="str">
        <f t="shared" si="47"/>
        <v>LIM333</v>
      </c>
      <c r="D1489" s="2">
        <v>871</v>
      </c>
      <c r="F1489" s="2451"/>
      <c r="G1489" s="2451"/>
      <c r="H1489" s="2451"/>
      <c r="I1489" s="2451"/>
      <c r="J1489" s="2451"/>
      <c r="K1489" s="2451"/>
      <c r="L1489" s="2451"/>
      <c r="M1489" s="2452"/>
      <c r="N1489" s="2452"/>
      <c r="O1489" s="2452"/>
      <c r="P1489" s="2452"/>
      <c r="Q1489" s="2452"/>
      <c r="W1489" t="s">
        <v>2062</v>
      </c>
    </row>
    <row r="1490" spans="1:23" ht="13.15" customHeight="1">
      <c r="A1490" s="2" t="s">
        <v>2214</v>
      </c>
      <c r="B1490" s="2">
        <f t="shared" si="46"/>
        <v>2020</v>
      </c>
      <c r="C1490" s="2" t="str">
        <f t="shared" si="47"/>
        <v>LIM333</v>
      </c>
      <c r="D1490" s="2">
        <v>872</v>
      </c>
      <c r="F1490" s="2451"/>
      <c r="G1490" s="2451"/>
      <c r="H1490" s="2451"/>
      <c r="I1490" s="2451"/>
      <c r="J1490" s="2451"/>
      <c r="K1490" s="2451"/>
      <c r="L1490" s="2451"/>
      <c r="M1490" s="2452"/>
      <c r="N1490" s="2452"/>
      <c r="O1490" s="2452"/>
      <c r="P1490" s="2452"/>
      <c r="Q1490" s="2452"/>
      <c r="W1490" t="s">
        <v>2062</v>
      </c>
    </row>
    <row r="1491" spans="1:23" ht="13.15" customHeight="1">
      <c r="A1491" s="2" t="s">
        <v>2214</v>
      </c>
      <c r="B1491" s="2">
        <f t="shared" si="46"/>
        <v>2020</v>
      </c>
      <c r="C1491" s="2" t="str">
        <f t="shared" si="47"/>
        <v>LIM333</v>
      </c>
      <c r="D1491" s="2">
        <v>873</v>
      </c>
      <c r="F1491" s="2451"/>
      <c r="G1491" s="2451"/>
      <c r="H1491" s="2451"/>
      <c r="I1491" s="2451"/>
      <c r="J1491" s="2451"/>
      <c r="K1491" s="2451"/>
      <c r="L1491" s="2451"/>
      <c r="M1491" s="2452"/>
      <c r="N1491" s="2452"/>
      <c r="O1491" s="2452"/>
      <c r="P1491" s="2452"/>
      <c r="Q1491" s="2452"/>
      <c r="W1491" t="s">
        <v>2062</v>
      </c>
    </row>
    <row r="1492" spans="1:23" ht="13.15" customHeight="1">
      <c r="A1492" s="2" t="s">
        <v>2214</v>
      </c>
      <c r="B1492" s="2">
        <f t="shared" si="46"/>
        <v>2020</v>
      </c>
      <c r="C1492" s="2" t="str">
        <f t="shared" si="47"/>
        <v>LIM333</v>
      </c>
      <c r="D1492" s="2">
        <v>874</v>
      </c>
      <c r="F1492" s="2451"/>
      <c r="G1492" s="2451"/>
      <c r="H1492" s="2451"/>
      <c r="I1492" s="2451"/>
      <c r="J1492" s="2451"/>
      <c r="K1492" s="2451"/>
      <c r="L1492" s="2451"/>
      <c r="M1492" s="2452"/>
      <c r="N1492" s="2452"/>
      <c r="O1492" s="2452"/>
      <c r="P1492" s="2452"/>
      <c r="Q1492" s="2452"/>
      <c r="W1492" t="s">
        <v>2062</v>
      </c>
    </row>
    <row r="1493" spans="1:23" ht="13.15" customHeight="1">
      <c r="A1493" s="2" t="s">
        <v>2214</v>
      </c>
      <c r="B1493" s="2">
        <f t="shared" si="46"/>
        <v>2020</v>
      </c>
      <c r="C1493" s="2" t="str">
        <f t="shared" si="47"/>
        <v>LIM333</v>
      </c>
      <c r="D1493" s="2">
        <v>875</v>
      </c>
      <c r="F1493" s="2451"/>
      <c r="G1493" s="2451"/>
      <c r="H1493" s="2451"/>
      <c r="I1493" s="2451"/>
      <c r="J1493" s="2451"/>
      <c r="K1493" s="2451"/>
      <c r="L1493" s="2451"/>
      <c r="M1493" s="2452"/>
      <c r="N1493" s="2452"/>
      <c r="O1493" s="2452"/>
      <c r="P1493" s="2452"/>
      <c r="Q1493" s="2452"/>
      <c r="W1493" t="s">
        <v>2062</v>
      </c>
    </row>
    <row r="1494" spans="1:23" ht="13.15" customHeight="1">
      <c r="A1494" s="2" t="s">
        <v>2214</v>
      </c>
      <c r="B1494" s="2">
        <f t="shared" si="46"/>
        <v>2020</v>
      </c>
      <c r="C1494" s="2" t="str">
        <f t="shared" si="47"/>
        <v>LIM333</v>
      </c>
      <c r="D1494" s="2">
        <v>876</v>
      </c>
      <c r="F1494" s="2451"/>
      <c r="G1494" s="2451"/>
      <c r="H1494" s="2451"/>
      <c r="I1494" s="2451"/>
      <c r="J1494" s="2451"/>
      <c r="K1494" s="2451"/>
      <c r="L1494" s="2451"/>
      <c r="M1494" s="2452"/>
      <c r="N1494" s="2452"/>
      <c r="O1494" s="2452"/>
      <c r="P1494" s="2452"/>
      <c r="Q1494" s="2452"/>
      <c r="W1494" t="s">
        <v>2062</v>
      </c>
    </row>
    <row r="1495" spans="1:23" ht="13.15" customHeight="1">
      <c r="A1495" s="2" t="s">
        <v>2214</v>
      </c>
      <c r="B1495" s="2">
        <f t="shared" si="46"/>
        <v>2020</v>
      </c>
      <c r="C1495" s="2" t="str">
        <f t="shared" si="47"/>
        <v>LIM333</v>
      </c>
      <c r="D1495" s="2">
        <v>877</v>
      </c>
      <c r="F1495" s="2451"/>
      <c r="G1495" s="2451"/>
      <c r="H1495" s="2451"/>
      <c r="I1495" s="2451"/>
      <c r="J1495" s="2451"/>
      <c r="K1495" s="2451"/>
      <c r="L1495" s="2451"/>
      <c r="M1495" s="2452"/>
      <c r="N1495" s="2452"/>
      <c r="O1495" s="2452"/>
      <c r="P1495" s="2452"/>
      <c r="Q1495" s="2452"/>
      <c r="W1495" t="s">
        <v>2062</v>
      </c>
    </row>
    <row r="1496" spans="1:23" ht="13.15" customHeight="1">
      <c r="A1496" s="2" t="s">
        <v>2214</v>
      </c>
      <c r="B1496" s="2">
        <f t="shared" si="46"/>
        <v>2020</v>
      </c>
      <c r="C1496" s="2" t="str">
        <f t="shared" si="47"/>
        <v>LIM333</v>
      </c>
      <c r="D1496" s="2">
        <v>878</v>
      </c>
      <c r="F1496" s="2451"/>
      <c r="G1496" s="2451"/>
      <c r="H1496" s="2451"/>
      <c r="I1496" s="2451"/>
      <c r="J1496" s="2451"/>
      <c r="K1496" s="2451"/>
      <c r="L1496" s="2451"/>
      <c r="M1496" s="2452"/>
      <c r="N1496" s="2452"/>
      <c r="O1496" s="2452"/>
      <c r="P1496" s="2452"/>
      <c r="Q1496" s="2452"/>
      <c r="W1496" t="s">
        <v>2062</v>
      </c>
    </row>
    <row r="1497" spans="1:23" ht="13.15" customHeight="1">
      <c r="A1497" s="2" t="s">
        <v>2214</v>
      </c>
      <c r="B1497" s="2">
        <f t="shared" si="46"/>
        <v>2020</v>
      </c>
      <c r="C1497" s="2" t="str">
        <f t="shared" si="47"/>
        <v>LIM333</v>
      </c>
      <c r="D1497" s="2">
        <v>879</v>
      </c>
      <c r="F1497" s="2451"/>
      <c r="G1497" s="2451"/>
      <c r="H1497" s="2451"/>
      <c r="I1497" s="2451"/>
      <c r="J1497" s="2451"/>
      <c r="K1497" s="2451"/>
      <c r="L1497" s="2451"/>
      <c r="M1497" s="2452"/>
      <c r="N1497" s="2452"/>
      <c r="O1497" s="2452"/>
      <c r="P1497" s="2452"/>
      <c r="Q1497" s="2452"/>
      <c r="W1497" t="s">
        <v>2062</v>
      </c>
    </row>
    <row r="1498" spans="1:23" ht="13.15" customHeight="1">
      <c r="A1498" s="2" t="s">
        <v>2214</v>
      </c>
      <c r="B1498" s="2">
        <f t="shared" si="46"/>
        <v>2020</v>
      </c>
      <c r="C1498" s="2" t="str">
        <f t="shared" si="47"/>
        <v>LIM333</v>
      </c>
      <c r="D1498" s="2">
        <v>880</v>
      </c>
      <c r="F1498" s="2451"/>
      <c r="G1498" s="2451"/>
      <c r="H1498" s="2451"/>
      <c r="I1498" s="2451"/>
      <c r="J1498" s="2451"/>
      <c r="K1498" s="2451"/>
      <c r="L1498" s="2451"/>
      <c r="M1498" s="2452"/>
      <c r="N1498" s="2452"/>
      <c r="O1498" s="2452"/>
      <c r="P1498" s="2452"/>
      <c r="Q1498" s="2452"/>
      <c r="W1498" t="s">
        <v>2062</v>
      </c>
    </row>
    <row r="1499" spans="1:23" ht="13.15" customHeight="1">
      <c r="A1499" s="2" t="s">
        <v>2214</v>
      </c>
      <c r="B1499" s="2">
        <f t="shared" si="46"/>
        <v>2020</v>
      </c>
      <c r="C1499" s="2" t="str">
        <f t="shared" si="47"/>
        <v>LIM333</v>
      </c>
      <c r="D1499" s="2">
        <v>881</v>
      </c>
      <c r="F1499" s="2451"/>
      <c r="G1499" s="2451"/>
      <c r="H1499" s="2451"/>
      <c r="I1499" s="2451"/>
      <c r="J1499" s="2451"/>
      <c r="K1499" s="2451"/>
      <c r="L1499" s="2451"/>
      <c r="M1499" s="2452"/>
      <c r="N1499" s="2452"/>
      <c r="O1499" s="2452"/>
      <c r="P1499" s="2452"/>
      <c r="Q1499" s="2452"/>
      <c r="W1499" t="s">
        <v>2062</v>
      </c>
    </row>
    <row r="1500" spans="1:23" ht="13.15" customHeight="1">
      <c r="A1500" s="2" t="s">
        <v>2214</v>
      </c>
      <c r="B1500" s="2">
        <f t="shared" si="46"/>
        <v>2020</v>
      </c>
      <c r="C1500" s="2" t="str">
        <f t="shared" si="47"/>
        <v>LIM333</v>
      </c>
      <c r="D1500" s="2">
        <v>882</v>
      </c>
      <c r="F1500" s="2451"/>
      <c r="G1500" s="2451"/>
      <c r="H1500" s="2451"/>
      <c r="I1500" s="2451"/>
      <c r="J1500" s="2451"/>
      <c r="K1500" s="2451"/>
      <c r="L1500" s="2451"/>
      <c r="M1500" s="2452"/>
      <c r="N1500" s="2452"/>
      <c r="O1500" s="2452"/>
      <c r="P1500" s="2452"/>
      <c r="Q1500" s="2452"/>
      <c r="W1500" t="s">
        <v>2062</v>
      </c>
    </row>
    <row r="1501" spans="1:23" ht="13.15" customHeight="1">
      <c r="A1501" s="2" t="s">
        <v>2214</v>
      </c>
      <c r="B1501" s="2">
        <f t="shared" si="46"/>
        <v>2020</v>
      </c>
      <c r="C1501" s="2" t="str">
        <f t="shared" si="47"/>
        <v>LIM333</v>
      </c>
      <c r="D1501" s="2">
        <v>883</v>
      </c>
      <c r="F1501" s="2451"/>
      <c r="G1501" s="2451"/>
      <c r="H1501" s="2451"/>
      <c r="I1501" s="2451"/>
      <c r="J1501" s="2451"/>
      <c r="K1501" s="2451"/>
      <c r="L1501" s="2451"/>
      <c r="M1501" s="2452"/>
      <c r="N1501" s="2452"/>
      <c r="O1501" s="2452"/>
      <c r="P1501" s="2452"/>
      <c r="Q1501" s="2452"/>
      <c r="W1501" t="s">
        <v>2062</v>
      </c>
    </row>
    <row r="1502" spans="1:23" ht="13.15" customHeight="1">
      <c r="A1502" s="2" t="s">
        <v>2214</v>
      </c>
      <c r="B1502" s="2">
        <f t="shared" si="46"/>
        <v>2020</v>
      </c>
      <c r="C1502" s="2" t="str">
        <f t="shared" si="47"/>
        <v>LIM333</v>
      </c>
      <c r="D1502" s="2">
        <v>884</v>
      </c>
      <c r="F1502" s="2451"/>
      <c r="G1502" s="2451"/>
      <c r="H1502" s="2451"/>
      <c r="I1502" s="2451"/>
      <c r="J1502" s="2451"/>
      <c r="K1502" s="2451"/>
      <c r="L1502" s="2451"/>
      <c r="M1502" s="2452"/>
      <c r="N1502" s="2452"/>
      <c r="O1502" s="2452"/>
      <c r="P1502" s="2452"/>
      <c r="Q1502" s="2452"/>
      <c r="W1502" t="s">
        <v>2062</v>
      </c>
    </row>
    <row r="1503" spans="1:23" ht="13.15" customHeight="1">
      <c r="A1503" s="2" t="s">
        <v>2214</v>
      </c>
      <c r="B1503" s="2">
        <f t="shared" si="46"/>
        <v>2020</v>
      </c>
      <c r="C1503" s="2" t="str">
        <f t="shared" si="47"/>
        <v>LIM333</v>
      </c>
      <c r="D1503" s="2">
        <v>885</v>
      </c>
      <c r="F1503" s="2451"/>
      <c r="G1503" s="2451"/>
      <c r="H1503" s="2451"/>
      <c r="I1503" s="2451"/>
      <c r="J1503" s="2451"/>
      <c r="K1503" s="2451"/>
      <c r="L1503" s="2451"/>
      <c r="M1503" s="2452"/>
      <c r="N1503" s="2452"/>
      <c r="O1503" s="2452"/>
      <c r="P1503" s="2452"/>
      <c r="Q1503" s="2452"/>
      <c r="W1503" t="s">
        <v>2062</v>
      </c>
    </row>
    <row r="1504" spans="1:23" ht="13.15" customHeight="1">
      <c r="A1504" s="2" t="s">
        <v>2214</v>
      </c>
      <c r="B1504" s="2">
        <f t="shared" si="46"/>
        <v>2020</v>
      </c>
      <c r="C1504" s="2" t="str">
        <f t="shared" si="47"/>
        <v>LIM333</v>
      </c>
      <c r="D1504" s="2">
        <v>886</v>
      </c>
      <c r="F1504" s="2451"/>
      <c r="G1504" s="2451"/>
      <c r="H1504" s="2451"/>
      <c r="I1504" s="2451"/>
      <c r="J1504" s="2451"/>
      <c r="K1504" s="2451"/>
      <c r="L1504" s="2451"/>
      <c r="M1504" s="2452"/>
      <c r="N1504" s="2452"/>
      <c r="O1504" s="2452"/>
      <c r="P1504" s="2452"/>
      <c r="Q1504" s="2452"/>
      <c r="W1504" t="s">
        <v>2062</v>
      </c>
    </row>
    <row r="1505" spans="1:23" ht="13.15" customHeight="1">
      <c r="A1505" s="2" t="s">
        <v>2214</v>
      </c>
      <c r="B1505" s="2">
        <f t="shared" si="46"/>
        <v>2020</v>
      </c>
      <c r="C1505" s="2" t="str">
        <f t="shared" si="47"/>
        <v>LIM333</v>
      </c>
      <c r="D1505" s="2">
        <v>887</v>
      </c>
      <c r="F1505" s="2451"/>
      <c r="G1505" s="2451"/>
      <c r="H1505" s="2451"/>
      <c r="I1505" s="2451"/>
      <c r="J1505" s="2451"/>
      <c r="K1505" s="2451"/>
      <c r="L1505" s="2451"/>
      <c r="M1505" s="2452"/>
      <c r="N1505" s="2452"/>
      <c r="O1505" s="2452"/>
      <c r="P1505" s="2452"/>
      <c r="Q1505" s="2452"/>
      <c r="W1505" t="s">
        <v>2062</v>
      </c>
    </row>
    <row r="1506" spans="1:23" ht="13.15" customHeight="1">
      <c r="A1506" s="2" t="s">
        <v>2214</v>
      </c>
      <c r="B1506" s="2">
        <f t="shared" si="46"/>
        <v>2020</v>
      </c>
      <c r="C1506" s="2" t="str">
        <f t="shared" si="47"/>
        <v>LIM333</v>
      </c>
      <c r="D1506" s="2">
        <v>888</v>
      </c>
      <c r="F1506" s="2451"/>
      <c r="G1506" s="2451"/>
      <c r="H1506" s="2451"/>
      <c r="I1506" s="2451"/>
      <c r="J1506" s="2451"/>
      <c r="K1506" s="2451"/>
      <c r="L1506" s="2451"/>
      <c r="M1506" s="2452"/>
      <c r="N1506" s="2452"/>
      <c r="O1506" s="2452"/>
      <c r="P1506" s="2452"/>
      <c r="Q1506" s="2452"/>
      <c r="W1506" t="s">
        <v>2062</v>
      </c>
    </row>
    <row r="1507" spans="1:23" ht="13.15" customHeight="1">
      <c r="A1507" s="2" t="s">
        <v>2214</v>
      </c>
      <c r="B1507" s="2">
        <f t="shared" si="46"/>
        <v>2020</v>
      </c>
      <c r="C1507" s="2" t="str">
        <f t="shared" si="47"/>
        <v>LIM333</v>
      </c>
      <c r="D1507" s="2">
        <v>889</v>
      </c>
      <c r="F1507" s="2451"/>
      <c r="G1507" s="2451"/>
      <c r="H1507" s="2451"/>
      <c r="I1507" s="2451"/>
      <c r="J1507" s="2451"/>
      <c r="K1507" s="2451"/>
      <c r="L1507" s="2451"/>
      <c r="M1507" s="2452"/>
      <c r="N1507" s="2452"/>
      <c r="O1507" s="2452"/>
      <c r="P1507" s="2452"/>
      <c r="Q1507" s="2452"/>
      <c r="W1507" t="s">
        <v>2062</v>
      </c>
    </row>
    <row r="1508" spans="1:23" ht="13.15" customHeight="1">
      <c r="A1508" s="2" t="s">
        <v>2214</v>
      </c>
      <c r="B1508" s="2">
        <f t="shared" si="46"/>
        <v>2020</v>
      </c>
      <c r="C1508" s="2" t="str">
        <f t="shared" si="47"/>
        <v>LIM333</v>
      </c>
      <c r="D1508" s="2">
        <v>890</v>
      </c>
      <c r="F1508" s="2451"/>
      <c r="G1508" s="2451"/>
      <c r="H1508" s="2451"/>
      <c r="I1508" s="2451"/>
      <c r="J1508" s="2451"/>
      <c r="K1508" s="2451"/>
      <c r="L1508" s="2451"/>
      <c r="M1508" s="2452"/>
      <c r="N1508" s="2452"/>
      <c r="O1508" s="2452"/>
      <c r="P1508" s="2452"/>
      <c r="Q1508" s="2452"/>
      <c r="W1508" t="s">
        <v>2062</v>
      </c>
    </row>
    <row r="1509" spans="1:23" ht="13.15" customHeight="1">
      <c r="A1509" s="2" t="s">
        <v>2214</v>
      </c>
      <c r="B1509" s="2">
        <f t="shared" si="46"/>
        <v>2020</v>
      </c>
      <c r="C1509" s="2" t="str">
        <f t="shared" si="47"/>
        <v>LIM333</v>
      </c>
      <c r="D1509" s="2">
        <v>891</v>
      </c>
      <c r="F1509" s="2451"/>
      <c r="G1509" s="2451"/>
      <c r="H1509" s="2451"/>
      <c r="I1509" s="2451"/>
      <c r="J1509" s="2451"/>
      <c r="K1509" s="2451"/>
      <c r="L1509" s="2451"/>
      <c r="M1509" s="2452"/>
      <c r="N1509" s="2452"/>
      <c r="O1509" s="2452"/>
      <c r="P1509" s="2452"/>
      <c r="Q1509" s="2452"/>
      <c r="W1509" t="s">
        <v>2062</v>
      </c>
    </row>
    <row r="1510" spans="1:23" ht="13.15" customHeight="1">
      <c r="A1510" s="2" t="s">
        <v>2214</v>
      </c>
      <c r="B1510" s="2">
        <f t="shared" si="46"/>
        <v>2020</v>
      </c>
      <c r="C1510" s="2" t="str">
        <f t="shared" si="47"/>
        <v>LIM333</v>
      </c>
      <c r="D1510" s="2">
        <v>892</v>
      </c>
      <c r="F1510" s="2451"/>
      <c r="G1510" s="2451"/>
      <c r="H1510" s="2451"/>
      <c r="I1510" s="2451"/>
      <c r="J1510" s="2451"/>
      <c r="K1510" s="2451"/>
      <c r="L1510" s="2451"/>
      <c r="M1510" s="2452"/>
      <c r="N1510" s="2452"/>
      <c r="O1510" s="2452"/>
      <c r="P1510" s="2452"/>
      <c r="Q1510" s="2452"/>
      <c r="W1510" t="s">
        <v>2062</v>
      </c>
    </row>
    <row r="1511" spans="1:23" ht="13.15" customHeight="1">
      <c r="A1511" s="2" t="s">
        <v>2214</v>
      </c>
      <c r="B1511" s="2">
        <f t="shared" si="46"/>
        <v>2020</v>
      </c>
      <c r="C1511" s="2" t="str">
        <f t="shared" si="47"/>
        <v>LIM333</v>
      </c>
      <c r="D1511" s="2">
        <v>893</v>
      </c>
      <c r="F1511" s="2451"/>
      <c r="G1511" s="2451"/>
      <c r="H1511" s="2451"/>
      <c r="I1511" s="2451"/>
      <c r="J1511" s="2451"/>
      <c r="K1511" s="2451"/>
      <c r="L1511" s="2451"/>
      <c r="M1511" s="2452"/>
      <c r="N1511" s="2452"/>
      <c r="O1511" s="2452"/>
      <c r="P1511" s="2452"/>
      <c r="Q1511" s="2452"/>
      <c r="W1511" t="s">
        <v>2062</v>
      </c>
    </row>
    <row r="1512" spans="1:23" ht="13.15" customHeight="1">
      <c r="A1512" s="2" t="s">
        <v>2214</v>
      </c>
      <c r="B1512" s="2">
        <f t="shared" si="46"/>
        <v>2020</v>
      </c>
      <c r="C1512" s="2" t="str">
        <f t="shared" si="47"/>
        <v>LIM333</v>
      </c>
      <c r="D1512" s="2">
        <v>894</v>
      </c>
      <c r="F1512" s="2451"/>
      <c r="G1512" s="2451"/>
      <c r="H1512" s="2451"/>
      <c r="I1512" s="2451"/>
      <c r="J1512" s="2451"/>
      <c r="K1512" s="2451"/>
      <c r="L1512" s="2451"/>
      <c r="M1512" s="2452"/>
      <c r="N1512" s="2452"/>
      <c r="O1512" s="2452"/>
      <c r="P1512" s="2452"/>
      <c r="Q1512" s="2452"/>
      <c r="W1512" t="s">
        <v>2062</v>
      </c>
    </row>
    <row r="1513" spans="1:23" ht="13.15" customHeight="1">
      <c r="A1513" s="2" t="s">
        <v>2214</v>
      </c>
      <c r="B1513" s="2">
        <f t="shared" si="46"/>
        <v>2020</v>
      </c>
      <c r="C1513" s="2" t="str">
        <f t="shared" si="47"/>
        <v>LIM333</v>
      </c>
      <c r="D1513" s="2">
        <v>895</v>
      </c>
      <c r="F1513" s="2451"/>
      <c r="G1513" s="2451"/>
      <c r="H1513" s="2451"/>
      <c r="I1513" s="2451"/>
      <c r="J1513" s="2451"/>
      <c r="K1513" s="2451"/>
      <c r="L1513" s="2451"/>
      <c r="M1513" s="2452"/>
      <c r="N1513" s="2452"/>
      <c r="O1513" s="2452"/>
      <c r="P1513" s="2452"/>
      <c r="Q1513" s="2452"/>
      <c r="W1513" t="s">
        <v>2062</v>
      </c>
    </row>
    <row r="1514" spans="1:23" ht="13.15" customHeight="1">
      <c r="A1514" s="2" t="s">
        <v>2214</v>
      </c>
      <c r="B1514" s="2">
        <f t="shared" si="46"/>
        <v>2020</v>
      </c>
      <c r="C1514" s="2" t="str">
        <f t="shared" si="47"/>
        <v>LIM333</v>
      </c>
      <c r="D1514" s="2">
        <v>896</v>
      </c>
      <c r="F1514" s="2451"/>
      <c r="G1514" s="2451"/>
      <c r="H1514" s="2451"/>
      <c r="I1514" s="2451"/>
      <c r="J1514" s="2451"/>
      <c r="K1514" s="2451"/>
      <c r="L1514" s="2451"/>
      <c r="M1514" s="2452"/>
      <c r="N1514" s="2452"/>
      <c r="O1514" s="2452"/>
      <c r="P1514" s="2452"/>
      <c r="Q1514" s="2452"/>
      <c r="W1514" t="s">
        <v>2062</v>
      </c>
    </row>
    <row r="1515" spans="1:23" ht="13.15" customHeight="1">
      <c r="A1515" s="2" t="s">
        <v>2214</v>
      </c>
      <c r="B1515" s="2">
        <f t="shared" si="46"/>
        <v>2020</v>
      </c>
      <c r="C1515" s="2" t="str">
        <f t="shared" si="47"/>
        <v>LIM333</v>
      </c>
      <c r="D1515" s="2">
        <v>897</v>
      </c>
      <c r="F1515" s="2451"/>
      <c r="G1515" s="2451"/>
      <c r="H1515" s="2451"/>
      <c r="I1515" s="2451"/>
      <c r="J1515" s="2451"/>
      <c r="K1515" s="2451"/>
      <c r="L1515" s="2451"/>
      <c r="M1515" s="2452"/>
      <c r="N1515" s="2452"/>
      <c r="O1515" s="2452"/>
      <c r="P1515" s="2452"/>
      <c r="Q1515" s="2452"/>
      <c r="W1515" t="s">
        <v>2062</v>
      </c>
    </row>
    <row r="1516" spans="1:23" ht="13.15" customHeight="1">
      <c r="A1516" s="2" t="s">
        <v>2214</v>
      </c>
      <c r="B1516" s="2">
        <f t="shared" si="46"/>
        <v>2020</v>
      </c>
      <c r="C1516" s="2" t="str">
        <f t="shared" si="47"/>
        <v>LIM333</v>
      </c>
      <c r="D1516" s="2">
        <v>898</v>
      </c>
      <c r="F1516" s="2451"/>
      <c r="G1516" s="2451"/>
      <c r="H1516" s="2451"/>
      <c r="I1516" s="2451"/>
      <c r="J1516" s="2451"/>
      <c r="K1516" s="2451"/>
      <c r="L1516" s="2451"/>
      <c r="M1516" s="2452"/>
      <c r="N1516" s="2452"/>
      <c r="O1516" s="2452"/>
      <c r="P1516" s="2452"/>
      <c r="Q1516" s="2452"/>
      <c r="W1516" t="s">
        <v>2062</v>
      </c>
    </row>
    <row r="1517" spans="1:23" ht="13.15" customHeight="1">
      <c r="A1517" s="2" t="s">
        <v>2214</v>
      </c>
      <c r="B1517" s="2">
        <f t="shared" si="46"/>
        <v>2020</v>
      </c>
      <c r="C1517" s="2" t="str">
        <f t="shared" si="47"/>
        <v>LIM333</v>
      </c>
      <c r="D1517" s="2">
        <v>899</v>
      </c>
      <c r="F1517" s="2451"/>
      <c r="G1517" s="2451"/>
      <c r="H1517" s="2451"/>
      <c r="I1517" s="2451"/>
      <c r="J1517" s="2451"/>
      <c r="K1517" s="2451"/>
      <c r="L1517" s="2451"/>
      <c r="M1517" s="2452"/>
      <c r="N1517" s="2452"/>
      <c r="O1517" s="2452"/>
      <c r="P1517" s="2452"/>
      <c r="Q1517" s="2452"/>
      <c r="W1517" t="s">
        <v>2062</v>
      </c>
    </row>
    <row r="1518" spans="1:23" ht="13.15" customHeight="1">
      <c r="A1518" s="2" t="s">
        <v>2214</v>
      </c>
      <c r="B1518" s="2">
        <f t="shared" si="46"/>
        <v>2020</v>
      </c>
      <c r="C1518" s="2" t="str">
        <f t="shared" si="47"/>
        <v>LIM333</v>
      </c>
      <c r="D1518" s="2">
        <v>900</v>
      </c>
      <c r="F1518" s="2451"/>
      <c r="G1518" s="2451"/>
      <c r="H1518" s="2451"/>
      <c r="I1518" s="2451"/>
      <c r="J1518" s="2451"/>
      <c r="K1518" s="2451"/>
      <c r="L1518" s="2451"/>
      <c r="M1518" s="2452"/>
      <c r="N1518" s="2452"/>
      <c r="O1518" s="2452"/>
      <c r="P1518" s="2452"/>
      <c r="Q1518" s="2452"/>
      <c r="W1518" t="s">
        <v>2062</v>
      </c>
    </row>
    <row r="1519" spans="1:23" ht="13.15" customHeight="1">
      <c r="A1519" s="2" t="s">
        <v>2214</v>
      </c>
      <c r="B1519" s="2">
        <f t="shared" si="46"/>
        <v>2020</v>
      </c>
      <c r="C1519" s="2" t="str">
        <f t="shared" si="47"/>
        <v>LIM333</v>
      </c>
      <c r="D1519" s="2">
        <v>901</v>
      </c>
      <c r="F1519" s="2451"/>
      <c r="G1519" s="2451"/>
      <c r="H1519" s="2451"/>
      <c r="I1519" s="2451"/>
      <c r="J1519" s="2451"/>
      <c r="K1519" s="2451"/>
      <c r="L1519" s="2451"/>
      <c r="M1519" s="2452"/>
      <c r="N1519" s="2452"/>
      <c r="O1519" s="2452"/>
      <c r="P1519" s="2452"/>
      <c r="Q1519" s="2452"/>
      <c r="W1519" t="s">
        <v>2062</v>
      </c>
    </row>
    <row r="1520" spans="1:23" ht="13.15" customHeight="1">
      <c r="A1520" s="2" t="s">
        <v>2214</v>
      </c>
      <c r="B1520" s="2">
        <f t="shared" si="46"/>
        <v>2020</v>
      </c>
      <c r="C1520" s="2" t="str">
        <f t="shared" si="47"/>
        <v>LIM333</v>
      </c>
      <c r="D1520" s="2">
        <v>902</v>
      </c>
      <c r="F1520" s="2451"/>
      <c r="G1520" s="2451"/>
      <c r="H1520" s="2451"/>
      <c r="I1520" s="2451"/>
      <c r="J1520" s="2451"/>
      <c r="K1520" s="2451"/>
      <c r="L1520" s="2451"/>
      <c r="M1520" s="2452"/>
      <c r="N1520" s="2452"/>
      <c r="O1520" s="2452"/>
      <c r="P1520" s="2452"/>
      <c r="Q1520" s="2452"/>
      <c r="W1520" t="s">
        <v>2062</v>
      </c>
    </row>
    <row r="1521" spans="1:23" ht="13.15" customHeight="1">
      <c r="A1521" s="2" t="s">
        <v>2214</v>
      </c>
      <c r="B1521" s="2">
        <f t="shared" si="46"/>
        <v>2020</v>
      </c>
      <c r="C1521" s="2" t="str">
        <f t="shared" si="47"/>
        <v>LIM333</v>
      </c>
      <c r="D1521" s="2">
        <v>903</v>
      </c>
      <c r="F1521" s="2451"/>
      <c r="G1521" s="2451"/>
      <c r="H1521" s="2451"/>
      <c r="I1521" s="2451"/>
      <c r="J1521" s="2451"/>
      <c r="K1521" s="2451"/>
      <c r="L1521" s="2451"/>
      <c r="M1521" s="2452"/>
      <c r="N1521" s="2452"/>
      <c r="O1521" s="2452"/>
      <c r="P1521" s="2452"/>
      <c r="Q1521" s="2452"/>
      <c r="W1521" t="s">
        <v>2062</v>
      </c>
    </row>
    <row r="1522" spans="1:23" ht="13.15" customHeight="1">
      <c r="A1522" s="2" t="s">
        <v>2214</v>
      </c>
      <c r="B1522" s="2">
        <f t="shared" si="46"/>
        <v>2020</v>
      </c>
      <c r="C1522" s="2" t="str">
        <f t="shared" si="47"/>
        <v>LIM333</v>
      </c>
      <c r="D1522" s="2">
        <v>904</v>
      </c>
      <c r="F1522" s="2451"/>
      <c r="G1522" s="2451"/>
      <c r="H1522" s="2451"/>
      <c r="I1522" s="2451"/>
      <c r="J1522" s="2451"/>
      <c r="K1522" s="2451"/>
      <c r="L1522" s="2451"/>
      <c r="M1522" s="2452"/>
      <c r="N1522" s="2452"/>
      <c r="O1522" s="2452"/>
      <c r="P1522" s="2452"/>
      <c r="Q1522" s="2452"/>
      <c r="W1522" t="s">
        <v>2062</v>
      </c>
    </row>
    <row r="1523" spans="1:23" ht="13.15" customHeight="1">
      <c r="A1523" s="2" t="s">
        <v>2214</v>
      </c>
      <c r="B1523" s="2">
        <f t="shared" si="46"/>
        <v>2020</v>
      </c>
      <c r="C1523" s="2" t="str">
        <f t="shared" si="47"/>
        <v>LIM333</v>
      </c>
      <c r="D1523" s="2">
        <v>905</v>
      </c>
      <c r="F1523" s="2451"/>
      <c r="G1523" s="2451"/>
      <c r="H1523" s="2451"/>
      <c r="I1523" s="2451"/>
      <c r="J1523" s="2451"/>
      <c r="K1523" s="2451"/>
      <c r="L1523" s="2451"/>
      <c r="M1523" s="2452"/>
      <c r="N1523" s="2452"/>
      <c r="O1523" s="2452"/>
      <c r="P1523" s="2452"/>
      <c r="Q1523" s="2452"/>
      <c r="W1523" t="s">
        <v>2062</v>
      </c>
    </row>
    <row r="1524" spans="1:23" ht="13.15" customHeight="1">
      <c r="A1524" s="2" t="s">
        <v>2214</v>
      </c>
      <c r="B1524" s="2">
        <f t="shared" si="46"/>
        <v>2020</v>
      </c>
      <c r="C1524" s="2" t="str">
        <f t="shared" si="47"/>
        <v>LIM333</v>
      </c>
      <c r="D1524" s="2">
        <v>906</v>
      </c>
      <c r="F1524" s="2451"/>
      <c r="G1524" s="2451"/>
      <c r="H1524" s="2451"/>
      <c r="I1524" s="2451"/>
      <c r="J1524" s="2451"/>
      <c r="K1524" s="2451"/>
      <c r="L1524" s="2451"/>
      <c r="M1524" s="2452"/>
      <c r="N1524" s="2452"/>
      <c r="O1524" s="2452"/>
      <c r="P1524" s="2452"/>
      <c r="Q1524" s="2452"/>
      <c r="W1524" t="s">
        <v>2062</v>
      </c>
    </row>
    <row r="1525" spans="1:23" ht="13.15" customHeight="1">
      <c r="A1525" s="2" t="s">
        <v>2214</v>
      </c>
      <c r="B1525" s="2">
        <f t="shared" si="46"/>
        <v>2020</v>
      </c>
      <c r="C1525" s="2" t="str">
        <f t="shared" si="47"/>
        <v>LIM333</v>
      </c>
      <c r="D1525" s="2">
        <v>907</v>
      </c>
      <c r="F1525" s="2451"/>
      <c r="G1525" s="2451"/>
      <c r="H1525" s="2451"/>
      <c r="I1525" s="2451"/>
      <c r="J1525" s="2451"/>
      <c r="K1525" s="2451"/>
      <c r="L1525" s="2451"/>
      <c r="M1525" s="2452"/>
      <c r="N1525" s="2452"/>
      <c r="O1525" s="2452"/>
      <c r="P1525" s="2452"/>
      <c r="Q1525" s="2452"/>
      <c r="W1525" t="s">
        <v>2062</v>
      </c>
    </row>
    <row r="1526" spans="1:23" ht="13.15" customHeight="1">
      <c r="A1526" s="2" t="s">
        <v>2214</v>
      </c>
      <c r="B1526" s="2">
        <f t="shared" si="46"/>
        <v>2020</v>
      </c>
      <c r="C1526" s="2" t="str">
        <f t="shared" si="47"/>
        <v>LIM333</v>
      </c>
      <c r="D1526" s="2">
        <v>908</v>
      </c>
      <c r="F1526" s="2451"/>
      <c r="G1526" s="2451"/>
      <c r="H1526" s="2451"/>
      <c r="I1526" s="2451"/>
      <c r="J1526" s="2451"/>
      <c r="K1526" s="2451"/>
      <c r="L1526" s="2451"/>
      <c r="M1526" s="2452"/>
      <c r="N1526" s="2452"/>
      <c r="O1526" s="2452"/>
      <c r="P1526" s="2452"/>
      <c r="Q1526" s="2452"/>
      <c r="W1526" t="s">
        <v>2062</v>
      </c>
    </row>
    <row r="1527" spans="1:23" ht="13.15" customHeight="1">
      <c r="A1527" s="2" t="s">
        <v>2214</v>
      </c>
      <c r="B1527" s="2">
        <f t="shared" si="46"/>
        <v>2020</v>
      </c>
      <c r="C1527" s="2" t="str">
        <f t="shared" si="47"/>
        <v>LIM333</v>
      </c>
      <c r="D1527" s="2">
        <v>909</v>
      </c>
      <c r="F1527" s="2451"/>
      <c r="G1527" s="2451"/>
      <c r="H1527" s="2451"/>
      <c r="I1527" s="2451"/>
      <c r="J1527" s="2451"/>
      <c r="K1527" s="2451"/>
      <c r="L1527" s="2451"/>
      <c r="M1527" s="2452"/>
      <c r="N1527" s="2452"/>
      <c r="O1527" s="2452"/>
      <c r="P1527" s="2452"/>
      <c r="Q1527" s="2452"/>
      <c r="W1527" t="s">
        <v>2062</v>
      </c>
    </row>
    <row r="1528" spans="1:23" ht="13.15" customHeight="1">
      <c r="A1528" s="2" t="s">
        <v>2214</v>
      </c>
      <c r="B1528" s="2">
        <f t="shared" si="46"/>
        <v>2020</v>
      </c>
      <c r="C1528" s="2" t="str">
        <f t="shared" si="47"/>
        <v>LIM333</v>
      </c>
      <c r="D1528" s="2">
        <v>910</v>
      </c>
      <c r="F1528" s="2451"/>
      <c r="G1528" s="2451"/>
      <c r="H1528" s="2451"/>
      <c r="I1528" s="2451"/>
      <c r="J1528" s="2451"/>
      <c r="K1528" s="2451"/>
      <c r="L1528" s="2451"/>
      <c r="M1528" s="2452"/>
      <c r="N1528" s="2452"/>
      <c r="O1528" s="2452"/>
      <c r="P1528" s="2452"/>
      <c r="Q1528" s="2452"/>
      <c r="W1528" t="s">
        <v>2062</v>
      </c>
    </row>
    <row r="1529" spans="1:23" ht="13.15" customHeight="1">
      <c r="A1529" s="2" t="s">
        <v>2214</v>
      </c>
      <c r="B1529" s="2">
        <f t="shared" si="46"/>
        <v>2020</v>
      </c>
      <c r="C1529" s="2" t="str">
        <f t="shared" si="47"/>
        <v>LIM333</v>
      </c>
      <c r="D1529" s="2">
        <v>911</v>
      </c>
      <c r="F1529" s="2451"/>
      <c r="G1529" s="2451"/>
      <c r="H1529" s="2451"/>
      <c r="I1529" s="2451"/>
      <c r="J1529" s="2451"/>
      <c r="K1529" s="2451"/>
      <c r="L1529" s="2451"/>
      <c r="M1529" s="2452"/>
      <c r="N1529" s="2452"/>
      <c r="O1529" s="2452"/>
      <c r="P1529" s="2452"/>
      <c r="Q1529" s="2452"/>
      <c r="W1529" t="s">
        <v>2062</v>
      </c>
    </row>
    <row r="1530" spans="1:23" ht="13.15" customHeight="1">
      <c r="A1530" s="2" t="s">
        <v>2214</v>
      </c>
      <c r="B1530" s="2">
        <f t="shared" si="46"/>
        <v>2020</v>
      </c>
      <c r="C1530" s="2" t="str">
        <f t="shared" si="47"/>
        <v>LIM333</v>
      </c>
      <c r="D1530" s="2">
        <v>912</v>
      </c>
      <c r="F1530" s="2451"/>
      <c r="G1530" s="2451"/>
      <c r="H1530" s="2451"/>
      <c r="I1530" s="2451"/>
      <c r="J1530" s="2451"/>
      <c r="K1530" s="2451"/>
      <c r="L1530" s="2451"/>
      <c r="M1530" s="2452"/>
      <c r="N1530" s="2452"/>
      <c r="O1530" s="2452"/>
      <c r="P1530" s="2452"/>
      <c r="Q1530" s="2452"/>
      <c r="W1530" t="s">
        <v>2062</v>
      </c>
    </row>
    <row r="1531" spans="1:23" ht="13.15" customHeight="1">
      <c r="A1531" s="2" t="s">
        <v>2214</v>
      </c>
      <c r="B1531" s="2">
        <f t="shared" si="46"/>
        <v>2020</v>
      </c>
      <c r="C1531" s="2" t="str">
        <f t="shared" si="47"/>
        <v>LIM333</v>
      </c>
      <c r="D1531" s="2">
        <v>913</v>
      </c>
      <c r="F1531" s="2451"/>
      <c r="G1531" s="2451"/>
      <c r="H1531" s="2451"/>
      <c r="I1531" s="2451"/>
      <c r="J1531" s="2451"/>
      <c r="K1531" s="2451"/>
      <c r="L1531" s="2451"/>
      <c r="M1531" s="2452"/>
      <c r="N1531" s="2452"/>
      <c r="O1531" s="2452"/>
      <c r="P1531" s="2452"/>
      <c r="Q1531" s="2452"/>
      <c r="W1531" t="s">
        <v>2062</v>
      </c>
    </row>
    <row r="1532" spans="1:23" ht="13.15" customHeight="1">
      <c r="A1532" s="2" t="s">
        <v>2214</v>
      </c>
      <c r="B1532" s="2">
        <f t="shared" si="46"/>
        <v>2020</v>
      </c>
      <c r="C1532" s="2" t="str">
        <f t="shared" si="47"/>
        <v>LIM333</v>
      </c>
      <c r="D1532" s="2">
        <v>914</v>
      </c>
      <c r="F1532" s="2451"/>
      <c r="G1532" s="2451"/>
      <c r="H1532" s="2451"/>
      <c r="I1532" s="2451"/>
      <c r="J1532" s="2451"/>
      <c r="K1532" s="2451"/>
      <c r="L1532" s="2451"/>
      <c r="M1532" s="2452"/>
      <c r="N1532" s="2452"/>
      <c r="O1532" s="2452"/>
      <c r="P1532" s="2452"/>
      <c r="Q1532" s="2452"/>
      <c r="W1532" t="s">
        <v>2062</v>
      </c>
    </row>
    <row r="1533" spans="1:23" ht="13.15" customHeight="1">
      <c r="A1533" s="2" t="s">
        <v>2214</v>
      </c>
      <c r="B1533" s="2">
        <f t="shared" si="46"/>
        <v>2020</v>
      </c>
      <c r="C1533" s="2" t="str">
        <f t="shared" si="47"/>
        <v>LIM333</v>
      </c>
      <c r="D1533" s="2">
        <v>915</v>
      </c>
      <c r="F1533" s="2451"/>
      <c r="G1533" s="2451"/>
      <c r="H1533" s="2451"/>
      <c r="I1533" s="2451"/>
      <c r="J1533" s="2451"/>
      <c r="K1533" s="2451"/>
      <c r="L1533" s="2451"/>
      <c r="M1533" s="2452"/>
      <c r="N1533" s="2452"/>
      <c r="O1533" s="2452"/>
      <c r="P1533" s="2452"/>
      <c r="Q1533" s="2452"/>
      <c r="W1533" t="s">
        <v>2062</v>
      </c>
    </row>
    <row r="1534" spans="1:23" ht="13.15" customHeight="1">
      <c r="A1534" s="2" t="s">
        <v>2214</v>
      </c>
      <c r="B1534" s="2">
        <f t="shared" si="46"/>
        <v>2020</v>
      </c>
      <c r="C1534" s="2" t="str">
        <f t="shared" si="47"/>
        <v>LIM333</v>
      </c>
      <c r="D1534" s="2">
        <v>916</v>
      </c>
      <c r="F1534" s="2451"/>
      <c r="G1534" s="2451"/>
      <c r="H1534" s="2451"/>
      <c r="I1534" s="2451"/>
      <c r="J1534" s="2451"/>
      <c r="K1534" s="2451"/>
      <c r="L1534" s="2451"/>
      <c r="M1534" s="2452"/>
      <c r="N1534" s="2452"/>
      <c r="O1534" s="2452"/>
      <c r="P1534" s="2452"/>
      <c r="Q1534" s="2452"/>
      <c r="W1534" t="s">
        <v>2062</v>
      </c>
    </row>
    <row r="1535" spans="1:23" ht="13.15" customHeight="1">
      <c r="A1535" s="2" t="s">
        <v>2214</v>
      </c>
      <c r="B1535" s="2">
        <f t="shared" si="46"/>
        <v>2020</v>
      </c>
      <c r="C1535" s="2" t="str">
        <f t="shared" si="47"/>
        <v>LIM333</v>
      </c>
      <c r="D1535" s="2">
        <v>917</v>
      </c>
      <c r="F1535" s="2451"/>
      <c r="G1535" s="2451"/>
      <c r="H1535" s="2451"/>
      <c r="I1535" s="2451"/>
      <c r="J1535" s="2451"/>
      <c r="K1535" s="2451"/>
      <c r="L1535" s="2451"/>
      <c r="M1535" s="2452"/>
      <c r="N1535" s="2452"/>
      <c r="O1535" s="2452"/>
      <c r="P1535" s="2452"/>
      <c r="Q1535" s="2452"/>
      <c r="W1535" t="s">
        <v>2062</v>
      </c>
    </row>
    <row r="1536" spans="1:23" ht="13.15" customHeight="1">
      <c r="A1536" s="2" t="s">
        <v>2214</v>
      </c>
      <c r="B1536" s="2">
        <f t="shared" si="46"/>
        <v>2020</v>
      </c>
      <c r="C1536" s="2" t="str">
        <f t="shared" si="47"/>
        <v>LIM333</v>
      </c>
      <c r="D1536" s="2">
        <v>918</v>
      </c>
      <c r="F1536" s="2451"/>
      <c r="G1536" s="2451"/>
      <c r="H1536" s="2451"/>
      <c r="I1536" s="2451"/>
      <c r="J1536" s="2451"/>
      <c r="K1536" s="2451"/>
      <c r="L1536" s="2451"/>
      <c r="M1536" s="2452"/>
      <c r="N1536" s="2452"/>
      <c r="O1536" s="2452"/>
      <c r="P1536" s="2452"/>
      <c r="Q1536" s="2452"/>
      <c r="W1536" t="s">
        <v>2062</v>
      </c>
    </row>
    <row r="1537" spans="1:23" ht="13.15" customHeight="1">
      <c r="A1537" s="2" t="s">
        <v>2214</v>
      </c>
      <c r="B1537" s="2">
        <f t="shared" si="46"/>
        <v>2020</v>
      </c>
      <c r="C1537" s="2" t="str">
        <f t="shared" si="47"/>
        <v>LIM333</v>
      </c>
      <c r="D1537" s="2">
        <v>919</v>
      </c>
      <c r="F1537" s="2451"/>
      <c r="G1537" s="2451"/>
      <c r="H1537" s="2451"/>
      <c r="I1537" s="2451"/>
      <c r="J1537" s="2451"/>
      <c r="K1537" s="2451"/>
      <c r="L1537" s="2451"/>
      <c r="M1537" s="2452"/>
      <c r="N1537" s="2452"/>
      <c r="O1537" s="2452"/>
      <c r="P1537" s="2452"/>
      <c r="Q1537" s="2452"/>
      <c r="W1537" t="s">
        <v>2062</v>
      </c>
    </row>
    <row r="1538" spans="1:23" ht="13.15" customHeight="1">
      <c r="A1538" s="2" t="s">
        <v>2214</v>
      </c>
      <c r="B1538" s="2">
        <f t="shared" ref="B1538:B1601" si="48">+MTREF</f>
        <v>2020</v>
      </c>
      <c r="C1538" s="2" t="str">
        <f t="shared" ref="C1538:C1601" si="49">LEFT(muni,(FIND(" ",muni,1)-1))</f>
        <v>LIM333</v>
      </c>
      <c r="D1538" s="2">
        <v>920</v>
      </c>
      <c r="F1538" s="2451"/>
      <c r="G1538" s="2451"/>
      <c r="H1538" s="2451"/>
      <c r="I1538" s="2451"/>
      <c r="J1538" s="2451"/>
      <c r="K1538" s="2451"/>
      <c r="L1538" s="2451"/>
      <c r="M1538" s="2452"/>
      <c r="N1538" s="2452"/>
      <c r="O1538" s="2452"/>
      <c r="P1538" s="2452"/>
      <c r="Q1538" s="2452"/>
      <c r="W1538" t="s">
        <v>2062</v>
      </c>
    </row>
    <row r="1539" spans="1:23" ht="13.15" customHeight="1">
      <c r="A1539" s="2" t="s">
        <v>2214</v>
      </c>
      <c r="B1539" s="2">
        <f t="shared" si="48"/>
        <v>2020</v>
      </c>
      <c r="C1539" s="2" t="str">
        <f t="shared" si="49"/>
        <v>LIM333</v>
      </c>
      <c r="D1539" s="2">
        <v>921</v>
      </c>
      <c r="F1539" s="2451"/>
      <c r="G1539" s="2451"/>
      <c r="H1539" s="2451"/>
      <c r="I1539" s="2451"/>
      <c r="J1539" s="2451"/>
      <c r="K1539" s="2451"/>
      <c r="L1539" s="2451"/>
      <c r="M1539" s="2452"/>
      <c r="N1539" s="2452"/>
      <c r="O1539" s="2452"/>
      <c r="P1539" s="2452"/>
      <c r="Q1539" s="2452"/>
      <c r="W1539" t="s">
        <v>2062</v>
      </c>
    </row>
    <row r="1540" spans="1:23" ht="13.15" customHeight="1">
      <c r="A1540" s="2" t="s">
        <v>2214</v>
      </c>
      <c r="B1540" s="2">
        <f t="shared" si="48"/>
        <v>2020</v>
      </c>
      <c r="C1540" s="2" t="str">
        <f t="shared" si="49"/>
        <v>LIM333</v>
      </c>
      <c r="D1540" s="2">
        <v>922</v>
      </c>
      <c r="F1540" s="2451"/>
      <c r="G1540" s="2451"/>
      <c r="H1540" s="2451"/>
      <c r="I1540" s="2451"/>
      <c r="J1540" s="2451"/>
      <c r="K1540" s="2451"/>
      <c r="L1540" s="2451"/>
      <c r="M1540" s="2452"/>
      <c r="N1540" s="2452"/>
      <c r="O1540" s="2452"/>
      <c r="P1540" s="2452"/>
      <c r="Q1540" s="2452"/>
      <c r="W1540" t="s">
        <v>2062</v>
      </c>
    </row>
    <row r="1541" spans="1:23" ht="13.15" customHeight="1">
      <c r="A1541" s="2" t="s">
        <v>2214</v>
      </c>
      <c r="B1541" s="2">
        <f t="shared" si="48"/>
        <v>2020</v>
      </c>
      <c r="C1541" s="2" t="str">
        <f t="shared" si="49"/>
        <v>LIM333</v>
      </c>
      <c r="D1541" s="2">
        <v>923</v>
      </c>
      <c r="F1541" s="2451"/>
      <c r="G1541" s="2451"/>
      <c r="H1541" s="2451"/>
      <c r="I1541" s="2451"/>
      <c r="J1541" s="2451"/>
      <c r="K1541" s="2451"/>
      <c r="L1541" s="2451"/>
      <c r="M1541" s="2452"/>
      <c r="N1541" s="2452"/>
      <c r="O1541" s="2452"/>
      <c r="P1541" s="2452"/>
      <c r="Q1541" s="2452"/>
      <c r="W1541" t="s">
        <v>2062</v>
      </c>
    </row>
    <row r="1542" spans="1:23" ht="13.15" customHeight="1">
      <c r="A1542" s="2" t="s">
        <v>2214</v>
      </c>
      <c r="B1542" s="2">
        <f t="shared" si="48"/>
        <v>2020</v>
      </c>
      <c r="C1542" s="2" t="str">
        <f t="shared" si="49"/>
        <v>LIM333</v>
      </c>
      <c r="D1542" s="2">
        <v>924</v>
      </c>
      <c r="F1542" s="2451"/>
      <c r="G1542" s="2451"/>
      <c r="H1542" s="2451"/>
      <c r="I1542" s="2451"/>
      <c r="J1542" s="2451"/>
      <c r="K1542" s="2451"/>
      <c r="L1542" s="2451"/>
      <c r="M1542" s="2452"/>
      <c r="N1542" s="2452"/>
      <c r="O1542" s="2452"/>
      <c r="P1542" s="2452"/>
      <c r="Q1542" s="2452"/>
      <c r="W1542" t="s">
        <v>2062</v>
      </c>
    </row>
    <row r="1543" spans="1:23" ht="13.15" customHeight="1">
      <c r="A1543" s="2" t="s">
        <v>2214</v>
      </c>
      <c r="B1543" s="2">
        <f t="shared" si="48"/>
        <v>2020</v>
      </c>
      <c r="C1543" s="2" t="str">
        <f t="shared" si="49"/>
        <v>LIM333</v>
      </c>
      <c r="D1543" s="2">
        <v>925</v>
      </c>
      <c r="F1543" s="2451"/>
      <c r="G1543" s="2451"/>
      <c r="H1543" s="2451"/>
      <c r="I1543" s="2451"/>
      <c r="J1543" s="2451"/>
      <c r="K1543" s="2451"/>
      <c r="L1543" s="2451"/>
      <c r="M1543" s="2452"/>
      <c r="N1543" s="2452"/>
      <c r="O1543" s="2452"/>
      <c r="P1543" s="2452"/>
      <c r="Q1543" s="2452"/>
      <c r="W1543" t="s">
        <v>2062</v>
      </c>
    </row>
    <row r="1544" spans="1:23" ht="13.15" customHeight="1">
      <c r="A1544" s="2" t="s">
        <v>2214</v>
      </c>
      <c r="B1544" s="2">
        <f t="shared" si="48"/>
        <v>2020</v>
      </c>
      <c r="C1544" s="2" t="str">
        <f t="shared" si="49"/>
        <v>LIM333</v>
      </c>
      <c r="D1544" s="2">
        <v>926</v>
      </c>
      <c r="F1544" s="2451"/>
      <c r="G1544" s="2451"/>
      <c r="H1544" s="2451"/>
      <c r="I1544" s="2451"/>
      <c r="J1544" s="2451"/>
      <c r="K1544" s="2451"/>
      <c r="L1544" s="2451"/>
      <c r="M1544" s="2452"/>
      <c r="N1544" s="2452"/>
      <c r="O1544" s="2452"/>
      <c r="P1544" s="2452"/>
      <c r="Q1544" s="2452"/>
      <c r="W1544" t="s">
        <v>2062</v>
      </c>
    </row>
    <row r="1545" spans="1:23" ht="13.15" customHeight="1">
      <c r="A1545" s="2" t="s">
        <v>2214</v>
      </c>
      <c r="B1545" s="2">
        <f t="shared" si="48"/>
        <v>2020</v>
      </c>
      <c r="C1545" s="2" t="str">
        <f t="shared" si="49"/>
        <v>LIM333</v>
      </c>
      <c r="D1545" s="2">
        <v>927</v>
      </c>
      <c r="F1545" s="2451"/>
      <c r="G1545" s="2451"/>
      <c r="H1545" s="2451"/>
      <c r="I1545" s="2451"/>
      <c r="J1545" s="2451"/>
      <c r="K1545" s="2451"/>
      <c r="L1545" s="2451"/>
      <c r="M1545" s="2452"/>
      <c r="N1545" s="2452"/>
      <c r="O1545" s="2452"/>
      <c r="P1545" s="2452"/>
      <c r="Q1545" s="2452"/>
      <c r="W1545" t="s">
        <v>2062</v>
      </c>
    </row>
    <row r="1546" spans="1:23" ht="13.15" customHeight="1">
      <c r="A1546" s="2" t="s">
        <v>2214</v>
      </c>
      <c r="B1546" s="2">
        <f t="shared" si="48"/>
        <v>2020</v>
      </c>
      <c r="C1546" s="2" t="str">
        <f t="shared" si="49"/>
        <v>LIM333</v>
      </c>
      <c r="D1546" s="2">
        <v>928</v>
      </c>
      <c r="F1546" s="2451"/>
      <c r="G1546" s="2451"/>
      <c r="H1546" s="2451"/>
      <c r="I1546" s="2451"/>
      <c r="J1546" s="2451"/>
      <c r="K1546" s="2451"/>
      <c r="L1546" s="2451"/>
      <c r="M1546" s="2452"/>
      <c r="N1546" s="2452"/>
      <c r="O1546" s="2452"/>
      <c r="P1546" s="2452"/>
      <c r="Q1546" s="2452"/>
      <c r="W1546" t="s">
        <v>2062</v>
      </c>
    </row>
    <row r="1547" spans="1:23" ht="13.15" customHeight="1">
      <c r="A1547" s="2" t="s">
        <v>2214</v>
      </c>
      <c r="B1547" s="2">
        <f t="shared" si="48"/>
        <v>2020</v>
      </c>
      <c r="C1547" s="2" t="str">
        <f t="shared" si="49"/>
        <v>LIM333</v>
      </c>
      <c r="D1547" s="2">
        <v>929</v>
      </c>
      <c r="F1547" s="2451"/>
      <c r="G1547" s="2451"/>
      <c r="H1547" s="2451"/>
      <c r="I1547" s="2451"/>
      <c r="J1547" s="2451"/>
      <c r="K1547" s="2451"/>
      <c r="L1547" s="2451"/>
      <c r="M1547" s="2452"/>
      <c r="N1547" s="2452"/>
      <c r="O1547" s="2452"/>
      <c r="P1547" s="2452"/>
      <c r="Q1547" s="2452"/>
      <c r="W1547" t="s">
        <v>2062</v>
      </c>
    </row>
    <row r="1548" spans="1:23" ht="13.15" customHeight="1">
      <c r="A1548" s="2" t="s">
        <v>2214</v>
      </c>
      <c r="B1548" s="2">
        <f t="shared" si="48"/>
        <v>2020</v>
      </c>
      <c r="C1548" s="2" t="str">
        <f t="shared" si="49"/>
        <v>LIM333</v>
      </c>
      <c r="D1548" s="2">
        <v>930</v>
      </c>
      <c r="F1548" s="2451"/>
      <c r="G1548" s="2451"/>
      <c r="H1548" s="2451"/>
      <c r="I1548" s="2451"/>
      <c r="J1548" s="2451"/>
      <c r="K1548" s="2451"/>
      <c r="L1548" s="2451"/>
      <c r="M1548" s="2452"/>
      <c r="N1548" s="2452"/>
      <c r="O1548" s="2452"/>
      <c r="P1548" s="2452"/>
      <c r="Q1548" s="2452"/>
      <c r="W1548" t="s">
        <v>2062</v>
      </c>
    </row>
    <row r="1549" spans="1:23" ht="13.15" customHeight="1">
      <c r="A1549" s="2" t="s">
        <v>2214</v>
      </c>
      <c r="B1549" s="2">
        <f t="shared" si="48"/>
        <v>2020</v>
      </c>
      <c r="C1549" s="2" t="str">
        <f t="shared" si="49"/>
        <v>LIM333</v>
      </c>
      <c r="D1549" s="2">
        <v>931</v>
      </c>
      <c r="F1549" s="2451"/>
      <c r="G1549" s="2451"/>
      <c r="H1549" s="2451"/>
      <c r="I1549" s="2451"/>
      <c r="J1549" s="2451"/>
      <c r="K1549" s="2451"/>
      <c r="L1549" s="2451"/>
      <c r="M1549" s="2452"/>
      <c r="N1549" s="2452"/>
      <c r="O1549" s="2452"/>
      <c r="P1549" s="2452"/>
      <c r="Q1549" s="2452"/>
      <c r="W1549" t="s">
        <v>2062</v>
      </c>
    </row>
    <row r="1550" spans="1:23" ht="13.15" customHeight="1">
      <c r="A1550" s="2" t="s">
        <v>2214</v>
      </c>
      <c r="B1550" s="2">
        <f t="shared" si="48"/>
        <v>2020</v>
      </c>
      <c r="C1550" s="2" t="str">
        <f t="shared" si="49"/>
        <v>LIM333</v>
      </c>
      <c r="D1550" s="2">
        <v>932</v>
      </c>
      <c r="F1550" s="2451"/>
      <c r="G1550" s="2451"/>
      <c r="H1550" s="2451"/>
      <c r="I1550" s="2451"/>
      <c r="J1550" s="2451"/>
      <c r="K1550" s="2451"/>
      <c r="L1550" s="2451"/>
      <c r="M1550" s="2452"/>
      <c r="N1550" s="2452"/>
      <c r="O1550" s="2452"/>
      <c r="P1550" s="2452"/>
      <c r="Q1550" s="2452"/>
      <c r="W1550" t="s">
        <v>2062</v>
      </c>
    </row>
    <row r="1551" spans="1:23" ht="13.15" customHeight="1">
      <c r="A1551" s="2" t="s">
        <v>2214</v>
      </c>
      <c r="B1551" s="2">
        <f t="shared" si="48"/>
        <v>2020</v>
      </c>
      <c r="C1551" s="2" t="str">
        <f t="shared" si="49"/>
        <v>LIM333</v>
      </c>
      <c r="D1551" s="2">
        <v>933</v>
      </c>
      <c r="F1551" s="2451"/>
      <c r="G1551" s="2451"/>
      <c r="H1551" s="2451"/>
      <c r="I1551" s="2451"/>
      <c r="J1551" s="2451"/>
      <c r="K1551" s="2451"/>
      <c r="L1551" s="2451"/>
      <c r="M1551" s="2452"/>
      <c r="N1551" s="2452"/>
      <c r="O1551" s="2452"/>
      <c r="P1551" s="2452"/>
      <c r="Q1551" s="2452"/>
      <c r="W1551" t="s">
        <v>2062</v>
      </c>
    </row>
    <row r="1552" spans="1:23" ht="13.15" customHeight="1">
      <c r="A1552" s="2" t="s">
        <v>2214</v>
      </c>
      <c r="B1552" s="2">
        <f t="shared" si="48"/>
        <v>2020</v>
      </c>
      <c r="C1552" s="2" t="str">
        <f t="shared" si="49"/>
        <v>LIM333</v>
      </c>
      <c r="D1552" s="2">
        <v>934</v>
      </c>
      <c r="F1552" s="2451"/>
      <c r="G1552" s="2451"/>
      <c r="H1552" s="2451"/>
      <c r="I1552" s="2451"/>
      <c r="J1552" s="2451"/>
      <c r="K1552" s="2451"/>
      <c r="L1552" s="2451"/>
      <c r="M1552" s="2452"/>
      <c r="N1552" s="2452"/>
      <c r="O1552" s="2452"/>
      <c r="P1552" s="2452"/>
      <c r="Q1552" s="2452"/>
      <c r="W1552" t="s">
        <v>2062</v>
      </c>
    </row>
    <row r="1553" spans="1:23" ht="13.15" customHeight="1">
      <c r="A1553" s="2" t="s">
        <v>2214</v>
      </c>
      <c r="B1553" s="2">
        <f t="shared" si="48"/>
        <v>2020</v>
      </c>
      <c r="C1553" s="2" t="str">
        <f t="shared" si="49"/>
        <v>LIM333</v>
      </c>
      <c r="D1553" s="2">
        <v>935</v>
      </c>
      <c r="F1553" s="2451"/>
      <c r="G1553" s="2451"/>
      <c r="H1553" s="2451"/>
      <c r="I1553" s="2451"/>
      <c r="J1553" s="2451"/>
      <c r="K1553" s="2451"/>
      <c r="L1553" s="2451"/>
      <c r="M1553" s="2452"/>
      <c r="N1553" s="2452"/>
      <c r="O1553" s="2452"/>
      <c r="P1553" s="2452"/>
      <c r="Q1553" s="2452"/>
      <c r="W1553" t="s">
        <v>2062</v>
      </c>
    </row>
    <row r="1554" spans="1:23" ht="13.15" customHeight="1">
      <c r="A1554" s="2" t="s">
        <v>2214</v>
      </c>
      <c r="B1554" s="2">
        <f t="shared" si="48"/>
        <v>2020</v>
      </c>
      <c r="C1554" s="2" t="str">
        <f t="shared" si="49"/>
        <v>LIM333</v>
      </c>
      <c r="D1554" s="2">
        <v>936</v>
      </c>
      <c r="F1554" s="2451"/>
      <c r="G1554" s="2451"/>
      <c r="H1554" s="2451"/>
      <c r="I1554" s="2451"/>
      <c r="J1554" s="2451"/>
      <c r="K1554" s="2451"/>
      <c r="L1554" s="2451"/>
      <c r="M1554" s="2452"/>
      <c r="N1554" s="2452"/>
      <c r="O1554" s="2452"/>
      <c r="P1554" s="2452"/>
      <c r="Q1554" s="2452"/>
      <c r="W1554" t="s">
        <v>2062</v>
      </c>
    </row>
    <row r="1555" spans="1:23" ht="13.15" customHeight="1">
      <c r="A1555" s="2" t="s">
        <v>2214</v>
      </c>
      <c r="B1555" s="2">
        <f t="shared" si="48"/>
        <v>2020</v>
      </c>
      <c r="C1555" s="2" t="str">
        <f t="shared" si="49"/>
        <v>LIM333</v>
      </c>
      <c r="D1555" s="2">
        <v>937</v>
      </c>
      <c r="F1555" s="2451"/>
      <c r="G1555" s="2451"/>
      <c r="H1555" s="2451"/>
      <c r="I1555" s="2451"/>
      <c r="J1555" s="2451"/>
      <c r="K1555" s="2451"/>
      <c r="L1555" s="2451"/>
      <c r="M1555" s="2452"/>
      <c r="N1555" s="2452"/>
      <c r="O1555" s="2452"/>
      <c r="P1555" s="2452"/>
      <c r="Q1555" s="2452"/>
      <c r="W1555" t="s">
        <v>2062</v>
      </c>
    </row>
    <row r="1556" spans="1:23" ht="13.15" customHeight="1">
      <c r="A1556" s="2" t="s">
        <v>2214</v>
      </c>
      <c r="B1556" s="2">
        <f t="shared" si="48"/>
        <v>2020</v>
      </c>
      <c r="C1556" s="2" t="str">
        <f t="shared" si="49"/>
        <v>LIM333</v>
      </c>
      <c r="D1556" s="2">
        <v>938</v>
      </c>
      <c r="F1556" s="2451"/>
      <c r="G1556" s="2451"/>
      <c r="H1556" s="2451"/>
      <c r="I1556" s="2451"/>
      <c r="J1556" s="2451"/>
      <c r="K1556" s="2451"/>
      <c r="L1556" s="2451"/>
      <c r="M1556" s="2452"/>
      <c r="N1556" s="2452"/>
      <c r="O1556" s="2452"/>
      <c r="P1556" s="2452"/>
      <c r="Q1556" s="2452"/>
      <c r="W1556" t="s">
        <v>2062</v>
      </c>
    </row>
    <row r="1557" spans="1:23" ht="13.15" customHeight="1">
      <c r="A1557" s="2" t="s">
        <v>2214</v>
      </c>
      <c r="B1557" s="2">
        <f t="shared" si="48"/>
        <v>2020</v>
      </c>
      <c r="C1557" s="2" t="str">
        <f t="shared" si="49"/>
        <v>LIM333</v>
      </c>
      <c r="D1557" s="2">
        <v>939</v>
      </c>
      <c r="F1557" s="2451"/>
      <c r="G1557" s="2451"/>
      <c r="H1557" s="2451"/>
      <c r="I1557" s="2451"/>
      <c r="J1557" s="2451"/>
      <c r="K1557" s="2451"/>
      <c r="L1557" s="2451"/>
      <c r="M1557" s="2452"/>
      <c r="N1557" s="2452"/>
      <c r="O1557" s="2452"/>
      <c r="P1557" s="2452"/>
      <c r="Q1557" s="2452"/>
      <c r="W1557" t="s">
        <v>2062</v>
      </c>
    </row>
    <row r="1558" spans="1:23" ht="13.15" customHeight="1">
      <c r="A1558" s="2" t="s">
        <v>2214</v>
      </c>
      <c r="B1558" s="2">
        <f t="shared" si="48"/>
        <v>2020</v>
      </c>
      <c r="C1558" s="2" t="str">
        <f t="shared" si="49"/>
        <v>LIM333</v>
      </c>
      <c r="D1558" s="2">
        <v>940</v>
      </c>
      <c r="F1558" s="2451"/>
      <c r="G1558" s="2451"/>
      <c r="H1558" s="2451"/>
      <c r="I1558" s="2451"/>
      <c r="J1558" s="2451"/>
      <c r="K1558" s="2451"/>
      <c r="L1558" s="2451"/>
      <c r="M1558" s="2452"/>
      <c r="N1558" s="2452"/>
      <c r="O1558" s="2452"/>
      <c r="P1558" s="2452"/>
      <c r="Q1558" s="2452"/>
      <c r="W1558" t="s">
        <v>2062</v>
      </c>
    </row>
    <row r="1559" spans="1:23" ht="13.15" customHeight="1">
      <c r="A1559" s="2" t="s">
        <v>2214</v>
      </c>
      <c r="B1559" s="2">
        <f t="shared" si="48"/>
        <v>2020</v>
      </c>
      <c r="C1559" s="2" t="str">
        <f t="shared" si="49"/>
        <v>LIM333</v>
      </c>
      <c r="D1559" s="2">
        <v>941</v>
      </c>
      <c r="F1559" s="2451"/>
      <c r="G1559" s="2451"/>
      <c r="H1559" s="2451"/>
      <c r="I1559" s="2451"/>
      <c r="J1559" s="2451"/>
      <c r="K1559" s="2451"/>
      <c r="L1559" s="2451"/>
      <c r="M1559" s="2452"/>
      <c r="N1559" s="2452"/>
      <c r="O1559" s="2452"/>
      <c r="P1559" s="2452"/>
      <c r="Q1559" s="2452"/>
      <c r="W1559" t="s">
        <v>2062</v>
      </c>
    </row>
    <row r="1560" spans="1:23" ht="13.15" customHeight="1">
      <c r="A1560" s="2" t="s">
        <v>2214</v>
      </c>
      <c r="B1560" s="2">
        <f t="shared" si="48"/>
        <v>2020</v>
      </c>
      <c r="C1560" s="2" t="str">
        <f t="shared" si="49"/>
        <v>LIM333</v>
      </c>
      <c r="D1560" s="2">
        <v>942</v>
      </c>
      <c r="F1560" s="2451"/>
      <c r="G1560" s="2451"/>
      <c r="H1560" s="2451"/>
      <c r="I1560" s="2451"/>
      <c r="J1560" s="2451"/>
      <c r="K1560" s="2451"/>
      <c r="L1560" s="2451"/>
      <c r="M1560" s="2452"/>
      <c r="N1560" s="2452"/>
      <c r="O1560" s="2452"/>
      <c r="P1560" s="2452"/>
      <c r="Q1560" s="2452"/>
      <c r="W1560" t="s">
        <v>2062</v>
      </c>
    </row>
    <row r="1561" spans="1:23" ht="13.15" customHeight="1">
      <c r="A1561" s="2" t="s">
        <v>2214</v>
      </c>
      <c r="B1561" s="2">
        <f t="shared" si="48"/>
        <v>2020</v>
      </c>
      <c r="C1561" s="2" t="str">
        <f t="shared" si="49"/>
        <v>LIM333</v>
      </c>
      <c r="D1561" s="2">
        <v>943</v>
      </c>
      <c r="F1561" s="2451"/>
      <c r="G1561" s="2451"/>
      <c r="H1561" s="2451"/>
      <c r="I1561" s="2451"/>
      <c r="J1561" s="2451"/>
      <c r="K1561" s="2451"/>
      <c r="L1561" s="2451"/>
      <c r="M1561" s="2452"/>
      <c r="N1561" s="2452"/>
      <c r="O1561" s="2452"/>
      <c r="P1561" s="2452"/>
      <c r="Q1561" s="2452"/>
      <c r="W1561" t="s">
        <v>2062</v>
      </c>
    </row>
    <row r="1562" spans="1:23" ht="13.15" customHeight="1">
      <c r="A1562" s="2" t="s">
        <v>2214</v>
      </c>
      <c r="B1562" s="2">
        <f t="shared" si="48"/>
        <v>2020</v>
      </c>
      <c r="C1562" s="2" t="str">
        <f t="shared" si="49"/>
        <v>LIM333</v>
      </c>
      <c r="D1562" s="2">
        <v>944</v>
      </c>
      <c r="F1562" s="2451"/>
      <c r="G1562" s="2451"/>
      <c r="H1562" s="2451"/>
      <c r="I1562" s="2451"/>
      <c r="J1562" s="2451"/>
      <c r="K1562" s="2451"/>
      <c r="L1562" s="2451"/>
      <c r="M1562" s="2452"/>
      <c r="N1562" s="2452"/>
      <c r="O1562" s="2452"/>
      <c r="P1562" s="2452"/>
      <c r="Q1562" s="2452"/>
      <c r="W1562" t="s">
        <v>2062</v>
      </c>
    </row>
    <row r="1563" spans="1:23" ht="13.15" customHeight="1">
      <c r="A1563" s="2" t="s">
        <v>2214</v>
      </c>
      <c r="B1563" s="2">
        <f t="shared" si="48"/>
        <v>2020</v>
      </c>
      <c r="C1563" s="2" t="str">
        <f t="shared" si="49"/>
        <v>LIM333</v>
      </c>
      <c r="D1563" s="2">
        <v>945</v>
      </c>
      <c r="F1563" s="2451"/>
      <c r="G1563" s="2451"/>
      <c r="H1563" s="2451"/>
      <c r="I1563" s="2451"/>
      <c r="J1563" s="2451"/>
      <c r="K1563" s="2451"/>
      <c r="L1563" s="2451"/>
      <c r="M1563" s="2452"/>
      <c r="N1563" s="2452"/>
      <c r="O1563" s="2452"/>
      <c r="P1563" s="2452"/>
      <c r="Q1563" s="2452"/>
      <c r="W1563" t="s">
        <v>2062</v>
      </c>
    </row>
    <row r="1564" spans="1:23" ht="13.15" customHeight="1">
      <c r="A1564" s="2" t="s">
        <v>2214</v>
      </c>
      <c r="B1564" s="2">
        <f t="shared" si="48"/>
        <v>2020</v>
      </c>
      <c r="C1564" s="2" t="str">
        <f t="shared" si="49"/>
        <v>LIM333</v>
      </c>
      <c r="D1564" s="2">
        <v>946</v>
      </c>
      <c r="F1564" s="2451"/>
      <c r="G1564" s="2451"/>
      <c r="H1564" s="2451"/>
      <c r="I1564" s="2451"/>
      <c r="J1564" s="2451"/>
      <c r="K1564" s="2451"/>
      <c r="L1564" s="2451"/>
      <c r="M1564" s="2452"/>
      <c r="N1564" s="2452"/>
      <c r="O1564" s="2452"/>
      <c r="P1564" s="2452"/>
      <c r="Q1564" s="2452"/>
      <c r="W1564" t="s">
        <v>2062</v>
      </c>
    </row>
    <row r="1565" spans="1:23" ht="13.15" customHeight="1">
      <c r="A1565" s="2" t="s">
        <v>2214</v>
      </c>
      <c r="B1565" s="2">
        <f t="shared" si="48"/>
        <v>2020</v>
      </c>
      <c r="C1565" s="2" t="str">
        <f t="shared" si="49"/>
        <v>LIM333</v>
      </c>
      <c r="D1565" s="2">
        <v>947</v>
      </c>
      <c r="F1565" s="2451"/>
      <c r="G1565" s="2451"/>
      <c r="H1565" s="2451"/>
      <c r="I1565" s="2451"/>
      <c r="J1565" s="2451"/>
      <c r="K1565" s="2451"/>
      <c r="L1565" s="2451"/>
      <c r="M1565" s="2452"/>
      <c r="N1565" s="2452"/>
      <c r="O1565" s="2452"/>
      <c r="P1565" s="2452"/>
      <c r="Q1565" s="2452"/>
      <c r="W1565" t="s">
        <v>2062</v>
      </c>
    </row>
    <row r="1566" spans="1:23" ht="13.15" customHeight="1">
      <c r="A1566" s="2" t="s">
        <v>2214</v>
      </c>
      <c r="B1566" s="2">
        <f t="shared" si="48"/>
        <v>2020</v>
      </c>
      <c r="C1566" s="2" t="str">
        <f t="shared" si="49"/>
        <v>LIM333</v>
      </c>
      <c r="D1566" s="2">
        <v>948</v>
      </c>
      <c r="F1566" s="2451"/>
      <c r="G1566" s="2451"/>
      <c r="H1566" s="2451"/>
      <c r="I1566" s="2451"/>
      <c r="J1566" s="2451"/>
      <c r="K1566" s="2451"/>
      <c r="L1566" s="2451"/>
      <c r="M1566" s="2452"/>
      <c r="N1566" s="2452"/>
      <c r="O1566" s="2452"/>
      <c r="P1566" s="2452"/>
      <c r="Q1566" s="2452"/>
      <c r="W1566" t="s">
        <v>2062</v>
      </c>
    </row>
    <row r="1567" spans="1:23" ht="13.15" customHeight="1">
      <c r="A1567" s="2" t="s">
        <v>2214</v>
      </c>
      <c r="B1567" s="2">
        <f t="shared" si="48"/>
        <v>2020</v>
      </c>
      <c r="C1567" s="2" t="str">
        <f t="shared" si="49"/>
        <v>LIM333</v>
      </c>
      <c r="D1567" s="2">
        <v>949</v>
      </c>
      <c r="F1567" s="2451"/>
      <c r="G1567" s="2451"/>
      <c r="H1567" s="2451"/>
      <c r="I1567" s="2451"/>
      <c r="J1567" s="2451"/>
      <c r="K1567" s="2451"/>
      <c r="L1567" s="2451"/>
      <c r="M1567" s="2452"/>
      <c r="N1567" s="2452"/>
      <c r="O1567" s="2452"/>
      <c r="P1567" s="2452"/>
      <c r="Q1567" s="2452"/>
      <c r="W1567" t="s">
        <v>2062</v>
      </c>
    </row>
    <row r="1568" spans="1:23" ht="13.15" customHeight="1">
      <c r="A1568" s="2" t="s">
        <v>2214</v>
      </c>
      <c r="B1568" s="2">
        <f t="shared" si="48"/>
        <v>2020</v>
      </c>
      <c r="C1568" s="2" t="str">
        <f t="shared" si="49"/>
        <v>LIM333</v>
      </c>
      <c r="D1568" s="2">
        <v>950</v>
      </c>
      <c r="F1568" s="2451"/>
      <c r="G1568" s="2451"/>
      <c r="H1568" s="2451"/>
      <c r="I1568" s="2451"/>
      <c r="J1568" s="2451"/>
      <c r="K1568" s="2451"/>
      <c r="L1568" s="2451"/>
      <c r="M1568" s="2452"/>
      <c r="N1568" s="2452"/>
      <c r="O1568" s="2452"/>
      <c r="P1568" s="2452"/>
      <c r="Q1568" s="2452"/>
      <c r="W1568" t="s">
        <v>2062</v>
      </c>
    </row>
    <row r="1569" spans="1:23" ht="13.15" customHeight="1">
      <c r="A1569" s="2" t="s">
        <v>2214</v>
      </c>
      <c r="B1569" s="2">
        <f t="shared" si="48"/>
        <v>2020</v>
      </c>
      <c r="C1569" s="2" t="str">
        <f t="shared" si="49"/>
        <v>LIM333</v>
      </c>
      <c r="D1569" s="2">
        <v>951</v>
      </c>
      <c r="F1569" s="2451"/>
      <c r="G1569" s="2451"/>
      <c r="H1569" s="2451"/>
      <c r="I1569" s="2451"/>
      <c r="J1569" s="2451"/>
      <c r="K1569" s="2451"/>
      <c r="L1569" s="2451"/>
      <c r="M1569" s="2452"/>
      <c r="N1569" s="2452"/>
      <c r="O1569" s="2452"/>
      <c r="P1569" s="2452"/>
      <c r="Q1569" s="2452"/>
      <c r="W1569" t="s">
        <v>2062</v>
      </c>
    </row>
    <row r="1570" spans="1:23" ht="13.15" customHeight="1">
      <c r="A1570" s="2" t="s">
        <v>2214</v>
      </c>
      <c r="B1570" s="2">
        <f t="shared" si="48"/>
        <v>2020</v>
      </c>
      <c r="C1570" s="2" t="str">
        <f t="shared" si="49"/>
        <v>LIM333</v>
      </c>
      <c r="D1570" s="2">
        <v>952</v>
      </c>
      <c r="F1570" s="2451"/>
      <c r="G1570" s="2451"/>
      <c r="H1570" s="2451"/>
      <c r="I1570" s="2451"/>
      <c r="J1570" s="2451"/>
      <c r="K1570" s="2451"/>
      <c r="L1570" s="2451"/>
      <c r="M1570" s="2452"/>
      <c r="N1570" s="2452"/>
      <c r="O1570" s="2452"/>
      <c r="P1570" s="2452"/>
      <c r="Q1570" s="2452"/>
      <c r="W1570" t="s">
        <v>2062</v>
      </c>
    </row>
    <row r="1571" spans="1:23" ht="13.15" customHeight="1">
      <c r="A1571" s="2" t="s">
        <v>2214</v>
      </c>
      <c r="B1571" s="2">
        <f t="shared" si="48"/>
        <v>2020</v>
      </c>
      <c r="C1571" s="2" t="str">
        <f t="shared" si="49"/>
        <v>LIM333</v>
      </c>
      <c r="D1571" s="2">
        <v>953</v>
      </c>
      <c r="F1571" s="2451"/>
      <c r="G1571" s="2451"/>
      <c r="H1571" s="2451"/>
      <c r="I1571" s="2451"/>
      <c r="J1571" s="2451"/>
      <c r="K1571" s="2451"/>
      <c r="L1571" s="2451"/>
      <c r="M1571" s="2452"/>
      <c r="N1571" s="2452"/>
      <c r="O1571" s="2452"/>
      <c r="P1571" s="2452"/>
      <c r="Q1571" s="2452"/>
      <c r="W1571" t="s">
        <v>2062</v>
      </c>
    </row>
    <row r="1572" spans="1:23" ht="13.15" customHeight="1">
      <c r="A1572" s="2" t="s">
        <v>2214</v>
      </c>
      <c r="B1572" s="2">
        <f t="shared" si="48"/>
        <v>2020</v>
      </c>
      <c r="C1572" s="2" t="str">
        <f t="shared" si="49"/>
        <v>LIM333</v>
      </c>
      <c r="D1572" s="2">
        <v>954</v>
      </c>
      <c r="F1572" s="2451"/>
      <c r="G1572" s="2451"/>
      <c r="H1572" s="2451"/>
      <c r="I1572" s="2451"/>
      <c r="J1572" s="2451"/>
      <c r="K1572" s="2451"/>
      <c r="L1572" s="2451"/>
      <c r="M1572" s="2452"/>
      <c r="N1572" s="2452"/>
      <c r="O1572" s="2452"/>
      <c r="P1572" s="2452"/>
      <c r="Q1572" s="2452"/>
      <c r="W1572" t="s">
        <v>2062</v>
      </c>
    </row>
    <row r="1573" spans="1:23" ht="13.15" customHeight="1">
      <c r="A1573" s="2" t="s">
        <v>2214</v>
      </c>
      <c r="B1573" s="2">
        <f t="shared" si="48"/>
        <v>2020</v>
      </c>
      <c r="C1573" s="2" t="str">
        <f t="shared" si="49"/>
        <v>LIM333</v>
      </c>
      <c r="D1573" s="2">
        <v>955</v>
      </c>
      <c r="F1573" s="2451"/>
      <c r="G1573" s="2451"/>
      <c r="H1573" s="2451"/>
      <c r="I1573" s="2451"/>
      <c r="J1573" s="2451"/>
      <c r="K1573" s="2451"/>
      <c r="L1573" s="2451"/>
      <c r="M1573" s="2452"/>
      <c r="N1573" s="2452"/>
      <c r="O1573" s="2452"/>
      <c r="P1573" s="2452"/>
      <c r="Q1573" s="2452"/>
      <c r="W1573" t="s">
        <v>2062</v>
      </c>
    </row>
    <row r="1574" spans="1:23" ht="13.15" customHeight="1">
      <c r="A1574" s="2" t="s">
        <v>2214</v>
      </c>
      <c r="B1574" s="2">
        <f t="shared" si="48"/>
        <v>2020</v>
      </c>
      <c r="C1574" s="2" t="str">
        <f t="shared" si="49"/>
        <v>LIM333</v>
      </c>
      <c r="D1574" s="2">
        <v>956</v>
      </c>
      <c r="F1574" s="2451"/>
      <c r="G1574" s="2451"/>
      <c r="H1574" s="2451"/>
      <c r="I1574" s="2451"/>
      <c r="J1574" s="2451"/>
      <c r="K1574" s="2451"/>
      <c r="L1574" s="2451"/>
      <c r="M1574" s="2452"/>
      <c r="N1574" s="2452"/>
      <c r="O1574" s="2452"/>
      <c r="P1574" s="2452"/>
      <c r="Q1574" s="2452"/>
      <c r="W1574" t="s">
        <v>2062</v>
      </c>
    </row>
    <row r="1575" spans="1:23" ht="13.15" customHeight="1">
      <c r="A1575" s="2" t="s">
        <v>2214</v>
      </c>
      <c r="B1575" s="2">
        <f t="shared" si="48"/>
        <v>2020</v>
      </c>
      <c r="C1575" s="2" t="str">
        <f t="shared" si="49"/>
        <v>LIM333</v>
      </c>
      <c r="D1575" s="2">
        <v>957</v>
      </c>
      <c r="F1575" s="2451"/>
      <c r="G1575" s="2451"/>
      <c r="H1575" s="2451"/>
      <c r="I1575" s="2451"/>
      <c r="J1575" s="2451"/>
      <c r="K1575" s="2451"/>
      <c r="L1575" s="2451"/>
      <c r="M1575" s="2452"/>
      <c r="N1575" s="2452"/>
      <c r="O1575" s="2452"/>
      <c r="P1575" s="2452"/>
      <c r="Q1575" s="2452"/>
      <c r="W1575" t="s">
        <v>2062</v>
      </c>
    </row>
    <row r="1576" spans="1:23" ht="13.15" customHeight="1">
      <c r="A1576" s="2" t="s">
        <v>2214</v>
      </c>
      <c r="B1576" s="2">
        <f t="shared" si="48"/>
        <v>2020</v>
      </c>
      <c r="C1576" s="2" t="str">
        <f t="shared" si="49"/>
        <v>LIM333</v>
      </c>
      <c r="D1576" s="2">
        <v>958</v>
      </c>
      <c r="F1576" s="2451"/>
      <c r="G1576" s="2451"/>
      <c r="H1576" s="2451"/>
      <c r="I1576" s="2451"/>
      <c r="J1576" s="2451"/>
      <c r="K1576" s="2451"/>
      <c r="L1576" s="2451"/>
      <c r="M1576" s="2452"/>
      <c r="N1576" s="2452"/>
      <c r="O1576" s="2452"/>
      <c r="P1576" s="2452"/>
      <c r="Q1576" s="2452"/>
      <c r="W1576" t="s">
        <v>2062</v>
      </c>
    </row>
    <row r="1577" spans="1:23" ht="13.15" customHeight="1">
      <c r="A1577" s="2" t="s">
        <v>2214</v>
      </c>
      <c r="B1577" s="2">
        <f t="shared" si="48"/>
        <v>2020</v>
      </c>
      <c r="C1577" s="2" t="str">
        <f t="shared" si="49"/>
        <v>LIM333</v>
      </c>
      <c r="D1577" s="2">
        <v>959</v>
      </c>
      <c r="F1577" s="2451"/>
      <c r="G1577" s="2451"/>
      <c r="H1577" s="2451"/>
      <c r="I1577" s="2451"/>
      <c r="J1577" s="2451"/>
      <c r="K1577" s="2451"/>
      <c r="L1577" s="2451"/>
      <c r="M1577" s="2452"/>
      <c r="N1577" s="2452"/>
      <c r="O1577" s="2452"/>
      <c r="P1577" s="2452"/>
      <c r="Q1577" s="2452"/>
      <c r="W1577" t="s">
        <v>2062</v>
      </c>
    </row>
    <row r="1578" spans="1:23" ht="13.15" customHeight="1">
      <c r="A1578" s="2" t="s">
        <v>2214</v>
      </c>
      <c r="B1578" s="2">
        <f t="shared" si="48"/>
        <v>2020</v>
      </c>
      <c r="C1578" s="2" t="str">
        <f t="shared" si="49"/>
        <v>LIM333</v>
      </c>
      <c r="D1578" s="2">
        <v>960</v>
      </c>
      <c r="F1578" s="2451"/>
      <c r="G1578" s="2451"/>
      <c r="H1578" s="2451"/>
      <c r="I1578" s="2451"/>
      <c r="J1578" s="2451"/>
      <c r="K1578" s="2451"/>
      <c r="L1578" s="2451"/>
      <c r="M1578" s="2452"/>
      <c r="N1578" s="2452"/>
      <c r="O1578" s="2452"/>
      <c r="P1578" s="2452"/>
      <c r="Q1578" s="2452"/>
      <c r="W1578" t="s">
        <v>2062</v>
      </c>
    </row>
    <row r="1579" spans="1:23" ht="13.15" customHeight="1">
      <c r="A1579" s="2" t="s">
        <v>2214</v>
      </c>
      <c r="B1579" s="2">
        <f t="shared" si="48"/>
        <v>2020</v>
      </c>
      <c r="C1579" s="2" t="str">
        <f t="shared" si="49"/>
        <v>LIM333</v>
      </c>
      <c r="D1579" s="2">
        <v>961</v>
      </c>
      <c r="F1579" s="2451"/>
      <c r="G1579" s="2451"/>
      <c r="H1579" s="2451"/>
      <c r="I1579" s="2451"/>
      <c r="J1579" s="2451"/>
      <c r="K1579" s="2451"/>
      <c r="L1579" s="2451"/>
      <c r="M1579" s="2452"/>
      <c r="N1579" s="2452"/>
      <c r="O1579" s="2452"/>
      <c r="P1579" s="2452"/>
      <c r="Q1579" s="2452"/>
      <c r="W1579" t="s">
        <v>2062</v>
      </c>
    </row>
    <row r="1580" spans="1:23" ht="13.15" customHeight="1">
      <c r="A1580" s="2" t="s">
        <v>2214</v>
      </c>
      <c r="B1580" s="2">
        <f t="shared" si="48"/>
        <v>2020</v>
      </c>
      <c r="C1580" s="2" t="str">
        <f t="shared" si="49"/>
        <v>LIM333</v>
      </c>
      <c r="D1580" s="2">
        <v>962</v>
      </c>
      <c r="F1580" s="2451"/>
      <c r="G1580" s="2451"/>
      <c r="H1580" s="2451"/>
      <c r="I1580" s="2451"/>
      <c r="J1580" s="2451"/>
      <c r="K1580" s="2451"/>
      <c r="L1580" s="2451"/>
      <c r="M1580" s="2452"/>
      <c r="N1580" s="2452"/>
      <c r="O1580" s="2452"/>
      <c r="P1580" s="2452"/>
      <c r="Q1580" s="2452"/>
      <c r="W1580" t="s">
        <v>2062</v>
      </c>
    </row>
    <row r="1581" spans="1:23" ht="13.15" customHeight="1">
      <c r="A1581" s="2" t="s">
        <v>2214</v>
      </c>
      <c r="B1581" s="2">
        <f t="shared" si="48"/>
        <v>2020</v>
      </c>
      <c r="C1581" s="2" t="str">
        <f t="shared" si="49"/>
        <v>LIM333</v>
      </c>
      <c r="D1581" s="2">
        <v>963</v>
      </c>
      <c r="F1581" s="2451"/>
      <c r="G1581" s="2451"/>
      <c r="H1581" s="2451"/>
      <c r="I1581" s="2451"/>
      <c r="J1581" s="2451"/>
      <c r="K1581" s="2451"/>
      <c r="L1581" s="2451"/>
      <c r="M1581" s="2452"/>
      <c r="N1581" s="2452"/>
      <c r="O1581" s="2452"/>
      <c r="P1581" s="2452"/>
      <c r="Q1581" s="2452"/>
      <c r="W1581" t="s">
        <v>2062</v>
      </c>
    </row>
    <row r="1582" spans="1:23" ht="13.15" customHeight="1">
      <c r="A1582" s="2" t="s">
        <v>2214</v>
      </c>
      <c r="B1582" s="2">
        <f t="shared" si="48"/>
        <v>2020</v>
      </c>
      <c r="C1582" s="2" t="str">
        <f t="shared" si="49"/>
        <v>LIM333</v>
      </c>
      <c r="D1582" s="2">
        <v>964</v>
      </c>
      <c r="F1582" s="2451"/>
      <c r="G1582" s="2451"/>
      <c r="H1582" s="2451"/>
      <c r="I1582" s="2451"/>
      <c r="J1582" s="2451"/>
      <c r="K1582" s="2451"/>
      <c r="L1582" s="2451"/>
      <c r="M1582" s="2452"/>
      <c r="N1582" s="2452"/>
      <c r="O1582" s="2452"/>
      <c r="P1582" s="2452"/>
      <c r="Q1582" s="2452"/>
      <c r="W1582" t="s">
        <v>2062</v>
      </c>
    </row>
    <row r="1583" spans="1:23" ht="13.15" customHeight="1">
      <c r="A1583" s="2" t="s">
        <v>2214</v>
      </c>
      <c r="B1583" s="2">
        <f t="shared" si="48"/>
        <v>2020</v>
      </c>
      <c r="C1583" s="2" t="str">
        <f t="shared" si="49"/>
        <v>LIM333</v>
      </c>
      <c r="D1583" s="2">
        <v>965</v>
      </c>
      <c r="F1583" s="2451"/>
      <c r="G1583" s="2451"/>
      <c r="H1583" s="2451"/>
      <c r="I1583" s="2451"/>
      <c r="J1583" s="2451"/>
      <c r="K1583" s="2451"/>
      <c r="L1583" s="2451"/>
      <c r="M1583" s="2452"/>
      <c r="N1583" s="2452"/>
      <c r="O1583" s="2452"/>
      <c r="P1583" s="2452"/>
      <c r="Q1583" s="2452"/>
      <c r="W1583" t="s">
        <v>2062</v>
      </c>
    </row>
    <row r="1584" spans="1:23" ht="13.15" customHeight="1">
      <c r="A1584" s="2" t="s">
        <v>2214</v>
      </c>
      <c r="B1584" s="2">
        <f t="shared" si="48"/>
        <v>2020</v>
      </c>
      <c r="C1584" s="2" t="str">
        <f t="shared" si="49"/>
        <v>LIM333</v>
      </c>
      <c r="D1584" s="2">
        <v>966</v>
      </c>
      <c r="F1584" s="2451"/>
      <c r="G1584" s="2451"/>
      <c r="H1584" s="2451"/>
      <c r="I1584" s="2451"/>
      <c r="J1584" s="2451"/>
      <c r="K1584" s="2451"/>
      <c r="L1584" s="2451"/>
      <c r="M1584" s="2452"/>
      <c r="N1584" s="2452"/>
      <c r="O1584" s="2452"/>
      <c r="P1584" s="2452"/>
      <c r="Q1584" s="2452"/>
      <c r="W1584" t="s">
        <v>2062</v>
      </c>
    </row>
    <row r="1585" spans="1:23" ht="13.15" customHeight="1">
      <c r="A1585" s="2" t="s">
        <v>2214</v>
      </c>
      <c r="B1585" s="2">
        <f t="shared" si="48"/>
        <v>2020</v>
      </c>
      <c r="C1585" s="2" t="str">
        <f t="shared" si="49"/>
        <v>LIM333</v>
      </c>
      <c r="D1585" s="2">
        <v>967</v>
      </c>
      <c r="F1585" s="2451"/>
      <c r="G1585" s="2451"/>
      <c r="H1585" s="2451"/>
      <c r="I1585" s="2451"/>
      <c r="J1585" s="2451"/>
      <c r="K1585" s="2451"/>
      <c r="L1585" s="2451"/>
      <c r="M1585" s="2452"/>
      <c r="N1585" s="2452"/>
      <c r="O1585" s="2452"/>
      <c r="P1585" s="2452"/>
      <c r="Q1585" s="2452"/>
      <c r="W1585" t="s">
        <v>2062</v>
      </c>
    </row>
    <row r="1586" spans="1:23" ht="13.15" customHeight="1">
      <c r="A1586" s="2" t="s">
        <v>2214</v>
      </c>
      <c r="B1586" s="2">
        <f t="shared" si="48"/>
        <v>2020</v>
      </c>
      <c r="C1586" s="2" t="str">
        <f t="shared" si="49"/>
        <v>LIM333</v>
      </c>
      <c r="D1586" s="2">
        <v>968</v>
      </c>
      <c r="F1586" s="2451"/>
      <c r="G1586" s="2451"/>
      <c r="H1586" s="2451"/>
      <c r="I1586" s="2451"/>
      <c r="J1586" s="2451"/>
      <c r="K1586" s="2451"/>
      <c r="L1586" s="2451"/>
      <c r="M1586" s="2452"/>
      <c r="N1586" s="2452"/>
      <c r="O1586" s="2452"/>
      <c r="P1586" s="2452"/>
      <c r="Q1586" s="2452"/>
      <c r="W1586" t="s">
        <v>2062</v>
      </c>
    </row>
    <row r="1587" spans="1:23" ht="13.15" customHeight="1">
      <c r="A1587" s="2" t="s">
        <v>2214</v>
      </c>
      <c r="B1587" s="2">
        <f t="shared" si="48"/>
        <v>2020</v>
      </c>
      <c r="C1587" s="2" t="str">
        <f t="shared" si="49"/>
        <v>LIM333</v>
      </c>
      <c r="D1587" s="2">
        <v>969</v>
      </c>
      <c r="F1587" s="2451"/>
      <c r="G1587" s="2451"/>
      <c r="H1587" s="2451"/>
      <c r="I1587" s="2451"/>
      <c r="J1587" s="2451"/>
      <c r="K1587" s="2451"/>
      <c r="L1587" s="2451"/>
      <c r="M1587" s="2452"/>
      <c r="N1587" s="2452"/>
      <c r="O1587" s="2452"/>
      <c r="P1587" s="2452"/>
      <c r="Q1587" s="2452"/>
      <c r="W1587" t="s">
        <v>2062</v>
      </c>
    </row>
    <row r="1588" spans="1:23" ht="13.15" customHeight="1">
      <c r="A1588" s="2" t="s">
        <v>2214</v>
      </c>
      <c r="B1588" s="2">
        <f t="shared" si="48"/>
        <v>2020</v>
      </c>
      <c r="C1588" s="2" t="str">
        <f t="shared" si="49"/>
        <v>LIM333</v>
      </c>
      <c r="D1588" s="2">
        <v>970</v>
      </c>
      <c r="F1588" s="2451"/>
      <c r="G1588" s="2451"/>
      <c r="H1588" s="2451"/>
      <c r="I1588" s="2451"/>
      <c r="J1588" s="2451"/>
      <c r="K1588" s="2451"/>
      <c r="L1588" s="2451"/>
      <c r="M1588" s="2452"/>
      <c r="N1588" s="2452"/>
      <c r="O1588" s="2452"/>
      <c r="P1588" s="2452"/>
      <c r="Q1588" s="2452"/>
      <c r="W1588" t="s">
        <v>2062</v>
      </c>
    </row>
    <row r="1589" spans="1:23" ht="13.15" customHeight="1">
      <c r="A1589" s="2" t="s">
        <v>2214</v>
      </c>
      <c r="B1589" s="2">
        <f t="shared" si="48"/>
        <v>2020</v>
      </c>
      <c r="C1589" s="2" t="str">
        <f t="shared" si="49"/>
        <v>LIM333</v>
      </c>
      <c r="D1589" s="2">
        <v>971</v>
      </c>
      <c r="F1589" s="2451"/>
      <c r="G1589" s="2451"/>
      <c r="H1589" s="2451"/>
      <c r="I1589" s="2451"/>
      <c r="J1589" s="2451"/>
      <c r="K1589" s="2451"/>
      <c r="L1589" s="2451"/>
      <c r="M1589" s="2452"/>
      <c r="N1589" s="2452"/>
      <c r="O1589" s="2452"/>
      <c r="P1589" s="2452"/>
      <c r="Q1589" s="2452"/>
      <c r="W1589" t="s">
        <v>2062</v>
      </c>
    </row>
    <row r="1590" spans="1:23" ht="13.15" customHeight="1">
      <c r="A1590" s="2" t="s">
        <v>2214</v>
      </c>
      <c r="B1590" s="2">
        <f t="shared" si="48"/>
        <v>2020</v>
      </c>
      <c r="C1590" s="2" t="str">
        <f t="shared" si="49"/>
        <v>LIM333</v>
      </c>
      <c r="D1590" s="2">
        <v>972</v>
      </c>
      <c r="F1590" s="2451"/>
      <c r="G1590" s="2451"/>
      <c r="H1590" s="2451"/>
      <c r="I1590" s="2451"/>
      <c r="J1590" s="2451"/>
      <c r="K1590" s="2451"/>
      <c r="L1590" s="2451"/>
      <c r="M1590" s="2452"/>
      <c r="N1590" s="2452"/>
      <c r="O1590" s="2452"/>
      <c r="P1590" s="2452"/>
      <c r="Q1590" s="2452"/>
      <c r="W1590" t="s">
        <v>2062</v>
      </c>
    </row>
    <row r="1591" spans="1:23" ht="13.15" customHeight="1">
      <c r="A1591" s="2" t="s">
        <v>2214</v>
      </c>
      <c r="B1591" s="2">
        <f t="shared" si="48"/>
        <v>2020</v>
      </c>
      <c r="C1591" s="2" t="str">
        <f t="shared" si="49"/>
        <v>LIM333</v>
      </c>
      <c r="D1591" s="2">
        <v>973</v>
      </c>
      <c r="F1591" s="2451"/>
      <c r="G1591" s="2451"/>
      <c r="H1591" s="2451"/>
      <c r="I1591" s="2451"/>
      <c r="J1591" s="2451"/>
      <c r="K1591" s="2451"/>
      <c r="L1591" s="2451"/>
      <c r="M1591" s="2452"/>
      <c r="N1591" s="2452"/>
      <c r="O1591" s="2452"/>
      <c r="P1591" s="2452"/>
      <c r="Q1591" s="2452"/>
      <c r="W1591" t="s">
        <v>2062</v>
      </c>
    </row>
    <row r="1592" spans="1:23" ht="13.15" customHeight="1">
      <c r="A1592" s="2" t="s">
        <v>2214</v>
      </c>
      <c r="B1592" s="2">
        <f t="shared" si="48"/>
        <v>2020</v>
      </c>
      <c r="C1592" s="2" t="str">
        <f t="shared" si="49"/>
        <v>LIM333</v>
      </c>
      <c r="D1592" s="2">
        <v>974</v>
      </c>
      <c r="F1592" s="2451"/>
      <c r="G1592" s="2451"/>
      <c r="H1592" s="2451"/>
      <c r="I1592" s="2451"/>
      <c r="J1592" s="2451"/>
      <c r="K1592" s="2451"/>
      <c r="L1592" s="2451"/>
      <c r="M1592" s="2452"/>
      <c r="N1592" s="2452"/>
      <c r="O1592" s="2452"/>
      <c r="P1592" s="2452"/>
      <c r="Q1592" s="2452"/>
      <c r="W1592" t="s">
        <v>2062</v>
      </c>
    </row>
    <row r="1593" spans="1:23" ht="13.15" customHeight="1">
      <c r="A1593" s="2" t="s">
        <v>2214</v>
      </c>
      <c r="B1593" s="2">
        <f t="shared" si="48"/>
        <v>2020</v>
      </c>
      <c r="C1593" s="2" t="str">
        <f t="shared" si="49"/>
        <v>LIM333</v>
      </c>
      <c r="D1593" s="2">
        <v>975</v>
      </c>
      <c r="F1593" s="2451"/>
      <c r="G1593" s="2451"/>
      <c r="H1593" s="2451"/>
      <c r="I1593" s="2451"/>
      <c r="J1593" s="2451"/>
      <c r="K1593" s="2451"/>
      <c r="L1593" s="2451"/>
      <c r="M1593" s="2452"/>
      <c r="N1593" s="2452"/>
      <c r="O1593" s="2452"/>
      <c r="P1593" s="2452"/>
      <c r="Q1593" s="2452"/>
      <c r="W1593" t="s">
        <v>2062</v>
      </c>
    </row>
    <row r="1594" spans="1:23" ht="13.15" customHeight="1">
      <c r="A1594" s="2" t="s">
        <v>2214</v>
      </c>
      <c r="B1594" s="2">
        <f t="shared" si="48"/>
        <v>2020</v>
      </c>
      <c r="C1594" s="2" t="str">
        <f t="shared" si="49"/>
        <v>LIM333</v>
      </c>
      <c r="D1594" s="2">
        <v>976</v>
      </c>
      <c r="F1594" s="2451"/>
      <c r="G1594" s="2451"/>
      <c r="H1594" s="2451"/>
      <c r="I1594" s="2451"/>
      <c r="J1594" s="2451"/>
      <c r="K1594" s="2451"/>
      <c r="L1594" s="2451"/>
      <c r="M1594" s="2452"/>
      <c r="N1594" s="2452"/>
      <c r="O1594" s="2452"/>
      <c r="P1594" s="2452"/>
      <c r="Q1594" s="2452"/>
      <c r="W1594" t="s">
        <v>2062</v>
      </c>
    </row>
    <row r="1595" spans="1:23" ht="13.15" customHeight="1">
      <c r="A1595" s="2" t="s">
        <v>2214</v>
      </c>
      <c r="B1595" s="2">
        <f t="shared" si="48"/>
        <v>2020</v>
      </c>
      <c r="C1595" s="2" t="str">
        <f t="shared" si="49"/>
        <v>LIM333</v>
      </c>
      <c r="D1595" s="2">
        <v>977</v>
      </c>
      <c r="F1595" s="2451"/>
      <c r="G1595" s="2451"/>
      <c r="H1595" s="2451"/>
      <c r="I1595" s="2451"/>
      <c r="J1595" s="2451"/>
      <c r="K1595" s="2451"/>
      <c r="L1595" s="2451"/>
      <c r="M1595" s="2452"/>
      <c r="N1595" s="2452"/>
      <c r="O1595" s="2452"/>
      <c r="P1595" s="2452"/>
      <c r="Q1595" s="2452"/>
      <c r="W1595" t="s">
        <v>2062</v>
      </c>
    </row>
    <row r="1596" spans="1:23" ht="13.15" customHeight="1">
      <c r="A1596" s="2" t="s">
        <v>2214</v>
      </c>
      <c r="B1596" s="2">
        <f t="shared" si="48"/>
        <v>2020</v>
      </c>
      <c r="C1596" s="2" t="str">
        <f t="shared" si="49"/>
        <v>LIM333</v>
      </c>
      <c r="D1596" s="2">
        <v>978</v>
      </c>
      <c r="F1596" s="2451"/>
      <c r="G1596" s="2451"/>
      <c r="H1596" s="2451"/>
      <c r="I1596" s="2451"/>
      <c r="J1596" s="2451"/>
      <c r="K1596" s="2451"/>
      <c r="L1596" s="2451"/>
      <c r="M1596" s="2452"/>
      <c r="N1596" s="2452"/>
      <c r="O1596" s="2452"/>
      <c r="P1596" s="2452"/>
      <c r="Q1596" s="2452"/>
      <c r="W1596" t="s">
        <v>2062</v>
      </c>
    </row>
    <row r="1597" spans="1:23" ht="13.15" customHeight="1">
      <c r="A1597" s="2" t="s">
        <v>2214</v>
      </c>
      <c r="B1597" s="2">
        <f t="shared" si="48"/>
        <v>2020</v>
      </c>
      <c r="C1597" s="2" t="str">
        <f t="shared" si="49"/>
        <v>LIM333</v>
      </c>
      <c r="D1597" s="2">
        <v>979</v>
      </c>
      <c r="F1597" s="2451"/>
      <c r="G1597" s="2451"/>
      <c r="H1597" s="2451"/>
      <c r="I1597" s="2451"/>
      <c r="J1597" s="2451"/>
      <c r="K1597" s="2451"/>
      <c r="L1597" s="2451"/>
      <c r="M1597" s="2452"/>
      <c r="N1597" s="2452"/>
      <c r="O1597" s="2452"/>
      <c r="P1597" s="2452"/>
      <c r="Q1597" s="2452"/>
      <c r="W1597" t="s">
        <v>2062</v>
      </c>
    </row>
    <row r="1598" spans="1:23" ht="13.15" customHeight="1">
      <c r="A1598" s="2" t="s">
        <v>2214</v>
      </c>
      <c r="B1598" s="2">
        <f t="shared" si="48"/>
        <v>2020</v>
      </c>
      <c r="C1598" s="2" t="str">
        <f t="shared" si="49"/>
        <v>LIM333</v>
      </c>
      <c r="D1598" s="2">
        <v>980</v>
      </c>
      <c r="F1598" s="2451"/>
      <c r="G1598" s="2451"/>
      <c r="H1598" s="2451"/>
      <c r="I1598" s="2451"/>
      <c r="J1598" s="2451"/>
      <c r="K1598" s="2451"/>
      <c r="L1598" s="2451"/>
      <c r="M1598" s="2452"/>
      <c r="N1598" s="2452"/>
      <c r="O1598" s="2452"/>
      <c r="P1598" s="2452"/>
      <c r="Q1598" s="2452"/>
      <c r="W1598" t="s">
        <v>2062</v>
      </c>
    </row>
    <row r="1599" spans="1:23" ht="13.15" customHeight="1">
      <c r="A1599" s="2" t="s">
        <v>2214</v>
      </c>
      <c r="B1599" s="2">
        <f t="shared" si="48"/>
        <v>2020</v>
      </c>
      <c r="C1599" s="2" t="str">
        <f t="shared" si="49"/>
        <v>LIM333</v>
      </c>
      <c r="D1599" s="2">
        <v>981</v>
      </c>
      <c r="F1599" s="2451"/>
      <c r="G1599" s="2451"/>
      <c r="H1599" s="2451"/>
      <c r="I1599" s="2451"/>
      <c r="J1599" s="2451"/>
      <c r="K1599" s="2451"/>
      <c r="L1599" s="2451"/>
      <c r="M1599" s="2452"/>
      <c r="N1599" s="2452"/>
      <c r="O1599" s="2452"/>
      <c r="P1599" s="2452"/>
      <c r="Q1599" s="2452"/>
      <c r="W1599" t="s">
        <v>2062</v>
      </c>
    </row>
    <row r="1600" spans="1:23" ht="13.15" customHeight="1">
      <c r="A1600" s="2" t="s">
        <v>2214</v>
      </c>
      <c r="B1600" s="2">
        <f t="shared" si="48"/>
        <v>2020</v>
      </c>
      <c r="C1600" s="2" t="str">
        <f t="shared" si="49"/>
        <v>LIM333</v>
      </c>
      <c r="D1600" s="2">
        <v>982</v>
      </c>
      <c r="F1600" s="2451"/>
      <c r="G1600" s="2451"/>
      <c r="H1600" s="2451"/>
      <c r="I1600" s="2451"/>
      <c r="J1600" s="2451"/>
      <c r="K1600" s="2451"/>
      <c r="L1600" s="2451"/>
      <c r="M1600" s="2452"/>
      <c r="N1600" s="2452"/>
      <c r="O1600" s="2452"/>
      <c r="P1600" s="2452"/>
      <c r="Q1600" s="2452"/>
      <c r="W1600" t="s">
        <v>2062</v>
      </c>
    </row>
    <row r="1601" spans="1:23" ht="13.15" customHeight="1">
      <c r="A1601" s="2" t="s">
        <v>2214</v>
      </c>
      <c r="B1601" s="2">
        <f t="shared" si="48"/>
        <v>2020</v>
      </c>
      <c r="C1601" s="2" t="str">
        <f t="shared" si="49"/>
        <v>LIM333</v>
      </c>
      <c r="D1601" s="2">
        <v>983</v>
      </c>
      <c r="F1601" s="2451"/>
      <c r="G1601" s="2451"/>
      <c r="H1601" s="2451"/>
      <c r="I1601" s="2451"/>
      <c r="J1601" s="2451"/>
      <c r="K1601" s="2451"/>
      <c r="L1601" s="2451"/>
      <c r="M1601" s="2452"/>
      <c r="N1601" s="2452"/>
      <c r="O1601" s="2452"/>
      <c r="P1601" s="2452"/>
      <c r="Q1601" s="2452"/>
      <c r="W1601" t="s">
        <v>2062</v>
      </c>
    </row>
    <row r="1602" spans="1:23" ht="13.15" customHeight="1">
      <c r="A1602" s="2" t="s">
        <v>2214</v>
      </c>
      <c r="B1602" s="2">
        <f t="shared" ref="B1602:B1665" si="50">+MTREF</f>
        <v>2020</v>
      </c>
      <c r="C1602" s="2" t="str">
        <f t="shared" ref="C1602:C1665" si="51">LEFT(muni,(FIND(" ",muni,1)-1))</f>
        <v>LIM333</v>
      </c>
      <c r="D1602" s="2">
        <v>984</v>
      </c>
      <c r="F1602" s="2451"/>
      <c r="G1602" s="2451"/>
      <c r="H1602" s="2451"/>
      <c r="I1602" s="2451"/>
      <c r="J1602" s="2451"/>
      <c r="K1602" s="2451"/>
      <c r="L1602" s="2451"/>
      <c r="M1602" s="2452"/>
      <c r="N1602" s="2452"/>
      <c r="O1602" s="2452"/>
      <c r="P1602" s="2452"/>
      <c r="Q1602" s="2452"/>
      <c r="W1602" t="s">
        <v>2062</v>
      </c>
    </row>
    <row r="1603" spans="1:23" ht="13.15" customHeight="1">
      <c r="A1603" s="2" t="s">
        <v>2214</v>
      </c>
      <c r="B1603" s="2">
        <f t="shared" si="50"/>
        <v>2020</v>
      </c>
      <c r="C1603" s="2" t="str">
        <f t="shared" si="51"/>
        <v>LIM333</v>
      </c>
      <c r="D1603" s="2">
        <v>985</v>
      </c>
      <c r="F1603" s="2451"/>
      <c r="G1603" s="2451"/>
      <c r="H1603" s="2451"/>
      <c r="I1603" s="2451"/>
      <c r="J1603" s="2451"/>
      <c r="K1603" s="2451"/>
      <c r="L1603" s="2451"/>
      <c r="M1603" s="2452"/>
      <c r="N1603" s="2452"/>
      <c r="O1603" s="2452"/>
      <c r="P1603" s="2452"/>
      <c r="Q1603" s="2452"/>
      <c r="W1603" t="s">
        <v>2062</v>
      </c>
    </row>
    <row r="1604" spans="1:23" ht="13.15" customHeight="1">
      <c r="A1604" s="2" t="s">
        <v>2214</v>
      </c>
      <c r="B1604" s="2">
        <f t="shared" si="50"/>
        <v>2020</v>
      </c>
      <c r="C1604" s="2" t="str">
        <f t="shared" si="51"/>
        <v>LIM333</v>
      </c>
      <c r="D1604" s="2">
        <v>986</v>
      </c>
      <c r="F1604" s="2451"/>
      <c r="G1604" s="2451"/>
      <c r="H1604" s="2451"/>
      <c r="I1604" s="2451"/>
      <c r="J1604" s="2451"/>
      <c r="K1604" s="2451"/>
      <c r="L1604" s="2451"/>
      <c r="M1604" s="2452"/>
      <c r="N1604" s="2452"/>
      <c r="O1604" s="2452"/>
      <c r="P1604" s="2452"/>
      <c r="Q1604" s="2452"/>
      <c r="W1604" t="s">
        <v>2062</v>
      </c>
    </row>
    <row r="1605" spans="1:23" ht="13.15" customHeight="1">
      <c r="A1605" s="2" t="s">
        <v>2214</v>
      </c>
      <c r="B1605" s="2">
        <f t="shared" si="50"/>
        <v>2020</v>
      </c>
      <c r="C1605" s="2" t="str">
        <f t="shared" si="51"/>
        <v>LIM333</v>
      </c>
      <c r="D1605" s="2">
        <v>987</v>
      </c>
      <c r="F1605" s="2451"/>
      <c r="G1605" s="2451"/>
      <c r="H1605" s="2451"/>
      <c r="I1605" s="2451"/>
      <c r="J1605" s="2451"/>
      <c r="K1605" s="2451"/>
      <c r="L1605" s="2451"/>
      <c r="M1605" s="2452"/>
      <c r="N1605" s="2452"/>
      <c r="O1605" s="2452"/>
      <c r="P1605" s="2452"/>
      <c r="Q1605" s="2452"/>
      <c r="W1605" t="s">
        <v>2062</v>
      </c>
    </row>
    <row r="1606" spans="1:23" ht="13.15" customHeight="1">
      <c r="A1606" s="2" t="s">
        <v>2214</v>
      </c>
      <c r="B1606" s="2">
        <f t="shared" si="50"/>
        <v>2020</v>
      </c>
      <c r="C1606" s="2" t="str">
        <f t="shared" si="51"/>
        <v>LIM333</v>
      </c>
      <c r="D1606" s="2">
        <v>988</v>
      </c>
      <c r="F1606" s="2451"/>
      <c r="G1606" s="2451"/>
      <c r="H1606" s="2451"/>
      <c r="I1606" s="2451"/>
      <c r="J1606" s="2451"/>
      <c r="K1606" s="2451"/>
      <c r="L1606" s="2451"/>
      <c r="M1606" s="2452"/>
      <c r="N1606" s="2452"/>
      <c r="O1606" s="2452"/>
      <c r="P1606" s="2452"/>
      <c r="Q1606" s="2452"/>
      <c r="W1606" t="s">
        <v>2062</v>
      </c>
    </row>
    <row r="1607" spans="1:23" ht="13.15" customHeight="1">
      <c r="A1607" s="2" t="s">
        <v>2214</v>
      </c>
      <c r="B1607" s="2">
        <f t="shared" si="50"/>
        <v>2020</v>
      </c>
      <c r="C1607" s="2" t="str">
        <f t="shared" si="51"/>
        <v>LIM333</v>
      </c>
      <c r="D1607" s="2">
        <v>989</v>
      </c>
      <c r="F1607" s="2451"/>
      <c r="G1607" s="2451"/>
      <c r="H1607" s="2451"/>
      <c r="I1607" s="2451"/>
      <c r="J1607" s="2451"/>
      <c r="K1607" s="2451"/>
      <c r="L1607" s="2451"/>
      <c r="M1607" s="2452"/>
      <c r="N1607" s="2452"/>
      <c r="O1607" s="2452"/>
      <c r="P1607" s="2452"/>
      <c r="Q1607" s="2452"/>
      <c r="W1607" t="s">
        <v>2062</v>
      </c>
    </row>
    <row r="1608" spans="1:23" ht="13.15" customHeight="1">
      <c r="A1608" s="2" t="s">
        <v>2214</v>
      </c>
      <c r="B1608" s="2">
        <f t="shared" si="50"/>
        <v>2020</v>
      </c>
      <c r="C1608" s="2" t="str">
        <f t="shared" si="51"/>
        <v>LIM333</v>
      </c>
      <c r="D1608" s="2">
        <v>990</v>
      </c>
      <c r="F1608" s="2451"/>
      <c r="G1608" s="2451"/>
      <c r="H1608" s="2451"/>
      <c r="I1608" s="2451"/>
      <c r="J1608" s="2451"/>
      <c r="K1608" s="2451"/>
      <c r="L1608" s="2451"/>
      <c r="M1608" s="2452"/>
      <c r="N1608" s="2452"/>
      <c r="O1608" s="2452"/>
      <c r="P1608" s="2452"/>
      <c r="Q1608" s="2452"/>
      <c r="W1608" t="s">
        <v>2062</v>
      </c>
    </row>
    <row r="1609" spans="1:23" ht="13.15" customHeight="1">
      <c r="A1609" s="2" t="s">
        <v>2214</v>
      </c>
      <c r="B1609" s="2">
        <f t="shared" si="50"/>
        <v>2020</v>
      </c>
      <c r="C1609" s="2" t="str">
        <f t="shared" si="51"/>
        <v>LIM333</v>
      </c>
      <c r="D1609" s="2">
        <v>991</v>
      </c>
      <c r="F1609" s="2451"/>
      <c r="G1609" s="2451"/>
      <c r="H1609" s="2451"/>
      <c r="I1609" s="2451"/>
      <c r="J1609" s="2451"/>
      <c r="K1609" s="2451"/>
      <c r="L1609" s="2451"/>
      <c r="M1609" s="2452"/>
      <c r="N1609" s="2452"/>
      <c r="O1609" s="2452"/>
      <c r="P1609" s="2452"/>
      <c r="Q1609" s="2452"/>
      <c r="W1609" t="s">
        <v>2062</v>
      </c>
    </row>
    <row r="1610" spans="1:23" ht="13.15" customHeight="1">
      <c r="A1610" s="2" t="s">
        <v>2214</v>
      </c>
      <c r="B1610" s="2">
        <f t="shared" si="50"/>
        <v>2020</v>
      </c>
      <c r="C1610" s="2" t="str">
        <f t="shared" si="51"/>
        <v>LIM333</v>
      </c>
      <c r="D1610" s="2">
        <v>992</v>
      </c>
      <c r="F1610" s="2451"/>
      <c r="G1610" s="2451"/>
      <c r="H1610" s="2451"/>
      <c r="I1610" s="2451"/>
      <c r="J1610" s="2451"/>
      <c r="K1610" s="2451"/>
      <c r="L1610" s="2451"/>
      <c r="M1610" s="2452"/>
      <c r="N1610" s="2452"/>
      <c r="O1610" s="2452"/>
      <c r="P1610" s="2452"/>
      <c r="Q1610" s="2452"/>
      <c r="W1610" t="s">
        <v>2062</v>
      </c>
    </row>
    <row r="1611" spans="1:23" ht="13.15" customHeight="1">
      <c r="A1611" s="2" t="s">
        <v>2214</v>
      </c>
      <c r="B1611" s="2">
        <f t="shared" si="50"/>
        <v>2020</v>
      </c>
      <c r="C1611" s="2" t="str">
        <f t="shared" si="51"/>
        <v>LIM333</v>
      </c>
      <c r="D1611" s="2">
        <v>993</v>
      </c>
      <c r="F1611" s="2451"/>
      <c r="G1611" s="2451"/>
      <c r="H1611" s="2451"/>
      <c r="I1611" s="2451"/>
      <c r="J1611" s="2451"/>
      <c r="K1611" s="2451"/>
      <c r="L1611" s="2451"/>
      <c r="M1611" s="2452"/>
      <c r="N1611" s="2452"/>
      <c r="O1611" s="2452"/>
      <c r="P1611" s="2452"/>
      <c r="Q1611" s="2452"/>
      <c r="W1611" t="s">
        <v>2062</v>
      </c>
    </row>
    <row r="1612" spans="1:23" ht="13.15" customHeight="1">
      <c r="A1612" s="2" t="s">
        <v>2214</v>
      </c>
      <c r="B1612" s="2">
        <f t="shared" si="50"/>
        <v>2020</v>
      </c>
      <c r="C1612" s="2" t="str">
        <f t="shared" si="51"/>
        <v>LIM333</v>
      </c>
      <c r="D1612" s="2">
        <v>994</v>
      </c>
      <c r="F1612" s="2451"/>
      <c r="G1612" s="2451"/>
      <c r="H1612" s="2451"/>
      <c r="I1612" s="2451"/>
      <c r="J1612" s="2451"/>
      <c r="K1612" s="2451"/>
      <c r="L1612" s="2451"/>
      <c r="M1612" s="2452"/>
      <c r="N1612" s="2452"/>
      <c r="O1612" s="2452"/>
      <c r="P1612" s="2452"/>
      <c r="Q1612" s="2452"/>
      <c r="W1612" t="s">
        <v>2062</v>
      </c>
    </row>
    <row r="1613" spans="1:23" ht="13.15" customHeight="1">
      <c r="A1613" s="2" t="s">
        <v>2214</v>
      </c>
      <c r="B1613" s="2">
        <f t="shared" si="50"/>
        <v>2020</v>
      </c>
      <c r="C1613" s="2" t="str">
        <f t="shared" si="51"/>
        <v>LIM333</v>
      </c>
      <c r="D1613" s="2">
        <v>995</v>
      </c>
      <c r="F1613" s="2451"/>
      <c r="G1613" s="2451"/>
      <c r="H1613" s="2451"/>
      <c r="I1613" s="2451"/>
      <c r="J1613" s="2451"/>
      <c r="K1613" s="2451"/>
      <c r="L1613" s="2451"/>
      <c r="M1613" s="2452"/>
      <c r="N1613" s="2452"/>
      <c r="O1613" s="2452"/>
      <c r="P1613" s="2452"/>
      <c r="Q1613" s="2452"/>
      <c r="W1613" t="s">
        <v>2062</v>
      </c>
    </row>
    <row r="1614" spans="1:23" ht="13.15" customHeight="1">
      <c r="A1614" s="2" t="s">
        <v>2214</v>
      </c>
      <c r="B1614" s="2">
        <f t="shared" si="50"/>
        <v>2020</v>
      </c>
      <c r="C1614" s="2" t="str">
        <f t="shared" si="51"/>
        <v>LIM333</v>
      </c>
      <c r="D1614" s="2">
        <v>996</v>
      </c>
      <c r="F1614" s="2451"/>
      <c r="G1614" s="2451"/>
      <c r="H1614" s="2451"/>
      <c r="I1614" s="2451"/>
      <c r="J1614" s="2451"/>
      <c r="K1614" s="2451"/>
      <c r="L1614" s="2451"/>
      <c r="M1614" s="2452"/>
      <c r="N1614" s="2452"/>
      <c r="O1614" s="2452"/>
      <c r="P1614" s="2452"/>
      <c r="Q1614" s="2452"/>
      <c r="W1614" t="s">
        <v>2062</v>
      </c>
    </row>
    <row r="1615" spans="1:23" ht="13.15" customHeight="1">
      <c r="A1615" s="2" t="s">
        <v>2214</v>
      </c>
      <c r="B1615" s="2">
        <f t="shared" si="50"/>
        <v>2020</v>
      </c>
      <c r="C1615" s="2" t="str">
        <f t="shared" si="51"/>
        <v>LIM333</v>
      </c>
      <c r="D1615" s="2">
        <v>997</v>
      </c>
      <c r="F1615" s="2451"/>
      <c r="G1615" s="2451"/>
      <c r="H1615" s="2451"/>
      <c r="I1615" s="2451"/>
      <c r="J1615" s="2451"/>
      <c r="K1615" s="2451"/>
      <c r="L1615" s="2451"/>
      <c r="M1615" s="2452"/>
      <c r="N1615" s="2452"/>
      <c r="O1615" s="2452"/>
      <c r="P1615" s="2452"/>
      <c r="Q1615" s="2452"/>
      <c r="W1615" t="s">
        <v>2062</v>
      </c>
    </row>
    <row r="1616" spans="1:23" ht="13.15" customHeight="1">
      <c r="A1616" s="2" t="s">
        <v>2214</v>
      </c>
      <c r="B1616" s="2">
        <f t="shared" si="50"/>
        <v>2020</v>
      </c>
      <c r="C1616" s="2" t="str">
        <f t="shared" si="51"/>
        <v>LIM333</v>
      </c>
      <c r="D1616" s="2">
        <v>998</v>
      </c>
      <c r="F1616" s="2451"/>
      <c r="G1616" s="2451"/>
      <c r="H1616" s="2451"/>
      <c r="I1616" s="2451"/>
      <c r="J1616" s="2451"/>
      <c r="K1616" s="2451"/>
      <c r="L1616" s="2451"/>
      <c r="M1616" s="2452"/>
      <c r="N1616" s="2452"/>
      <c r="O1616" s="2452"/>
      <c r="P1616" s="2452"/>
      <c r="Q1616" s="2452"/>
      <c r="W1616" t="s">
        <v>2062</v>
      </c>
    </row>
    <row r="1617" spans="1:23" ht="13.15" customHeight="1">
      <c r="A1617" s="2" t="s">
        <v>2214</v>
      </c>
      <c r="B1617" s="2">
        <f t="shared" si="50"/>
        <v>2020</v>
      </c>
      <c r="C1617" s="2" t="str">
        <f t="shared" si="51"/>
        <v>LIM333</v>
      </c>
      <c r="D1617" s="2">
        <v>999</v>
      </c>
      <c r="F1617" s="2451"/>
      <c r="G1617" s="2451"/>
      <c r="H1617" s="2451"/>
      <c r="I1617" s="2451"/>
      <c r="J1617" s="2451"/>
      <c r="K1617" s="2451"/>
      <c r="L1617" s="2451"/>
      <c r="M1617" s="2452"/>
      <c r="N1617" s="2452"/>
      <c r="O1617" s="2452"/>
      <c r="P1617" s="2452"/>
      <c r="Q1617" s="2452"/>
      <c r="W1617" t="s">
        <v>2062</v>
      </c>
    </row>
    <row r="1618" spans="1:23" ht="13.15" customHeight="1">
      <c r="A1618" s="2" t="s">
        <v>2214</v>
      </c>
      <c r="B1618" s="2">
        <f t="shared" si="50"/>
        <v>2020</v>
      </c>
      <c r="C1618" s="2" t="str">
        <f t="shared" si="51"/>
        <v>LIM333</v>
      </c>
      <c r="D1618" s="2">
        <v>1000</v>
      </c>
      <c r="F1618" s="2451"/>
      <c r="G1618" s="2451"/>
      <c r="H1618" s="2451"/>
      <c r="I1618" s="2451"/>
      <c r="J1618" s="2451"/>
      <c r="K1618" s="2451"/>
      <c r="L1618" s="2451"/>
      <c r="M1618" s="2452"/>
      <c r="N1618" s="2452"/>
      <c r="O1618" s="2452"/>
      <c r="P1618" s="2452"/>
      <c r="Q1618" s="2452"/>
      <c r="W1618" t="s">
        <v>2062</v>
      </c>
    </row>
    <row r="1619" spans="1:23" ht="13.15" customHeight="1">
      <c r="A1619" s="2" t="s">
        <v>2215</v>
      </c>
      <c r="B1619" s="2">
        <f t="shared" si="50"/>
        <v>2020</v>
      </c>
      <c r="C1619" s="2" t="str">
        <f t="shared" si="51"/>
        <v>LIM333</v>
      </c>
      <c r="D1619" s="2">
        <v>1</v>
      </c>
      <c r="F1619" s="2451"/>
      <c r="G1619" s="2451"/>
      <c r="H1619" s="2451"/>
      <c r="I1619" s="2451"/>
      <c r="J1619" s="2451"/>
      <c r="K1619" s="2451"/>
      <c r="L1619" s="2453"/>
      <c r="M1619" s="2453"/>
      <c r="N1619" s="2453"/>
      <c r="O1619" s="2453"/>
      <c r="P1619" s="2453"/>
      <c r="W1619" t="s">
        <v>2062</v>
      </c>
    </row>
    <row r="1620" spans="1:23" ht="13.15" customHeight="1">
      <c r="A1620" s="2" t="s">
        <v>2215</v>
      </c>
      <c r="B1620" s="2">
        <f t="shared" si="50"/>
        <v>2020</v>
      </c>
      <c r="C1620" s="2" t="str">
        <f t="shared" si="51"/>
        <v>LIM333</v>
      </c>
      <c r="D1620" s="2">
        <v>2</v>
      </c>
      <c r="F1620" s="2451"/>
      <c r="G1620" s="2451"/>
      <c r="H1620" s="2451"/>
      <c r="I1620" s="2451"/>
      <c r="J1620" s="2451"/>
      <c r="K1620" s="2451"/>
      <c r="L1620" s="2453"/>
      <c r="M1620" s="2453"/>
      <c r="N1620" s="2453"/>
      <c r="O1620" s="2453"/>
      <c r="P1620" s="2453"/>
      <c r="W1620" t="s">
        <v>2062</v>
      </c>
    </row>
    <row r="1621" spans="1:23" ht="13.15" customHeight="1">
      <c r="A1621" s="2" t="s">
        <v>2215</v>
      </c>
      <c r="B1621" s="2">
        <f t="shared" si="50"/>
        <v>2020</v>
      </c>
      <c r="C1621" s="2" t="str">
        <f t="shared" si="51"/>
        <v>LIM333</v>
      </c>
      <c r="D1621" s="2">
        <v>3</v>
      </c>
      <c r="F1621" s="2451"/>
      <c r="G1621" s="2451"/>
      <c r="H1621" s="2451"/>
      <c r="I1621" s="2451"/>
      <c r="J1621" s="2451"/>
      <c r="K1621" s="2451"/>
      <c r="L1621" s="2453"/>
      <c r="M1621" s="2453"/>
      <c r="N1621" s="2453"/>
      <c r="O1621" s="2453"/>
      <c r="P1621" s="2453"/>
      <c r="W1621" t="s">
        <v>2062</v>
      </c>
    </row>
    <row r="1622" spans="1:23" ht="13.15" customHeight="1">
      <c r="A1622" s="2" t="s">
        <v>2215</v>
      </c>
      <c r="B1622" s="2">
        <f t="shared" si="50"/>
        <v>2020</v>
      </c>
      <c r="C1622" s="2" t="str">
        <f t="shared" si="51"/>
        <v>LIM333</v>
      </c>
      <c r="D1622" s="2">
        <v>4</v>
      </c>
      <c r="F1622" s="2451"/>
      <c r="G1622" s="2451"/>
      <c r="H1622" s="2451"/>
      <c r="I1622" s="2451"/>
      <c r="J1622" s="2451"/>
      <c r="K1622" s="2451"/>
      <c r="L1622" s="2453"/>
      <c r="M1622" s="2453"/>
      <c r="N1622" s="2453"/>
      <c r="O1622" s="2453"/>
      <c r="P1622" s="2453"/>
      <c r="W1622" t="s">
        <v>2062</v>
      </c>
    </row>
    <row r="1623" spans="1:23" ht="13.15" customHeight="1">
      <c r="A1623" s="2" t="s">
        <v>2215</v>
      </c>
      <c r="B1623" s="2">
        <f t="shared" si="50"/>
        <v>2020</v>
      </c>
      <c r="C1623" s="2" t="str">
        <f t="shared" si="51"/>
        <v>LIM333</v>
      </c>
      <c r="D1623" s="2">
        <v>5</v>
      </c>
      <c r="F1623" s="2451"/>
      <c r="G1623" s="2451"/>
      <c r="H1623" s="2451"/>
      <c r="I1623" s="2451"/>
      <c r="J1623" s="2451"/>
      <c r="K1623" s="2451"/>
      <c r="L1623" s="2453"/>
      <c r="M1623" s="2453"/>
      <c r="N1623" s="2453"/>
      <c r="O1623" s="2453"/>
      <c r="P1623" s="2453"/>
      <c r="W1623" t="s">
        <v>2062</v>
      </c>
    </row>
    <row r="1624" spans="1:23" ht="13.15" customHeight="1">
      <c r="A1624" s="2" t="s">
        <v>2215</v>
      </c>
      <c r="B1624" s="2">
        <f t="shared" si="50"/>
        <v>2020</v>
      </c>
      <c r="C1624" s="2" t="str">
        <f t="shared" si="51"/>
        <v>LIM333</v>
      </c>
      <c r="D1624" s="2">
        <v>6</v>
      </c>
      <c r="F1624" s="2451"/>
      <c r="G1624" s="2451"/>
      <c r="H1624" s="2451"/>
      <c r="I1624" s="2451"/>
      <c r="J1624" s="2451"/>
      <c r="K1624" s="2451"/>
      <c r="L1624" s="2453"/>
      <c r="M1624" s="2453"/>
      <c r="N1624" s="2453"/>
      <c r="O1624" s="2453"/>
      <c r="P1624" s="2453"/>
      <c r="W1624" t="s">
        <v>2062</v>
      </c>
    </row>
    <row r="1625" spans="1:23" ht="13.15" customHeight="1">
      <c r="A1625" s="2" t="s">
        <v>2215</v>
      </c>
      <c r="B1625" s="2">
        <f t="shared" si="50"/>
        <v>2020</v>
      </c>
      <c r="C1625" s="2" t="str">
        <f t="shared" si="51"/>
        <v>LIM333</v>
      </c>
      <c r="D1625" s="2">
        <v>7</v>
      </c>
      <c r="F1625" s="2451"/>
      <c r="G1625" s="2451"/>
      <c r="H1625" s="2451"/>
      <c r="I1625" s="2451"/>
      <c r="J1625" s="2451"/>
      <c r="K1625" s="2451"/>
      <c r="L1625" s="2453"/>
      <c r="M1625" s="2453"/>
      <c r="N1625" s="2453"/>
      <c r="O1625" s="2453"/>
      <c r="P1625" s="2453"/>
      <c r="W1625" t="s">
        <v>2062</v>
      </c>
    </row>
    <row r="1626" spans="1:23" ht="13.15" customHeight="1">
      <c r="A1626" s="2" t="s">
        <v>2215</v>
      </c>
      <c r="B1626" s="2">
        <f t="shared" si="50"/>
        <v>2020</v>
      </c>
      <c r="C1626" s="2" t="str">
        <f t="shared" si="51"/>
        <v>LIM333</v>
      </c>
      <c r="D1626" s="2">
        <v>8</v>
      </c>
      <c r="F1626" s="2451"/>
      <c r="G1626" s="2451"/>
      <c r="H1626" s="2451"/>
      <c r="I1626" s="2451"/>
      <c r="J1626" s="2451"/>
      <c r="K1626" s="2451"/>
      <c r="L1626" s="2453"/>
      <c r="M1626" s="2453"/>
      <c r="N1626" s="2453"/>
      <c r="O1626" s="2453"/>
      <c r="P1626" s="2453"/>
      <c r="W1626" t="s">
        <v>2062</v>
      </c>
    </row>
    <row r="1627" spans="1:23" ht="13.15" customHeight="1">
      <c r="A1627" s="2" t="s">
        <v>2215</v>
      </c>
      <c r="B1627" s="2">
        <f t="shared" si="50"/>
        <v>2020</v>
      </c>
      <c r="C1627" s="2" t="str">
        <f t="shared" si="51"/>
        <v>LIM333</v>
      </c>
      <c r="D1627" s="2">
        <v>9</v>
      </c>
      <c r="F1627" s="2451"/>
      <c r="G1627" s="2451"/>
      <c r="H1627" s="2451"/>
      <c r="I1627" s="2451"/>
      <c r="J1627" s="2451"/>
      <c r="K1627" s="2451"/>
      <c r="L1627" s="2453"/>
      <c r="M1627" s="2453"/>
      <c r="N1627" s="2453"/>
      <c r="O1627" s="2453"/>
      <c r="P1627" s="2453"/>
      <c r="W1627" t="s">
        <v>2062</v>
      </c>
    </row>
    <row r="1628" spans="1:23" ht="13.15" customHeight="1">
      <c r="A1628" s="2" t="s">
        <v>2215</v>
      </c>
      <c r="B1628" s="2">
        <f t="shared" si="50"/>
        <v>2020</v>
      </c>
      <c r="C1628" s="2" t="str">
        <f t="shared" si="51"/>
        <v>LIM333</v>
      </c>
      <c r="D1628" s="2">
        <v>10</v>
      </c>
      <c r="F1628" s="2451"/>
      <c r="G1628" s="2451"/>
      <c r="H1628" s="2451"/>
      <c r="I1628" s="2451"/>
      <c r="J1628" s="2451"/>
      <c r="K1628" s="2451"/>
      <c r="L1628" s="2453"/>
      <c r="M1628" s="2453"/>
      <c r="N1628" s="2453"/>
      <c r="O1628" s="2453"/>
      <c r="P1628" s="2453"/>
      <c r="W1628" t="s">
        <v>2062</v>
      </c>
    </row>
    <row r="1629" spans="1:23" ht="13.15" customHeight="1">
      <c r="A1629" s="2" t="s">
        <v>2215</v>
      </c>
      <c r="B1629" s="2">
        <f t="shared" si="50"/>
        <v>2020</v>
      </c>
      <c r="C1629" s="2" t="str">
        <f t="shared" si="51"/>
        <v>LIM333</v>
      </c>
      <c r="D1629" s="2">
        <v>11</v>
      </c>
      <c r="F1629" s="2451"/>
      <c r="G1629" s="2451"/>
      <c r="H1629" s="2451"/>
      <c r="I1629" s="2451"/>
      <c r="J1629" s="2451"/>
      <c r="K1629" s="2451"/>
      <c r="L1629" s="2453"/>
      <c r="M1629" s="2453"/>
      <c r="N1629" s="2453"/>
      <c r="O1629" s="2453"/>
      <c r="P1629" s="2453"/>
      <c r="W1629" t="s">
        <v>2062</v>
      </c>
    </row>
    <row r="1630" spans="1:23" ht="13.15" customHeight="1">
      <c r="A1630" s="2" t="s">
        <v>2215</v>
      </c>
      <c r="B1630" s="2">
        <f t="shared" si="50"/>
        <v>2020</v>
      </c>
      <c r="C1630" s="2" t="str">
        <f t="shared" si="51"/>
        <v>LIM333</v>
      </c>
      <c r="D1630" s="2">
        <v>12</v>
      </c>
      <c r="F1630" s="2451"/>
      <c r="G1630" s="2451"/>
      <c r="H1630" s="2451"/>
      <c r="I1630" s="2451"/>
      <c r="J1630" s="2451"/>
      <c r="K1630" s="2451"/>
      <c r="L1630" s="2453"/>
      <c r="M1630" s="2453"/>
      <c r="N1630" s="2453"/>
      <c r="O1630" s="2453"/>
      <c r="P1630" s="2453"/>
      <c r="W1630" t="s">
        <v>2062</v>
      </c>
    </row>
    <row r="1631" spans="1:23" ht="13.15" customHeight="1">
      <c r="A1631" s="2" t="s">
        <v>2215</v>
      </c>
      <c r="B1631" s="2">
        <f t="shared" si="50"/>
        <v>2020</v>
      </c>
      <c r="C1631" s="2" t="str">
        <f t="shared" si="51"/>
        <v>LIM333</v>
      </c>
      <c r="D1631" s="2">
        <v>13</v>
      </c>
      <c r="F1631" s="2451"/>
      <c r="G1631" s="2451"/>
      <c r="H1631" s="2451"/>
      <c r="I1631" s="2451"/>
      <c r="J1631" s="2451"/>
      <c r="K1631" s="2451"/>
      <c r="L1631" s="2453"/>
      <c r="M1631" s="2453"/>
      <c r="N1631" s="2453"/>
      <c r="O1631" s="2453"/>
      <c r="P1631" s="2453"/>
      <c r="W1631" t="s">
        <v>2062</v>
      </c>
    </row>
    <row r="1632" spans="1:23" ht="13.15" customHeight="1">
      <c r="A1632" s="2" t="s">
        <v>2215</v>
      </c>
      <c r="B1632" s="2">
        <f t="shared" si="50"/>
        <v>2020</v>
      </c>
      <c r="C1632" s="2" t="str">
        <f t="shared" si="51"/>
        <v>LIM333</v>
      </c>
      <c r="D1632" s="2">
        <v>14</v>
      </c>
      <c r="F1632" s="2451"/>
      <c r="G1632" s="2451"/>
      <c r="H1632" s="2451"/>
      <c r="I1632" s="2451"/>
      <c r="J1632" s="2451"/>
      <c r="K1632" s="2451"/>
      <c r="L1632" s="2453"/>
      <c r="M1632" s="2453"/>
      <c r="N1632" s="2453"/>
      <c r="O1632" s="2453"/>
      <c r="P1632" s="2453"/>
      <c r="W1632" t="s">
        <v>2062</v>
      </c>
    </row>
    <row r="1633" spans="1:23" ht="13.15" customHeight="1">
      <c r="A1633" s="2" t="s">
        <v>2215</v>
      </c>
      <c r="B1633" s="2">
        <f t="shared" si="50"/>
        <v>2020</v>
      </c>
      <c r="C1633" s="2" t="str">
        <f t="shared" si="51"/>
        <v>LIM333</v>
      </c>
      <c r="D1633" s="2">
        <v>15</v>
      </c>
      <c r="F1633" s="2451"/>
      <c r="G1633" s="2451"/>
      <c r="H1633" s="2451"/>
      <c r="I1633" s="2451"/>
      <c r="J1633" s="2451"/>
      <c r="K1633" s="2451"/>
      <c r="L1633" s="2453"/>
      <c r="M1633" s="2453"/>
      <c r="N1633" s="2453"/>
      <c r="O1633" s="2453"/>
      <c r="P1633" s="2453"/>
      <c r="W1633" t="s">
        <v>2062</v>
      </c>
    </row>
    <row r="1634" spans="1:23" ht="13.15" customHeight="1">
      <c r="A1634" s="2" t="s">
        <v>2215</v>
      </c>
      <c r="B1634" s="2">
        <f t="shared" si="50"/>
        <v>2020</v>
      </c>
      <c r="C1634" s="2" t="str">
        <f t="shared" si="51"/>
        <v>LIM333</v>
      </c>
      <c r="D1634" s="2">
        <v>16</v>
      </c>
      <c r="F1634" s="2451"/>
      <c r="G1634" s="2451"/>
      <c r="H1634" s="2451"/>
      <c r="I1634" s="2451"/>
      <c r="J1634" s="2451"/>
      <c r="K1634" s="2451"/>
      <c r="L1634" s="2453"/>
      <c r="M1634" s="2453"/>
      <c r="N1634" s="2453"/>
      <c r="O1634" s="2453"/>
      <c r="P1634" s="2453"/>
      <c r="W1634" t="s">
        <v>2062</v>
      </c>
    </row>
    <row r="1635" spans="1:23" ht="13.15" customHeight="1">
      <c r="A1635" s="2" t="s">
        <v>2215</v>
      </c>
      <c r="B1635" s="2">
        <f t="shared" si="50"/>
        <v>2020</v>
      </c>
      <c r="C1635" s="2" t="str">
        <f t="shared" si="51"/>
        <v>LIM333</v>
      </c>
      <c r="D1635" s="2">
        <v>17</v>
      </c>
      <c r="F1635" s="2451"/>
      <c r="G1635" s="2451"/>
      <c r="H1635" s="2451"/>
      <c r="I1635" s="2451"/>
      <c r="J1635" s="2451"/>
      <c r="K1635" s="2451"/>
      <c r="L1635" s="2453"/>
      <c r="M1635" s="2453"/>
      <c r="N1635" s="2453"/>
      <c r="O1635" s="2453"/>
      <c r="P1635" s="2453"/>
      <c r="W1635" t="s">
        <v>2062</v>
      </c>
    </row>
    <row r="1636" spans="1:23" ht="13.15" customHeight="1">
      <c r="A1636" s="2" t="s">
        <v>2215</v>
      </c>
      <c r="B1636" s="2">
        <f t="shared" si="50"/>
        <v>2020</v>
      </c>
      <c r="C1636" s="2" t="str">
        <f t="shared" si="51"/>
        <v>LIM333</v>
      </c>
      <c r="D1636" s="2">
        <v>18</v>
      </c>
      <c r="F1636" s="2451"/>
      <c r="G1636" s="2451"/>
      <c r="H1636" s="2451"/>
      <c r="I1636" s="2451"/>
      <c r="J1636" s="2451"/>
      <c r="K1636" s="2451"/>
      <c r="L1636" s="2453"/>
      <c r="M1636" s="2453"/>
      <c r="N1636" s="2453"/>
      <c r="O1636" s="2453"/>
      <c r="P1636" s="2453"/>
      <c r="W1636" t="s">
        <v>2062</v>
      </c>
    </row>
    <row r="1637" spans="1:23" ht="13.15" customHeight="1">
      <c r="A1637" s="2" t="s">
        <v>2215</v>
      </c>
      <c r="B1637" s="2">
        <f t="shared" si="50"/>
        <v>2020</v>
      </c>
      <c r="C1637" s="2" t="str">
        <f t="shared" si="51"/>
        <v>LIM333</v>
      </c>
      <c r="D1637" s="2">
        <v>19</v>
      </c>
      <c r="F1637" s="2451"/>
      <c r="G1637" s="2451"/>
      <c r="H1637" s="2451"/>
      <c r="I1637" s="2451"/>
      <c r="J1637" s="2451"/>
      <c r="K1637" s="2451"/>
      <c r="L1637" s="2453"/>
      <c r="M1637" s="2453"/>
      <c r="N1637" s="2453"/>
      <c r="O1637" s="2453"/>
      <c r="P1637" s="2453"/>
      <c r="W1637" t="s">
        <v>2062</v>
      </c>
    </row>
    <row r="1638" spans="1:23" ht="13.15" customHeight="1">
      <c r="A1638" s="2" t="s">
        <v>2215</v>
      </c>
      <c r="B1638" s="2">
        <f t="shared" si="50"/>
        <v>2020</v>
      </c>
      <c r="C1638" s="2" t="str">
        <f t="shared" si="51"/>
        <v>LIM333</v>
      </c>
      <c r="D1638" s="2">
        <v>20</v>
      </c>
      <c r="F1638" s="2451"/>
      <c r="G1638" s="2451"/>
      <c r="H1638" s="2451"/>
      <c r="I1638" s="2451"/>
      <c r="J1638" s="2451"/>
      <c r="K1638" s="2451"/>
      <c r="L1638" s="2453"/>
      <c r="M1638" s="2453"/>
      <c r="N1638" s="2453"/>
      <c r="O1638" s="2453"/>
      <c r="P1638" s="2453"/>
      <c r="W1638" t="s">
        <v>2062</v>
      </c>
    </row>
    <row r="1639" spans="1:23" ht="13.15" customHeight="1">
      <c r="A1639" s="2" t="s">
        <v>2215</v>
      </c>
      <c r="B1639" s="2">
        <f t="shared" si="50"/>
        <v>2020</v>
      </c>
      <c r="C1639" s="2" t="str">
        <f t="shared" si="51"/>
        <v>LIM333</v>
      </c>
      <c r="D1639" s="2">
        <v>21</v>
      </c>
      <c r="F1639" s="2451"/>
      <c r="G1639" s="2451"/>
      <c r="H1639" s="2451"/>
      <c r="I1639" s="2451"/>
      <c r="J1639" s="2451"/>
      <c r="K1639" s="2451"/>
      <c r="L1639" s="2453"/>
      <c r="M1639" s="2453"/>
      <c r="N1639" s="2453"/>
      <c r="O1639" s="2453"/>
      <c r="P1639" s="2453"/>
      <c r="W1639" t="s">
        <v>2062</v>
      </c>
    </row>
    <row r="1640" spans="1:23" ht="13.15" customHeight="1">
      <c r="A1640" s="2" t="s">
        <v>2215</v>
      </c>
      <c r="B1640" s="2">
        <f t="shared" si="50"/>
        <v>2020</v>
      </c>
      <c r="C1640" s="2" t="str">
        <f t="shared" si="51"/>
        <v>LIM333</v>
      </c>
      <c r="D1640" s="2">
        <v>22</v>
      </c>
      <c r="F1640" s="2451"/>
      <c r="G1640" s="2451"/>
      <c r="H1640" s="2451"/>
      <c r="I1640" s="2451"/>
      <c r="J1640" s="2451"/>
      <c r="K1640" s="2451"/>
      <c r="L1640" s="2453"/>
      <c r="M1640" s="2453"/>
      <c r="N1640" s="2453"/>
      <c r="O1640" s="2453"/>
      <c r="P1640" s="2453"/>
      <c r="W1640" t="s">
        <v>2062</v>
      </c>
    </row>
    <row r="1641" spans="1:23" ht="13.15" customHeight="1">
      <c r="A1641" s="2" t="s">
        <v>2215</v>
      </c>
      <c r="B1641" s="2">
        <f t="shared" si="50"/>
        <v>2020</v>
      </c>
      <c r="C1641" s="2" t="str">
        <f t="shared" si="51"/>
        <v>LIM333</v>
      </c>
      <c r="D1641" s="2">
        <v>23</v>
      </c>
      <c r="F1641" s="2451"/>
      <c r="G1641" s="2451"/>
      <c r="H1641" s="2451"/>
      <c r="I1641" s="2451"/>
      <c r="J1641" s="2451"/>
      <c r="K1641" s="2451"/>
      <c r="L1641" s="2453"/>
      <c r="M1641" s="2453"/>
      <c r="N1641" s="2453"/>
      <c r="O1641" s="2453"/>
      <c r="P1641" s="2453"/>
      <c r="W1641" t="s">
        <v>2062</v>
      </c>
    </row>
    <row r="1642" spans="1:23" ht="13.15" customHeight="1">
      <c r="A1642" s="2" t="s">
        <v>2215</v>
      </c>
      <c r="B1642" s="2">
        <f t="shared" si="50"/>
        <v>2020</v>
      </c>
      <c r="C1642" s="2" t="str">
        <f t="shared" si="51"/>
        <v>LIM333</v>
      </c>
      <c r="D1642" s="2">
        <v>24</v>
      </c>
      <c r="F1642" s="2451"/>
      <c r="G1642" s="2451"/>
      <c r="H1642" s="2451"/>
      <c r="I1642" s="2451"/>
      <c r="J1642" s="2451"/>
      <c r="K1642" s="2451"/>
      <c r="L1642" s="2453"/>
      <c r="M1642" s="2453"/>
      <c r="N1642" s="2453"/>
      <c r="O1642" s="2453"/>
      <c r="P1642" s="2453"/>
      <c r="W1642" t="s">
        <v>2062</v>
      </c>
    </row>
    <row r="1643" spans="1:23" ht="13.15" customHeight="1">
      <c r="A1643" s="2" t="s">
        <v>2215</v>
      </c>
      <c r="B1643" s="2">
        <f t="shared" si="50"/>
        <v>2020</v>
      </c>
      <c r="C1643" s="2" t="str">
        <f t="shared" si="51"/>
        <v>LIM333</v>
      </c>
      <c r="D1643" s="2">
        <v>25</v>
      </c>
      <c r="F1643" s="2451"/>
      <c r="G1643" s="2451"/>
      <c r="H1643" s="2451"/>
      <c r="I1643" s="2451"/>
      <c r="J1643" s="2451"/>
      <c r="K1643" s="2451"/>
      <c r="L1643" s="2453"/>
      <c r="M1643" s="2453"/>
      <c r="N1643" s="2453"/>
      <c r="O1643" s="2453"/>
      <c r="P1643" s="2453"/>
      <c r="W1643" t="s">
        <v>2062</v>
      </c>
    </row>
    <row r="1644" spans="1:23" ht="13.15" customHeight="1">
      <c r="A1644" s="2" t="s">
        <v>2215</v>
      </c>
      <c r="B1644" s="2">
        <f t="shared" si="50"/>
        <v>2020</v>
      </c>
      <c r="C1644" s="2" t="str">
        <f t="shared" si="51"/>
        <v>LIM333</v>
      </c>
      <c r="D1644" s="2">
        <v>26</v>
      </c>
      <c r="F1644" s="2451"/>
      <c r="G1644" s="2451"/>
      <c r="H1644" s="2451"/>
      <c r="I1644" s="2451"/>
      <c r="J1644" s="2451"/>
      <c r="K1644" s="2451"/>
      <c r="L1644" s="2453"/>
      <c r="M1644" s="2453"/>
      <c r="N1644" s="2453"/>
      <c r="O1644" s="2453"/>
      <c r="P1644" s="2453"/>
      <c r="W1644" t="s">
        <v>2062</v>
      </c>
    </row>
    <row r="1645" spans="1:23" ht="13.15" customHeight="1">
      <c r="A1645" s="2" t="s">
        <v>2215</v>
      </c>
      <c r="B1645" s="2">
        <f t="shared" si="50"/>
        <v>2020</v>
      </c>
      <c r="C1645" s="2" t="str">
        <f t="shared" si="51"/>
        <v>LIM333</v>
      </c>
      <c r="D1645" s="2">
        <v>27</v>
      </c>
      <c r="F1645" s="2451"/>
      <c r="G1645" s="2451"/>
      <c r="H1645" s="2451"/>
      <c r="I1645" s="2451"/>
      <c r="J1645" s="2451"/>
      <c r="K1645" s="2451"/>
      <c r="L1645" s="2453"/>
      <c r="M1645" s="2453"/>
      <c r="N1645" s="2453"/>
      <c r="O1645" s="2453"/>
      <c r="P1645" s="2453"/>
      <c r="W1645" t="s">
        <v>2062</v>
      </c>
    </row>
    <row r="1646" spans="1:23" ht="13.15" customHeight="1">
      <c r="A1646" s="2" t="s">
        <v>2215</v>
      </c>
      <c r="B1646" s="2">
        <f t="shared" si="50"/>
        <v>2020</v>
      </c>
      <c r="C1646" s="2" t="str">
        <f t="shared" si="51"/>
        <v>LIM333</v>
      </c>
      <c r="D1646" s="2">
        <v>28</v>
      </c>
      <c r="F1646" s="2451"/>
      <c r="G1646" s="2451"/>
      <c r="H1646" s="2451"/>
      <c r="I1646" s="2451"/>
      <c r="J1646" s="2451"/>
      <c r="K1646" s="2451"/>
      <c r="L1646" s="2453"/>
      <c r="M1646" s="2453"/>
      <c r="N1646" s="2453"/>
      <c r="O1646" s="2453"/>
      <c r="P1646" s="2453"/>
      <c r="W1646" t="s">
        <v>2062</v>
      </c>
    </row>
    <row r="1647" spans="1:23" ht="13.15" customHeight="1">
      <c r="A1647" s="2" t="s">
        <v>2215</v>
      </c>
      <c r="B1647" s="2">
        <f t="shared" si="50"/>
        <v>2020</v>
      </c>
      <c r="C1647" s="2" t="str">
        <f t="shared" si="51"/>
        <v>LIM333</v>
      </c>
      <c r="D1647" s="2">
        <v>29</v>
      </c>
      <c r="F1647" s="2451"/>
      <c r="G1647" s="2451"/>
      <c r="H1647" s="2451"/>
      <c r="I1647" s="2451"/>
      <c r="J1647" s="2451"/>
      <c r="K1647" s="2451"/>
      <c r="L1647" s="2453"/>
      <c r="M1647" s="2453"/>
      <c r="N1647" s="2453"/>
      <c r="O1647" s="2453"/>
      <c r="P1647" s="2453"/>
      <c r="W1647" t="s">
        <v>2062</v>
      </c>
    </row>
    <row r="1648" spans="1:23" ht="13.15" customHeight="1">
      <c r="A1648" s="2" t="s">
        <v>2215</v>
      </c>
      <c r="B1648" s="2">
        <f t="shared" si="50"/>
        <v>2020</v>
      </c>
      <c r="C1648" s="2" t="str">
        <f t="shared" si="51"/>
        <v>LIM333</v>
      </c>
      <c r="D1648" s="2">
        <v>30</v>
      </c>
      <c r="F1648" s="2451"/>
      <c r="G1648" s="2451"/>
      <c r="H1648" s="2451"/>
      <c r="I1648" s="2451"/>
      <c r="J1648" s="2451"/>
      <c r="K1648" s="2451"/>
      <c r="L1648" s="2453"/>
      <c r="M1648" s="2453"/>
      <c r="N1648" s="2453"/>
      <c r="O1648" s="2453"/>
      <c r="P1648" s="2453"/>
      <c r="W1648" t="s">
        <v>2062</v>
      </c>
    </row>
    <row r="1649" spans="1:23" ht="13.15" customHeight="1">
      <c r="A1649" s="2" t="s">
        <v>2215</v>
      </c>
      <c r="B1649" s="2">
        <f t="shared" si="50"/>
        <v>2020</v>
      </c>
      <c r="C1649" s="2" t="str">
        <f t="shared" si="51"/>
        <v>LIM333</v>
      </c>
      <c r="D1649" s="2">
        <v>31</v>
      </c>
      <c r="F1649" s="2451"/>
      <c r="G1649" s="2451"/>
      <c r="H1649" s="2451"/>
      <c r="I1649" s="2451"/>
      <c r="J1649" s="2451"/>
      <c r="K1649" s="2451"/>
      <c r="L1649" s="2453"/>
      <c r="M1649" s="2453"/>
      <c r="N1649" s="2453"/>
      <c r="O1649" s="2453"/>
      <c r="P1649" s="2453"/>
      <c r="W1649" t="s">
        <v>2062</v>
      </c>
    </row>
    <row r="1650" spans="1:23" ht="13.15" customHeight="1">
      <c r="A1650" s="2" t="s">
        <v>2215</v>
      </c>
      <c r="B1650" s="2">
        <f t="shared" si="50"/>
        <v>2020</v>
      </c>
      <c r="C1650" s="2" t="str">
        <f t="shared" si="51"/>
        <v>LIM333</v>
      </c>
      <c r="D1650" s="2">
        <v>32</v>
      </c>
      <c r="F1650" s="2451"/>
      <c r="G1650" s="2451"/>
      <c r="H1650" s="2451"/>
      <c r="I1650" s="2451"/>
      <c r="J1650" s="2451"/>
      <c r="K1650" s="2451"/>
      <c r="L1650" s="2453"/>
      <c r="M1650" s="2453"/>
      <c r="N1650" s="2453"/>
      <c r="O1650" s="2453"/>
      <c r="P1650" s="2453"/>
      <c r="W1650" t="s">
        <v>2062</v>
      </c>
    </row>
    <row r="1651" spans="1:23" ht="13.15" customHeight="1">
      <c r="A1651" s="2" t="s">
        <v>2215</v>
      </c>
      <c r="B1651" s="2">
        <f t="shared" si="50"/>
        <v>2020</v>
      </c>
      <c r="C1651" s="2" t="str">
        <f t="shared" si="51"/>
        <v>LIM333</v>
      </c>
      <c r="D1651" s="2">
        <v>33</v>
      </c>
      <c r="F1651" s="2451"/>
      <c r="G1651" s="2451"/>
      <c r="H1651" s="2451"/>
      <c r="I1651" s="2451"/>
      <c r="J1651" s="2451"/>
      <c r="K1651" s="2451"/>
      <c r="L1651" s="2453"/>
      <c r="M1651" s="2453"/>
      <c r="N1651" s="2453"/>
      <c r="O1651" s="2453"/>
      <c r="P1651" s="2453"/>
      <c r="W1651" t="s">
        <v>2062</v>
      </c>
    </row>
    <row r="1652" spans="1:23" ht="13.15" customHeight="1">
      <c r="A1652" s="2" t="s">
        <v>2215</v>
      </c>
      <c r="B1652" s="2">
        <f t="shared" si="50"/>
        <v>2020</v>
      </c>
      <c r="C1652" s="2" t="str">
        <f t="shared" si="51"/>
        <v>LIM333</v>
      </c>
      <c r="D1652" s="2">
        <v>34</v>
      </c>
      <c r="F1652" s="2451"/>
      <c r="G1652" s="2451"/>
      <c r="H1652" s="2451"/>
      <c r="I1652" s="2451"/>
      <c r="J1652" s="2451"/>
      <c r="K1652" s="2451"/>
      <c r="L1652" s="2453"/>
      <c r="M1652" s="2453"/>
      <c r="N1652" s="2453"/>
      <c r="O1652" s="2453"/>
      <c r="P1652" s="2453"/>
      <c r="W1652" t="s">
        <v>2062</v>
      </c>
    </row>
    <row r="1653" spans="1:23" ht="13.15" customHeight="1">
      <c r="A1653" s="2" t="s">
        <v>2215</v>
      </c>
      <c r="B1653" s="2">
        <f t="shared" si="50"/>
        <v>2020</v>
      </c>
      <c r="C1653" s="2" t="str">
        <f t="shared" si="51"/>
        <v>LIM333</v>
      </c>
      <c r="D1653" s="2">
        <v>35</v>
      </c>
      <c r="F1653" s="2451"/>
      <c r="G1653" s="2451"/>
      <c r="H1653" s="2451"/>
      <c r="I1653" s="2451"/>
      <c r="J1653" s="2451"/>
      <c r="K1653" s="2451"/>
      <c r="L1653" s="2453"/>
      <c r="M1653" s="2453"/>
      <c r="N1653" s="2453"/>
      <c r="O1653" s="2453"/>
      <c r="P1653" s="2453"/>
      <c r="W1653" t="s">
        <v>2062</v>
      </c>
    </row>
    <row r="1654" spans="1:23" ht="13.15" customHeight="1">
      <c r="A1654" s="2" t="s">
        <v>2215</v>
      </c>
      <c r="B1654" s="2">
        <f t="shared" si="50"/>
        <v>2020</v>
      </c>
      <c r="C1654" s="2" t="str">
        <f t="shared" si="51"/>
        <v>LIM333</v>
      </c>
      <c r="D1654" s="2">
        <v>36</v>
      </c>
      <c r="F1654" s="2451"/>
      <c r="G1654" s="2451"/>
      <c r="H1654" s="2451"/>
      <c r="I1654" s="2451"/>
      <c r="J1654" s="2451"/>
      <c r="K1654" s="2451"/>
      <c r="L1654" s="2453"/>
      <c r="M1654" s="2453"/>
      <c r="N1654" s="2453"/>
      <c r="O1654" s="2453"/>
      <c r="P1654" s="2453"/>
      <c r="W1654" t="s">
        <v>2062</v>
      </c>
    </row>
    <row r="1655" spans="1:23" ht="13.15" customHeight="1">
      <c r="A1655" s="2" t="s">
        <v>2215</v>
      </c>
      <c r="B1655" s="2">
        <f t="shared" si="50"/>
        <v>2020</v>
      </c>
      <c r="C1655" s="2" t="str">
        <f t="shared" si="51"/>
        <v>LIM333</v>
      </c>
      <c r="D1655" s="2">
        <v>37</v>
      </c>
      <c r="F1655" s="2451"/>
      <c r="G1655" s="2451"/>
      <c r="H1655" s="2451"/>
      <c r="I1655" s="2451"/>
      <c r="J1655" s="2451"/>
      <c r="K1655" s="2451"/>
      <c r="L1655" s="2453"/>
      <c r="M1655" s="2453"/>
      <c r="N1655" s="2453"/>
      <c r="O1655" s="2453"/>
      <c r="P1655" s="2453"/>
      <c r="W1655" t="s">
        <v>2062</v>
      </c>
    </row>
    <row r="1656" spans="1:23" ht="13.15" customHeight="1">
      <c r="A1656" s="2" t="s">
        <v>2215</v>
      </c>
      <c r="B1656" s="2">
        <f t="shared" si="50"/>
        <v>2020</v>
      </c>
      <c r="C1656" s="2" t="str">
        <f t="shared" si="51"/>
        <v>LIM333</v>
      </c>
      <c r="D1656" s="2">
        <v>38</v>
      </c>
      <c r="F1656" s="2451"/>
      <c r="G1656" s="2451"/>
      <c r="H1656" s="2451"/>
      <c r="I1656" s="2451"/>
      <c r="J1656" s="2451"/>
      <c r="K1656" s="2451"/>
      <c r="L1656" s="2453"/>
      <c r="M1656" s="2453"/>
      <c r="N1656" s="2453"/>
      <c r="O1656" s="2453"/>
      <c r="P1656" s="2453"/>
      <c r="W1656" t="s">
        <v>2062</v>
      </c>
    </row>
    <row r="1657" spans="1:23" ht="13.15" customHeight="1">
      <c r="A1657" s="2" t="s">
        <v>2215</v>
      </c>
      <c r="B1657" s="2">
        <f t="shared" si="50"/>
        <v>2020</v>
      </c>
      <c r="C1657" s="2" t="str">
        <f t="shared" si="51"/>
        <v>LIM333</v>
      </c>
      <c r="D1657" s="2">
        <v>39</v>
      </c>
      <c r="F1657" s="2451"/>
      <c r="G1657" s="2451"/>
      <c r="H1657" s="2451"/>
      <c r="I1657" s="2451"/>
      <c r="J1657" s="2451"/>
      <c r="K1657" s="2451"/>
      <c r="L1657" s="2453"/>
      <c r="M1657" s="2453"/>
      <c r="N1657" s="2453"/>
      <c r="O1657" s="2453"/>
      <c r="P1657" s="2453"/>
      <c r="W1657" t="s">
        <v>2062</v>
      </c>
    </row>
    <row r="1658" spans="1:23" ht="13.15" customHeight="1">
      <c r="A1658" s="2" t="s">
        <v>2215</v>
      </c>
      <c r="B1658" s="2">
        <f t="shared" si="50"/>
        <v>2020</v>
      </c>
      <c r="C1658" s="2" t="str">
        <f t="shared" si="51"/>
        <v>LIM333</v>
      </c>
      <c r="D1658" s="2">
        <v>40</v>
      </c>
      <c r="F1658" s="2451"/>
      <c r="G1658" s="2451"/>
      <c r="H1658" s="2451"/>
      <c r="I1658" s="2451"/>
      <c r="J1658" s="2451"/>
      <c r="K1658" s="2451"/>
      <c r="L1658" s="2453"/>
      <c r="M1658" s="2453"/>
      <c r="N1658" s="2453"/>
      <c r="O1658" s="2453"/>
      <c r="P1658" s="2453"/>
      <c r="W1658" t="s">
        <v>2062</v>
      </c>
    </row>
    <row r="1659" spans="1:23" ht="13.15" customHeight="1">
      <c r="A1659" s="2" t="s">
        <v>2215</v>
      </c>
      <c r="B1659" s="2">
        <f t="shared" si="50"/>
        <v>2020</v>
      </c>
      <c r="C1659" s="2" t="str">
        <f t="shared" si="51"/>
        <v>LIM333</v>
      </c>
      <c r="D1659" s="2">
        <v>41</v>
      </c>
      <c r="F1659" s="2451"/>
      <c r="G1659" s="2451"/>
      <c r="H1659" s="2451"/>
      <c r="I1659" s="2451"/>
      <c r="J1659" s="2451"/>
      <c r="K1659" s="2451"/>
      <c r="L1659" s="2453"/>
      <c r="M1659" s="2453"/>
      <c r="N1659" s="2453"/>
      <c r="O1659" s="2453"/>
      <c r="P1659" s="2453"/>
      <c r="W1659" t="s">
        <v>2062</v>
      </c>
    </row>
    <row r="1660" spans="1:23" ht="13.15" customHeight="1">
      <c r="A1660" s="2" t="s">
        <v>2215</v>
      </c>
      <c r="B1660" s="2">
        <f t="shared" si="50"/>
        <v>2020</v>
      </c>
      <c r="C1660" s="2" t="str">
        <f t="shared" si="51"/>
        <v>LIM333</v>
      </c>
      <c r="D1660" s="2">
        <v>42</v>
      </c>
      <c r="F1660" s="2451"/>
      <c r="G1660" s="2451"/>
      <c r="H1660" s="2451"/>
      <c r="I1660" s="2451"/>
      <c r="J1660" s="2451"/>
      <c r="K1660" s="2451"/>
      <c r="L1660" s="2453"/>
      <c r="M1660" s="2453"/>
      <c r="N1660" s="2453"/>
      <c r="O1660" s="2453"/>
      <c r="P1660" s="2453"/>
      <c r="W1660" t="s">
        <v>2062</v>
      </c>
    </row>
    <row r="1661" spans="1:23" ht="13.15" customHeight="1">
      <c r="A1661" s="2" t="s">
        <v>2215</v>
      </c>
      <c r="B1661" s="2">
        <f t="shared" si="50"/>
        <v>2020</v>
      </c>
      <c r="C1661" s="2" t="str">
        <f t="shared" si="51"/>
        <v>LIM333</v>
      </c>
      <c r="D1661" s="2">
        <v>43</v>
      </c>
      <c r="F1661" s="2451"/>
      <c r="G1661" s="2451"/>
      <c r="H1661" s="2451"/>
      <c r="I1661" s="2451"/>
      <c r="J1661" s="2451"/>
      <c r="K1661" s="2451"/>
      <c r="L1661" s="2453"/>
      <c r="M1661" s="2453"/>
      <c r="N1661" s="2453"/>
      <c r="O1661" s="2453"/>
      <c r="P1661" s="2453"/>
      <c r="W1661" t="s">
        <v>2062</v>
      </c>
    </row>
    <row r="1662" spans="1:23" ht="13.15" customHeight="1">
      <c r="A1662" s="2" t="s">
        <v>2215</v>
      </c>
      <c r="B1662" s="2">
        <f t="shared" si="50"/>
        <v>2020</v>
      </c>
      <c r="C1662" s="2" t="str">
        <f t="shared" si="51"/>
        <v>LIM333</v>
      </c>
      <c r="D1662" s="2">
        <v>44</v>
      </c>
      <c r="F1662" s="2451"/>
      <c r="G1662" s="2451"/>
      <c r="H1662" s="2451"/>
      <c r="I1662" s="2451"/>
      <c r="J1662" s="2451"/>
      <c r="K1662" s="2451"/>
      <c r="L1662" s="2453"/>
      <c r="M1662" s="2453"/>
      <c r="N1662" s="2453"/>
      <c r="O1662" s="2453"/>
      <c r="P1662" s="2453"/>
      <c r="W1662" t="s">
        <v>2062</v>
      </c>
    </row>
    <row r="1663" spans="1:23" ht="13.15" customHeight="1">
      <c r="A1663" s="2" t="s">
        <v>2215</v>
      </c>
      <c r="B1663" s="2">
        <f t="shared" si="50"/>
        <v>2020</v>
      </c>
      <c r="C1663" s="2" t="str">
        <f t="shared" si="51"/>
        <v>LIM333</v>
      </c>
      <c r="D1663" s="2">
        <v>45</v>
      </c>
      <c r="F1663" s="2451"/>
      <c r="G1663" s="2451"/>
      <c r="H1663" s="2451"/>
      <c r="I1663" s="2451"/>
      <c r="J1663" s="2451"/>
      <c r="K1663" s="2451"/>
      <c r="L1663" s="2453"/>
      <c r="M1663" s="2453"/>
      <c r="N1663" s="2453"/>
      <c r="O1663" s="2453"/>
      <c r="P1663" s="2453"/>
      <c r="W1663" t="s">
        <v>2062</v>
      </c>
    </row>
    <row r="1664" spans="1:23" ht="13.15" customHeight="1">
      <c r="A1664" s="2" t="s">
        <v>2215</v>
      </c>
      <c r="B1664" s="2">
        <f t="shared" si="50"/>
        <v>2020</v>
      </c>
      <c r="C1664" s="2" t="str">
        <f t="shared" si="51"/>
        <v>LIM333</v>
      </c>
      <c r="D1664" s="2">
        <v>46</v>
      </c>
      <c r="F1664" s="2451"/>
      <c r="G1664" s="2451"/>
      <c r="H1664" s="2451"/>
      <c r="I1664" s="2451"/>
      <c r="J1664" s="2451"/>
      <c r="K1664" s="2451"/>
      <c r="L1664" s="2453"/>
      <c r="M1664" s="2453"/>
      <c r="N1664" s="2453"/>
      <c r="O1664" s="2453"/>
      <c r="P1664" s="2453"/>
      <c r="W1664" t="s">
        <v>2062</v>
      </c>
    </row>
    <row r="1665" spans="1:23" ht="13.15" customHeight="1">
      <c r="A1665" s="2" t="s">
        <v>2215</v>
      </c>
      <c r="B1665" s="2">
        <f t="shared" si="50"/>
        <v>2020</v>
      </c>
      <c r="C1665" s="2" t="str">
        <f t="shared" si="51"/>
        <v>LIM333</v>
      </c>
      <c r="D1665" s="2">
        <v>47</v>
      </c>
      <c r="F1665" s="2451"/>
      <c r="G1665" s="2451"/>
      <c r="H1665" s="2451"/>
      <c r="I1665" s="2451"/>
      <c r="J1665" s="2451"/>
      <c r="K1665" s="2451"/>
      <c r="L1665" s="2453"/>
      <c r="M1665" s="2453"/>
      <c r="N1665" s="2453"/>
      <c r="O1665" s="2453"/>
      <c r="P1665" s="2453"/>
      <c r="W1665" t="s">
        <v>2062</v>
      </c>
    </row>
    <row r="1666" spans="1:23" ht="13.15" customHeight="1">
      <c r="A1666" s="2" t="s">
        <v>2215</v>
      </c>
      <c r="B1666" s="2">
        <f t="shared" ref="B1666:B1729" si="52">+MTREF</f>
        <v>2020</v>
      </c>
      <c r="C1666" s="2" t="str">
        <f t="shared" ref="C1666:C1729" si="53">LEFT(muni,(FIND(" ",muni,1)-1))</f>
        <v>LIM333</v>
      </c>
      <c r="D1666" s="2">
        <v>48</v>
      </c>
      <c r="F1666" s="2451"/>
      <c r="G1666" s="2451"/>
      <c r="H1666" s="2451"/>
      <c r="I1666" s="2451"/>
      <c r="J1666" s="2451"/>
      <c r="K1666" s="2451"/>
      <c r="L1666" s="2453"/>
      <c r="M1666" s="2453"/>
      <c r="N1666" s="2453"/>
      <c r="O1666" s="2453"/>
      <c r="P1666" s="2453"/>
      <c r="W1666" t="s">
        <v>2062</v>
      </c>
    </row>
    <row r="1667" spans="1:23" ht="13.15" customHeight="1">
      <c r="A1667" s="2" t="s">
        <v>2215</v>
      </c>
      <c r="B1667" s="2">
        <f t="shared" si="52"/>
        <v>2020</v>
      </c>
      <c r="C1667" s="2" t="str">
        <f t="shared" si="53"/>
        <v>LIM333</v>
      </c>
      <c r="D1667" s="2">
        <v>49</v>
      </c>
      <c r="F1667" s="2451"/>
      <c r="G1667" s="2451"/>
      <c r="H1667" s="2451"/>
      <c r="I1667" s="2451"/>
      <c r="J1667" s="2451"/>
      <c r="K1667" s="2451"/>
      <c r="L1667" s="2453"/>
      <c r="M1667" s="2453"/>
      <c r="N1667" s="2453"/>
      <c r="O1667" s="2453"/>
      <c r="P1667" s="2453"/>
      <c r="W1667" t="s">
        <v>2062</v>
      </c>
    </row>
    <row r="1668" spans="1:23" ht="13.15" customHeight="1">
      <c r="A1668" s="2" t="s">
        <v>2215</v>
      </c>
      <c r="B1668" s="2">
        <f t="shared" si="52"/>
        <v>2020</v>
      </c>
      <c r="C1668" s="2" t="str">
        <f t="shared" si="53"/>
        <v>LIM333</v>
      </c>
      <c r="D1668" s="2">
        <v>50</v>
      </c>
      <c r="F1668" s="2451"/>
      <c r="G1668" s="2451"/>
      <c r="H1668" s="2451"/>
      <c r="I1668" s="2451"/>
      <c r="J1668" s="2451"/>
      <c r="K1668" s="2451"/>
      <c r="L1668" s="2453"/>
      <c r="M1668" s="2453"/>
      <c r="N1668" s="2453"/>
      <c r="O1668" s="2453"/>
      <c r="P1668" s="2453"/>
      <c r="W1668" t="s">
        <v>2062</v>
      </c>
    </row>
    <row r="1669" spans="1:23" ht="13.15" customHeight="1">
      <c r="A1669" s="2" t="s">
        <v>2215</v>
      </c>
      <c r="B1669" s="2">
        <f t="shared" si="52"/>
        <v>2020</v>
      </c>
      <c r="C1669" s="2" t="str">
        <f t="shared" si="53"/>
        <v>LIM333</v>
      </c>
      <c r="D1669" s="2">
        <v>51</v>
      </c>
      <c r="F1669" s="2451"/>
      <c r="G1669" s="2451"/>
      <c r="H1669" s="2451"/>
      <c r="I1669" s="2451"/>
      <c r="J1669" s="2451"/>
      <c r="K1669" s="2451"/>
      <c r="L1669" s="2453"/>
      <c r="M1669" s="2453"/>
      <c r="N1669" s="2453"/>
      <c r="O1669" s="2453"/>
      <c r="P1669" s="2453"/>
      <c r="W1669" t="s">
        <v>2062</v>
      </c>
    </row>
    <row r="1670" spans="1:23" ht="13.15" customHeight="1">
      <c r="A1670" s="2" t="s">
        <v>2215</v>
      </c>
      <c r="B1670" s="2">
        <f t="shared" si="52"/>
        <v>2020</v>
      </c>
      <c r="C1670" s="2" t="str">
        <f t="shared" si="53"/>
        <v>LIM333</v>
      </c>
      <c r="D1670" s="2">
        <v>52</v>
      </c>
      <c r="F1670" s="2451"/>
      <c r="G1670" s="2451"/>
      <c r="H1670" s="2451"/>
      <c r="I1670" s="2451"/>
      <c r="J1670" s="2451"/>
      <c r="K1670" s="2451"/>
      <c r="L1670" s="2453"/>
      <c r="M1670" s="2453"/>
      <c r="N1670" s="2453"/>
      <c r="O1670" s="2453"/>
      <c r="P1670" s="2453"/>
      <c r="W1670" t="s">
        <v>2062</v>
      </c>
    </row>
    <row r="1671" spans="1:23" ht="13.15" customHeight="1">
      <c r="A1671" s="2" t="s">
        <v>2215</v>
      </c>
      <c r="B1671" s="2">
        <f t="shared" si="52"/>
        <v>2020</v>
      </c>
      <c r="C1671" s="2" t="str">
        <f t="shared" si="53"/>
        <v>LIM333</v>
      </c>
      <c r="D1671" s="2">
        <v>53</v>
      </c>
      <c r="F1671" s="2451"/>
      <c r="G1671" s="2451"/>
      <c r="H1671" s="2451"/>
      <c r="I1671" s="2451"/>
      <c r="J1671" s="2451"/>
      <c r="K1671" s="2451"/>
      <c r="L1671" s="2453"/>
      <c r="M1671" s="2453"/>
      <c r="N1671" s="2453"/>
      <c r="O1671" s="2453"/>
      <c r="P1671" s="2453"/>
      <c r="W1671" t="s">
        <v>2062</v>
      </c>
    </row>
    <row r="1672" spans="1:23" ht="13.15" customHeight="1">
      <c r="A1672" s="2" t="s">
        <v>2215</v>
      </c>
      <c r="B1672" s="2">
        <f t="shared" si="52"/>
        <v>2020</v>
      </c>
      <c r="C1672" s="2" t="str">
        <f t="shared" si="53"/>
        <v>LIM333</v>
      </c>
      <c r="D1672" s="2">
        <v>54</v>
      </c>
      <c r="F1672" s="2451"/>
      <c r="G1672" s="2451"/>
      <c r="H1672" s="2451"/>
      <c r="I1672" s="2451"/>
      <c r="J1672" s="2451"/>
      <c r="K1672" s="2451"/>
      <c r="L1672" s="2453"/>
      <c r="M1672" s="2453"/>
      <c r="N1672" s="2453"/>
      <c r="O1672" s="2453"/>
      <c r="P1672" s="2453"/>
      <c r="W1672" t="s">
        <v>2062</v>
      </c>
    </row>
    <row r="1673" spans="1:23" ht="13.15" customHeight="1">
      <c r="A1673" s="2" t="s">
        <v>2215</v>
      </c>
      <c r="B1673" s="2">
        <f t="shared" si="52"/>
        <v>2020</v>
      </c>
      <c r="C1673" s="2" t="str">
        <f t="shared" si="53"/>
        <v>LIM333</v>
      </c>
      <c r="D1673" s="2">
        <v>55</v>
      </c>
      <c r="F1673" s="2451"/>
      <c r="G1673" s="2451"/>
      <c r="H1673" s="2451"/>
      <c r="I1673" s="2451"/>
      <c r="J1673" s="2451"/>
      <c r="K1673" s="2451"/>
      <c r="L1673" s="2453"/>
      <c r="M1673" s="2453"/>
      <c r="N1673" s="2453"/>
      <c r="O1673" s="2453"/>
      <c r="P1673" s="2453"/>
      <c r="W1673" t="s">
        <v>2062</v>
      </c>
    </row>
    <row r="1674" spans="1:23" ht="13.15" customHeight="1">
      <c r="A1674" s="2" t="s">
        <v>2215</v>
      </c>
      <c r="B1674" s="2">
        <f t="shared" si="52"/>
        <v>2020</v>
      </c>
      <c r="C1674" s="2" t="str">
        <f t="shared" si="53"/>
        <v>LIM333</v>
      </c>
      <c r="D1674" s="2">
        <v>56</v>
      </c>
      <c r="F1674" s="2451"/>
      <c r="G1674" s="2451"/>
      <c r="H1674" s="2451"/>
      <c r="I1674" s="2451"/>
      <c r="J1674" s="2451"/>
      <c r="K1674" s="2451"/>
      <c r="L1674" s="2453"/>
      <c r="M1674" s="2453"/>
      <c r="N1674" s="2453"/>
      <c r="O1674" s="2453"/>
      <c r="P1674" s="2453"/>
      <c r="W1674" t="s">
        <v>2062</v>
      </c>
    </row>
    <row r="1675" spans="1:23" ht="13.15" customHeight="1">
      <c r="A1675" s="2" t="s">
        <v>2215</v>
      </c>
      <c r="B1675" s="2">
        <f t="shared" si="52"/>
        <v>2020</v>
      </c>
      <c r="C1675" s="2" t="str">
        <f t="shared" si="53"/>
        <v>LIM333</v>
      </c>
      <c r="D1675" s="2">
        <v>57</v>
      </c>
      <c r="F1675" s="2451"/>
      <c r="G1675" s="2451"/>
      <c r="H1675" s="2451"/>
      <c r="I1675" s="2451"/>
      <c r="J1675" s="2451"/>
      <c r="K1675" s="2451"/>
      <c r="L1675" s="2453"/>
      <c r="M1675" s="2453"/>
      <c r="N1675" s="2453"/>
      <c r="O1675" s="2453"/>
      <c r="P1675" s="2453"/>
      <c r="W1675" t="s">
        <v>2062</v>
      </c>
    </row>
    <row r="1676" spans="1:23" ht="13.15" customHeight="1">
      <c r="A1676" s="2" t="s">
        <v>2215</v>
      </c>
      <c r="B1676" s="2">
        <f t="shared" si="52"/>
        <v>2020</v>
      </c>
      <c r="C1676" s="2" t="str">
        <f t="shared" si="53"/>
        <v>LIM333</v>
      </c>
      <c r="D1676" s="2">
        <v>58</v>
      </c>
      <c r="F1676" s="2451"/>
      <c r="G1676" s="2451"/>
      <c r="H1676" s="2451"/>
      <c r="I1676" s="2451"/>
      <c r="J1676" s="2451"/>
      <c r="K1676" s="2451"/>
      <c r="L1676" s="2453"/>
      <c r="M1676" s="2453"/>
      <c r="N1676" s="2453"/>
      <c r="O1676" s="2453"/>
      <c r="P1676" s="2453"/>
      <c r="W1676" t="s">
        <v>2062</v>
      </c>
    </row>
    <row r="1677" spans="1:23" ht="13.15" customHeight="1">
      <c r="A1677" s="2" t="s">
        <v>2215</v>
      </c>
      <c r="B1677" s="2">
        <f t="shared" si="52"/>
        <v>2020</v>
      </c>
      <c r="C1677" s="2" t="str">
        <f t="shared" si="53"/>
        <v>LIM333</v>
      </c>
      <c r="D1677" s="2">
        <v>59</v>
      </c>
      <c r="F1677" s="2451"/>
      <c r="G1677" s="2451"/>
      <c r="H1677" s="2451"/>
      <c r="I1677" s="2451"/>
      <c r="J1677" s="2451"/>
      <c r="K1677" s="2451"/>
      <c r="L1677" s="2453"/>
      <c r="M1677" s="2453"/>
      <c r="N1677" s="2453"/>
      <c r="O1677" s="2453"/>
      <c r="P1677" s="2453"/>
      <c r="W1677" t="s">
        <v>2062</v>
      </c>
    </row>
    <row r="1678" spans="1:23" ht="13.15" customHeight="1">
      <c r="A1678" s="2" t="s">
        <v>2215</v>
      </c>
      <c r="B1678" s="2">
        <f t="shared" si="52"/>
        <v>2020</v>
      </c>
      <c r="C1678" s="2" t="str">
        <f t="shared" si="53"/>
        <v>LIM333</v>
      </c>
      <c r="D1678" s="2">
        <v>60</v>
      </c>
      <c r="F1678" s="2451"/>
      <c r="G1678" s="2451"/>
      <c r="H1678" s="2451"/>
      <c r="I1678" s="2451"/>
      <c r="J1678" s="2451"/>
      <c r="K1678" s="2451"/>
      <c r="L1678" s="2453"/>
      <c r="M1678" s="2453"/>
      <c r="N1678" s="2453"/>
      <c r="O1678" s="2453"/>
      <c r="P1678" s="2453"/>
      <c r="W1678" t="s">
        <v>2062</v>
      </c>
    </row>
    <row r="1679" spans="1:23" ht="13.15" customHeight="1">
      <c r="A1679" s="2" t="s">
        <v>2215</v>
      </c>
      <c r="B1679" s="2">
        <f t="shared" si="52"/>
        <v>2020</v>
      </c>
      <c r="C1679" s="2" t="str">
        <f t="shared" si="53"/>
        <v>LIM333</v>
      </c>
      <c r="D1679" s="2">
        <v>61</v>
      </c>
      <c r="F1679" s="2451"/>
      <c r="G1679" s="2451"/>
      <c r="H1679" s="2451"/>
      <c r="I1679" s="2451"/>
      <c r="J1679" s="2451"/>
      <c r="K1679" s="2451"/>
      <c r="L1679" s="2453"/>
      <c r="M1679" s="2453"/>
      <c r="N1679" s="2453"/>
      <c r="O1679" s="2453"/>
      <c r="P1679" s="2453"/>
      <c r="W1679" t="s">
        <v>2062</v>
      </c>
    </row>
    <row r="1680" spans="1:23" ht="13.15" customHeight="1">
      <c r="A1680" s="2" t="s">
        <v>2215</v>
      </c>
      <c r="B1680" s="2">
        <f t="shared" si="52"/>
        <v>2020</v>
      </c>
      <c r="C1680" s="2" t="str">
        <f t="shared" si="53"/>
        <v>LIM333</v>
      </c>
      <c r="D1680" s="2">
        <v>62</v>
      </c>
      <c r="F1680" s="2451"/>
      <c r="G1680" s="2451"/>
      <c r="H1680" s="2451"/>
      <c r="I1680" s="2451"/>
      <c r="J1680" s="2451"/>
      <c r="K1680" s="2451"/>
      <c r="L1680" s="2453"/>
      <c r="M1680" s="2453"/>
      <c r="N1680" s="2453"/>
      <c r="O1680" s="2453"/>
      <c r="P1680" s="2453"/>
      <c r="W1680" t="s">
        <v>2062</v>
      </c>
    </row>
    <row r="1681" spans="1:23" ht="13.15" customHeight="1">
      <c r="A1681" s="2" t="s">
        <v>2215</v>
      </c>
      <c r="B1681" s="2">
        <f t="shared" si="52"/>
        <v>2020</v>
      </c>
      <c r="C1681" s="2" t="str">
        <f t="shared" si="53"/>
        <v>LIM333</v>
      </c>
      <c r="D1681" s="2">
        <v>63</v>
      </c>
      <c r="F1681" s="2451"/>
      <c r="G1681" s="2451"/>
      <c r="H1681" s="2451"/>
      <c r="I1681" s="2451"/>
      <c r="J1681" s="2451"/>
      <c r="K1681" s="2451"/>
      <c r="L1681" s="2453"/>
      <c r="M1681" s="2453"/>
      <c r="N1681" s="2453"/>
      <c r="O1681" s="2453"/>
      <c r="P1681" s="2453"/>
      <c r="W1681" t="s">
        <v>2062</v>
      </c>
    </row>
    <row r="1682" spans="1:23" ht="13.15" customHeight="1">
      <c r="A1682" s="2" t="s">
        <v>2215</v>
      </c>
      <c r="B1682" s="2">
        <f t="shared" si="52"/>
        <v>2020</v>
      </c>
      <c r="C1682" s="2" t="str">
        <f t="shared" si="53"/>
        <v>LIM333</v>
      </c>
      <c r="D1682" s="2">
        <v>64</v>
      </c>
      <c r="F1682" s="2451"/>
      <c r="G1682" s="2451"/>
      <c r="H1682" s="2451"/>
      <c r="I1682" s="2451"/>
      <c r="J1682" s="2451"/>
      <c r="K1682" s="2451"/>
      <c r="L1682" s="2453"/>
      <c r="M1682" s="2453"/>
      <c r="N1682" s="2453"/>
      <c r="O1682" s="2453"/>
      <c r="P1682" s="2453"/>
      <c r="W1682" t="s">
        <v>2062</v>
      </c>
    </row>
    <row r="1683" spans="1:23" ht="13.15" customHeight="1">
      <c r="A1683" s="2" t="s">
        <v>2215</v>
      </c>
      <c r="B1683" s="2">
        <f t="shared" si="52"/>
        <v>2020</v>
      </c>
      <c r="C1683" s="2" t="str">
        <f t="shared" si="53"/>
        <v>LIM333</v>
      </c>
      <c r="D1683" s="2">
        <v>65</v>
      </c>
      <c r="F1683" s="2451"/>
      <c r="G1683" s="2451"/>
      <c r="H1683" s="2451"/>
      <c r="I1683" s="2451"/>
      <c r="J1683" s="2451"/>
      <c r="K1683" s="2451"/>
      <c r="L1683" s="2453"/>
      <c r="M1683" s="2453"/>
      <c r="N1683" s="2453"/>
      <c r="O1683" s="2453"/>
      <c r="P1683" s="2453"/>
      <c r="W1683" t="s">
        <v>2062</v>
      </c>
    </row>
    <row r="1684" spans="1:23" ht="13.15" customHeight="1">
      <c r="A1684" s="2" t="s">
        <v>2215</v>
      </c>
      <c r="B1684" s="2">
        <f t="shared" si="52"/>
        <v>2020</v>
      </c>
      <c r="C1684" s="2" t="str">
        <f t="shared" si="53"/>
        <v>LIM333</v>
      </c>
      <c r="D1684" s="2">
        <v>66</v>
      </c>
      <c r="F1684" s="2451"/>
      <c r="G1684" s="2451"/>
      <c r="H1684" s="2451"/>
      <c r="I1684" s="2451"/>
      <c r="J1684" s="2451"/>
      <c r="K1684" s="2451"/>
      <c r="L1684" s="2453"/>
      <c r="M1684" s="2453"/>
      <c r="N1684" s="2453"/>
      <c r="O1684" s="2453"/>
      <c r="P1684" s="2453"/>
      <c r="W1684" t="s">
        <v>2062</v>
      </c>
    </row>
    <row r="1685" spans="1:23" ht="13.15" customHeight="1">
      <c r="A1685" s="2" t="s">
        <v>2215</v>
      </c>
      <c r="B1685" s="2">
        <f t="shared" si="52"/>
        <v>2020</v>
      </c>
      <c r="C1685" s="2" t="str">
        <f t="shared" si="53"/>
        <v>LIM333</v>
      </c>
      <c r="D1685" s="2">
        <v>67</v>
      </c>
      <c r="F1685" s="2451"/>
      <c r="G1685" s="2451"/>
      <c r="H1685" s="2451"/>
      <c r="I1685" s="2451"/>
      <c r="J1685" s="2451"/>
      <c r="K1685" s="2451"/>
      <c r="L1685" s="2453"/>
      <c r="M1685" s="2453"/>
      <c r="N1685" s="2453"/>
      <c r="O1685" s="2453"/>
      <c r="P1685" s="2453"/>
      <c r="W1685" t="s">
        <v>2062</v>
      </c>
    </row>
    <row r="1686" spans="1:23" ht="13.15" customHeight="1">
      <c r="A1686" s="2" t="s">
        <v>2215</v>
      </c>
      <c r="B1686" s="2">
        <f t="shared" si="52"/>
        <v>2020</v>
      </c>
      <c r="C1686" s="2" t="str">
        <f t="shared" si="53"/>
        <v>LIM333</v>
      </c>
      <c r="D1686" s="2">
        <v>68</v>
      </c>
      <c r="F1686" s="2451"/>
      <c r="G1686" s="2451"/>
      <c r="H1686" s="2451"/>
      <c r="I1686" s="2451"/>
      <c r="J1686" s="2451"/>
      <c r="K1686" s="2451"/>
      <c r="L1686" s="2453"/>
      <c r="M1686" s="2453"/>
      <c r="N1686" s="2453"/>
      <c r="O1686" s="2453"/>
      <c r="P1686" s="2453"/>
      <c r="W1686" t="s">
        <v>2062</v>
      </c>
    </row>
    <row r="1687" spans="1:23" ht="13.15" customHeight="1">
      <c r="A1687" s="2" t="s">
        <v>2215</v>
      </c>
      <c r="B1687" s="2">
        <f t="shared" si="52"/>
        <v>2020</v>
      </c>
      <c r="C1687" s="2" t="str">
        <f t="shared" si="53"/>
        <v>LIM333</v>
      </c>
      <c r="D1687" s="2">
        <v>69</v>
      </c>
      <c r="F1687" s="2451"/>
      <c r="G1687" s="2451"/>
      <c r="H1687" s="2451"/>
      <c r="I1687" s="2451"/>
      <c r="J1687" s="2451"/>
      <c r="K1687" s="2451"/>
      <c r="L1687" s="2453"/>
      <c r="M1687" s="2453"/>
      <c r="N1687" s="2453"/>
      <c r="O1687" s="2453"/>
      <c r="P1687" s="2453"/>
      <c r="W1687" t="s">
        <v>2062</v>
      </c>
    </row>
    <row r="1688" spans="1:23" ht="13.15" customHeight="1">
      <c r="A1688" s="2" t="s">
        <v>2215</v>
      </c>
      <c r="B1688" s="2">
        <f t="shared" si="52"/>
        <v>2020</v>
      </c>
      <c r="C1688" s="2" t="str">
        <f t="shared" si="53"/>
        <v>LIM333</v>
      </c>
      <c r="D1688" s="2">
        <v>70</v>
      </c>
      <c r="F1688" s="2451"/>
      <c r="G1688" s="2451"/>
      <c r="H1688" s="2451"/>
      <c r="I1688" s="2451"/>
      <c r="J1688" s="2451"/>
      <c r="K1688" s="2451"/>
      <c r="L1688" s="2453"/>
      <c r="M1688" s="2453"/>
      <c r="N1688" s="2453"/>
      <c r="O1688" s="2453"/>
      <c r="P1688" s="2453"/>
      <c r="W1688" t="s">
        <v>2062</v>
      </c>
    </row>
    <row r="1689" spans="1:23" ht="13.15" customHeight="1">
      <c r="A1689" s="2" t="s">
        <v>2215</v>
      </c>
      <c r="B1689" s="2">
        <f t="shared" si="52"/>
        <v>2020</v>
      </c>
      <c r="C1689" s="2" t="str">
        <f t="shared" si="53"/>
        <v>LIM333</v>
      </c>
      <c r="D1689" s="2">
        <v>71</v>
      </c>
      <c r="F1689" s="2451"/>
      <c r="G1689" s="2451"/>
      <c r="H1689" s="2451"/>
      <c r="I1689" s="2451"/>
      <c r="J1689" s="2451"/>
      <c r="K1689" s="2451"/>
      <c r="L1689" s="2453"/>
      <c r="M1689" s="2453"/>
      <c r="N1689" s="2453"/>
      <c r="O1689" s="2453"/>
      <c r="P1689" s="2453"/>
      <c r="W1689" t="s">
        <v>2062</v>
      </c>
    </row>
    <row r="1690" spans="1:23" ht="13.15" customHeight="1">
      <c r="A1690" s="2" t="s">
        <v>2215</v>
      </c>
      <c r="B1690" s="2">
        <f t="shared" si="52"/>
        <v>2020</v>
      </c>
      <c r="C1690" s="2" t="str">
        <f t="shared" si="53"/>
        <v>LIM333</v>
      </c>
      <c r="D1690" s="2">
        <v>72</v>
      </c>
      <c r="F1690" s="2451"/>
      <c r="G1690" s="2451"/>
      <c r="H1690" s="2451"/>
      <c r="I1690" s="2451"/>
      <c r="J1690" s="2451"/>
      <c r="K1690" s="2451"/>
      <c r="L1690" s="2453"/>
      <c r="M1690" s="2453"/>
      <c r="N1690" s="2453"/>
      <c r="O1690" s="2453"/>
      <c r="P1690" s="2453"/>
      <c r="W1690" t="s">
        <v>2062</v>
      </c>
    </row>
    <row r="1691" spans="1:23" ht="13.15" customHeight="1">
      <c r="A1691" s="2" t="s">
        <v>2215</v>
      </c>
      <c r="B1691" s="2">
        <f t="shared" si="52"/>
        <v>2020</v>
      </c>
      <c r="C1691" s="2" t="str">
        <f t="shared" si="53"/>
        <v>LIM333</v>
      </c>
      <c r="D1691" s="2">
        <v>73</v>
      </c>
      <c r="F1691" s="2451"/>
      <c r="G1691" s="2451"/>
      <c r="H1691" s="2451"/>
      <c r="I1691" s="2451"/>
      <c r="J1691" s="2451"/>
      <c r="K1691" s="2451"/>
      <c r="L1691" s="2453"/>
      <c r="M1691" s="2453"/>
      <c r="N1691" s="2453"/>
      <c r="O1691" s="2453"/>
      <c r="P1691" s="2453"/>
      <c r="W1691" t="s">
        <v>2062</v>
      </c>
    </row>
    <row r="1692" spans="1:23" ht="13.15" customHeight="1">
      <c r="A1692" s="2" t="s">
        <v>2215</v>
      </c>
      <c r="B1692" s="2">
        <f t="shared" si="52"/>
        <v>2020</v>
      </c>
      <c r="C1692" s="2" t="str">
        <f t="shared" si="53"/>
        <v>LIM333</v>
      </c>
      <c r="D1692" s="2">
        <v>74</v>
      </c>
      <c r="F1692" s="2451"/>
      <c r="G1692" s="2451"/>
      <c r="H1692" s="2451"/>
      <c r="I1692" s="2451"/>
      <c r="J1692" s="2451"/>
      <c r="K1692" s="2451"/>
      <c r="L1692" s="2453"/>
      <c r="M1692" s="2453"/>
      <c r="N1692" s="2453"/>
      <c r="O1692" s="2453"/>
      <c r="P1692" s="2453"/>
      <c r="W1692" t="s">
        <v>2062</v>
      </c>
    </row>
    <row r="1693" spans="1:23" ht="13.15" customHeight="1">
      <c r="A1693" s="2" t="s">
        <v>2215</v>
      </c>
      <c r="B1693" s="2">
        <f t="shared" si="52"/>
        <v>2020</v>
      </c>
      <c r="C1693" s="2" t="str">
        <f t="shared" si="53"/>
        <v>LIM333</v>
      </c>
      <c r="D1693" s="2">
        <v>75</v>
      </c>
      <c r="F1693" s="2451"/>
      <c r="G1693" s="2451"/>
      <c r="H1693" s="2451"/>
      <c r="I1693" s="2451"/>
      <c r="J1693" s="2451"/>
      <c r="K1693" s="2451"/>
      <c r="L1693" s="2453"/>
      <c r="M1693" s="2453"/>
      <c r="N1693" s="2453"/>
      <c r="O1693" s="2453"/>
      <c r="P1693" s="2453"/>
      <c r="W1693" t="s">
        <v>2062</v>
      </c>
    </row>
    <row r="1694" spans="1:23" ht="13.15" customHeight="1">
      <c r="A1694" s="2" t="s">
        <v>2215</v>
      </c>
      <c r="B1694" s="2">
        <f t="shared" si="52"/>
        <v>2020</v>
      </c>
      <c r="C1694" s="2" t="str">
        <f t="shared" si="53"/>
        <v>LIM333</v>
      </c>
      <c r="D1694" s="2">
        <v>76</v>
      </c>
      <c r="F1694" s="2451"/>
      <c r="G1694" s="2451"/>
      <c r="H1694" s="2451"/>
      <c r="I1694" s="2451"/>
      <c r="J1694" s="2451"/>
      <c r="K1694" s="2451"/>
      <c r="L1694" s="2453"/>
      <c r="M1694" s="2453"/>
      <c r="N1694" s="2453"/>
      <c r="O1694" s="2453"/>
      <c r="P1694" s="2453"/>
      <c r="W1694" t="s">
        <v>2062</v>
      </c>
    </row>
    <row r="1695" spans="1:23" ht="13.15" customHeight="1">
      <c r="A1695" s="2" t="s">
        <v>2215</v>
      </c>
      <c r="B1695" s="2">
        <f t="shared" si="52"/>
        <v>2020</v>
      </c>
      <c r="C1695" s="2" t="str">
        <f t="shared" si="53"/>
        <v>LIM333</v>
      </c>
      <c r="D1695" s="2">
        <v>77</v>
      </c>
      <c r="F1695" s="2451"/>
      <c r="G1695" s="2451"/>
      <c r="H1695" s="2451"/>
      <c r="I1695" s="2451"/>
      <c r="J1695" s="2451"/>
      <c r="K1695" s="2451"/>
      <c r="L1695" s="2453"/>
      <c r="M1695" s="2453"/>
      <c r="N1695" s="2453"/>
      <c r="O1695" s="2453"/>
      <c r="P1695" s="2453"/>
      <c r="W1695" t="s">
        <v>2062</v>
      </c>
    </row>
    <row r="1696" spans="1:23" ht="13.15" customHeight="1">
      <c r="A1696" s="2" t="s">
        <v>2215</v>
      </c>
      <c r="B1696" s="2">
        <f t="shared" si="52"/>
        <v>2020</v>
      </c>
      <c r="C1696" s="2" t="str">
        <f t="shared" si="53"/>
        <v>LIM333</v>
      </c>
      <c r="D1696" s="2">
        <v>78</v>
      </c>
      <c r="F1696" s="2451"/>
      <c r="G1696" s="2451"/>
      <c r="H1696" s="2451"/>
      <c r="I1696" s="2451"/>
      <c r="J1696" s="2451"/>
      <c r="K1696" s="2451"/>
      <c r="L1696" s="2453"/>
      <c r="M1696" s="2453"/>
      <c r="N1696" s="2453"/>
      <c r="O1696" s="2453"/>
      <c r="P1696" s="2453"/>
      <c r="W1696" t="s">
        <v>2062</v>
      </c>
    </row>
    <row r="1697" spans="1:23" ht="13.15" customHeight="1">
      <c r="A1697" s="2" t="s">
        <v>2215</v>
      </c>
      <c r="B1697" s="2">
        <f t="shared" si="52"/>
        <v>2020</v>
      </c>
      <c r="C1697" s="2" t="str">
        <f t="shared" si="53"/>
        <v>LIM333</v>
      </c>
      <c r="D1697" s="2">
        <v>79</v>
      </c>
      <c r="F1697" s="2451"/>
      <c r="G1697" s="2451"/>
      <c r="H1697" s="2451"/>
      <c r="I1697" s="2451"/>
      <c r="J1697" s="2451"/>
      <c r="K1697" s="2451"/>
      <c r="L1697" s="2453"/>
      <c r="M1697" s="2453"/>
      <c r="N1697" s="2453"/>
      <c r="O1697" s="2453"/>
      <c r="P1697" s="2453"/>
      <c r="W1697" t="s">
        <v>2062</v>
      </c>
    </row>
    <row r="1698" spans="1:23" ht="13.15" customHeight="1">
      <c r="A1698" s="2" t="s">
        <v>2215</v>
      </c>
      <c r="B1698" s="2">
        <f t="shared" si="52"/>
        <v>2020</v>
      </c>
      <c r="C1698" s="2" t="str">
        <f t="shared" si="53"/>
        <v>LIM333</v>
      </c>
      <c r="D1698" s="2">
        <v>80</v>
      </c>
      <c r="F1698" s="2451"/>
      <c r="G1698" s="2451"/>
      <c r="H1698" s="2451"/>
      <c r="I1698" s="2451"/>
      <c r="J1698" s="2451"/>
      <c r="K1698" s="2451"/>
      <c r="L1698" s="2453"/>
      <c r="M1698" s="2453"/>
      <c r="N1698" s="2453"/>
      <c r="O1698" s="2453"/>
      <c r="P1698" s="2453"/>
      <c r="W1698" t="s">
        <v>2062</v>
      </c>
    </row>
    <row r="1699" spans="1:23" ht="13.15" customHeight="1">
      <c r="A1699" s="2" t="s">
        <v>2215</v>
      </c>
      <c r="B1699" s="2">
        <f t="shared" si="52"/>
        <v>2020</v>
      </c>
      <c r="C1699" s="2" t="str">
        <f t="shared" si="53"/>
        <v>LIM333</v>
      </c>
      <c r="D1699" s="2">
        <v>81</v>
      </c>
      <c r="F1699" s="2451"/>
      <c r="G1699" s="2451"/>
      <c r="H1699" s="2451"/>
      <c r="I1699" s="2451"/>
      <c r="J1699" s="2451"/>
      <c r="K1699" s="2451"/>
      <c r="L1699" s="2453"/>
      <c r="M1699" s="2453"/>
      <c r="N1699" s="2453"/>
      <c r="O1699" s="2453"/>
      <c r="P1699" s="2453"/>
      <c r="W1699" t="s">
        <v>2062</v>
      </c>
    </row>
    <row r="1700" spans="1:23" ht="13.15" customHeight="1">
      <c r="A1700" s="2" t="s">
        <v>2215</v>
      </c>
      <c r="B1700" s="2">
        <f t="shared" si="52"/>
        <v>2020</v>
      </c>
      <c r="C1700" s="2" t="str">
        <f t="shared" si="53"/>
        <v>LIM333</v>
      </c>
      <c r="D1700" s="2">
        <v>82</v>
      </c>
      <c r="F1700" s="2451"/>
      <c r="G1700" s="2451"/>
      <c r="H1700" s="2451"/>
      <c r="I1700" s="2451"/>
      <c r="J1700" s="2451"/>
      <c r="K1700" s="2451"/>
      <c r="L1700" s="2453"/>
      <c r="M1700" s="2453"/>
      <c r="N1700" s="2453"/>
      <c r="O1700" s="2453"/>
      <c r="P1700" s="2453"/>
      <c r="W1700" t="s">
        <v>2062</v>
      </c>
    </row>
    <row r="1701" spans="1:23" ht="13.15" customHeight="1">
      <c r="A1701" s="2" t="s">
        <v>2215</v>
      </c>
      <c r="B1701" s="2">
        <f t="shared" si="52"/>
        <v>2020</v>
      </c>
      <c r="C1701" s="2" t="str">
        <f t="shared" si="53"/>
        <v>LIM333</v>
      </c>
      <c r="D1701" s="2">
        <v>83</v>
      </c>
      <c r="F1701" s="2451"/>
      <c r="G1701" s="2451"/>
      <c r="H1701" s="2451"/>
      <c r="I1701" s="2451"/>
      <c r="J1701" s="2451"/>
      <c r="K1701" s="2451"/>
      <c r="L1701" s="2453"/>
      <c r="M1701" s="2453"/>
      <c r="N1701" s="2453"/>
      <c r="O1701" s="2453"/>
      <c r="P1701" s="2453"/>
      <c r="W1701" t="s">
        <v>2062</v>
      </c>
    </row>
    <row r="1702" spans="1:23" ht="13.15" customHeight="1">
      <c r="A1702" s="2" t="s">
        <v>2215</v>
      </c>
      <c r="B1702" s="2">
        <f t="shared" si="52"/>
        <v>2020</v>
      </c>
      <c r="C1702" s="2" t="str">
        <f t="shared" si="53"/>
        <v>LIM333</v>
      </c>
      <c r="D1702" s="2">
        <v>84</v>
      </c>
      <c r="F1702" s="2451"/>
      <c r="G1702" s="2451"/>
      <c r="H1702" s="2451"/>
      <c r="I1702" s="2451"/>
      <c r="J1702" s="2451"/>
      <c r="K1702" s="2451"/>
      <c r="L1702" s="2453"/>
      <c r="M1702" s="2453"/>
      <c r="N1702" s="2453"/>
      <c r="O1702" s="2453"/>
      <c r="P1702" s="2453"/>
      <c r="W1702" t="s">
        <v>2062</v>
      </c>
    </row>
    <row r="1703" spans="1:23" ht="13.15" customHeight="1">
      <c r="A1703" s="2" t="s">
        <v>2215</v>
      </c>
      <c r="B1703" s="2">
        <f t="shared" si="52"/>
        <v>2020</v>
      </c>
      <c r="C1703" s="2" t="str">
        <f t="shared" si="53"/>
        <v>LIM333</v>
      </c>
      <c r="D1703" s="2">
        <v>85</v>
      </c>
      <c r="F1703" s="2451"/>
      <c r="G1703" s="2451"/>
      <c r="H1703" s="2451"/>
      <c r="I1703" s="2451"/>
      <c r="J1703" s="2451"/>
      <c r="K1703" s="2451"/>
      <c r="L1703" s="2453"/>
      <c r="M1703" s="2453"/>
      <c r="N1703" s="2453"/>
      <c r="O1703" s="2453"/>
      <c r="P1703" s="2453"/>
      <c r="W1703" t="s">
        <v>2062</v>
      </c>
    </row>
    <row r="1704" spans="1:23" ht="13.15" customHeight="1">
      <c r="A1704" s="2" t="s">
        <v>2215</v>
      </c>
      <c r="B1704" s="2">
        <f t="shared" si="52"/>
        <v>2020</v>
      </c>
      <c r="C1704" s="2" t="str">
        <f t="shared" si="53"/>
        <v>LIM333</v>
      </c>
      <c r="D1704" s="2">
        <v>86</v>
      </c>
      <c r="F1704" s="2451"/>
      <c r="G1704" s="2451"/>
      <c r="H1704" s="2451"/>
      <c r="I1704" s="2451"/>
      <c r="J1704" s="2451"/>
      <c r="K1704" s="2451"/>
      <c r="L1704" s="2453"/>
      <c r="M1704" s="2453"/>
      <c r="N1704" s="2453"/>
      <c r="O1704" s="2453"/>
      <c r="P1704" s="2453"/>
      <c r="W1704" t="s">
        <v>2062</v>
      </c>
    </row>
    <row r="1705" spans="1:23" ht="13.15" customHeight="1">
      <c r="A1705" s="2" t="s">
        <v>2215</v>
      </c>
      <c r="B1705" s="2">
        <f t="shared" si="52"/>
        <v>2020</v>
      </c>
      <c r="C1705" s="2" t="str">
        <f t="shared" si="53"/>
        <v>LIM333</v>
      </c>
      <c r="D1705" s="2">
        <v>87</v>
      </c>
      <c r="F1705" s="2451"/>
      <c r="G1705" s="2451"/>
      <c r="H1705" s="2451"/>
      <c r="I1705" s="2451"/>
      <c r="J1705" s="2451"/>
      <c r="K1705" s="2451"/>
      <c r="L1705" s="2453"/>
      <c r="M1705" s="2453"/>
      <c r="N1705" s="2453"/>
      <c r="O1705" s="2453"/>
      <c r="P1705" s="2453"/>
      <c r="W1705" t="s">
        <v>2062</v>
      </c>
    </row>
    <row r="1706" spans="1:23" ht="13.15" customHeight="1">
      <c r="A1706" s="2" t="s">
        <v>2215</v>
      </c>
      <c r="B1706" s="2">
        <f t="shared" si="52"/>
        <v>2020</v>
      </c>
      <c r="C1706" s="2" t="str">
        <f t="shared" si="53"/>
        <v>LIM333</v>
      </c>
      <c r="D1706" s="2">
        <v>88</v>
      </c>
      <c r="F1706" s="2451"/>
      <c r="G1706" s="2451"/>
      <c r="H1706" s="2451"/>
      <c r="I1706" s="2451"/>
      <c r="J1706" s="2451"/>
      <c r="K1706" s="2451"/>
      <c r="L1706" s="2453"/>
      <c r="M1706" s="2453"/>
      <c r="N1706" s="2453"/>
      <c r="O1706" s="2453"/>
      <c r="P1706" s="2453"/>
      <c r="W1706" t="s">
        <v>2062</v>
      </c>
    </row>
    <row r="1707" spans="1:23" ht="13.15" customHeight="1">
      <c r="A1707" s="2" t="s">
        <v>2215</v>
      </c>
      <c r="B1707" s="2">
        <f t="shared" si="52"/>
        <v>2020</v>
      </c>
      <c r="C1707" s="2" t="str">
        <f t="shared" si="53"/>
        <v>LIM333</v>
      </c>
      <c r="D1707" s="2">
        <v>89</v>
      </c>
      <c r="F1707" s="2451"/>
      <c r="G1707" s="2451"/>
      <c r="H1707" s="2451"/>
      <c r="I1707" s="2451"/>
      <c r="J1707" s="2451"/>
      <c r="K1707" s="2451"/>
      <c r="L1707" s="2453"/>
      <c r="M1707" s="2453"/>
      <c r="N1707" s="2453"/>
      <c r="O1707" s="2453"/>
      <c r="P1707" s="2453"/>
      <c r="W1707" t="s">
        <v>2062</v>
      </c>
    </row>
    <row r="1708" spans="1:23" ht="13.15" customHeight="1">
      <c r="A1708" s="2" t="s">
        <v>2215</v>
      </c>
      <c r="B1708" s="2">
        <f t="shared" si="52"/>
        <v>2020</v>
      </c>
      <c r="C1708" s="2" t="str">
        <f t="shared" si="53"/>
        <v>LIM333</v>
      </c>
      <c r="D1708" s="2">
        <v>90</v>
      </c>
      <c r="F1708" s="2451"/>
      <c r="G1708" s="2451"/>
      <c r="H1708" s="2451"/>
      <c r="I1708" s="2451"/>
      <c r="J1708" s="2451"/>
      <c r="K1708" s="2451"/>
      <c r="L1708" s="2453"/>
      <c r="M1708" s="2453"/>
      <c r="N1708" s="2453"/>
      <c r="O1708" s="2453"/>
      <c r="P1708" s="2453"/>
      <c r="W1708" t="s">
        <v>2062</v>
      </c>
    </row>
    <row r="1709" spans="1:23" ht="13.15" customHeight="1">
      <c r="A1709" s="2" t="s">
        <v>2215</v>
      </c>
      <c r="B1709" s="2">
        <f t="shared" si="52"/>
        <v>2020</v>
      </c>
      <c r="C1709" s="2" t="str">
        <f t="shared" si="53"/>
        <v>LIM333</v>
      </c>
      <c r="D1709" s="2">
        <v>91</v>
      </c>
      <c r="F1709" s="2451"/>
      <c r="G1709" s="2451"/>
      <c r="H1709" s="2451"/>
      <c r="I1709" s="2451"/>
      <c r="J1709" s="2451"/>
      <c r="K1709" s="2451"/>
      <c r="L1709" s="2453"/>
      <c r="M1709" s="2453"/>
      <c r="N1709" s="2453"/>
      <c r="O1709" s="2453"/>
      <c r="P1709" s="2453"/>
      <c r="W1709" t="s">
        <v>2062</v>
      </c>
    </row>
    <row r="1710" spans="1:23" ht="13.15" customHeight="1">
      <c r="A1710" s="2" t="s">
        <v>2215</v>
      </c>
      <c r="B1710" s="2">
        <f t="shared" si="52"/>
        <v>2020</v>
      </c>
      <c r="C1710" s="2" t="str">
        <f t="shared" si="53"/>
        <v>LIM333</v>
      </c>
      <c r="D1710" s="2">
        <v>92</v>
      </c>
      <c r="F1710" s="2451"/>
      <c r="G1710" s="2451"/>
      <c r="H1710" s="2451"/>
      <c r="I1710" s="2451"/>
      <c r="J1710" s="2451"/>
      <c r="K1710" s="2451"/>
      <c r="L1710" s="2453"/>
      <c r="M1710" s="2453"/>
      <c r="N1710" s="2453"/>
      <c r="O1710" s="2453"/>
      <c r="P1710" s="2453"/>
      <c r="W1710" t="s">
        <v>2062</v>
      </c>
    </row>
    <row r="1711" spans="1:23" ht="13.15" customHeight="1">
      <c r="A1711" s="2" t="s">
        <v>2215</v>
      </c>
      <c r="B1711" s="2">
        <f t="shared" si="52"/>
        <v>2020</v>
      </c>
      <c r="C1711" s="2" t="str">
        <f t="shared" si="53"/>
        <v>LIM333</v>
      </c>
      <c r="D1711" s="2">
        <v>93</v>
      </c>
      <c r="F1711" s="2451"/>
      <c r="G1711" s="2451"/>
      <c r="H1711" s="2451"/>
      <c r="I1711" s="2451"/>
      <c r="J1711" s="2451"/>
      <c r="K1711" s="2451"/>
      <c r="L1711" s="2453"/>
      <c r="M1711" s="2453"/>
      <c r="N1711" s="2453"/>
      <c r="O1711" s="2453"/>
      <c r="P1711" s="2453"/>
      <c r="W1711" t="s">
        <v>2062</v>
      </c>
    </row>
    <row r="1712" spans="1:23" ht="13.15" customHeight="1">
      <c r="A1712" s="2" t="s">
        <v>2215</v>
      </c>
      <c r="B1712" s="2">
        <f t="shared" si="52"/>
        <v>2020</v>
      </c>
      <c r="C1712" s="2" t="str">
        <f t="shared" si="53"/>
        <v>LIM333</v>
      </c>
      <c r="D1712" s="2">
        <v>94</v>
      </c>
      <c r="F1712" s="2451"/>
      <c r="G1712" s="2451"/>
      <c r="H1712" s="2451"/>
      <c r="I1712" s="2451"/>
      <c r="J1712" s="2451"/>
      <c r="K1712" s="2451"/>
      <c r="L1712" s="2453"/>
      <c r="M1712" s="2453"/>
      <c r="N1712" s="2453"/>
      <c r="O1712" s="2453"/>
      <c r="P1712" s="2453"/>
      <c r="W1712" t="s">
        <v>2062</v>
      </c>
    </row>
    <row r="1713" spans="1:23" ht="13.15" customHeight="1">
      <c r="A1713" s="2" t="s">
        <v>2215</v>
      </c>
      <c r="B1713" s="2">
        <f t="shared" si="52"/>
        <v>2020</v>
      </c>
      <c r="C1713" s="2" t="str">
        <f t="shared" si="53"/>
        <v>LIM333</v>
      </c>
      <c r="D1713" s="2">
        <v>95</v>
      </c>
      <c r="F1713" s="2451"/>
      <c r="G1713" s="2451"/>
      <c r="H1713" s="2451"/>
      <c r="I1713" s="2451"/>
      <c r="J1713" s="2451"/>
      <c r="K1713" s="2451"/>
      <c r="L1713" s="2453"/>
      <c r="M1713" s="2453"/>
      <c r="N1713" s="2453"/>
      <c r="O1713" s="2453"/>
      <c r="P1713" s="2453"/>
      <c r="W1713" t="s">
        <v>2062</v>
      </c>
    </row>
    <row r="1714" spans="1:23" ht="13.15" customHeight="1">
      <c r="A1714" s="2" t="s">
        <v>2215</v>
      </c>
      <c r="B1714" s="2">
        <f t="shared" si="52"/>
        <v>2020</v>
      </c>
      <c r="C1714" s="2" t="str">
        <f t="shared" si="53"/>
        <v>LIM333</v>
      </c>
      <c r="D1714" s="2">
        <v>96</v>
      </c>
      <c r="F1714" s="2451"/>
      <c r="G1714" s="2451"/>
      <c r="H1714" s="2451"/>
      <c r="I1714" s="2451"/>
      <c r="J1714" s="2451"/>
      <c r="K1714" s="2451"/>
      <c r="L1714" s="2453"/>
      <c r="M1714" s="2453"/>
      <c r="N1714" s="2453"/>
      <c r="O1714" s="2453"/>
      <c r="P1714" s="2453"/>
      <c r="W1714" t="s">
        <v>2062</v>
      </c>
    </row>
    <row r="1715" spans="1:23" ht="13.15" customHeight="1">
      <c r="A1715" s="2" t="s">
        <v>2215</v>
      </c>
      <c r="B1715" s="2">
        <f t="shared" si="52"/>
        <v>2020</v>
      </c>
      <c r="C1715" s="2" t="str">
        <f t="shared" si="53"/>
        <v>LIM333</v>
      </c>
      <c r="D1715" s="2">
        <v>97</v>
      </c>
      <c r="F1715" s="2451"/>
      <c r="G1715" s="2451"/>
      <c r="H1715" s="2451"/>
      <c r="I1715" s="2451"/>
      <c r="J1715" s="2451"/>
      <c r="K1715" s="2451"/>
      <c r="L1715" s="2453"/>
      <c r="M1715" s="2453"/>
      <c r="N1715" s="2453"/>
      <c r="O1715" s="2453"/>
      <c r="P1715" s="2453"/>
      <c r="W1715" t="s">
        <v>2062</v>
      </c>
    </row>
    <row r="1716" spans="1:23" ht="13.15" customHeight="1">
      <c r="A1716" s="2" t="s">
        <v>2215</v>
      </c>
      <c r="B1716" s="2">
        <f t="shared" si="52"/>
        <v>2020</v>
      </c>
      <c r="C1716" s="2" t="str">
        <f t="shared" si="53"/>
        <v>LIM333</v>
      </c>
      <c r="D1716" s="2">
        <v>98</v>
      </c>
      <c r="F1716" s="2451"/>
      <c r="G1716" s="2451"/>
      <c r="H1716" s="2451"/>
      <c r="I1716" s="2451"/>
      <c r="J1716" s="2451"/>
      <c r="K1716" s="2451"/>
      <c r="L1716" s="2453"/>
      <c r="M1716" s="2453"/>
      <c r="N1716" s="2453"/>
      <c r="O1716" s="2453"/>
      <c r="P1716" s="2453"/>
      <c r="W1716" t="s">
        <v>2062</v>
      </c>
    </row>
    <row r="1717" spans="1:23" ht="13.15" customHeight="1">
      <c r="A1717" s="2" t="s">
        <v>2215</v>
      </c>
      <c r="B1717" s="2">
        <f t="shared" si="52"/>
        <v>2020</v>
      </c>
      <c r="C1717" s="2" t="str">
        <f t="shared" si="53"/>
        <v>LIM333</v>
      </c>
      <c r="D1717" s="2">
        <v>99</v>
      </c>
      <c r="F1717" s="2451"/>
      <c r="G1717" s="2451"/>
      <c r="H1717" s="2451"/>
      <c r="I1717" s="2451"/>
      <c r="J1717" s="2451"/>
      <c r="K1717" s="2451"/>
      <c r="L1717" s="2453"/>
      <c r="M1717" s="2453"/>
      <c r="N1717" s="2453"/>
      <c r="O1717" s="2453"/>
      <c r="P1717" s="2453"/>
      <c r="W1717" t="s">
        <v>2062</v>
      </c>
    </row>
    <row r="1718" spans="1:23" ht="13.15" customHeight="1">
      <c r="A1718" s="2" t="s">
        <v>2215</v>
      </c>
      <c r="B1718" s="2">
        <f t="shared" si="52"/>
        <v>2020</v>
      </c>
      <c r="C1718" s="2" t="str">
        <f t="shared" si="53"/>
        <v>LIM333</v>
      </c>
      <c r="D1718" s="2">
        <v>100</v>
      </c>
      <c r="F1718" s="2451"/>
      <c r="G1718" s="2451"/>
      <c r="H1718" s="2451"/>
      <c r="I1718" s="2451"/>
      <c r="J1718" s="2451"/>
      <c r="K1718" s="2451"/>
      <c r="L1718" s="2453"/>
      <c r="M1718" s="2453"/>
      <c r="N1718" s="2453"/>
      <c r="O1718" s="2453"/>
      <c r="P1718" s="2453"/>
      <c r="W1718" t="s">
        <v>2062</v>
      </c>
    </row>
    <row r="1719" spans="1:23" ht="13.15" customHeight="1">
      <c r="A1719" s="2" t="s">
        <v>2215</v>
      </c>
      <c r="B1719" s="2">
        <f t="shared" si="52"/>
        <v>2020</v>
      </c>
      <c r="C1719" s="2" t="str">
        <f t="shared" si="53"/>
        <v>LIM333</v>
      </c>
      <c r="D1719" s="2">
        <v>101</v>
      </c>
      <c r="F1719" s="2451"/>
      <c r="G1719" s="2451"/>
      <c r="H1719" s="2451"/>
      <c r="I1719" s="2451"/>
      <c r="J1719" s="2451"/>
      <c r="K1719" s="2451"/>
      <c r="L1719" s="2453"/>
      <c r="M1719" s="2453"/>
      <c r="N1719" s="2453"/>
      <c r="O1719" s="2453"/>
      <c r="P1719" s="2453"/>
      <c r="W1719" t="s">
        <v>2062</v>
      </c>
    </row>
    <row r="1720" spans="1:23" ht="13.15" customHeight="1">
      <c r="A1720" s="2" t="s">
        <v>2215</v>
      </c>
      <c r="B1720" s="2">
        <f t="shared" si="52"/>
        <v>2020</v>
      </c>
      <c r="C1720" s="2" t="str">
        <f t="shared" si="53"/>
        <v>LIM333</v>
      </c>
      <c r="D1720" s="2">
        <v>102</v>
      </c>
      <c r="F1720" s="2451"/>
      <c r="G1720" s="2451"/>
      <c r="H1720" s="2451"/>
      <c r="I1720" s="2451"/>
      <c r="J1720" s="2451"/>
      <c r="K1720" s="2451"/>
      <c r="L1720" s="2453"/>
      <c r="M1720" s="2453"/>
      <c r="N1720" s="2453"/>
      <c r="O1720" s="2453"/>
      <c r="P1720" s="2453"/>
      <c r="W1720" t="s">
        <v>2062</v>
      </c>
    </row>
    <row r="1721" spans="1:23" ht="13.15" customHeight="1">
      <c r="A1721" s="2" t="s">
        <v>2215</v>
      </c>
      <c r="B1721" s="2">
        <f t="shared" si="52"/>
        <v>2020</v>
      </c>
      <c r="C1721" s="2" t="str">
        <f t="shared" si="53"/>
        <v>LIM333</v>
      </c>
      <c r="D1721" s="2">
        <v>103</v>
      </c>
      <c r="F1721" s="2451"/>
      <c r="G1721" s="2451"/>
      <c r="H1721" s="2451"/>
      <c r="I1721" s="2451"/>
      <c r="J1721" s="2451"/>
      <c r="K1721" s="2451"/>
      <c r="L1721" s="2453"/>
      <c r="M1721" s="2453"/>
      <c r="N1721" s="2453"/>
      <c r="O1721" s="2453"/>
      <c r="P1721" s="2453"/>
      <c r="W1721" t="s">
        <v>2062</v>
      </c>
    </row>
    <row r="1722" spans="1:23" ht="13.15" customHeight="1">
      <c r="A1722" s="2" t="s">
        <v>2215</v>
      </c>
      <c r="B1722" s="2">
        <f t="shared" si="52"/>
        <v>2020</v>
      </c>
      <c r="C1722" s="2" t="str">
        <f t="shared" si="53"/>
        <v>LIM333</v>
      </c>
      <c r="D1722" s="2">
        <v>104</v>
      </c>
      <c r="F1722" s="2451"/>
      <c r="G1722" s="2451"/>
      <c r="H1722" s="2451"/>
      <c r="I1722" s="2451"/>
      <c r="J1722" s="2451"/>
      <c r="K1722" s="2451"/>
      <c r="L1722" s="2453"/>
      <c r="M1722" s="2453"/>
      <c r="N1722" s="2453"/>
      <c r="O1722" s="2453"/>
      <c r="P1722" s="2453"/>
      <c r="W1722" t="s">
        <v>2062</v>
      </c>
    </row>
    <row r="1723" spans="1:23" ht="13.15" customHeight="1">
      <c r="A1723" s="2" t="s">
        <v>2215</v>
      </c>
      <c r="B1723" s="2">
        <f t="shared" si="52"/>
        <v>2020</v>
      </c>
      <c r="C1723" s="2" t="str">
        <f t="shared" si="53"/>
        <v>LIM333</v>
      </c>
      <c r="D1723" s="2">
        <v>105</v>
      </c>
      <c r="F1723" s="2451"/>
      <c r="G1723" s="2451"/>
      <c r="H1723" s="2451"/>
      <c r="I1723" s="2451"/>
      <c r="J1723" s="2451"/>
      <c r="K1723" s="2451"/>
      <c r="L1723" s="2453"/>
      <c r="M1723" s="2453"/>
      <c r="N1723" s="2453"/>
      <c r="O1723" s="2453"/>
      <c r="P1723" s="2453"/>
      <c r="W1723" t="s">
        <v>2062</v>
      </c>
    </row>
    <row r="1724" spans="1:23" ht="13.15" customHeight="1">
      <c r="A1724" s="2" t="s">
        <v>2215</v>
      </c>
      <c r="B1724" s="2">
        <f t="shared" si="52"/>
        <v>2020</v>
      </c>
      <c r="C1724" s="2" t="str">
        <f t="shared" si="53"/>
        <v>LIM333</v>
      </c>
      <c r="D1724" s="2">
        <v>106</v>
      </c>
      <c r="F1724" s="2451"/>
      <c r="G1724" s="2451"/>
      <c r="H1724" s="2451"/>
      <c r="I1724" s="2451"/>
      <c r="J1724" s="2451"/>
      <c r="K1724" s="2451"/>
      <c r="L1724" s="2453"/>
      <c r="M1724" s="2453"/>
      <c r="N1724" s="2453"/>
      <c r="O1724" s="2453"/>
      <c r="P1724" s="2453"/>
      <c r="W1724" t="s">
        <v>2062</v>
      </c>
    </row>
    <row r="1725" spans="1:23" ht="13.15" customHeight="1">
      <c r="A1725" s="2" t="s">
        <v>2215</v>
      </c>
      <c r="B1725" s="2">
        <f t="shared" si="52"/>
        <v>2020</v>
      </c>
      <c r="C1725" s="2" t="str">
        <f t="shared" si="53"/>
        <v>LIM333</v>
      </c>
      <c r="D1725" s="2">
        <v>107</v>
      </c>
      <c r="F1725" s="2451"/>
      <c r="G1725" s="2451"/>
      <c r="H1725" s="2451"/>
      <c r="I1725" s="2451"/>
      <c r="J1725" s="2451"/>
      <c r="K1725" s="2451"/>
      <c r="L1725" s="2453"/>
      <c r="M1725" s="2453"/>
      <c r="N1725" s="2453"/>
      <c r="O1725" s="2453"/>
      <c r="P1725" s="2453"/>
      <c r="W1725" t="s">
        <v>2062</v>
      </c>
    </row>
    <row r="1726" spans="1:23" ht="13.15" customHeight="1">
      <c r="A1726" s="2" t="s">
        <v>2215</v>
      </c>
      <c r="B1726" s="2">
        <f t="shared" si="52"/>
        <v>2020</v>
      </c>
      <c r="C1726" s="2" t="str">
        <f t="shared" si="53"/>
        <v>LIM333</v>
      </c>
      <c r="D1726" s="2">
        <v>108</v>
      </c>
      <c r="F1726" s="2451"/>
      <c r="G1726" s="2451"/>
      <c r="H1726" s="2451"/>
      <c r="I1726" s="2451"/>
      <c r="J1726" s="2451"/>
      <c r="K1726" s="2451"/>
      <c r="L1726" s="2453"/>
      <c r="M1726" s="2453"/>
      <c r="N1726" s="2453"/>
      <c r="O1726" s="2453"/>
      <c r="P1726" s="2453"/>
      <c r="W1726" t="s">
        <v>2062</v>
      </c>
    </row>
    <row r="1727" spans="1:23" ht="13.15" customHeight="1">
      <c r="A1727" s="2" t="s">
        <v>2215</v>
      </c>
      <c r="B1727" s="2">
        <f t="shared" si="52"/>
        <v>2020</v>
      </c>
      <c r="C1727" s="2" t="str">
        <f t="shared" si="53"/>
        <v>LIM333</v>
      </c>
      <c r="D1727" s="2">
        <v>109</v>
      </c>
      <c r="F1727" s="2451"/>
      <c r="G1727" s="2451"/>
      <c r="H1727" s="2451"/>
      <c r="I1727" s="2451"/>
      <c r="J1727" s="2451"/>
      <c r="K1727" s="2451"/>
      <c r="L1727" s="2453"/>
      <c r="M1727" s="2453"/>
      <c r="N1727" s="2453"/>
      <c r="O1727" s="2453"/>
      <c r="P1727" s="2453"/>
      <c r="W1727" t="s">
        <v>2062</v>
      </c>
    </row>
    <row r="1728" spans="1:23" ht="13.15" customHeight="1">
      <c r="A1728" s="2" t="s">
        <v>2215</v>
      </c>
      <c r="B1728" s="2">
        <f t="shared" si="52"/>
        <v>2020</v>
      </c>
      <c r="C1728" s="2" t="str">
        <f t="shared" si="53"/>
        <v>LIM333</v>
      </c>
      <c r="D1728" s="2">
        <v>110</v>
      </c>
      <c r="F1728" s="2451"/>
      <c r="G1728" s="2451"/>
      <c r="H1728" s="2451"/>
      <c r="I1728" s="2451"/>
      <c r="J1728" s="2451"/>
      <c r="K1728" s="2451"/>
      <c r="L1728" s="2453"/>
      <c r="M1728" s="2453"/>
      <c r="N1728" s="2453"/>
      <c r="O1728" s="2453"/>
      <c r="P1728" s="2453"/>
      <c r="W1728" t="s">
        <v>2062</v>
      </c>
    </row>
    <row r="1729" spans="1:23" ht="13.15" customHeight="1">
      <c r="A1729" s="2" t="s">
        <v>2215</v>
      </c>
      <c r="B1729" s="2">
        <f t="shared" si="52"/>
        <v>2020</v>
      </c>
      <c r="C1729" s="2" t="str">
        <f t="shared" si="53"/>
        <v>LIM333</v>
      </c>
      <c r="D1729" s="2">
        <v>111</v>
      </c>
      <c r="F1729" s="2451"/>
      <c r="G1729" s="2451"/>
      <c r="H1729" s="2451"/>
      <c r="I1729" s="2451"/>
      <c r="J1729" s="2451"/>
      <c r="K1729" s="2451"/>
      <c r="L1729" s="2453"/>
      <c r="M1729" s="2453"/>
      <c r="N1729" s="2453"/>
      <c r="O1729" s="2453"/>
      <c r="P1729" s="2453"/>
      <c r="W1729" t="s">
        <v>2062</v>
      </c>
    </row>
    <row r="1730" spans="1:23" ht="13.15" customHeight="1">
      <c r="A1730" s="2" t="s">
        <v>2215</v>
      </c>
      <c r="B1730" s="2">
        <f t="shared" ref="B1730:B1793" si="54">+MTREF</f>
        <v>2020</v>
      </c>
      <c r="C1730" s="2" t="str">
        <f t="shared" ref="C1730:C1793" si="55">LEFT(muni,(FIND(" ",muni,1)-1))</f>
        <v>LIM333</v>
      </c>
      <c r="D1730" s="2">
        <v>112</v>
      </c>
      <c r="F1730" s="2451"/>
      <c r="G1730" s="2451"/>
      <c r="H1730" s="2451"/>
      <c r="I1730" s="2451"/>
      <c r="J1730" s="2451"/>
      <c r="K1730" s="2451"/>
      <c r="L1730" s="2453"/>
      <c r="M1730" s="2453"/>
      <c r="N1730" s="2453"/>
      <c r="O1730" s="2453"/>
      <c r="P1730" s="2453"/>
      <c r="W1730" t="s">
        <v>2062</v>
      </c>
    </row>
    <row r="1731" spans="1:23" ht="13.15" customHeight="1">
      <c r="A1731" s="2" t="s">
        <v>2215</v>
      </c>
      <c r="B1731" s="2">
        <f t="shared" si="54"/>
        <v>2020</v>
      </c>
      <c r="C1731" s="2" t="str">
        <f t="shared" si="55"/>
        <v>LIM333</v>
      </c>
      <c r="D1731" s="2">
        <v>113</v>
      </c>
      <c r="F1731" s="2451"/>
      <c r="G1731" s="2451"/>
      <c r="H1731" s="2451"/>
      <c r="I1731" s="2451"/>
      <c r="J1731" s="2451"/>
      <c r="K1731" s="2451"/>
      <c r="L1731" s="2453"/>
      <c r="M1731" s="2453"/>
      <c r="N1731" s="2453"/>
      <c r="O1731" s="2453"/>
      <c r="P1731" s="2453"/>
      <c r="W1731" t="s">
        <v>2062</v>
      </c>
    </row>
    <row r="1732" spans="1:23" ht="13.15" customHeight="1">
      <c r="A1732" s="2" t="s">
        <v>2215</v>
      </c>
      <c r="B1732" s="2">
        <f t="shared" si="54"/>
        <v>2020</v>
      </c>
      <c r="C1732" s="2" t="str">
        <f t="shared" si="55"/>
        <v>LIM333</v>
      </c>
      <c r="D1732" s="2">
        <v>114</v>
      </c>
      <c r="F1732" s="2451"/>
      <c r="G1732" s="2451"/>
      <c r="H1732" s="2451"/>
      <c r="I1732" s="2451"/>
      <c r="J1732" s="2451"/>
      <c r="K1732" s="2451"/>
      <c r="L1732" s="2453"/>
      <c r="M1732" s="2453"/>
      <c r="N1732" s="2453"/>
      <c r="O1732" s="2453"/>
      <c r="P1732" s="2453"/>
      <c r="W1732" t="s">
        <v>2062</v>
      </c>
    </row>
    <row r="1733" spans="1:23" ht="13.15" customHeight="1">
      <c r="A1733" s="2" t="s">
        <v>2215</v>
      </c>
      <c r="B1733" s="2">
        <f t="shared" si="54"/>
        <v>2020</v>
      </c>
      <c r="C1733" s="2" t="str">
        <f t="shared" si="55"/>
        <v>LIM333</v>
      </c>
      <c r="D1733" s="2">
        <v>115</v>
      </c>
      <c r="F1733" s="2451"/>
      <c r="G1733" s="2451"/>
      <c r="H1733" s="2451"/>
      <c r="I1733" s="2451"/>
      <c r="J1733" s="2451"/>
      <c r="K1733" s="2451"/>
      <c r="L1733" s="2453"/>
      <c r="M1733" s="2453"/>
      <c r="N1733" s="2453"/>
      <c r="O1733" s="2453"/>
      <c r="P1733" s="2453"/>
      <c r="W1733" t="s">
        <v>2062</v>
      </c>
    </row>
    <row r="1734" spans="1:23" ht="13.15" customHeight="1">
      <c r="A1734" s="2" t="s">
        <v>2215</v>
      </c>
      <c r="B1734" s="2">
        <f t="shared" si="54"/>
        <v>2020</v>
      </c>
      <c r="C1734" s="2" t="str">
        <f t="shared" si="55"/>
        <v>LIM333</v>
      </c>
      <c r="D1734" s="2">
        <v>116</v>
      </c>
      <c r="F1734" s="2451"/>
      <c r="G1734" s="2451"/>
      <c r="H1734" s="2451"/>
      <c r="I1734" s="2451"/>
      <c r="J1734" s="2451"/>
      <c r="K1734" s="2451"/>
      <c r="L1734" s="2453"/>
      <c r="M1734" s="2453"/>
      <c r="N1734" s="2453"/>
      <c r="O1734" s="2453"/>
      <c r="P1734" s="2453"/>
      <c r="W1734" t="s">
        <v>2062</v>
      </c>
    </row>
    <row r="1735" spans="1:23" ht="13.15" customHeight="1">
      <c r="A1735" s="2" t="s">
        <v>2215</v>
      </c>
      <c r="B1735" s="2">
        <f t="shared" si="54"/>
        <v>2020</v>
      </c>
      <c r="C1735" s="2" t="str">
        <f t="shared" si="55"/>
        <v>LIM333</v>
      </c>
      <c r="D1735" s="2">
        <v>117</v>
      </c>
      <c r="F1735" s="2451"/>
      <c r="G1735" s="2451"/>
      <c r="H1735" s="2451"/>
      <c r="I1735" s="2451"/>
      <c r="J1735" s="2451"/>
      <c r="K1735" s="2451"/>
      <c r="L1735" s="2453"/>
      <c r="M1735" s="2453"/>
      <c r="N1735" s="2453"/>
      <c r="O1735" s="2453"/>
      <c r="P1735" s="2453"/>
      <c r="W1735" t="s">
        <v>2062</v>
      </c>
    </row>
    <row r="1736" spans="1:23" ht="13.15" customHeight="1">
      <c r="A1736" s="2" t="s">
        <v>2215</v>
      </c>
      <c r="B1736" s="2">
        <f t="shared" si="54"/>
        <v>2020</v>
      </c>
      <c r="C1736" s="2" t="str">
        <f t="shared" si="55"/>
        <v>LIM333</v>
      </c>
      <c r="D1736" s="2">
        <v>118</v>
      </c>
      <c r="F1736" s="2451"/>
      <c r="G1736" s="2451"/>
      <c r="H1736" s="2451"/>
      <c r="I1736" s="2451"/>
      <c r="J1736" s="2451"/>
      <c r="K1736" s="2451"/>
      <c r="L1736" s="2453"/>
      <c r="M1736" s="2453"/>
      <c r="N1736" s="2453"/>
      <c r="O1736" s="2453"/>
      <c r="P1736" s="2453"/>
      <c r="W1736" t="s">
        <v>2062</v>
      </c>
    </row>
    <row r="1737" spans="1:23" ht="13.15" customHeight="1">
      <c r="A1737" s="2" t="s">
        <v>2215</v>
      </c>
      <c r="B1737" s="2">
        <f t="shared" si="54"/>
        <v>2020</v>
      </c>
      <c r="C1737" s="2" t="str">
        <f t="shared" si="55"/>
        <v>LIM333</v>
      </c>
      <c r="D1737" s="2">
        <v>119</v>
      </c>
      <c r="F1737" s="2451"/>
      <c r="G1737" s="2451"/>
      <c r="H1737" s="2451"/>
      <c r="I1737" s="2451"/>
      <c r="J1737" s="2451"/>
      <c r="K1737" s="2451"/>
      <c r="L1737" s="2453"/>
      <c r="M1737" s="2453"/>
      <c r="N1737" s="2453"/>
      <c r="O1737" s="2453"/>
      <c r="P1737" s="2453"/>
      <c r="W1737" t="s">
        <v>2062</v>
      </c>
    </row>
    <row r="1738" spans="1:23" ht="13.15" customHeight="1">
      <c r="A1738" s="2" t="s">
        <v>2215</v>
      </c>
      <c r="B1738" s="2">
        <f t="shared" si="54"/>
        <v>2020</v>
      </c>
      <c r="C1738" s="2" t="str">
        <f t="shared" si="55"/>
        <v>LIM333</v>
      </c>
      <c r="D1738" s="2">
        <v>120</v>
      </c>
      <c r="F1738" s="2451"/>
      <c r="G1738" s="2451"/>
      <c r="H1738" s="2451"/>
      <c r="I1738" s="2451"/>
      <c r="J1738" s="2451"/>
      <c r="K1738" s="2451"/>
      <c r="L1738" s="2453"/>
      <c r="M1738" s="2453"/>
      <c r="N1738" s="2453"/>
      <c r="O1738" s="2453"/>
      <c r="P1738" s="2453"/>
      <c r="W1738" t="s">
        <v>2062</v>
      </c>
    </row>
    <row r="1739" spans="1:23" ht="13.15" customHeight="1">
      <c r="A1739" s="2" t="s">
        <v>2215</v>
      </c>
      <c r="B1739" s="2">
        <f t="shared" si="54"/>
        <v>2020</v>
      </c>
      <c r="C1739" s="2" t="str">
        <f t="shared" si="55"/>
        <v>LIM333</v>
      </c>
      <c r="D1739" s="2">
        <v>121</v>
      </c>
      <c r="F1739" s="2451"/>
      <c r="G1739" s="2451"/>
      <c r="H1739" s="2451"/>
      <c r="I1739" s="2451"/>
      <c r="J1739" s="2451"/>
      <c r="K1739" s="2451"/>
      <c r="L1739" s="2453"/>
      <c r="M1739" s="2453"/>
      <c r="N1739" s="2453"/>
      <c r="O1739" s="2453"/>
      <c r="P1739" s="2453"/>
      <c r="W1739" t="s">
        <v>2062</v>
      </c>
    </row>
    <row r="1740" spans="1:23" ht="13.15" customHeight="1">
      <c r="A1740" s="2" t="s">
        <v>2215</v>
      </c>
      <c r="B1740" s="2">
        <f t="shared" si="54"/>
        <v>2020</v>
      </c>
      <c r="C1740" s="2" t="str">
        <f t="shared" si="55"/>
        <v>LIM333</v>
      </c>
      <c r="D1740" s="2">
        <v>122</v>
      </c>
      <c r="F1740" s="2451"/>
      <c r="G1740" s="2451"/>
      <c r="H1740" s="2451"/>
      <c r="I1740" s="2451"/>
      <c r="J1740" s="2451"/>
      <c r="K1740" s="2451"/>
      <c r="L1740" s="2453"/>
      <c r="M1740" s="2453"/>
      <c r="N1740" s="2453"/>
      <c r="O1740" s="2453"/>
      <c r="P1740" s="2453"/>
      <c r="W1740" t="s">
        <v>2062</v>
      </c>
    </row>
    <row r="1741" spans="1:23" ht="13.15" customHeight="1">
      <c r="A1741" s="2" t="s">
        <v>2215</v>
      </c>
      <c r="B1741" s="2">
        <f t="shared" si="54"/>
        <v>2020</v>
      </c>
      <c r="C1741" s="2" t="str">
        <f t="shared" si="55"/>
        <v>LIM333</v>
      </c>
      <c r="D1741" s="2">
        <v>123</v>
      </c>
      <c r="F1741" s="2451"/>
      <c r="G1741" s="2451"/>
      <c r="H1741" s="2451"/>
      <c r="I1741" s="2451"/>
      <c r="J1741" s="2451"/>
      <c r="K1741" s="2451"/>
      <c r="L1741" s="2453"/>
      <c r="M1741" s="2453"/>
      <c r="N1741" s="2453"/>
      <c r="O1741" s="2453"/>
      <c r="P1741" s="2453"/>
      <c r="W1741" t="s">
        <v>2062</v>
      </c>
    </row>
    <row r="1742" spans="1:23" ht="13.15" customHeight="1">
      <c r="A1742" s="2" t="s">
        <v>2215</v>
      </c>
      <c r="B1742" s="2">
        <f t="shared" si="54"/>
        <v>2020</v>
      </c>
      <c r="C1742" s="2" t="str">
        <f t="shared" si="55"/>
        <v>LIM333</v>
      </c>
      <c r="D1742" s="2">
        <v>124</v>
      </c>
      <c r="F1742" s="2451"/>
      <c r="G1742" s="2451"/>
      <c r="H1742" s="2451"/>
      <c r="I1742" s="2451"/>
      <c r="J1742" s="2451"/>
      <c r="K1742" s="2451"/>
      <c r="L1742" s="2453"/>
      <c r="M1742" s="2453"/>
      <c r="N1742" s="2453"/>
      <c r="O1742" s="2453"/>
      <c r="P1742" s="2453"/>
      <c r="W1742" t="s">
        <v>2062</v>
      </c>
    </row>
    <row r="1743" spans="1:23" ht="13.15" customHeight="1">
      <c r="A1743" s="2" t="s">
        <v>2215</v>
      </c>
      <c r="B1743" s="2">
        <f t="shared" si="54"/>
        <v>2020</v>
      </c>
      <c r="C1743" s="2" t="str">
        <f t="shared" si="55"/>
        <v>LIM333</v>
      </c>
      <c r="D1743" s="2">
        <v>125</v>
      </c>
      <c r="F1743" s="2451"/>
      <c r="G1743" s="2451"/>
      <c r="H1743" s="2451"/>
      <c r="I1743" s="2451"/>
      <c r="J1743" s="2451"/>
      <c r="K1743" s="2451"/>
      <c r="L1743" s="2453"/>
      <c r="M1743" s="2453"/>
      <c r="N1743" s="2453"/>
      <c r="O1743" s="2453"/>
      <c r="P1743" s="2453"/>
      <c r="W1743" t="s">
        <v>2062</v>
      </c>
    </row>
    <row r="1744" spans="1:23" ht="13.15" customHeight="1">
      <c r="A1744" s="2" t="s">
        <v>2215</v>
      </c>
      <c r="B1744" s="2">
        <f t="shared" si="54"/>
        <v>2020</v>
      </c>
      <c r="C1744" s="2" t="str">
        <f t="shared" si="55"/>
        <v>LIM333</v>
      </c>
      <c r="D1744" s="2">
        <v>126</v>
      </c>
      <c r="F1744" s="2451"/>
      <c r="G1744" s="2451"/>
      <c r="H1744" s="2451"/>
      <c r="I1744" s="2451"/>
      <c r="J1744" s="2451"/>
      <c r="K1744" s="2451"/>
      <c r="L1744" s="2453"/>
      <c r="M1744" s="2453"/>
      <c r="N1744" s="2453"/>
      <c r="O1744" s="2453"/>
      <c r="P1744" s="2453"/>
      <c r="W1744" t="s">
        <v>2062</v>
      </c>
    </row>
    <row r="1745" spans="1:23" ht="13.15" customHeight="1">
      <c r="A1745" s="2" t="s">
        <v>2215</v>
      </c>
      <c r="B1745" s="2">
        <f t="shared" si="54"/>
        <v>2020</v>
      </c>
      <c r="C1745" s="2" t="str">
        <f t="shared" si="55"/>
        <v>LIM333</v>
      </c>
      <c r="D1745" s="2">
        <v>127</v>
      </c>
      <c r="F1745" s="2451"/>
      <c r="G1745" s="2451"/>
      <c r="H1745" s="2451"/>
      <c r="I1745" s="2451"/>
      <c r="J1745" s="2451"/>
      <c r="K1745" s="2451"/>
      <c r="L1745" s="2453"/>
      <c r="M1745" s="2453"/>
      <c r="N1745" s="2453"/>
      <c r="O1745" s="2453"/>
      <c r="P1745" s="2453"/>
      <c r="W1745" t="s">
        <v>2062</v>
      </c>
    </row>
    <row r="1746" spans="1:23" ht="13.15" customHeight="1">
      <c r="A1746" s="2" t="s">
        <v>2215</v>
      </c>
      <c r="B1746" s="2">
        <f t="shared" si="54"/>
        <v>2020</v>
      </c>
      <c r="C1746" s="2" t="str">
        <f t="shared" si="55"/>
        <v>LIM333</v>
      </c>
      <c r="D1746" s="2">
        <v>128</v>
      </c>
      <c r="F1746" s="2451"/>
      <c r="G1746" s="2451"/>
      <c r="H1746" s="2451"/>
      <c r="I1746" s="2451"/>
      <c r="J1746" s="2451"/>
      <c r="K1746" s="2451"/>
      <c r="L1746" s="2453"/>
      <c r="M1746" s="2453"/>
      <c r="N1746" s="2453"/>
      <c r="O1746" s="2453"/>
      <c r="P1746" s="2453"/>
      <c r="W1746" t="s">
        <v>2062</v>
      </c>
    </row>
    <row r="1747" spans="1:23" ht="13.15" customHeight="1">
      <c r="A1747" s="2" t="s">
        <v>2215</v>
      </c>
      <c r="B1747" s="2">
        <f t="shared" si="54"/>
        <v>2020</v>
      </c>
      <c r="C1747" s="2" t="str">
        <f t="shared" si="55"/>
        <v>LIM333</v>
      </c>
      <c r="D1747" s="2">
        <v>129</v>
      </c>
      <c r="F1747" s="2451"/>
      <c r="G1747" s="2451"/>
      <c r="H1747" s="2451"/>
      <c r="I1747" s="2451"/>
      <c r="J1747" s="2451"/>
      <c r="K1747" s="2451"/>
      <c r="L1747" s="2453"/>
      <c r="M1747" s="2453"/>
      <c r="N1747" s="2453"/>
      <c r="O1747" s="2453"/>
      <c r="P1747" s="2453"/>
      <c r="W1747" t="s">
        <v>2062</v>
      </c>
    </row>
    <row r="1748" spans="1:23" ht="13.15" customHeight="1">
      <c r="A1748" s="2" t="s">
        <v>2215</v>
      </c>
      <c r="B1748" s="2">
        <f t="shared" si="54"/>
        <v>2020</v>
      </c>
      <c r="C1748" s="2" t="str">
        <f t="shared" si="55"/>
        <v>LIM333</v>
      </c>
      <c r="D1748" s="2">
        <v>130</v>
      </c>
      <c r="F1748" s="2451"/>
      <c r="G1748" s="2451"/>
      <c r="H1748" s="2451"/>
      <c r="I1748" s="2451"/>
      <c r="J1748" s="2451"/>
      <c r="K1748" s="2451"/>
      <c r="L1748" s="2453"/>
      <c r="M1748" s="2453"/>
      <c r="N1748" s="2453"/>
      <c r="O1748" s="2453"/>
      <c r="P1748" s="2453"/>
      <c r="W1748" t="s">
        <v>2062</v>
      </c>
    </row>
    <row r="1749" spans="1:23" ht="13.15" customHeight="1">
      <c r="A1749" s="2" t="s">
        <v>2215</v>
      </c>
      <c r="B1749" s="2">
        <f t="shared" si="54"/>
        <v>2020</v>
      </c>
      <c r="C1749" s="2" t="str">
        <f t="shared" si="55"/>
        <v>LIM333</v>
      </c>
      <c r="D1749" s="2">
        <v>131</v>
      </c>
      <c r="F1749" s="2451"/>
      <c r="G1749" s="2451"/>
      <c r="H1749" s="2451"/>
      <c r="I1749" s="2451"/>
      <c r="J1749" s="2451"/>
      <c r="K1749" s="2451"/>
      <c r="L1749" s="2453"/>
      <c r="M1749" s="2453"/>
      <c r="N1749" s="2453"/>
      <c r="O1749" s="2453"/>
      <c r="P1749" s="2453"/>
      <c r="W1749" t="s">
        <v>2062</v>
      </c>
    </row>
    <row r="1750" spans="1:23" ht="13.15" customHeight="1">
      <c r="A1750" s="2" t="s">
        <v>2215</v>
      </c>
      <c r="B1750" s="2">
        <f t="shared" si="54"/>
        <v>2020</v>
      </c>
      <c r="C1750" s="2" t="str">
        <f t="shared" si="55"/>
        <v>LIM333</v>
      </c>
      <c r="D1750" s="2">
        <v>132</v>
      </c>
      <c r="F1750" s="2451"/>
      <c r="G1750" s="2451"/>
      <c r="H1750" s="2451"/>
      <c r="I1750" s="2451"/>
      <c r="J1750" s="2451"/>
      <c r="K1750" s="2451"/>
      <c r="L1750" s="2453"/>
      <c r="M1750" s="2453"/>
      <c r="N1750" s="2453"/>
      <c r="O1750" s="2453"/>
      <c r="P1750" s="2453"/>
      <c r="W1750" t="s">
        <v>2062</v>
      </c>
    </row>
    <row r="1751" spans="1:23" ht="13.15" customHeight="1">
      <c r="A1751" s="2" t="s">
        <v>2215</v>
      </c>
      <c r="B1751" s="2">
        <f t="shared" si="54"/>
        <v>2020</v>
      </c>
      <c r="C1751" s="2" t="str">
        <f t="shared" si="55"/>
        <v>LIM333</v>
      </c>
      <c r="D1751" s="2">
        <v>133</v>
      </c>
      <c r="F1751" s="2451"/>
      <c r="G1751" s="2451"/>
      <c r="H1751" s="2451"/>
      <c r="I1751" s="2451"/>
      <c r="J1751" s="2451"/>
      <c r="K1751" s="2451"/>
      <c r="L1751" s="2453"/>
      <c r="M1751" s="2453"/>
      <c r="N1751" s="2453"/>
      <c r="O1751" s="2453"/>
      <c r="P1751" s="2453"/>
      <c r="W1751" t="s">
        <v>2062</v>
      </c>
    </row>
    <row r="1752" spans="1:23" ht="13.15" customHeight="1">
      <c r="A1752" s="2" t="s">
        <v>2215</v>
      </c>
      <c r="B1752" s="2">
        <f t="shared" si="54"/>
        <v>2020</v>
      </c>
      <c r="C1752" s="2" t="str">
        <f t="shared" si="55"/>
        <v>LIM333</v>
      </c>
      <c r="D1752" s="2">
        <v>134</v>
      </c>
      <c r="F1752" s="2451"/>
      <c r="G1752" s="2451"/>
      <c r="H1752" s="2451"/>
      <c r="I1752" s="2451"/>
      <c r="J1752" s="2451"/>
      <c r="K1752" s="2451"/>
      <c r="L1752" s="2453"/>
      <c r="M1752" s="2453"/>
      <c r="N1752" s="2453"/>
      <c r="O1752" s="2453"/>
      <c r="P1752" s="2453"/>
      <c r="W1752" t="s">
        <v>2062</v>
      </c>
    </row>
    <row r="1753" spans="1:23" ht="13.15" customHeight="1">
      <c r="A1753" s="2" t="s">
        <v>2215</v>
      </c>
      <c r="B1753" s="2">
        <f t="shared" si="54"/>
        <v>2020</v>
      </c>
      <c r="C1753" s="2" t="str">
        <f t="shared" si="55"/>
        <v>LIM333</v>
      </c>
      <c r="D1753" s="2">
        <v>135</v>
      </c>
      <c r="F1753" s="2451"/>
      <c r="G1753" s="2451"/>
      <c r="H1753" s="2451"/>
      <c r="I1753" s="2451"/>
      <c r="J1753" s="2451"/>
      <c r="K1753" s="2451"/>
      <c r="L1753" s="2453"/>
      <c r="M1753" s="2453"/>
      <c r="N1753" s="2453"/>
      <c r="O1753" s="2453"/>
      <c r="P1753" s="2453"/>
      <c r="W1753" t="s">
        <v>2062</v>
      </c>
    </row>
    <row r="1754" spans="1:23" ht="13.15" customHeight="1">
      <c r="A1754" s="2" t="s">
        <v>2215</v>
      </c>
      <c r="B1754" s="2">
        <f t="shared" si="54"/>
        <v>2020</v>
      </c>
      <c r="C1754" s="2" t="str">
        <f t="shared" si="55"/>
        <v>LIM333</v>
      </c>
      <c r="D1754" s="2">
        <v>136</v>
      </c>
      <c r="F1754" s="2451"/>
      <c r="G1754" s="2451"/>
      <c r="H1754" s="2451"/>
      <c r="I1754" s="2451"/>
      <c r="J1754" s="2451"/>
      <c r="K1754" s="2451"/>
      <c r="L1754" s="2453"/>
      <c r="M1754" s="2453"/>
      <c r="N1754" s="2453"/>
      <c r="O1754" s="2453"/>
      <c r="P1754" s="2453"/>
      <c r="W1754" t="s">
        <v>2062</v>
      </c>
    </row>
    <row r="1755" spans="1:23" ht="13.15" customHeight="1">
      <c r="A1755" s="2" t="s">
        <v>2215</v>
      </c>
      <c r="B1755" s="2">
        <f t="shared" si="54"/>
        <v>2020</v>
      </c>
      <c r="C1755" s="2" t="str">
        <f t="shared" si="55"/>
        <v>LIM333</v>
      </c>
      <c r="D1755" s="2">
        <v>137</v>
      </c>
      <c r="F1755" s="2451"/>
      <c r="G1755" s="2451"/>
      <c r="H1755" s="2451"/>
      <c r="I1755" s="2451"/>
      <c r="J1755" s="2451"/>
      <c r="K1755" s="2451"/>
      <c r="L1755" s="2453"/>
      <c r="M1755" s="2453"/>
      <c r="N1755" s="2453"/>
      <c r="O1755" s="2453"/>
      <c r="P1755" s="2453"/>
      <c r="W1755" t="s">
        <v>2062</v>
      </c>
    </row>
    <row r="1756" spans="1:23" ht="13.15" customHeight="1">
      <c r="A1756" s="2" t="s">
        <v>2215</v>
      </c>
      <c r="B1756" s="2">
        <f t="shared" si="54"/>
        <v>2020</v>
      </c>
      <c r="C1756" s="2" t="str">
        <f t="shared" si="55"/>
        <v>LIM333</v>
      </c>
      <c r="D1756" s="2">
        <v>138</v>
      </c>
      <c r="F1756" s="2451"/>
      <c r="G1756" s="2451"/>
      <c r="H1756" s="2451"/>
      <c r="I1756" s="2451"/>
      <c r="J1756" s="2451"/>
      <c r="K1756" s="2451"/>
      <c r="L1756" s="2453"/>
      <c r="M1756" s="2453"/>
      <c r="N1756" s="2453"/>
      <c r="O1756" s="2453"/>
      <c r="P1756" s="2453"/>
      <c r="W1756" t="s">
        <v>2062</v>
      </c>
    </row>
    <row r="1757" spans="1:23" ht="13.15" customHeight="1">
      <c r="A1757" s="2" t="s">
        <v>2215</v>
      </c>
      <c r="B1757" s="2">
        <f t="shared" si="54"/>
        <v>2020</v>
      </c>
      <c r="C1757" s="2" t="str">
        <f t="shared" si="55"/>
        <v>LIM333</v>
      </c>
      <c r="D1757" s="2">
        <v>139</v>
      </c>
      <c r="F1757" s="2451"/>
      <c r="G1757" s="2451"/>
      <c r="H1757" s="2451"/>
      <c r="I1757" s="2451"/>
      <c r="J1757" s="2451"/>
      <c r="K1757" s="2451"/>
      <c r="L1757" s="2453"/>
      <c r="M1757" s="2453"/>
      <c r="N1757" s="2453"/>
      <c r="O1757" s="2453"/>
      <c r="P1757" s="2453"/>
      <c r="W1757" t="s">
        <v>2062</v>
      </c>
    </row>
    <row r="1758" spans="1:23" ht="13.15" customHeight="1">
      <c r="A1758" s="2" t="s">
        <v>2215</v>
      </c>
      <c r="B1758" s="2">
        <f t="shared" si="54"/>
        <v>2020</v>
      </c>
      <c r="C1758" s="2" t="str">
        <f t="shared" si="55"/>
        <v>LIM333</v>
      </c>
      <c r="D1758" s="2">
        <v>140</v>
      </c>
      <c r="F1758" s="2451"/>
      <c r="G1758" s="2451"/>
      <c r="H1758" s="2451"/>
      <c r="I1758" s="2451"/>
      <c r="J1758" s="2451"/>
      <c r="K1758" s="2451"/>
      <c r="L1758" s="2453"/>
      <c r="M1758" s="2453"/>
      <c r="N1758" s="2453"/>
      <c r="O1758" s="2453"/>
      <c r="P1758" s="2453"/>
      <c r="W1758" t="s">
        <v>2062</v>
      </c>
    </row>
    <row r="1759" spans="1:23" ht="13.15" customHeight="1">
      <c r="A1759" s="2" t="s">
        <v>2215</v>
      </c>
      <c r="B1759" s="2">
        <f t="shared" si="54"/>
        <v>2020</v>
      </c>
      <c r="C1759" s="2" t="str">
        <f t="shared" si="55"/>
        <v>LIM333</v>
      </c>
      <c r="D1759" s="2">
        <v>141</v>
      </c>
      <c r="F1759" s="2451"/>
      <c r="G1759" s="2451"/>
      <c r="H1759" s="2451"/>
      <c r="I1759" s="2451"/>
      <c r="J1759" s="2451"/>
      <c r="K1759" s="2451"/>
      <c r="L1759" s="2453"/>
      <c r="M1759" s="2453"/>
      <c r="N1759" s="2453"/>
      <c r="O1759" s="2453"/>
      <c r="P1759" s="2453"/>
      <c r="W1759" t="s">
        <v>2062</v>
      </c>
    </row>
    <row r="1760" spans="1:23" ht="13.15" customHeight="1">
      <c r="A1760" s="2" t="s">
        <v>2215</v>
      </c>
      <c r="B1760" s="2">
        <f t="shared" si="54"/>
        <v>2020</v>
      </c>
      <c r="C1760" s="2" t="str">
        <f t="shared" si="55"/>
        <v>LIM333</v>
      </c>
      <c r="D1760" s="2">
        <v>142</v>
      </c>
      <c r="F1760" s="2451"/>
      <c r="G1760" s="2451"/>
      <c r="H1760" s="2451"/>
      <c r="I1760" s="2451"/>
      <c r="J1760" s="2451"/>
      <c r="K1760" s="2451"/>
      <c r="L1760" s="2453"/>
      <c r="M1760" s="2453"/>
      <c r="N1760" s="2453"/>
      <c r="O1760" s="2453"/>
      <c r="P1760" s="2453"/>
      <c r="W1760" t="s">
        <v>2062</v>
      </c>
    </row>
    <row r="1761" spans="1:23" ht="13.15" customHeight="1">
      <c r="A1761" s="2" t="s">
        <v>2215</v>
      </c>
      <c r="B1761" s="2">
        <f t="shared" si="54"/>
        <v>2020</v>
      </c>
      <c r="C1761" s="2" t="str">
        <f t="shared" si="55"/>
        <v>LIM333</v>
      </c>
      <c r="D1761" s="2">
        <v>143</v>
      </c>
      <c r="F1761" s="2451"/>
      <c r="G1761" s="2451"/>
      <c r="H1761" s="2451"/>
      <c r="I1761" s="2451"/>
      <c r="J1761" s="2451"/>
      <c r="K1761" s="2451"/>
      <c r="L1761" s="2453"/>
      <c r="M1761" s="2453"/>
      <c r="N1761" s="2453"/>
      <c r="O1761" s="2453"/>
      <c r="P1761" s="2453"/>
      <c r="W1761" t="s">
        <v>2062</v>
      </c>
    </row>
    <row r="1762" spans="1:23" ht="13.15" customHeight="1">
      <c r="A1762" s="2" t="s">
        <v>2215</v>
      </c>
      <c r="B1762" s="2">
        <f t="shared" si="54"/>
        <v>2020</v>
      </c>
      <c r="C1762" s="2" t="str">
        <f t="shared" si="55"/>
        <v>LIM333</v>
      </c>
      <c r="D1762" s="2">
        <v>144</v>
      </c>
      <c r="F1762" s="2451"/>
      <c r="G1762" s="2451"/>
      <c r="H1762" s="2451"/>
      <c r="I1762" s="2451"/>
      <c r="J1762" s="2451"/>
      <c r="K1762" s="2451"/>
      <c r="L1762" s="2453"/>
      <c r="M1762" s="2453"/>
      <c r="N1762" s="2453"/>
      <c r="O1762" s="2453"/>
      <c r="P1762" s="2453"/>
      <c r="W1762" t="s">
        <v>2062</v>
      </c>
    </row>
    <row r="1763" spans="1:23" ht="13.15" customHeight="1">
      <c r="A1763" s="2" t="s">
        <v>2215</v>
      </c>
      <c r="B1763" s="2">
        <f t="shared" si="54"/>
        <v>2020</v>
      </c>
      <c r="C1763" s="2" t="str">
        <f t="shared" si="55"/>
        <v>LIM333</v>
      </c>
      <c r="D1763" s="2">
        <v>145</v>
      </c>
      <c r="F1763" s="2451"/>
      <c r="G1763" s="2451"/>
      <c r="H1763" s="2451"/>
      <c r="I1763" s="2451"/>
      <c r="J1763" s="2451"/>
      <c r="K1763" s="2451"/>
      <c r="L1763" s="2453"/>
      <c r="M1763" s="2453"/>
      <c r="N1763" s="2453"/>
      <c r="O1763" s="2453"/>
      <c r="P1763" s="2453"/>
      <c r="W1763" t="s">
        <v>2062</v>
      </c>
    </row>
    <row r="1764" spans="1:23" ht="13.15" customHeight="1">
      <c r="A1764" s="2" t="s">
        <v>2215</v>
      </c>
      <c r="B1764" s="2">
        <f t="shared" si="54"/>
        <v>2020</v>
      </c>
      <c r="C1764" s="2" t="str">
        <f t="shared" si="55"/>
        <v>LIM333</v>
      </c>
      <c r="D1764" s="2">
        <v>146</v>
      </c>
      <c r="F1764" s="2451"/>
      <c r="G1764" s="2451"/>
      <c r="H1764" s="2451"/>
      <c r="I1764" s="2451"/>
      <c r="J1764" s="2451"/>
      <c r="K1764" s="2451"/>
      <c r="L1764" s="2453"/>
      <c r="M1764" s="2453"/>
      <c r="N1764" s="2453"/>
      <c r="O1764" s="2453"/>
      <c r="P1764" s="2453"/>
      <c r="W1764" t="s">
        <v>2062</v>
      </c>
    </row>
    <row r="1765" spans="1:23" ht="13.15" customHeight="1">
      <c r="A1765" s="2" t="s">
        <v>2215</v>
      </c>
      <c r="B1765" s="2">
        <f t="shared" si="54"/>
        <v>2020</v>
      </c>
      <c r="C1765" s="2" t="str">
        <f t="shared" si="55"/>
        <v>LIM333</v>
      </c>
      <c r="D1765" s="2">
        <v>147</v>
      </c>
      <c r="F1765" s="2451"/>
      <c r="G1765" s="2451"/>
      <c r="H1765" s="2451"/>
      <c r="I1765" s="2451"/>
      <c r="J1765" s="2451"/>
      <c r="K1765" s="2451"/>
      <c r="L1765" s="2453"/>
      <c r="M1765" s="2453"/>
      <c r="N1765" s="2453"/>
      <c r="O1765" s="2453"/>
      <c r="P1765" s="2453"/>
      <c r="W1765" t="s">
        <v>2062</v>
      </c>
    </row>
    <row r="1766" spans="1:23" ht="13.15" customHeight="1">
      <c r="A1766" s="2" t="s">
        <v>2215</v>
      </c>
      <c r="B1766" s="2">
        <f t="shared" si="54"/>
        <v>2020</v>
      </c>
      <c r="C1766" s="2" t="str">
        <f t="shared" si="55"/>
        <v>LIM333</v>
      </c>
      <c r="D1766" s="2">
        <v>148</v>
      </c>
      <c r="F1766" s="2451"/>
      <c r="G1766" s="2451"/>
      <c r="H1766" s="2451"/>
      <c r="I1766" s="2451"/>
      <c r="J1766" s="2451"/>
      <c r="K1766" s="2451"/>
      <c r="L1766" s="2453"/>
      <c r="M1766" s="2453"/>
      <c r="N1766" s="2453"/>
      <c r="O1766" s="2453"/>
      <c r="P1766" s="2453"/>
      <c r="W1766" t="s">
        <v>2062</v>
      </c>
    </row>
    <row r="1767" spans="1:23" ht="13.15" customHeight="1">
      <c r="A1767" s="2" t="s">
        <v>2215</v>
      </c>
      <c r="B1767" s="2">
        <f t="shared" si="54"/>
        <v>2020</v>
      </c>
      <c r="C1767" s="2" t="str">
        <f t="shared" si="55"/>
        <v>LIM333</v>
      </c>
      <c r="D1767" s="2">
        <v>149</v>
      </c>
      <c r="F1767" s="2451"/>
      <c r="G1767" s="2451"/>
      <c r="H1767" s="2451"/>
      <c r="I1767" s="2451"/>
      <c r="J1767" s="2451"/>
      <c r="K1767" s="2451"/>
      <c r="L1767" s="2453"/>
      <c r="M1767" s="2453"/>
      <c r="N1767" s="2453"/>
      <c r="O1767" s="2453"/>
      <c r="P1767" s="2453"/>
      <c r="W1767" t="s">
        <v>2062</v>
      </c>
    </row>
    <row r="1768" spans="1:23" ht="13.15" customHeight="1">
      <c r="A1768" s="2" t="s">
        <v>2215</v>
      </c>
      <c r="B1768" s="2">
        <f t="shared" si="54"/>
        <v>2020</v>
      </c>
      <c r="C1768" s="2" t="str">
        <f t="shared" si="55"/>
        <v>LIM333</v>
      </c>
      <c r="D1768" s="2">
        <v>150</v>
      </c>
      <c r="F1768" s="2451"/>
      <c r="G1768" s="2451"/>
      <c r="H1768" s="2451"/>
      <c r="I1768" s="2451"/>
      <c r="J1768" s="2451"/>
      <c r="K1768" s="2451"/>
      <c r="L1768" s="2453"/>
      <c r="M1768" s="2453"/>
      <c r="N1768" s="2453"/>
      <c r="O1768" s="2453"/>
      <c r="P1768" s="2453"/>
      <c r="W1768" t="s">
        <v>2062</v>
      </c>
    </row>
    <row r="1769" spans="1:23" ht="13.15" customHeight="1">
      <c r="A1769" s="2" t="s">
        <v>2215</v>
      </c>
      <c r="B1769" s="2">
        <f t="shared" si="54"/>
        <v>2020</v>
      </c>
      <c r="C1769" s="2" t="str">
        <f t="shared" si="55"/>
        <v>LIM333</v>
      </c>
      <c r="D1769" s="2">
        <v>151</v>
      </c>
      <c r="F1769" s="2451"/>
      <c r="G1769" s="2451"/>
      <c r="H1769" s="2451"/>
      <c r="I1769" s="2451"/>
      <c r="J1769" s="2451"/>
      <c r="K1769" s="2451"/>
      <c r="L1769" s="2453"/>
      <c r="M1769" s="2453"/>
      <c r="N1769" s="2453"/>
      <c r="O1769" s="2453"/>
      <c r="P1769" s="2453"/>
      <c r="W1769" t="s">
        <v>2062</v>
      </c>
    </row>
    <row r="1770" spans="1:23" ht="13.15" customHeight="1">
      <c r="A1770" s="2" t="s">
        <v>2215</v>
      </c>
      <c r="B1770" s="2">
        <f t="shared" si="54"/>
        <v>2020</v>
      </c>
      <c r="C1770" s="2" t="str">
        <f t="shared" si="55"/>
        <v>LIM333</v>
      </c>
      <c r="D1770" s="2">
        <v>152</v>
      </c>
      <c r="F1770" s="2451"/>
      <c r="G1770" s="2451"/>
      <c r="H1770" s="2451"/>
      <c r="I1770" s="2451"/>
      <c r="J1770" s="2451"/>
      <c r="K1770" s="2451"/>
      <c r="L1770" s="2453"/>
      <c r="M1770" s="2453"/>
      <c r="N1770" s="2453"/>
      <c r="O1770" s="2453"/>
      <c r="P1770" s="2453"/>
      <c r="W1770" t="s">
        <v>2062</v>
      </c>
    </row>
    <row r="1771" spans="1:23" ht="13.15" customHeight="1">
      <c r="A1771" s="2" t="s">
        <v>2215</v>
      </c>
      <c r="B1771" s="2">
        <f t="shared" si="54"/>
        <v>2020</v>
      </c>
      <c r="C1771" s="2" t="str">
        <f t="shared" si="55"/>
        <v>LIM333</v>
      </c>
      <c r="D1771" s="2">
        <v>153</v>
      </c>
      <c r="F1771" s="2451"/>
      <c r="G1771" s="2451"/>
      <c r="H1771" s="2451"/>
      <c r="I1771" s="2451"/>
      <c r="J1771" s="2451"/>
      <c r="K1771" s="2451"/>
      <c r="L1771" s="2453"/>
      <c r="M1771" s="2453"/>
      <c r="N1771" s="2453"/>
      <c r="O1771" s="2453"/>
      <c r="P1771" s="2453"/>
      <c r="W1771" t="s">
        <v>2062</v>
      </c>
    </row>
    <row r="1772" spans="1:23" ht="13.15" customHeight="1">
      <c r="A1772" s="2" t="s">
        <v>2215</v>
      </c>
      <c r="B1772" s="2">
        <f t="shared" si="54"/>
        <v>2020</v>
      </c>
      <c r="C1772" s="2" t="str">
        <f t="shared" si="55"/>
        <v>LIM333</v>
      </c>
      <c r="D1772" s="2">
        <v>154</v>
      </c>
      <c r="F1772" s="2451"/>
      <c r="G1772" s="2451"/>
      <c r="H1772" s="2451"/>
      <c r="I1772" s="2451"/>
      <c r="J1772" s="2451"/>
      <c r="K1772" s="2451"/>
      <c r="L1772" s="2453"/>
      <c r="M1772" s="2453"/>
      <c r="N1772" s="2453"/>
      <c r="O1772" s="2453"/>
      <c r="P1772" s="2453"/>
      <c r="W1772" t="s">
        <v>2062</v>
      </c>
    </row>
    <row r="1773" spans="1:23" ht="13.15" customHeight="1">
      <c r="A1773" s="2" t="s">
        <v>2215</v>
      </c>
      <c r="B1773" s="2">
        <f t="shared" si="54"/>
        <v>2020</v>
      </c>
      <c r="C1773" s="2" t="str">
        <f t="shared" si="55"/>
        <v>LIM333</v>
      </c>
      <c r="D1773" s="2">
        <v>155</v>
      </c>
      <c r="F1773" s="2451"/>
      <c r="G1773" s="2451"/>
      <c r="H1773" s="2451"/>
      <c r="I1773" s="2451"/>
      <c r="J1773" s="2451"/>
      <c r="K1773" s="2451"/>
      <c r="L1773" s="2453"/>
      <c r="M1773" s="2453"/>
      <c r="N1773" s="2453"/>
      <c r="O1773" s="2453"/>
      <c r="P1773" s="2453"/>
      <c r="W1773" t="s">
        <v>2062</v>
      </c>
    </row>
    <row r="1774" spans="1:23" ht="13.15" customHeight="1">
      <c r="A1774" s="2" t="s">
        <v>2215</v>
      </c>
      <c r="B1774" s="2">
        <f t="shared" si="54"/>
        <v>2020</v>
      </c>
      <c r="C1774" s="2" t="str">
        <f t="shared" si="55"/>
        <v>LIM333</v>
      </c>
      <c r="D1774" s="2">
        <v>156</v>
      </c>
      <c r="F1774" s="2451"/>
      <c r="G1774" s="2451"/>
      <c r="H1774" s="2451"/>
      <c r="I1774" s="2451"/>
      <c r="J1774" s="2451"/>
      <c r="K1774" s="2451"/>
      <c r="L1774" s="2453"/>
      <c r="M1774" s="2453"/>
      <c r="N1774" s="2453"/>
      <c r="O1774" s="2453"/>
      <c r="P1774" s="2453"/>
      <c r="W1774" t="s">
        <v>2062</v>
      </c>
    </row>
    <row r="1775" spans="1:23" ht="13.15" customHeight="1">
      <c r="A1775" s="2" t="s">
        <v>2215</v>
      </c>
      <c r="B1775" s="2">
        <f t="shared" si="54"/>
        <v>2020</v>
      </c>
      <c r="C1775" s="2" t="str">
        <f t="shared" si="55"/>
        <v>LIM333</v>
      </c>
      <c r="D1775" s="2">
        <v>157</v>
      </c>
      <c r="F1775" s="2451"/>
      <c r="G1775" s="2451"/>
      <c r="H1775" s="2451"/>
      <c r="I1775" s="2451"/>
      <c r="J1775" s="2451"/>
      <c r="K1775" s="2451"/>
      <c r="L1775" s="2453"/>
      <c r="M1775" s="2453"/>
      <c r="N1775" s="2453"/>
      <c r="O1775" s="2453"/>
      <c r="P1775" s="2453"/>
      <c r="W1775" t="s">
        <v>2062</v>
      </c>
    </row>
    <row r="1776" spans="1:23" ht="13.15" customHeight="1">
      <c r="A1776" s="2" t="s">
        <v>2215</v>
      </c>
      <c r="B1776" s="2">
        <f t="shared" si="54"/>
        <v>2020</v>
      </c>
      <c r="C1776" s="2" t="str">
        <f t="shared" si="55"/>
        <v>LIM333</v>
      </c>
      <c r="D1776" s="2">
        <v>158</v>
      </c>
      <c r="F1776" s="2451"/>
      <c r="G1776" s="2451"/>
      <c r="H1776" s="2451"/>
      <c r="I1776" s="2451"/>
      <c r="J1776" s="2451"/>
      <c r="K1776" s="2451"/>
      <c r="L1776" s="2453"/>
      <c r="M1776" s="2453"/>
      <c r="N1776" s="2453"/>
      <c r="O1776" s="2453"/>
      <c r="P1776" s="2453"/>
      <c r="W1776" t="s">
        <v>2062</v>
      </c>
    </row>
    <row r="1777" spans="1:23" ht="13.15" customHeight="1">
      <c r="A1777" s="2" t="s">
        <v>2215</v>
      </c>
      <c r="B1777" s="2">
        <f t="shared" si="54"/>
        <v>2020</v>
      </c>
      <c r="C1777" s="2" t="str">
        <f t="shared" si="55"/>
        <v>LIM333</v>
      </c>
      <c r="D1777" s="2">
        <v>159</v>
      </c>
      <c r="F1777" s="2451"/>
      <c r="G1777" s="2451"/>
      <c r="H1777" s="2451"/>
      <c r="I1777" s="2451"/>
      <c r="J1777" s="2451"/>
      <c r="K1777" s="2451"/>
      <c r="L1777" s="2453"/>
      <c r="M1777" s="2453"/>
      <c r="N1777" s="2453"/>
      <c r="O1777" s="2453"/>
      <c r="P1777" s="2453"/>
      <c r="W1777" t="s">
        <v>2062</v>
      </c>
    </row>
    <row r="1778" spans="1:23" ht="13.15" customHeight="1">
      <c r="A1778" s="2" t="s">
        <v>2215</v>
      </c>
      <c r="B1778" s="2">
        <f t="shared" si="54"/>
        <v>2020</v>
      </c>
      <c r="C1778" s="2" t="str">
        <f t="shared" si="55"/>
        <v>LIM333</v>
      </c>
      <c r="D1778" s="2">
        <v>160</v>
      </c>
      <c r="F1778" s="2451"/>
      <c r="G1778" s="2451"/>
      <c r="H1778" s="2451"/>
      <c r="I1778" s="2451"/>
      <c r="J1778" s="2451"/>
      <c r="K1778" s="2451"/>
      <c r="L1778" s="2453"/>
      <c r="M1778" s="2453"/>
      <c r="N1778" s="2453"/>
      <c r="O1778" s="2453"/>
      <c r="P1778" s="2453"/>
      <c r="W1778" t="s">
        <v>2062</v>
      </c>
    </row>
    <row r="1779" spans="1:23" ht="13.15" customHeight="1">
      <c r="A1779" s="2" t="s">
        <v>2215</v>
      </c>
      <c r="B1779" s="2">
        <f t="shared" si="54"/>
        <v>2020</v>
      </c>
      <c r="C1779" s="2" t="str">
        <f t="shared" si="55"/>
        <v>LIM333</v>
      </c>
      <c r="D1779" s="2">
        <v>161</v>
      </c>
      <c r="F1779" s="2451"/>
      <c r="G1779" s="2451"/>
      <c r="H1779" s="2451"/>
      <c r="I1779" s="2451"/>
      <c r="J1779" s="2451"/>
      <c r="K1779" s="2451"/>
      <c r="L1779" s="2453"/>
      <c r="M1779" s="2453"/>
      <c r="N1779" s="2453"/>
      <c r="O1779" s="2453"/>
      <c r="P1779" s="2453"/>
      <c r="W1779" t="s">
        <v>2062</v>
      </c>
    </row>
    <row r="1780" spans="1:23" ht="13.15" customHeight="1">
      <c r="A1780" s="2" t="s">
        <v>2215</v>
      </c>
      <c r="B1780" s="2">
        <f t="shared" si="54"/>
        <v>2020</v>
      </c>
      <c r="C1780" s="2" t="str">
        <f t="shared" si="55"/>
        <v>LIM333</v>
      </c>
      <c r="D1780" s="2">
        <v>162</v>
      </c>
      <c r="F1780" s="2451"/>
      <c r="G1780" s="2451"/>
      <c r="H1780" s="2451"/>
      <c r="I1780" s="2451"/>
      <c r="J1780" s="2451"/>
      <c r="K1780" s="2451"/>
      <c r="L1780" s="2453"/>
      <c r="M1780" s="2453"/>
      <c r="N1780" s="2453"/>
      <c r="O1780" s="2453"/>
      <c r="P1780" s="2453"/>
      <c r="W1780" t="s">
        <v>2062</v>
      </c>
    </row>
    <row r="1781" spans="1:23" ht="13.15" customHeight="1">
      <c r="A1781" s="2" t="s">
        <v>2215</v>
      </c>
      <c r="B1781" s="2">
        <f t="shared" si="54"/>
        <v>2020</v>
      </c>
      <c r="C1781" s="2" t="str">
        <f t="shared" si="55"/>
        <v>LIM333</v>
      </c>
      <c r="D1781" s="2">
        <v>163</v>
      </c>
      <c r="F1781" s="2451"/>
      <c r="G1781" s="2451"/>
      <c r="H1781" s="2451"/>
      <c r="I1781" s="2451"/>
      <c r="J1781" s="2451"/>
      <c r="K1781" s="2451"/>
      <c r="L1781" s="2453"/>
      <c r="M1781" s="2453"/>
      <c r="N1781" s="2453"/>
      <c r="O1781" s="2453"/>
      <c r="P1781" s="2453"/>
      <c r="W1781" t="s">
        <v>2062</v>
      </c>
    </row>
    <row r="1782" spans="1:23" ht="13.15" customHeight="1">
      <c r="A1782" s="2" t="s">
        <v>2215</v>
      </c>
      <c r="B1782" s="2">
        <f t="shared" si="54"/>
        <v>2020</v>
      </c>
      <c r="C1782" s="2" t="str">
        <f t="shared" si="55"/>
        <v>LIM333</v>
      </c>
      <c r="D1782" s="2">
        <v>164</v>
      </c>
      <c r="F1782" s="2451"/>
      <c r="G1782" s="2451"/>
      <c r="H1782" s="2451"/>
      <c r="I1782" s="2451"/>
      <c r="J1782" s="2451"/>
      <c r="K1782" s="2451"/>
      <c r="L1782" s="2453"/>
      <c r="M1782" s="2453"/>
      <c r="N1782" s="2453"/>
      <c r="O1782" s="2453"/>
      <c r="P1782" s="2453"/>
      <c r="W1782" t="s">
        <v>2062</v>
      </c>
    </row>
    <row r="1783" spans="1:23" ht="13.15" customHeight="1">
      <c r="A1783" s="2" t="s">
        <v>2215</v>
      </c>
      <c r="B1783" s="2">
        <f t="shared" si="54"/>
        <v>2020</v>
      </c>
      <c r="C1783" s="2" t="str">
        <f t="shared" si="55"/>
        <v>LIM333</v>
      </c>
      <c r="D1783" s="2">
        <v>165</v>
      </c>
      <c r="F1783" s="2451"/>
      <c r="G1783" s="2451"/>
      <c r="H1783" s="2451"/>
      <c r="I1783" s="2451"/>
      <c r="J1783" s="2451"/>
      <c r="K1783" s="2451"/>
      <c r="L1783" s="2453"/>
      <c r="M1783" s="2453"/>
      <c r="N1783" s="2453"/>
      <c r="O1783" s="2453"/>
      <c r="P1783" s="2453"/>
      <c r="W1783" t="s">
        <v>2062</v>
      </c>
    </row>
    <row r="1784" spans="1:23" ht="13.15" customHeight="1">
      <c r="A1784" s="2" t="s">
        <v>2215</v>
      </c>
      <c r="B1784" s="2">
        <f t="shared" si="54"/>
        <v>2020</v>
      </c>
      <c r="C1784" s="2" t="str">
        <f t="shared" si="55"/>
        <v>LIM333</v>
      </c>
      <c r="D1784" s="2">
        <v>166</v>
      </c>
      <c r="F1784" s="2451"/>
      <c r="G1784" s="2451"/>
      <c r="H1784" s="2451"/>
      <c r="I1784" s="2451"/>
      <c r="J1784" s="2451"/>
      <c r="K1784" s="2451"/>
      <c r="L1784" s="2453"/>
      <c r="M1784" s="2453"/>
      <c r="N1784" s="2453"/>
      <c r="O1784" s="2453"/>
      <c r="P1784" s="2453"/>
      <c r="W1784" t="s">
        <v>2062</v>
      </c>
    </row>
    <row r="1785" spans="1:23" ht="13.15" customHeight="1">
      <c r="A1785" s="2" t="s">
        <v>2215</v>
      </c>
      <c r="B1785" s="2">
        <f t="shared" si="54"/>
        <v>2020</v>
      </c>
      <c r="C1785" s="2" t="str">
        <f t="shared" si="55"/>
        <v>LIM333</v>
      </c>
      <c r="D1785" s="2">
        <v>167</v>
      </c>
      <c r="F1785" s="2451"/>
      <c r="G1785" s="2451"/>
      <c r="H1785" s="2451"/>
      <c r="I1785" s="2451"/>
      <c r="J1785" s="2451"/>
      <c r="K1785" s="2451"/>
      <c r="L1785" s="2453"/>
      <c r="M1785" s="2453"/>
      <c r="N1785" s="2453"/>
      <c r="O1785" s="2453"/>
      <c r="P1785" s="2453"/>
      <c r="W1785" t="s">
        <v>2062</v>
      </c>
    </row>
    <row r="1786" spans="1:23" ht="13.15" customHeight="1">
      <c r="A1786" s="2" t="s">
        <v>2215</v>
      </c>
      <c r="B1786" s="2">
        <f t="shared" si="54"/>
        <v>2020</v>
      </c>
      <c r="C1786" s="2" t="str">
        <f t="shared" si="55"/>
        <v>LIM333</v>
      </c>
      <c r="D1786" s="2">
        <v>168</v>
      </c>
      <c r="F1786" s="2451"/>
      <c r="G1786" s="2451"/>
      <c r="H1786" s="2451"/>
      <c r="I1786" s="2451"/>
      <c r="J1786" s="2451"/>
      <c r="K1786" s="2451"/>
      <c r="L1786" s="2453"/>
      <c r="M1786" s="2453"/>
      <c r="N1786" s="2453"/>
      <c r="O1786" s="2453"/>
      <c r="P1786" s="2453"/>
      <c r="W1786" t="s">
        <v>2062</v>
      </c>
    </row>
    <row r="1787" spans="1:23" ht="13.15" customHeight="1">
      <c r="A1787" s="2" t="s">
        <v>2215</v>
      </c>
      <c r="B1787" s="2">
        <f t="shared" si="54"/>
        <v>2020</v>
      </c>
      <c r="C1787" s="2" t="str">
        <f t="shared" si="55"/>
        <v>LIM333</v>
      </c>
      <c r="D1787" s="2">
        <v>169</v>
      </c>
      <c r="F1787" s="2451"/>
      <c r="G1787" s="2451"/>
      <c r="H1787" s="2451"/>
      <c r="I1787" s="2451"/>
      <c r="J1787" s="2451"/>
      <c r="K1787" s="2451"/>
      <c r="L1787" s="2453"/>
      <c r="M1787" s="2453"/>
      <c r="N1787" s="2453"/>
      <c r="O1787" s="2453"/>
      <c r="P1787" s="2453"/>
      <c r="W1787" t="s">
        <v>2062</v>
      </c>
    </row>
    <row r="1788" spans="1:23" ht="13.15" customHeight="1">
      <c r="A1788" s="2" t="s">
        <v>2215</v>
      </c>
      <c r="B1788" s="2">
        <f t="shared" si="54"/>
        <v>2020</v>
      </c>
      <c r="C1788" s="2" t="str">
        <f t="shared" si="55"/>
        <v>LIM333</v>
      </c>
      <c r="D1788" s="2">
        <v>170</v>
      </c>
      <c r="F1788" s="2451"/>
      <c r="G1788" s="2451"/>
      <c r="H1788" s="2451"/>
      <c r="I1788" s="2451"/>
      <c r="J1788" s="2451"/>
      <c r="K1788" s="2451"/>
      <c r="L1788" s="2453"/>
      <c r="M1788" s="2453"/>
      <c r="N1788" s="2453"/>
      <c r="O1788" s="2453"/>
      <c r="P1788" s="2453"/>
      <c r="W1788" t="s">
        <v>2062</v>
      </c>
    </row>
    <row r="1789" spans="1:23" ht="13.15" customHeight="1">
      <c r="A1789" s="2" t="s">
        <v>2215</v>
      </c>
      <c r="B1789" s="2">
        <f t="shared" si="54"/>
        <v>2020</v>
      </c>
      <c r="C1789" s="2" t="str">
        <f t="shared" si="55"/>
        <v>LIM333</v>
      </c>
      <c r="D1789" s="2">
        <v>171</v>
      </c>
      <c r="F1789" s="2451"/>
      <c r="G1789" s="2451"/>
      <c r="H1789" s="2451"/>
      <c r="I1789" s="2451"/>
      <c r="J1789" s="2451"/>
      <c r="K1789" s="2451"/>
      <c r="L1789" s="2453"/>
      <c r="M1789" s="2453"/>
      <c r="N1789" s="2453"/>
      <c r="O1789" s="2453"/>
      <c r="P1789" s="2453"/>
      <c r="W1789" t="s">
        <v>2062</v>
      </c>
    </row>
    <row r="1790" spans="1:23" ht="13.15" customHeight="1">
      <c r="A1790" s="2" t="s">
        <v>2215</v>
      </c>
      <c r="B1790" s="2">
        <f t="shared" si="54"/>
        <v>2020</v>
      </c>
      <c r="C1790" s="2" t="str">
        <f t="shared" si="55"/>
        <v>LIM333</v>
      </c>
      <c r="D1790" s="2">
        <v>172</v>
      </c>
      <c r="F1790" s="2451"/>
      <c r="G1790" s="2451"/>
      <c r="H1790" s="2451"/>
      <c r="I1790" s="2451"/>
      <c r="J1790" s="2451"/>
      <c r="K1790" s="2451"/>
      <c r="L1790" s="2453"/>
      <c r="M1790" s="2453"/>
      <c r="N1790" s="2453"/>
      <c r="O1790" s="2453"/>
      <c r="P1790" s="2453"/>
      <c r="W1790" t="s">
        <v>2062</v>
      </c>
    </row>
    <row r="1791" spans="1:23" ht="13.15" customHeight="1">
      <c r="A1791" s="2" t="s">
        <v>2215</v>
      </c>
      <c r="B1791" s="2">
        <f t="shared" si="54"/>
        <v>2020</v>
      </c>
      <c r="C1791" s="2" t="str">
        <f t="shared" si="55"/>
        <v>LIM333</v>
      </c>
      <c r="D1791" s="2">
        <v>173</v>
      </c>
      <c r="F1791" s="2451"/>
      <c r="G1791" s="2451"/>
      <c r="H1791" s="2451"/>
      <c r="I1791" s="2451"/>
      <c r="J1791" s="2451"/>
      <c r="K1791" s="2451"/>
      <c r="L1791" s="2453"/>
      <c r="M1791" s="2453"/>
      <c r="N1791" s="2453"/>
      <c r="O1791" s="2453"/>
      <c r="P1791" s="2453"/>
      <c r="W1791" t="s">
        <v>2062</v>
      </c>
    </row>
    <row r="1792" spans="1:23" ht="13.15" customHeight="1">
      <c r="A1792" s="2" t="s">
        <v>2215</v>
      </c>
      <c r="B1792" s="2">
        <f t="shared" si="54"/>
        <v>2020</v>
      </c>
      <c r="C1792" s="2" t="str">
        <f t="shared" si="55"/>
        <v>LIM333</v>
      </c>
      <c r="D1792" s="2">
        <v>174</v>
      </c>
      <c r="F1792" s="2451"/>
      <c r="G1792" s="2451"/>
      <c r="H1792" s="2451"/>
      <c r="I1792" s="2451"/>
      <c r="J1792" s="2451"/>
      <c r="K1792" s="2451"/>
      <c r="L1792" s="2453"/>
      <c r="M1792" s="2453"/>
      <c r="N1792" s="2453"/>
      <c r="O1792" s="2453"/>
      <c r="P1792" s="2453"/>
      <c r="W1792" t="s">
        <v>2062</v>
      </c>
    </row>
    <row r="1793" spans="1:23" ht="13.15" customHeight="1">
      <c r="A1793" s="2" t="s">
        <v>2215</v>
      </c>
      <c r="B1793" s="2">
        <f t="shared" si="54"/>
        <v>2020</v>
      </c>
      <c r="C1793" s="2" t="str">
        <f t="shared" si="55"/>
        <v>LIM333</v>
      </c>
      <c r="D1793" s="2">
        <v>175</v>
      </c>
      <c r="F1793" s="2451"/>
      <c r="G1793" s="2451"/>
      <c r="H1793" s="2451"/>
      <c r="I1793" s="2451"/>
      <c r="J1793" s="2451"/>
      <c r="K1793" s="2451"/>
      <c r="L1793" s="2453"/>
      <c r="M1793" s="2453"/>
      <c r="N1793" s="2453"/>
      <c r="O1793" s="2453"/>
      <c r="P1793" s="2453"/>
      <c r="W1793" t="s">
        <v>2062</v>
      </c>
    </row>
    <row r="1794" spans="1:23" ht="13.15" customHeight="1">
      <c r="A1794" s="2" t="s">
        <v>2215</v>
      </c>
      <c r="B1794" s="2">
        <f t="shared" ref="B1794:B1857" si="56">+MTREF</f>
        <v>2020</v>
      </c>
      <c r="C1794" s="2" t="str">
        <f t="shared" ref="C1794:C1857" si="57">LEFT(muni,(FIND(" ",muni,1)-1))</f>
        <v>LIM333</v>
      </c>
      <c r="D1794" s="2">
        <v>176</v>
      </c>
      <c r="F1794" s="2451"/>
      <c r="G1794" s="2451"/>
      <c r="H1794" s="2451"/>
      <c r="I1794" s="2451"/>
      <c r="J1794" s="2451"/>
      <c r="K1794" s="2451"/>
      <c r="L1794" s="2453"/>
      <c r="M1794" s="2453"/>
      <c r="N1794" s="2453"/>
      <c r="O1794" s="2453"/>
      <c r="P1794" s="2453"/>
      <c r="W1794" t="s">
        <v>2062</v>
      </c>
    </row>
    <row r="1795" spans="1:23" ht="13.15" customHeight="1">
      <c r="A1795" s="2" t="s">
        <v>2215</v>
      </c>
      <c r="B1795" s="2">
        <f t="shared" si="56"/>
        <v>2020</v>
      </c>
      <c r="C1795" s="2" t="str">
        <f t="shared" si="57"/>
        <v>LIM333</v>
      </c>
      <c r="D1795" s="2">
        <v>177</v>
      </c>
      <c r="F1795" s="2451"/>
      <c r="G1795" s="2451"/>
      <c r="H1795" s="2451"/>
      <c r="I1795" s="2451"/>
      <c r="J1795" s="2451"/>
      <c r="K1795" s="2451"/>
      <c r="L1795" s="2453"/>
      <c r="M1795" s="2453"/>
      <c r="N1795" s="2453"/>
      <c r="O1795" s="2453"/>
      <c r="P1795" s="2453"/>
      <c r="W1795" t="s">
        <v>2062</v>
      </c>
    </row>
    <row r="1796" spans="1:23" ht="13.15" customHeight="1">
      <c r="A1796" s="2" t="s">
        <v>2215</v>
      </c>
      <c r="B1796" s="2">
        <f t="shared" si="56"/>
        <v>2020</v>
      </c>
      <c r="C1796" s="2" t="str">
        <f t="shared" si="57"/>
        <v>LIM333</v>
      </c>
      <c r="D1796" s="2">
        <v>178</v>
      </c>
      <c r="F1796" s="2451"/>
      <c r="G1796" s="2451"/>
      <c r="H1796" s="2451"/>
      <c r="I1796" s="2451"/>
      <c r="J1796" s="2451"/>
      <c r="K1796" s="2451"/>
      <c r="L1796" s="2453"/>
      <c r="M1796" s="2453"/>
      <c r="N1796" s="2453"/>
      <c r="O1796" s="2453"/>
      <c r="P1796" s="2453"/>
      <c r="W1796" t="s">
        <v>2062</v>
      </c>
    </row>
    <row r="1797" spans="1:23" ht="13.15" customHeight="1">
      <c r="A1797" s="2" t="s">
        <v>2215</v>
      </c>
      <c r="B1797" s="2">
        <f t="shared" si="56"/>
        <v>2020</v>
      </c>
      <c r="C1797" s="2" t="str">
        <f t="shared" si="57"/>
        <v>LIM333</v>
      </c>
      <c r="D1797" s="2">
        <v>179</v>
      </c>
      <c r="F1797" s="2451"/>
      <c r="G1797" s="2451"/>
      <c r="H1797" s="2451"/>
      <c r="I1797" s="2451"/>
      <c r="J1797" s="2451"/>
      <c r="K1797" s="2451"/>
      <c r="L1797" s="2453"/>
      <c r="M1797" s="2453"/>
      <c r="N1797" s="2453"/>
      <c r="O1797" s="2453"/>
      <c r="P1797" s="2453"/>
      <c r="W1797" t="s">
        <v>2062</v>
      </c>
    </row>
    <row r="1798" spans="1:23" ht="13.15" customHeight="1">
      <c r="A1798" s="2" t="s">
        <v>2215</v>
      </c>
      <c r="B1798" s="2">
        <f t="shared" si="56"/>
        <v>2020</v>
      </c>
      <c r="C1798" s="2" t="str">
        <f t="shared" si="57"/>
        <v>LIM333</v>
      </c>
      <c r="D1798" s="2">
        <v>180</v>
      </c>
      <c r="F1798" s="2451"/>
      <c r="G1798" s="2451"/>
      <c r="H1798" s="2451"/>
      <c r="I1798" s="2451"/>
      <c r="J1798" s="2451"/>
      <c r="K1798" s="2451"/>
      <c r="L1798" s="2453"/>
      <c r="M1798" s="2453"/>
      <c r="N1798" s="2453"/>
      <c r="O1798" s="2453"/>
      <c r="P1798" s="2453"/>
      <c r="W1798" t="s">
        <v>2062</v>
      </c>
    </row>
    <row r="1799" spans="1:23" ht="13.15" customHeight="1">
      <c r="A1799" s="2" t="s">
        <v>2215</v>
      </c>
      <c r="B1799" s="2">
        <f t="shared" si="56"/>
        <v>2020</v>
      </c>
      <c r="C1799" s="2" t="str">
        <f t="shared" si="57"/>
        <v>LIM333</v>
      </c>
      <c r="D1799" s="2">
        <v>181</v>
      </c>
      <c r="F1799" s="2451"/>
      <c r="G1799" s="2451"/>
      <c r="H1799" s="2451"/>
      <c r="I1799" s="2451"/>
      <c r="J1799" s="2451"/>
      <c r="K1799" s="2451"/>
      <c r="L1799" s="2453"/>
      <c r="M1799" s="2453"/>
      <c r="N1799" s="2453"/>
      <c r="O1799" s="2453"/>
      <c r="P1799" s="2453"/>
      <c r="W1799" t="s">
        <v>2062</v>
      </c>
    </row>
    <row r="1800" spans="1:23" ht="13.15" customHeight="1">
      <c r="A1800" s="2" t="s">
        <v>2215</v>
      </c>
      <c r="B1800" s="2">
        <f t="shared" si="56"/>
        <v>2020</v>
      </c>
      <c r="C1800" s="2" t="str">
        <f t="shared" si="57"/>
        <v>LIM333</v>
      </c>
      <c r="D1800" s="2">
        <v>182</v>
      </c>
      <c r="F1800" s="2451"/>
      <c r="G1800" s="2451"/>
      <c r="H1800" s="2451"/>
      <c r="I1800" s="2451"/>
      <c r="J1800" s="2451"/>
      <c r="K1800" s="2451"/>
      <c r="L1800" s="2453"/>
      <c r="M1800" s="2453"/>
      <c r="N1800" s="2453"/>
      <c r="O1800" s="2453"/>
      <c r="P1800" s="2453"/>
      <c r="W1800" t="s">
        <v>2062</v>
      </c>
    </row>
    <row r="1801" spans="1:23" ht="13.15" customHeight="1">
      <c r="A1801" s="2" t="s">
        <v>2215</v>
      </c>
      <c r="B1801" s="2">
        <f t="shared" si="56"/>
        <v>2020</v>
      </c>
      <c r="C1801" s="2" t="str">
        <f t="shared" si="57"/>
        <v>LIM333</v>
      </c>
      <c r="D1801" s="2">
        <v>183</v>
      </c>
      <c r="F1801" s="2451"/>
      <c r="G1801" s="2451"/>
      <c r="H1801" s="2451"/>
      <c r="I1801" s="2451"/>
      <c r="J1801" s="2451"/>
      <c r="K1801" s="2451"/>
      <c r="L1801" s="2453"/>
      <c r="M1801" s="2453"/>
      <c r="N1801" s="2453"/>
      <c r="O1801" s="2453"/>
      <c r="P1801" s="2453"/>
      <c r="W1801" t="s">
        <v>2062</v>
      </c>
    </row>
    <row r="1802" spans="1:23" ht="13.15" customHeight="1">
      <c r="A1802" s="2" t="s">
        <v>2215</v>
      </c>
      <c r="B1802" s="2">
        <f t="shared" si="56"/>
        <v>2020</v>
      </c>
      <c r="C1802" s="2" t="str">
        <f t="shared" si="57"/>
        <v>LIM333</v>
      </c>
      <c r="D1802" s="2">
        <v>184</v>
      </c>
      <c r="F1802" s="2451"/>
      <c r="G1802" s="2451"/>
      <c r="H1802" s="2451"/>
      <c r="I1802" s="2451"/>
      <c r="J1802" s="2451"/>
      <c r="K1802" s="2451"/>
      <c r="L1802" s="2453"/>
      <c r="M1802" s="2453"/>
      <c r="N1802" s="2453"/>
      <c r="O1802" s="2453"/>
      <c r="P1802" s="2453"/>
      <c r="W1802" t="s">
        <v>2062</v>
      </c>
    </row>
    <row r="1803" spans="1:23" ht="13.15" customHeight="1">
      <c r="A1803" s="2" t="s">
        <v>2215</v>
      </c>
      <c r="B1803" s="2">
        <f t="shared" si="56"/>
        <v>2020</v>
      </c>
      <c r="C1803" s="2" t="str">
        <f t="shared" si="57"/>
        <v>LIM333</v>
      </c>
      <c r="D1803" s="2">
        <v>185</v>
      </c>
      <c r="F1803" s="2451"/>
      <c r="G1803" s="2451"/>
      <c r="H1803" s="2451"/>
      <c r="I1803" s="2451"/>
      <c r="J1803" s="2451"/>
      <c r="K1803" s="2451"/>
      <c r="L1803" s="2453"/>
      <c r="M1803" s="2453"/>
      <c r="N1803" s="2453"/>
      <c r="O1803" s="2453"/>
      <c r="P1803" s="2453"/>
      <c r="W1803" t="s">
        <v>2062</v>
      </c>
    </row>
    <row r="1804" spans="1:23" ht="13.15" customHeight="1">
      <c r="A1804" s="2" t="s">
        <v>2215</v>
      </c>
      <c r="B1804" s="2">
        <f t="shared" si="56"/>
        <v>2020</v>
      </c>
      <c r="C1804" s="2" t="str">
        <f t="shared" si="57"/>
        <v>LIM333</v>
      </c>
      <c r="D1804" s="2">
        <v>186</v>
      </c>
      <c r="F1804" s="2451"/>
      <c r="G1804" s="2451"/>
      <c r="H1804" s="2451"/>
      <c r="I1804" s="2451"/>
      <c r="J1804" s="2451"/>
      <c r="K1804" s="2451"/>
      <c r="L1804" s="2453"/>
      <c r="M1804" s="2453"/>
      <c r="N1804" s="2453"/>
      <c r="O1804" s="2453"/>
      <c r="P1804" s="2453"/>
      <c r="W1804" t="s">
        <v>2062</v>
      </c>
    </row>
    <row r="1805" spans="1:23" ht="13.15" customHeight="1">
      <c r="A1805" s="2" t="s">
        <v>2215</v>
      </c>
      <c r="B1805" s="2">
        <f t="shared" si="56"/>
        <v>2020</v>
      </c>
      <c r="C1805" s="2" t="str">
        <f t="shared" si="57"/>
        <v>LIM333</v>
      </c>
      <c r="D1805" s="2">
        <v>187</v>
      </c>
      <c r="F1805" s="2451"/>
      <c r="G1805" s="2451"/>
      <c r="H1805" s="2451"/>
      <c r="I1805" s="2451"/>
      <c r="J1805" s="2451"/>
      <c r="K1805" s="2451"/>
      <c r="L1805" s="2453"/>
      <c r="M1805" s="2453"/>
      <c r="N1805" s="2453"/>
      <c r="O1805" s="2453"/>
      <c r="P1805" s="2453"/>
      <c r="W1805" t="s">
        <v>2062</v>
      </c>
    </row>
    <row r="1806" spans="1:23" ht="13.15" customHeight="1">
      <c r="A1806" s="2" t="s">
        <v>2215</v>
      </c>
      <c r="B1806" s="2">
        <f t="shared" si="56"/>
        <v>2020</v>
      </c>
      <c r="C1806" s="2" t="str">
        <f t="shared" si="57"/>
        <v>LIM333</v>
      </c>
      <c r="D1806" s="2">
        <v>188</v>
      </c>
      <c r="F1806" s="2451"/>
      <c r="G1806" s="2451"/>
      <c r="H1806" s="2451"/>
      <c r="I1806" s="2451"/>
      <c r="J1806" s="2451"/>
      <c r="K1806" s="2451"/>
      <c r="L1806" s="2453"/>
      <c r="M1806" s="2453"/>
      <c r="N1806" s="2453"/>
      <c r="O1806" s="2453"/>
      <c r="P1806" s="2453"/>
      <c r="W1806" t="s">
        <v>2062</v>
      </c>
    </row>
    <row r="1807" spans="1:23" ht="13.15" customHeight="1">
      <c r="A1807" s="2" t="s">
        <v>2215</v>
      </c>
      <c r="B1807" s="2">
        <f t="shared" si="56"/>
        <v>2020</v>
      </c>
      <c r="C1807" s="2" t="str">
        <f t="shared" si="57"/>
        <v>LIM333</v>
      </c>
      <c r="D1807" s="2">
        <v>189</v>
      </c>
      <c r="F1807" s="2451"/>
      <c r="G1807" s="2451"/>
      <c r="H1807" s="2451"/>
      <c r="I1807" s="2451"/>
      <c r="J1807" s="2451"/>
      <c r="K1807" s="2451"/>
      <c r="L1807" s="2453"/>
      <c r="M1807" s="2453"/>
      <c r="N1807" s="2453"/>
      <c r="O1807" s="2453"/>
      <c r="P1807" s="2453"/>
      <c r="W1807" t="s">
        <v>2062</v>
      </c>
    </row>
    <row r="1808" spans="1:23" ht="13.15" customHeight="1">
      <c r="A1808" s="2" t="s">
        <v>2215</v>
      </c>
      <c r="B1808" s="2">
        <f t="shared" si="56"/>
        <v>2020</v>
      </c>
      <c r="C1808" s="2" t="str">
        <f t="shared" si="57"/>
        <v>LIM333</v>
      </c>
      <c r="D1808" s="2">
        <v>190</v>
      </c>
      <c r="F1808" s="2451"/>
      <c r="G1808" s="2451"/>
      <c r="H1808" s="2451"/>
      <c r="I1808" s="2451"/>
      <c r="J1808" s="2451"/>
      <c r="K1808" s="2451"/>
      <c r="L1808" s="2453"/>
      <c r="M1808" s="2453"/>
      <c r="N1808" s="2453"/>
      <c r="O1808" s="2453"/>
      <c r="P1808" s="2453"/>
      <c r="W1808" t="s">
        <v>2062</v>
      </c>
    </row>
    <row r="1809" spans="1:23" ht="13.15" customHeight="1">
      <c r="A1809" s="2" t="s">
        <v>2215</v>
      </c>
      <c r="B1809" s="2">
        <f t="shared" si="56"/>
        <v>2020</v>
      </c>
      <c r="C1809" s="2" t="str">
        <f t="shared" si="57"/>
        <v>LIM333</v>
      </c>
      <c r="D1809" s="2">
        <v>191</v>
      </c>
      <c r="F1809" s="2451"/>
      <c r="G1809" s="2451"/>
      <c r="H1809" s="2451"/>
      <c r="I1809" s="2451"/>
      <c r="J1809" s="2451"/>
      <c r="K1809" s="2451"/>
      <c r="L1809" s="2453"/>
      <c r="M1809" s="2453"/>
      <c r="N1809" s="2453"/>
      <c r="O1809" s="2453"/>
      <c r="P1809" s="2453"/>
      <c r="W1809" t="s">
        <v>2062</v>
      </c>
    </row>
    <row r="1810" spans="1:23" ht="13.15" customHeight="1">
      <c r="A1810" s="2" t="s">
        <v>2215</v>
      </c>
      <c r="B1810" s="2">
        <f t="shared" si="56"/>
        <v>2020</v>
      </c>
      <c r="C1810" s="2" t="str">
        <f t="shared" si="57"/>
        <v>LIM333</v>
      </c>
      <c r="D1810" s="2">
        <v>192</v>
      </c>
      <c r="F1810" s="2451"/>
      <c r="G1810" s="2451"/>
      <c r="H1810" s="2451"/>
      <c r="I1810" s="2451"/>
      <c r="J1810" s="2451"/>
      <c r="K1810" s="2451"/>
      <c r="L1810" s="2453"/>
      <c r="M1810" s="2453"/>
      <c r="N1810" s="2453"/>
      <c r="O1810" s="2453"/>
      <c r="P1810" s="2453"/>
      <c r="W1810" t="s">
        <v>2062</v>
      </c>
    </row>
    <row r="1811" spans="1:23" ht="13.15" customHeight="1">
      <c r="A1811" s="2" t="s">
        <v>2215</v>
      </c>
      <c r="B1811" s="2">
        <f t="shared" si="56"/>
        <v>2020</v>
      </c>
      <c r="C1811" s="2" t="str">
        <f t="shared" si="57"/>
        <v>LIM333</v>
      </c>
      <c r="D1811" s="2">
        <v>193</v>
      </c>
      <c r="F1811" s="2451"/>
      <c r="G1811" s="2451"/>
      <c r="H1811" s="2451"/>
      <c r="I1811" s="2451"/>
      <c r="J1811" s="2451"/>
      <c r="K1811" s="2451"/>
      <c r="L1811" s="2453"/>
      <c r="M1811" s="2453"/>
      <c r="N1811" s="2453"/>
      <c r="O1811" s="2453"/>
      <c r="P1811" s="2453"/>
      <c r="W1811" t="s">
        <v>2062</v>
      </c>
    </row>
    <row r="1812" spans="1:23" ht="13.15" customHeight="1">
      <c r="A1812" s="2" t="s">
        <v>2215</v>
      </c>
      <c r="B1812" s="2">
        <f t="shared" si="56"/>
        <v>2020</v>
      </c>
      <c r="C1812" s="2" t="str">
        <f t="shared" si="57"/>
        <v>LIM333</v>
      </c>
      <c r="D1812" s="2">
        <v>194</v>
      </c>
      <c r="F1812" s="2451"/>
      <c r="G1812" s="2451"/>
      <c r="H1812" s="2451"/>
      <c r="I1812" s="2451"/>
      <c r="J1812" s="2451"/>
      <c r="K1812" s="2451"/>
      <c r="L1812" s="2453"/>
      <c r="M1812" s="2453"/>
      <c r="N1812" s="2453"/>
      <c r="O1812" s="2453"/>
      <c r="P1812" s="2453"/>
      <c r="W1812" t="s">
        <v>2062</v>
      </c>
    </row>
    <row r="1813" spans="1:23" ht="13.15" customHeight="1">
      <c r="A1813" s="2" t="s">
        <v>2215</v>
      </c>
      <c r="B1813" s="2">
        <f t="shared" si="56"/>
        <v>2020</v>
      </c>
      <c r="C1813" s="2" t="str">
        <f t="shared" si="57"/>
        <v>LIM333</v>
      </c>
      <c r="D1813" s="2">
        <v>195</v>
      </c>
      <c r="F1813" s="2451"/>
      <c r="G1813" s="2451"/>
      <c r="H1813" s="2451"/>
      <c r="I1813" s="2451"/>
      <c r="J1813" s="2451"/>
      <c r="K1813" s="2451"/>
      <c r="L1813" s="2453"/>
      <c r="M1813" s="2453"/>
      <c r="N1813" s="2453"/>
      <c r="O1813" s="2453"/>
      <c r="P1813" s="2453"/>
      <c r="W1813" t="s">
        <v>2062</v>
      </c>
    </row>
    <row r="1814" spans="1:23" ht="13.15" customHeight="1">
      <c r="A1814" s="2" t="s">
        <v>2215</v>
      </c>
      <c r="B1814" s="2">
        <f t="shared" si="56"/>
        <v>2020</v>
      </c>
      <c r="C1814" s="2" t="str">
        <f t="shared" si="57"/>
        <v>LIM333</v>
      </c>
      <c r="D1814" s="2">
        <v>196</v>
      </c>
      <c r="F1814" s="2451"/>
      <c r="G1814" s="2451"/>
      <c r="H1814" s="2451"/>
      <c r="I1814" s="2451"/>
      <c r="J1814" s="2451"/>
      <c r="K1814" s="2451"/>
      <c r="L1814" s="2453"/>
      <c r="M1814" s="2453"/>
      <c r="N1814" s="2453"/>
      <c r="O1814" s="2453"/>
      <c r="P1814" s="2453"/>
      <c r="W1814" t="s">
        <v>2062</v>
      </c>
    </row>
    <row r="1815" spans="1:23" ht="13.15" customHeight="1">
      <c r="A1815" s="2" t="s">
        <v>2215</v>
      </c>
      <c r="B1815" s="2">
        <f t="shared" si="56"/>
        <v>2020</v>
      </c>
      <c r="C1815" s="2" t="str">
        <f t="shared" si="57"/>
        <v>LIM333</v>
      </c>
      <c r="D1815" s="2">
        <v>197</v>
      </c>
      <c r="F1815" s="2451"/>
      <c r="G1815" s="2451"/>
      <c r="H1815" s="2451"/>
      <c r="I1815" s="2451"/>
      <c r="J1815" s="2451"/>
      <c r="K1815" s="2451"/>
      <c r="L1815" s="2453"/>
      <c r="M1815" s="2453"/>
      <c r="N1815" s="2453"/>
      <c r="O1815" s="2453"/>
      <c r="P1815" s="2453"/>
      <c r="W1815" t="s">
        <v>2062</v>
      </c>
    </row>
    <row r="1816" spans="1:23" ht="13.15" customHeight="1">
      <c r="A1816" s="2" t="s">
        <v>2215</v>
      </c>
      <c r="B1816" s="2">
        <f t="shared" si="56"/>
        <v>2020</v>
      </c>
      <c r="C1816" s="2" t="str">
        <f t="shared" si="57"/>
        <v>LIM333</v>
      </c>
      <c r="D1816" s="2">
        <v>198</v>
      </c>
      <c r="F1816" s="2451"/>
      <c r="G1816" s="2451"/>
      <c r="H1816" s="2451"/>
      <c r="I1816" s="2451"/>
      <c r="J1816" s="2451"/>
      <c r="K1816" s="2451"/>
      <c r="L1816" s="2453"/>
      <c r="M1816" s="2453"/>
      <c r="N1816" s="2453"/>
      <c r="O1816" s="2453"/>
      <c r="P1816" s="2453"/>
      <c r="W1816" t="s">
        <v>2062</v>
      </c>
    </row>
    <row r="1817" spans="1:23" ht="13.15" customHeight="1">
      <c r="A1817" s="2" t="s">
        <v>2215</v>
      </c>
      <c r="B1817" s="2">
        <f t="shared" si="56"/>
        <v>2020</v>
      </c>
      <c r="C1817" s="2" t="str">
        <f t="shared" si="57"/>
        <v>LIM333</v>
      </c>
      <c r="D1817" s="2">
        <v>199</v>
      </c>
      <c r="F1817" s="2451"/>
      <c r="G1817" s="2451"/>
      <c r="H1817" s="2451"/>
      <c r="I1817" s="2451"/>
      <c r="J1817" s="2451"/>
      <c r="K1817" s="2451"/>
      <c r="L1817" s="2453"/>
      <c r="M1817" s="2453"/>
      <c r="N1817" s="2453"/>
      <c r="O1817" s="2453"/>
      <c r="P1817" s="2453"/>
      <c r="W1817" t="s">
        <v>2062</v>
      </c>
    </row>
    <row r="1818" spans="1:23" ht="13.15" customHeight="1">
      <c r="A1818" s="2" t="s">
        <v>2215</v>
      </c>
      <c r="B1818" s="2">
        <f t="shared" si="56"/>
        <v>2020</v>
      </c>
      <c r="C1818" s="2" t="str">
        <f t="shared" si="57"/>
        <v>LIM333</v>
      </c>
      <c r="D1818" s="2">
        <v>200</v>
      </c>
      <c r="F1818" s="2451"/>
      <c r="G1818" s="2451"/>
      <c r="H1818" s="2451"/>
      <c r="I1818" s="2451"/>
      <c r="J1818" s="2451"/>
      <c r="K1818" s="2451"/>
      <c r="L1818" s="2453"/>
      <c r="M1818" s="2453"/>
      <c r="N1818" s="2453"/>
      <c r="O1818" s="2453"/>
      <c r="P1818" s="2453"/>
      <c r="W1818" t="s">
        <v>2062</v>
      </c>
    </row>
    <row r="1819" spans="1:23" ht="13.15" customHeight="1">
      <c r="A1819" s="2" t="s">
        <v>2215</v>
      </c>
      <c r="B1819" s="2">
        <f t="shared" si="56"/>
        <v>2020</v>
      </c>
      <c r="C1819" s="2" t="str">
        <f t="shared" si="57"/>
        <v>LIM333</v>
      </c>
      <c r="D1819" s="2">
        <v>201</v>
      </c>
      <c r="F1819" s="2451"/>
      <c r="G1819" s="2451"/>
      <c r="H1819" s="2451"/>
      <c r="I1819" s="2451"/>
      <c r="J1819" s="2451"/>
      <c r="K1819" s="2451"/>
      <c r="L1819" s="2453"/>
      <c r="M1819" s="2453"/>
      <c r="N1819" s="2453"/>
      <c r="O1819" s="2453"/>
      <c r="P1819" s="2453"/>
      <c r="W1819" t="s">
        <v>2062</v>
      </c>
    </row>
    <row r="1820" spans="1:23" ht="13.15" customHeight="1">
      <c r="A1820" s="2" t="s">
        <v>2215</v>
      </c>
      <c r="B1820" s="2">
        <f t="shared" si="56"/>
        <v>2020</v>
      </c>
      <c r="C1820" s="2" t="str">
        <f t="shared" si="57"/>
        <v>LIM333</v>
      </c>
      <c r="D1820" s="2">
        <v>202</v>
      </c>
      <c r="F1820" s="2451"/>
      <c r="G1820" s="2451"/>
      <c r="H1820" s="2451"/>
      <c r="I1820" s="2451"/>
      <c r="J1820" s="2451"/>
      <c r="K1820" s="2451"/>
      <c r="L1820" s="2453"/>
      <c r="M1820" s="2453"/>
      <c r="N1820" s="2453"/>
      <c r="O1820" s="2453"/>
      <c r="P1820" s="2453"/>
      <c r="W1820" t="s">
        <v>2062</v>
      </c>
    </row>
    <row r="1821" spans="1:23" ht="13.15" customHeight="1">
      <c r="A1821" s="2" t="s">
        <v>2215</v>
      </c>
      <c r="B1821" s="2">
        <f t="shared" si="56"/>
        <v>2020</v>
      </c>
      <c r="C1821" s="2" t="str">
        <f t="shared" si="57"/>
        <v>LIM333</v>
      </c>
      <c r="D1821" s="2">
        <v>203</v>
      </c>
      <c r="F1821" s="2451"/>
      <c r="G1821" s="2451"/>
      <c r="H1821" s="2451"/>
      <c r="I1821" s="2451"/>
      <c r="J1821" s="2451"/>
      <c r="K1821" s="2451"/>
      <c r="L1821" s="2453"/>
      <c r="M1821" s="2453"/>
      <c r="N1821" s="2453"/>
      <c r="O1821" s="2453"/>
      <c r="P1821" s="2453"/>
      <c r="W1821" t="s">
        <v>2062</v>
      </c>
    </row>
    <row r="1822" spans="1:23" ht="13.15" customHeight="1">
      <c r="A1822" s="2" t="s">
        <v>2215</v>
      </c>
      <c r="B1822" s="2">
        <f t="shared" si="56"/>
        <v>2020</v>
      </c>
      <c r="C1822" s="2" t="str">
        <f t="shared" si="57"/>
        <v>LIM333</v>
      </c>
      <c r="D1822" s="2">
        <v>204</v>
      </c>
      <c r="F1822" s="2451"/>
      <c r="G1822" s="2451"/>
      <c r="H1822" s="2451"/>
      <c r="I1822" s="2451"/>
      <c r="J1822" s="2451"/>
      <c r="K1822" s="2451"/>
      <c r="L1822" s="2453"/>
      <c r="M1822" s="2453"/>
      <c r="N1822" s="2453"/>
      <c r="O1822" s="2453"/>
      <c r="P1822" s="2453"/>
      <c r="W1822" t="s">
        <v>2062</v>
      </c>
    </row>
    <row r="1823" spans="1:23" ht="13.15" customHeight="1">
      <c r="A1823" s="2" t="s">
        <v>2215</v>
      </c>
      <c r="B1823" s="2">
        <f t="shared" si="56"/>
        <v>2020</v>
      </c>
      <c r="C1823" s="2" t="str">
        <f t="shared" si="57"/>
        <v>LIM333</v>
      </c>
      <c r="D1823" s="2">
        <v>205</v>
      </c>
      <c r="F1823" s="2451"/>
      <c r="G1823" s="2451"/>
      <c r="H1823" s="2451"/>
      <c r="I1823" s="2451"/>
      <c r="J1823" s="2451"/>
      <c r="K1823" s="2451"/>
      <c r="L1823" s="2453"/>
      <c r="M1823" s="2453"/>
      <c r="N1823" s="2453"/>
      <c r="O1823" s="2453"/>
      <c r="P1823" s="2453"/>
      <c r="W1823" t="s">
        <v>2062</v>
      </c>
    </row>
    <row r="1824" spans="1:23" ht="13.15" customHeight="1">
      <c r="A1824" s="2" t="s">
        <v>2215</v>
      </c>
      <c r="B1824" s="2">
        <f t="shared" si="56"/>
        <v>2020</v>
      </c>
      <c r="C1824" s="2" t="str">
        <f t="shared" si="57"/>
        <v>LIM333</v>
      </c>
      <c r="D1824" s="2">
        <v>206</v>
      </c>
      <c r="F1824" s="2451"/>
      <c r="G1824" s="2451"/>
      <c r="H1824" s="2451"/>
      <c r="I1824" s="2451"/>
      <c r="J1824" s="2451"/>
      <c r="K1824" s="2451"/>
      <c r="L1824" s="2453"/>
      <c r="M1824" s="2453"/>
      <c r="N1824" s="2453"/>
      <c r="O1824" s="2453"/>
      <c r="P1824" s="2453"/>
      <c r="W1824" t="s">
        <v>2062</v>
      </c>
    </row>
    <row r="1825" spans="1:23" ht="13.15" customHeight="1">
      <c r="A1825" s="2" t="s">
        <v>2215</v>
      </c>
      <c r="B1825" s="2">
        <f t="shared" si="56"/>
        <v>2020</v>
      </c>
      <c r="C1825" s="2" t="str">
        <f t="shared" si="57"/>
        <v>LIM333</v>
      </c>
      <c r="D1825" s="2">
        <v>207</v>
      </c>
      <c r="F1825" s="2451"/>
      <c r="G1825" s="2451"/>
      <c r="H1825" s="2451"/>
      <c r="I1825" s="2451"/>
      <c r="J1825" s="2451"/>
      <c r="K1825" s="2451"/>
      <c r="L1825" s="2453"/>
      <c r="M1825" s="2453"/>
      <c r="N1825" s="2453"/>
      <c r="O1825" s="2453"/>
      <c r="P1825" s="2453"/>
      <c r="W1825" t="s">
        <v>2062</v>
      </c>
    </row>
    <row r="1826" spans="1:23" ht="13.15" customHeight="1">
      <c r="A1826" s="2" t="s">
        <v>2215</v>
      </c>
      <c r="B1826" s="2">
        <f t="shared" si="56"/>
        <v>2020</v>
      </c>
      <c r="C1826" s="2" t="str">
        <f t="shared" si="57"/>
        <v>LIM333</v>
      </c>
      <c r="D1826" s="2">
        <v>208</v>
      </c>
      <c r="F1826" s="2451"/>
      <c r="G1826" s="2451"/>
      <c r="H1826" s="2451"/>
      <c r="I1826" s="2451"/>
      <c r="J1826" s="2451"/>
      <c r="K1826" s="2451"/>
      <c r="L1826" s="2453"/>
      <c r="M1826" s="2453"/>
      <c r="N1826" s="2453"/>
      <c r="O1826" s="2453"/>
      <c r="P1826" s="2453"/>
      <c r="W1826" t="s">
        <v>2062</v>
      </c>
    </row>
    <row r="1827" spans="1:23" ht="13.15" customHeight="1">
      <c r="A1827" s="2" t="s">
        <v>2215</v>
      </c>
      <c r="B1827" s="2">
        <f t="shared" si="56"/>
        <v>2020</v>
      </c>
      <c r="C1827" s="2" t="str">
        <f t="shared" si="57"/>
        <v>LIM333</v>
      </c>
      <c r="D1827" s="2">
        <v>209</v>
      </c>
      <c r="F1827" s="2451"/>
      <c r="G1827" s="2451"/>
      <c r="H1827" s="2451"/>
      <c r="I1827" s="2451"/>
      <c r="J1827" s="2451"/>
      <c r="K1827" s="2451"/>
      <c r="L1827" s="2453"/>
      <c r="M1827" s="2453"/>
      <c r="N1827" s="2453"/>
      <c r="O1827" s="2453"/>
      <c r="P1827" s="2453"/>
      <c r="W1827" t="s">
        <v>2062</v>
      </c>
    </row>
    <row r="1828" spans="1:23" ht="13.15" customHeight="1">
      <c r="A1828" s="2" t="s">
        <v>2215</v>
      </c>
      <c r="B1828" s="2">
        <f t="shared" si="56"/>
        <v>2020</v>
      </c>
      <c r="C1828" s="2" t="str">
        <f t="shared" si="57"/>
        <v>LIM333</v>
      </c>
      <c r="D1828" s="2">
        <v>210</v>
      </c>
      <c r="F1828" s="2451"/>
      <c r="G1828" s="2451"/>
      <c r="H1828" s="2451"/>
      <c r="I1828" s="2451"/>
      <c r="J1828" s="2451"/>
      <c r="K1828" s="2451"/>
      <c r="L1828" s="2453"/>
      <c r="M1828" s="2453"/>
      <c r="N1828" s="2453"/>
      <c r="O1828" s="2453"/>
      <c r="P1828" s="2453"/>
      <c r="W1828" t="s">
        <v>2062</v>
      </c>
    </row>
    <row r="1829" spans="1:23" ht="13.15" customHeight="1">
      <c r="A1829" s="2" t="s">
        <v>2215</v>
      </c>
      <c r="B1829" s="2">
        <f t="shared" si="56"/>
        <v>2020</v>
      </c>
      <c r="C1829" s="2" t="str">
        <f t="shared" si="57"/>
        <v>LIM333</v>
      </c>
      <c r="D1829" s="2">
        <v>211</v>
      </c>
      <c r="F1829" s="2451"/>
      <c r="G1829" s="2451"/>
      <c r="H1829" s="2451"/>
      <c r="I1829" s="2451"/>
      <c r="J1829" s="2451"/>
      <c r="K1829" s="2451"/>
      <c r="L1829" s="2453"/>
      <c r="M1829" s="2453"/>
      <c r="N1829" s="2453"/>
      <c r="O1829" s="2453"/>
      <c r="P1829" s="2453"/>
      <c r="W1829" t="s">
        <v>2062</v>
      </c>
    </row>
    <row r="1830" spans="1:23" ht="13.15" customHeight="1">
      <c r="A1830" s="2" t="s">
        <v>2215</v>
      </c>
      <c r="B1830" s="2">
        <f t="shared" si="56"/>
        <v>2020</v>
      </c>
      <c r="C1830" s="2" t="str">
        <f t="shared" si="57"/>
        <v>LIM333</v>
      </c>
      <c r="D1830" s="2">
        <v>212</v>
      </c>
      <c r="F1830" s="2451"/>
      <c r="G1830" s="2451"/>
      <c r="H1830" s="2451"/>
      <c r="I1830" s="2451"/>
      <c r="J1830" s="2451"/>
      <c r="K1830" s="2451"/>
      <c r="L1830" s="2453"/>
      <c r="M1830" s="2453"/>
      <c r="N1830" s="2453"/>
      <c r="O1830" s="2453"/>
      <c r="P1830" s="2453"/>
      <c r="W1830" t="s">
        <v>2062</v>
      </c>
    </row>
    <row r="1831" spans="1:23" ht="13.15" customHeight="1">
      <c r="A1831" s="2" t="s">
        <v>2215</v>
      </c>
      <c r="B1831" s="2">
        <f t="shared" si="56"/>
        <v>2020</v>
      </c>
      <c r="C1831" s="2" t="str">
        <f t="shared" si="57"/>
        <v>LIM333</v>
      </c>
      <c r="D1831" s="2">
        <v>213</v>
      </c>
      <c r="F1831" s="2451"/>
      <c r="G1831" s="2451"/>
      <c r="H1831" s="2451"/>
      <c r="I1831" s="2451"/>
      <c r="J1831" s="2451"/>
      <c r="K1831" s="2451"/>
      <c r="L1831" s="2453"/>
      <c r="M1831" s="2453"/>
      <c r="N1831" s="2453"/>
      <c r="O1831" s="2453"/>
      <c r="P1831" s="2453"/>
      <c r="W1831" t="s">
        <v>2062</v>
      </c>
    </row>
    <row r="1832" spans="1:23" ht="13.15" customHeight="1">
      <c r="A1832" s="2" t="s">
        <v>2215</v>
      </c>
      <c r="B1832" s="2">
        <f t="shared" si="56"/>
        <v>2020</v>
      </c>
      <c r="C1832" s="2" t="str">
        <f t="shared" si="57"/>
        <v>LIM333</v>
      </c>
      <c r="D1832" s="2">
        <v>214</v>
      </c>
      <c r="F1832" s="2451"/>
      <c r="G1832" s="2451"/>
      <c r="H1832" s="2451"/>
      <c r="I1832" s="2451"/>
      <c r="J1832" s="2451"/>
      <c r="K1832" s="2451"/>
      <c r="L1832" s="2453"/>
      <c r="M1832" s="2453"/>
      <c r="N1832" s="2453"/>
      <c r="O1832" s="2453"/>
      <c r="P1832" s="2453"/>
      <c r="W1832" t="s">
        <v>2062</v>
      </c>
    </row>
    <row r="1833" spans="1:23" ht="13.15" customHeight="1">
      <c r="A1833" s="2" t="s">
        <v>2215</v>
      </c>
      <c r="B1833" s="2">
        <f t="shared" si="56"/>
        <v>2020</v>
      </c>
      <c r="C1833" s="2" t="str">
        <f t="shared" si="57"/>
        <v>LIM333</v>
      </c>
      <c r="D1833" s="2">
        <v>215</v>
      </c>
      <c r="F1833" s="2451"/>
      <c r="G1833" s="2451"/>
      <c r="H1833" s="2451"/>
      <c r="I1833" s="2451"/>
      <c r="J1833" s="2451"/>
      <c r="K1833" s="2451"/>
      <c r="L1833" s="2453"/>
      <c r="M1833" s="2453"/>
      <c r="N1833" s="2453"/>
      <c r="O1833" s="2453"/>
      <c r="P1833" s="2453"/>
      <c r="W1833" t="s">
        <v>2062</v>
      </c>
    </row>
    <row r="1834" spans="1:23" ht="13.15" customHeight="1">
      <c r="A1834" s="2" t="s">
        <v>2215</v>
      </c>
      <c r="B1834" s="2">
        <f t="shared" si="56"/>
        <v>2020</v>
      </c>
      <c r="C1834" s="2" t="str">
        <f t="shared" si="57"/>
        <v>LIM333</v>
      </c>
      <c r="D1834" s="2">
        <v>216</v>
      </c>
      <c r="F1834" s="2451"/>
      <c r="G1834" s="2451"/>
      <c r="H1834" s="2451"/>
      <c r="I1834" s="2451"/>
      <c r="J1834" s="2451"/>
      <c r="K1834" s="2451"/>
      <c r="L1834" s="2453"/>
      <c r="M1834" s="2453"/>
      <c r="N1834" s="2453"/>
      <c r="O1834" s="2453"/>
      <c r="P1834" s="2453"/>
      <c r="W1834" t="s">
        <v>2062</v>
      </c>
    </row>
    <row r="1835" spans="1:23" ht="13.15" customHeight="1">
      <c r="A1835" s="2" t="s">
        <v>2215</v>
      </c>
      <c r="B1835" s="2">
        <f t="shared" si="56"/>
        <v>2020</v>
      </c>
      <c r="C1835" s="2" t="str">
        <f t="shared" si="57"/>
        <v>LIM333</v>
      </c>
      <c r="D1835" s="2">
        <v>217</v>
      </c>
      <c r="F1835" s="2451"/>
      <c r="G1835" s="2451"/>
      <c r="H1835" s="2451"/>
      <c r="I1835" s="2451"/>
      <c r="J1835" s="2451"/>
      <c r="K1835" s="2451"/>
      <c r="L1835" s="2453"/>
      <c r="M1835" s="2453"/>
      <c r="N1835" s="2453"/>
      <c r="O1835" s="2453"/>
      <c r="P1835" s="2453"/>
      <c r="W1835" t="s">
        <v>2062</v>
      </c>
    </row>
    <row r="1836" spans="1:23" ht="13.15" customHeight="1">
      <c r="A1836" s="2" t="s">
        <v>2215</v>
      </c>
      <c r="B1836" s="2">
        <f t="shared" si="56"/>
        <v>2020</v>
      </c>
      <c r="C1836" s="2" t="str">
        <f t="shared" si="57"/>
        <v>LIM333</v>
      </c>
      <c r="D1836" s="2">
        <v>218</v>
      </c>
      <c r="F1836" s="2451"/>
      <c r="G1836" s="2451"/>
      <c r="H1836" s="2451"/>
      <c r="I1836" s="2451"/>
      <c r="J1836" s="2451"/>
      <c r="K1836" s="2451"/>
      <c r="L1836" s="2453"/>
      <c r="M1836" s="2453"/>
      <c r="N1836" s="2453"/>
      <c r="O1836" s="2453"/>
      <c r="P1836" s="2453"/>
      <c r="W1836" t="s">
        <v>2062</v>
      </c>
    </row>
    <row r="1837" spans="1:23" ht="13.15" customHeight="1">
      <c r="A1837" s="2" t="s">
        <v>2215</v>
      </c>
      <c r="B1837" s="2">
        <f t="shared" si="56"/>
        <v>2020</v>
      </c>
      <c r="C1837" s="2" t="str">
        <f t="shared" si="57"/>
        <v>LIM333</v>
      </c>
      <c r="D1837" s="2">
        <v>219</v>
      </c>
      <c r="F1837" s="2451"/>
      <c r="G1837" s="2451"/>
      <c r="H1837" s="2451"/>
      <c r="I1837" s="2451"/>
      <c r="J1837" s="2451"/>
      <c r="K1837" s="2451"/>
      <c r="L1837" s="2453"/>
      <c r="M1837" s="2453"/>
      <c r="N1837" s="2453"/>
      <c r="O1837" s="2453"/>
      <c r="P1837" s="2453"/>
      <c r="W1837" t="s">
        <v>2062</v>
      </c>
    </row>
    <row r="1838" spans="1:23" ht="13.15" customHeight="1">
      <c r="A1838" s="2" t="s">
        <v>2215</v>
      </c>
      <c r="B1838" s="2">
        <f t="shared" si="56"/>
        <v>2020</v>
      </c>
      <c r="C1838" s="2" t="str">
        <f t="shared" si="57"/>
        <v>LIM333</v>
      </c>
      <c r="D1838" s="2">
        <v>220</v>
      </c>
      <c r="F1838" s="2451"/>
      <c r="G1838" s="2451"/>
      <c r="H1838" s="2451"/>
      <c r="I1838" s="2451"/>
      <c r="J1838" s="2451"/>
      <c r="K1838" s="2451"/>
      <c r="L1838" s="2453"/>
      <c r="M1838" s="2453"/>
      <c r="N1838" s="2453"/>
      <c r="O1838" s="2453"/>
      <c r="P1838" s="2453"/>
      <c r="W1838" t="s">
        <v>2062</v>
      </c>
    </row>
    <row r="1839" spans="1:23" ht="13.15" customHeight="1">
      <c r="A1839" s="2" t="s">
        <v>2215</v>
      </c>
      <c r="B1839" s="2">
        <f t="shared" si="56"/>
        <v>2020</v>
      </c>
      <c r="C1839" s="2" t="str">
        <f t="shared" si="57"/>
        <v>LIM333</v>
      </c>
      <c r="D1839" s="2">
        <v>221</v>
      </c>
      <c r="F1839" s="2451"/>
      <c r="G1839" s="2451"/>
      <c r="H1839" s="2451"/>
      <c r="I1839" s="2451"/>
      <c r="J1839" s="2451"/>
      <c r="K1839" s="2451"/>
      <c r="L1839" s="2453"/>
      <c r="M1839" s="2453"/>
      <c r="N1839" s="2453"/>
      <c r="O1839" s="2453"/>
      <c r="P1839" s="2453"/>
      <c r="W1839" t="s">
        <v>2062</v>
      </c>
    </row>
    <row r="1840" spans="1:23" ht="13.15" customHeight="1">
      <c r="A1840" s="2" t="s">
        <v>2215</v>
      </c>
      <c r="B1840" s="2">
        <f t="shared" si="56"/>
        <v>2020</v>
      </c>
      <c r="C1840" s="2" t="str">
        <f t="shared" si="57"/>
        <v>LIM333</v>
      </c>
      <c r="D1840" s="2">
        <v>222</v>
      </c>
      <c r="F1840" s="2451"/>
      <c r="G1840" s="2451"/>
      <c r="H1840" s="2451"/>
      <c r="I1840" s="2451"/>
      <c r="J1840" s="2451"/>
      <c r="K1840" s="2451"/>
      <c r="L1840" s="2453"/>
      <c r="M1840" s="2453"/>
      <c r="N1840" s="2453"/>
      <c r="O1840" s="2453"/>
      <c r="P1840" s="2453"/>
      <c r="W1840" t="s">
        <v>2062</v>
      </c>
    </row>
    <row r="1841" spans="1:23" ht="13.15" customHeight="1">
      <c r="A1841" s="2" t="s">
        <v>2215</v>
      </c>
      <c r="B1841" s="2">
        <f t="shared" si="56"/>
        <v>2020</v>
      </c>
      <c r="C1841" s="2" t="str">
        <f t="shared" si="57"/>
        <v>LIM333</v>
      </c>
      <c r="D1841" s="2">
        <v>223</v>
      </c>
      <c r="F1841" s="2451"/>
      <c r="G1841" s="2451"/>
      <c r="H1841" s="2451"/>
      <c r="I1841" s="2451"/>
      <c r="J1841" s="2451"/>
      <c r="K1841" s="2451"/>
      <c r="L1841" s="2453"/>
      <c r="M1841" s="2453"/>
      <c r="N1841" s="2453"/>
      <c r="O1841" s="2453"/>
      <c r="P1841" s="2453"/>
      <c r="W1841" t="s">
        <v>2062</v>
      </c>
    </row>
    <row r="1842" spans="1:23" ht="13.15" customHeight="1">
      <c r="A1842" s="2" t="s">
        <v>2215</v>
      </c>
      <c r="B1842" s="2">
        <f t="shared" si="56"/>
        <v>2020</v>
      </c>
      <c r="C1842" s="2" t="str">
        <f t="shared" si="57"/>
        <v>LIM333</v>
      </c>
      <c r="D1842" s="2">
        <v>224</v>
      </c>
      <c r="F1842" s="2451"/>
      <c r="G1842" s="2451"/>
      <c r="H1842" s="2451"/>
      <c r="I1842" s="2451"/>
      <c r="J1842" s="2451"/>
      <c r="K1842" s="2451"/>
      <c r="L1842" s="2453"/>
      <c r="M1842" s="2453"/>
      <c r="N1842" s="2453"/>
      <c r="O1842" s="2453"/>
      <c r="P1842" s="2453"/>
      <c r="W1842" t="s">
        <v>2062</v>
      </c>
    </row>
    <row r="1843" spans="1:23" ht="13.15" customHeight="1">
      <c r="A1843" s="2" t="s">
        <v>2215</v>
      </c>
      <c r="B1843" s="2">
        <f t="shared" si="56"/>
        <v>2020</v>
      </c>
      <c r="C1843" s="2" t="str">
        <f t="shared" si="57"/>
        <v>LIM333</v>
      </c>
      <c r="D1843" s="2">
        <v>225</v>
      </c>
      <c r="F1843" s="2451"/>
      <c r="G1843" s="2451"/>
      <c r="H1843" s="2451"/>
      <c r="I1843" s="2451"/>
      <c r="J1843" s="2451"/>
      <c r="K1843" s="2451"/>
      <c r="L1843" s="2453"/>
      <c r="M1843" s="2453"/>
      <c r="N1843" s="2453"/>
      <c r="O1843" s="2453"/>
      <c r="P1843" s="2453"/>
      <c r="W1843" t="s">
        <v>2062</v>
      </c>
    </row>
    <row r="1844" spans="1:23" ht="13.15" customHeight="1">
      <c r="A1844" s="2" t="s">
        <v>2215</v>
      </c>
      <c r="B1844" s="2">
        <f t="shared" si="56"/>
        <v>2020</v>
      </c>
      <c r="C1844" s="2" t="str">
        <f t="shared" si="57"/>
        <v>LIM333</v>
      </c>
      <c r="D1844" s="2">
        <v>226</v>
      </c>
      <c r="F1844" s="2451"/>
      <c r="G1844" s="2451"/>
      <c r="H1844" s="2451"/>
      <c r="I1844" s="2451"/>
      <c r="J1844" s="2451"/>
      <c r="K1844" s="2451"/>
      <c r="L1844" s="2453"/>
      <c r="M1844" s="2453"/>
      <c r="N1844" s="2453"/>
      <c r="O1844" s="2453"/>
      <c r="P1844" s="2453"/>
      <c r="W1844" t="s">
        <v>2062</v>
      </c>
    </row>
    <row r="1845" spans="1:23" ht="13.15" customHeight="1">
      <c r="A1845" s="2" t="s">
        <v>2215</v>
      </c>
      <c r="B1845" s="2">
        <f t="shared" si="56"/>
        <v>2020</v>
      </c>
      <c r="C1845" s="2" t="str">
        <f t="shared" si="57"/>
        <v>LIM333</v>
      </c>
      <c r="D1845" s="2">
        <v>227</v>
      </c>
      <c r="F1845" s="2451"/>
      <c r="G1845" s="2451"/>
      <c r="H1845" s="2451"/>
      <c r="I1845" s="2451"/>
      <c r="J1845" s="2451"/>
      <c r="K1845" s="2451"/>
      <c r="L1845" s="2453"/>
      <c r="M1845" s="2453"/>
      <c r="N1845" s="2453"/>
      <c r="O1845" s="2453"/>
      <c r="P1845" s="2453"/>
      <c r="W1845" t="s">
        <v>2062</v>
      </c>
    </row>
    <row r="1846" spans="1:23" ht="13.15" customHeight="1">
      <c r="A1846" s="2" t="s">
        <v>2215</v>
      </c>
      <c r="B1846" s="2">
        <f t="shared" si="56"/>
        <v>2020</v>
      </c>
      <c r="C1846" s="2" t="str">
        <f t="shared" si="57"/>
        <v>LIM333</v>
      </c>
      <c r="D1846" s="2">
        <v>228</v>
      </c>
      <c r="F1846" s="2451"/>
      <c r="G1846" s="2451"/>
      <c r="H1846" s="2451"/>
      <c r="I1846" s="2451"/>
      <c r="J1846" s="2451"/>
      <c r="K1846" s="2451"/>
      <c r="L1846" s="2453"/>
      <c r="M1846" s="2453"/>
      <c r="N1846" s="2453"/>
      <c r="O1846" s="2453"/>
      <c r="P1846" s="2453"/>
      <c r="W1846" t="s">
        <v>2062</v>
      </c>
    </row>
    <row r="1847" spans="1:23" ht="13.15" customHeight="1">
      <c r="A1847" s="2" t="s">
        <v>2215</v>
      </c>
      <c r="B1847" s="2">
        <f t="shared" si="56"/>
        <v>2020</v>
      </c>
      <c r="C1847" s="2" t="str">
        <f t="shared" si="57"/>
        <v>LIM333</v>
      </c>
      <c r="D1847" s="2">
        <v>229</v>
      </c>
      <c r="F1847" s="2451"/>
      <c r="G1847" s="2451"/>
      <c r="H1847" s="2451"/>
      <c r="I1847" s="2451"/>
      <c r="J1847" s="2451"/>
      <c r="K1847" s="2451"/>
      <c r="L1847" s="2453"/>
      <c r="M1847" s="2453"/>
      <c r="N1847" s="2453"/>
      <c r="O1847" s="2453"/>
      <c r="P1847" s="2453"/>
      <c r="W1847" t="s">
        <v>2062</v>
      </c>
    </row>
    <row r="1848" spans="1:23" ht="13.15" customHeight="1">
      <c r="A1848" s="2" t="s">
        <v>2215</v>
      </c>
      <c r="B1848" s="2">
        <f t="shared" si="56"/>
        <v>2020</v>
      </c>
      <c r="C1848" s="2" t="str">
        <f t="shared" si="57"/>
        <v>LIM333</v>
      </c>
      <c r="D1848" s="2">
        <v>230</v>
      </c>
      <c r="F1848" s="2451"/>
      <c r="G1848" s="2451"/>
      <c r="H1848" s="2451"/>
      <c r="I1848" s="2451"/>
      <c r="J1848" s="2451"/>
      <c r="K1848" s="2451"/>
      <c r="L1848" s="2453"/>
      <c r="M1848" s="2453"/>
      <c r="N1848" s="2453"/>
      <c r="O1848" s="2453"/>
      <c r="P1848" s="2453"/>
      <c r="W1848" t="s">
        <v>2062</v>
      </c>
    </row>
    <row r="1849" spans="1:23" ht="13.15" customHeight="1">
      <c r="A1849" s="2" t="s">
        <v>2215</v>
      </c>
      <c r="B1849" s="2">
        <f t="shared" si="56"/>
        <v>2020</v>
      </c>
      <c r="C1849" s="2" t="str">
        <f t="shared" si="57"/>
        <v>LIM333</v>
      </c>
      <c r="D1849" s="2">
        <v>231</v>
      </c>
      <c r="F1849" s="2451"/>
      <c r="G1849" s="2451"/>
      <c r="H1849" s="2451"/>
      <c r="I1849" s="2451"/>
      <c r="J1849" s="2451"/>
      <c r="K1849" s="2451"/>
      <c r="L1849" s="2453"/>
      <c r="M1849" s="2453"/>
      <c r="N1849" s="2453"/>
      <c r="O1849" s="2453"/>
      <c r="P1849" s="2453"/>
      <c r="W1849" t="s">
        <v>2062</v>
      </c>
    </row>
    <row r="1850" spans="1:23" ht="13.15" customHeight="1">
      <c r="A1850" s="2" t="s">
        <v>2215</v>
      </c>
      <c r="B1850" s="2">
        <f t="shared" si="56"/>
        <v>2020</v>
      </c>
      <c r="C1850" s="2" t="str">
        <f t="shared" si="57"/>
        <v>LIM333</v>
      </c>
      <c r="D1850" s="2">
        <v>232</v>
      </c>
      <c r="F1850" s="2451"/>
      <c r="G1850" s="2451"/>
      <c r="H1850" s="2451"/>
      <c r="I1850" s="2451"/>
      <c r="J1850" s="2451"/>
      <c r="K1850" s="2451"/>
      <c r="L1850" s="2453"/>
      <c r="M1850" s="2453"/>
      <c r="N1850" s="2453"/>
      <c r="O1850" s="2453"/>
      <c r="P1850" s="2453"/>
      <c r="W1850" t="s">
        <v>2062</v>
      </c>
    </row>
    <row r="1851" spans="1:23" ht="13.15" customHeight="1">
      <c r="A1851" s="2" t="s">
        <v>2215</v>
      </c>
      <c r="B1851" s="2">
        <f t="shared" si="56"/>
        <v>2020</v>
      </c>
      <c r="C1851" s="2" t="str">
        <f t="shared" si="57"/>
        <v>LIM333</v>
      </c>
      <c r="D1851" s="2">
        <v>233</v>
      </c>
      <c r="F1851" s="2451"/>
      <c r="G1851" s="2451"/>
      <c r="H1851" s="2451"/>
      <c r="I1851" s="2451"/>
      <c r="J1851" s="2451"/>
      <c r="K1851" s="2451"/>
      <c r="L1851" s="2453"/>
      <c r="M1851" s="2453"/>
      <c r="N1851" s="2453"/>
      <c r="O1851" s="2453"/>
      <c r="P1851" s="2453"/>
      <c r="W1851" t="s">
        <v>2062</v>
      </c>
    </row>
    <row r="1852" spans="1:23" ht="13.15" customHeight="1">
      <c r="A1852" s="2" t="s">
        <v>2215</v>
      </c>
      <c r="B1852" s="2">
        <f t="shared" si="56"/>
        <v>2020</v>
      </c>
      <c r="C1852" s="2" t="str">
        <f t="shared" si="57"/>
        <v>LIM333</v>
      </c>
      <c r="D1852" s="2">
        <v>234</v>
      </c>
      <c r="F1852" s="2451"/>
      <c r="G1852" s="2451"/>
      <c r="H1852" s="2451"/>
      <c r="I1852" s="2451"/>
      <c r="J1852" s="2451"/>
      <c r="K1852" s="2451"/>
      <c r="L1852" s="2453"/>
      <c r="M1852" s="2453"/>
      <c r="N1852" s="2453"/>
      <c r="O1852" s="2453"/>
      <c r="P1852" s="2453"/>
      <c r="W1852" t="s">
        <v>2062</v>
      </c>
    </row>
    <row r="1853" spans="1:23" ht="13.15" customHeight="1">
      <c r="A1853" s="2" t="s">
        <v>2215</v>
      </c>
      <c r="B1853" s="2">
        <f t="shared" si="56"/>
        <v>2020</v>
      </c>
      <c r="C1853" s="2" t="str">
        <f t="shared" si="57"/>
        <v>LIM333</v>
      </c>
      <c r="D1853" s="2">
        <v>235</v>
      </c>
      <c r="F1853" s="2451"/>
      <c r="G1853" s="2451"/>
      <c r="H1853" s="2451"/>
      <c r="I1853" s="2451"/>
      <c r="J1853" s="2451"/>
      <c r="K1853" s="2451"/>
      <c r="L1853" s="2453"/>
      <c r="M1853" s="2453"/>
      <c r="N1853" s="2453"/>
      <c r="O1853" s="2453"/>
      <c r="P1853" s="2453"/>
      <c r="W1853" t="s">
        <v>2062</v>
      </c>
    </row>
    <row r="1854" spans="1:23" ht="13.15" customHeight="1">
      <c r="A1854" s="2" t="s">
        <v>2215</v>
      </c>
      <c r="B1854" s="2">
        <f t="shared" si="56"/>
        <v>2020</v>
      </c>
      <c r="C1854" s="2" t="str">
        <f t="shared" si="57"/>
        <v>LIM333</v>
      </c>
      <c r="D1854" s="2">
        <v>236</v>
      </c>
      <c r="F1854" s="2451"/>
      <c r="G1854" s="2451"/>
      <c r="H1854" s="2451"/>
      <c r="I1854" s="2451"/>
      <c r="J1854" s="2451"/>
      <c r="K1854" s="2451"/>
      <c r="L1854" s="2453"/>
      <c r="M1854" s="2453"/>
      <c r="N1854" s="2453"/>
      <c r="O1854" s="2453"/>
      <c r="P1854" s="2453"/>
      <c r="W1854" t="s">
        <v>2062</v>
      </c>
    </row>
    <row r="1855" spans="1:23" ht="13.15" customHeight="1">
      <c r="A1855" s="2" t="s">
        <v>2215</v>
      </c>
      <c r="B1855" s="2">
        <f t="shared" si="56"/>
        <v>2020</v>
      </c>
      <c r="C1855" s="2" t="str">
        <f t="shared" si="57"/>
        <v>LIM333</v>
      </c>
      <c r="D1855" s="2">
        <v>237</v>
      </c>
      <c r="F1855" s="2451"/>
      <c r="G1855" s="2451"/>
      <c r="H1855" s="2451"/>
      <c r="I1855" s="2451"/>
      <c r="J1855" s="2451"/>
      <c r="K1855" s="2451"/>
      <c r="L1855" s="2453"/>
      <c r="M1855" s="2453"/>
      <c r="N1855" s="2453"/>
      <c r="O1855" s="2453"/>
      <c r="P1855" s="2453"/>
      <c r="W1855" t="s">
        <v>2062</v>
      </c>
    </row>
    <row r="1856" spans="1:23" ht="13.15" customHeight="1">
      <c r="A1856" s="2" t="s">
        <v>2215</v>
      </c>
      <c r="B1856" s="2">
        <f t="shared" si="56"/>
        <v>2020</v>
      </c>
      <c r="C1856" s="2" t="str">
        <f t="shared" si="57"/>
        <v>LIM333</v>
      </c>
      <c r="D1856" s="2">
        <v>238</v>
      </c>
      <c r="F1856" s="2451"/>
      <c r="G1856" s="2451"/>
      <c r="H1856" s="2451"/>
      <c r="I1856" s="2451"/>
      <c r="J1856" s="2451"/>
      <c r="K1856" s="2451"/>
      <c r="L1856" s="2453"/>
      <c r="M1856" s="2453"/>
      <c r="N1856" s="2453"/>
      <c r="O1856" s="2453"/>
      <c r="P1856" s="2453"/>
      <c r="W1856" t="s">
        <v>2062</v>
      </c>
    </row>
    <row r="1857" spans="1:23" ht="13.15" customHeight="1">
      <c r="A1857" s="2" t="s">
        <v>2215</v>
      </c>
      <c r="B1857" s="2">
        <f t="shared" si="56"/>
        <v>2020</v>
      </c>
      <c r="C1857" s="2" t="str">
        <f t="shared" si="57"/>
        <v>LIM333</v>
      </c>
      <c r="D1857" s="2">
        <v>239</v>
      </c>
      <c r="F1857" s="2451"/>
      <c r="G1857" s="2451"/>
      <c r="H1857" s="2451"/>
      <c r="I1857" s="2451"/>
      <c r="J1857" s="2451"/>
      <c r="K1857" s="2451"/>
      <c r="L1857" s="2453"/>
      <c r="M1857" s="2453"/>
      <c r="N1857" s="2453"/>
      <c r="O1857" s="2453"/>
      <c r="P1857" s="2453"/>
      <c r="W1857" t="s">
        <v>2062</v>
      </c>
    </row>
    <row r="1858" spans="1:23" ht="13.15" customHeight="1">
      <c r="A1858" s="2" t="s">
        <v>2215</v>
      </c>
      <c r="B1858" s="2">
        <f t="shared" ref="B1858:B1921" si="58">+MTREF</f>
        <v>2020</v>
      </c>
      <c r="C1858" s="2" t="str">
        <f t="shared" ref="C1858:C1921" si="59">LEFT(muni,(FIND(" ",muni,1)-1))</f>
        <v>LIM333</v>
      </c>
      <c r="D1858" s="2">
        <v>240</v>
      </c>
      <c r="F1858" s="2451"/>
      <c r="G1858" s="2451"/>
      <c r="H1858" s="2451"/>
      <c r="I1858" s="2451"/>
      <c r="J1858" s="2451"/>
      <c r="K1858" s="2451"/>
      <c r="L1858" s="2453"/>
      <c r="M1858" s="2453"/>
      <c r="N1858" s="2453"/>
      <c r="O1858" s="2453"/>
      <c r="P1858" s="2453"/>
      <c r="W1858" t="s">
        <v>2062</v>
      </c>
    </row>
    <row r="1859" spans="1:23" ht="13.15" customHeight="1">
      <c r="A1859" s="2" t="s">
        <v>2215</v>
      </c>
      <c r="B1859" s="2">
        <f t="shared" si="58"/>
        <v>2020</v>
      </c>
      <c r="C1859" s="2" t="str">
        <f t="shared" si="59"/>
        <v>LIM333</v>
      </c>
      <c r="D1859" s="2">
        <v>241</v>
      </c>
      <c r="F1859" s="2451"/>
      <c r="G1859" s="2451"/>
      <c r="H1859" s="2451"/>
      <c r="I1859" s="2451"/>
      <c r="J1859" s="2451"/>
      <c r="K1859" s="2451"/>
      <c r="L1859" s="2453"/>
      <c r="M1859" s="2453"/>
      <c r="N1859" s="2453"/>
      <c r="O1859" s="2453"/>
      <c r="P1859" s="2453"/>
      <c r="W1859" t="s">
        <v>2062</v>
      </c>
    </row>
    <row r="1860" spans="1:23" ht="13.15" customHeight="1">
      <c r="A1860" s="2" t="s">
        <v>2215</v>
      </c>
      <c r="B1860" s="2">
        <f t="shared" si="58"/>
        <v>2020</v>
      </c>
      <c r="C1860" s="2" t="str">
        <f t="shared" si="59"/>
        <v>LIM333</v>
      </c>
      <c r="D1860" s="2">
        <v>242</v>
      </c>
      <c r="F1860" s="2451"/>
      <c r="G1860" s="2451"/>
      <c r="H1860" s="2451"/>
      <c r="I1860" s="2451"/>
      <c r="J1860" s="2451"/>
      <c r="K1860" s="2451"/>
      <c r="L1860" s="2453"/>
      <c r="M1860" s="2453"/>
      <c r="N1860" s="2453"/>
      <c r="O1860" s="2453"/>
      <c r="P1860" s="2453"/>
      <c r="W1860" t="s">
        <v>2062</v>
      </c>
    </row>
    <row r="1861" spans="1:23" ht="13.15" customHeight="1">
      <c r="A1861" s="2" t="s">
        <v>2215</v>
      </c>
      <c r="B1861" s="2">
        <f t="shared" si="58"/>
        <v>2020</v>
      </c>
      <c r="C1861" s="2" t="str">
        <f t="shared" si="59"/>
        <v>LIM333</v>
      </c>
      <c r="D1861" s="2">
        <v>243</v>
      </c>
      <c r="F1861" s="2451"/>
      <c r="G1861" s="2451"/>
      <c r="H1861" s="2451"/>
      <c r="I1861" s="2451"/>
      <c r="J1861" s="2451"/>
      <c r="K1861" s="2451"/>
      <c r="L1861" s="2453"/>
      <c r="M1861" s="2453"/>
      <c r="N1861" s="2453"/>
      <c r="O1861" s="2453"/>
      <c r="P1861" s="2453"/>
      <c r="W1861" t="s">
        <v>2062</v>
      </c>
    </row>
    <row r="1862" spans="1:23" ht="13.15" customHeight="1">
      <c r="A1862" s="2" t="s">
        <v>2215</v>
      </c>
      <c r="B1862" s="2">
        <f t="shared" si="58"/>
        <v>2020</v>
      </c>
      <c r="C1862" s="2" t="str">
        <f t="shared" si="59"/>
        <v>LIM333</v>
      </c>
      <c r="D1862" s="2">
        <v>244</v>
      </c>
      <c r="F1862" s="2451"/>
      <c r="G1862" s="2451"/>
      <c r="H1862" s="2451"/>
      <c r="I1862" s="2451"/>
      <c r="J1862" s="2451"/>
      <c r="K1862" s="2451"/>
      <c r="L1862" s="2453"/>
      <c r="M1862" s="2453"/>
      <c r="N1862" s="2453"/>
      <c r="O1862" s="2453"/>
      <c r="P1862" s="2453"/>
      <c r="W1862" t="s">
        <v>2062</v>
      </c>
    </row>
    <row r="1863" spans="1:23" ht="13.15" customHeight="1">
      <c r="A1863" s="2" t="s">
        <v>2215</v>
      </c>
      <c r="B1863" s="2">
        <f t="shared" si="58"/>
        <v>2020</v>
      </c>
      <c r="C1863" s="2" t="str">
        <f t="shared" si="59"/>
        <v>LIM333</v>
      </c>
      <c r="D1863" s="2">
        <v>245</v>
      </c>
      <c r="F1863" s="2451"/>
      <c r="G1863" s="2451"/>
      <c r="H1863" s="2451"/>
      <c r="I1863" s="2451"/>
      <c r="J1863" s="2451"/>
      <c r="K1863" s="2451"/>
      <c r="L1863" s="2453"/>
      <c r="M1863" s="2453"/>
      <c r="N1863" s="2453"/>
      <c r="O1863" s="2453"/>
      <c r="P1863" s="2453"/>
      <c r="W1863" t="s">
        <v>2062</v>
      </c>
    </row>
    <row r="1864" spans="1:23" ht="13.15" customHeight="1">
      <c r="A1864" s="2" t="s">
        <v>2215</v>
      </c>
      <c r="B1864" s="2">
        <f t="shared" si="58"/>
        <v>2020</v>
      </c>
      <c r="C1864" s="2" t="str">
        <f t="shared" si="59"/>
        <v>LIM333</v>
      </c>
      <c r="D1864" s="2">
        <v>246</v>
      </c>
      <c r="F1864" s="2451"/>
      <c r="G1864" s="2451"/>
      <c r="H1864" s="2451"/>
      <c r="I1864" s="2451"/>
      <c r="J1864" s="2451"/>
      <c r="K1864" s="2451"/>
      <c r="L1864" s="2453"/>
      <c r="M1864" s="2453"/>
      <c r="N1864" s="2453"/>
      <c r="O1864" s="2453"/>
      <c r="P1864" s="2453"/>
      <c r="W1864" t="s">
        <v>2062</v>
      </c>
    </row>
    <row r="1865" spans="1:23" ht="13.15" customHeight="1">
      <c r="A1865" s="2" t="s">
        <v>2215</v>
      </c>
      <c r="B1865" s="2">
        <f t="shared" si="58"/>
        <v>2020</v>
      </c>
      <c r="C1865" s="2" t="str">
        <f t="shared" si="59"/>
        <v>LIM333</v>
      </c>
      <c r="D1865" s="2">
        <v>247</v>
      </c>
      <c r="F1865" s="2451"/>
      <c r="G1865" s="2451"/>
      <c r="H1865" s="2451"/>
      <c r="I1865" s="2451"/>
      <c r="J1865" s="2451"/>
      <c r="K1865" s="2451"/>
      <c r="L1865" s="2453"/>
      <c r="M1865" s="2453"/>
      <c r="N1865" s="2453"/>
      <c r="O1865" s="2453"/>
      <c r="P1865" s="2453"/>
      <c r="W1865" t="s">
        <v>2062</v>
      </c>
    </row>
    <row r="1866" spans="1:23" ht="13.15" customHeight="1">
      <c r="A1866" s="2" t="s">
        <v>2215</v>
      </c>
      <c r="B1866" s="2">
        <f t="shared" si="58"/>
        <v>2020</v>
      </c>
      <c r="C1866" s="2" t="str">
        <f t="shared" si="59"/>
        <v>LIM333</v>
      </c>
      <c r="D1866" s="2">
        <v>248</v>
      </c>
      <c r="F1866" s="2451"/>
      <c r="G1866" s="2451"/>
      <c r="H1866" s="2451"/>
      <c r="I1866" s="2451"/>
      <c r="J1866" s="2451"/>
      <c r="K1866" s="2451"/>
      <c r="L1866" s="2453"/>
      <c r="M1866" s="2453"/>
      <c r="N1866" s="2453"/>
      <c r="O1866" s="2453"/>
      <c r="P1866" s="2453"/>
      <c r="W1866" t="s">
        <v>2062</v>
      </c>
    </row>
    <row r="1867" spans="1:23" ht="13.15" customHeight="1">
      <c r="A1867" s="2" t="s">
        <v>2215</v>
      </c>
      <c r="B1867" s="2">
        <f t="shared" si="58"/>
        <v>2020</v>
      </c>
      <c r="C1867" s="2" t="str">
        <f t="shared" si="59"/>
        <v>LIM333</v>
      </c>
      <c r="D1867" s="2">
        <v>249</v>
      </c>
      <c r="F1867" s="2451"/>
      <c r="G1867" s="2451"/>
      <c r="H1867" s="2451"/>
      <c r="I1867" s="2451"/>
      <c r="J1867" s="2451"/>
      <c r="K1867" s="2451"/>
      <c r="L1867" s="2453"/>
      <c r="M1867" s="2453"/>
      <c r="N1867" s="2453"/>
      <c r="O1867" s="2453"/>
      <c r="P1867" s="2453"/>
      <c r="W1867" t="s">
        <v>2062</v>
      </c>
    </row>
    <row r="1868" spans="1:23" ht="13.15" customHeight="1">
      <c r="A1868" s="2" t="s">
        <v>2215</v>
      </c>
      <c r="B1868" s="2">
        <f t="shared" si="58"/>
        <v>2020</v>
      </c>
      <c r="C1868" s="2" t="str">
        <f t="shared" si="59"/>
        <v>LIM333</v>
      </c>
      <c r="D1868" s="2">
        <v>250</v>
      </c>
      <c r="F1868" s="2451"/>
      <c r="G1868" s="2451"/>
      <c r="H1868" s="2451"/>
      <c r="I1868" s="2451"/>
      <c r="J1868" s="2451"/>
      <c r="K1868" s="2451"/>
      <c r="L1868" s="2453"/>
      <c r="M1868" s="2453"/>
      <c r="N1868" s="2453"/>
      <c r="O1868" s="2453"/>
      <c r="P1868" s="2453"/>
      <c r="W1868" t="s">
        <v>2062</v>
      </c>
    </row>
    <row r="1869" spans="1:23" ht="13.15" customHeight="1">
      <c r="A1869" s="2" t="s">
        <v>2215</v>
      </c>
      <c r="B1869" s="2">
        <f t="shared" si="58"/>
        <v>2020</v>
      </c>
      <c r="C1869" s="2" t="str">
        <f t="shared" si="59"/>
        <v>LIM333</v>
      </c>
      <c r="D1869" s="2">
        <v>251</v>
      </c>
      <c r="F1869" s="2451"/>
      <c r="G1869" s="2451"/>
      <c r="H1869" s="2451"/>
      <c r="I1869" s="2451"/>
      <c r="J1869" s="2451"/>
      <c r="K1869" s="2451"/>
      <c r="L1869" s="2453"/>
      <c r="M1869" s="2453"/>
      <c r="N1869" s="2453"/>
      <c r="O1869" s="2453"/>
      <c r="P1869" s="2453"/>
      <c r="W1869" t="s">
        <v>2062</v>
      </c>
    </row>
    <row r="1870" spans="1:23" ht="13.15" customHeight="1">
      <c r="A1870" s="2" t="s">
        <v>2215</v>
      </c>
      <c r="B1870" s="2">
        <f t="shared" si="58"/>
        <v>2020</v>
      </c>
      <c r="C1870" s="2" t="str">
        <f t="shared" si="59"/>
        <v>LIM333</v>
      </c>
      <c r="D1870" s="2">
        <v>252</v>
      </c>
      <c r="F1870" s="2451"/>
      <c r="G1870" s="2451"/>
      <c r="H1870" s="2451"/>
      <c r="I1870" s="2451"/>
      <c r="J1870" s="2451"/>
      <c r="K1870" s="2451"/>
      <c r="L1870" s="2453"/>
      <c r="M1870" s="2453"/>
      <c r="N1870" s="2453"/>
      <c r="O1870" s="2453"/>
      <c r="P1870" s="2453"/>
      <c r="W1870" t="s">
        <v>2062</v>
      </c>
    </row>
    <row r="1871" spans="1:23" ht="13.15" customHeight="1">
      <c r="A1871" s="2" t="s">
        <v>2215</v>
      </c>
      <c r="B1871" s="2">
        <f t="shared" si="58"/>
        <v>2020</v>
      </c>
      <c r="C1871" s="2" t="str">
        <f t="shared" si="59"/>
        <v>LIM333</v>
      </c>
      <c r="D1871" s="2">
        <v>253</v>
      </c>
      <c r="F1871" s="2451"/>
      <c r="G1871" s="2451"/>
      <c r="H1871" s="2451"/>
      <c r="I1871" s="2451"/>
      <c r="J1871" s="2451"/>
      <c r="K1871" s="2451"/>
      <c r="L1871" s="2453"/>
      <c r="M1871" s="2453"/>
      <c r="N1871" s="2453"/>
      <c r="O1871" s="2453"/>
      <c r="P1871" s="2453"/>
      <c r="W1871" t="s">
        <v>2062</v>
      </c>
    </row>
    <row r="1872" spans="1:23" ht="13.15" customHeight="1">
      <c r="A1872" s="2" t="s">
        <v>2215</v>
      </c>
      <c r="B1872" s="2">
        <f t="shared" si="58"/>
        <v>2020</v>
      </c>
      <c r="C1872" s="2" t="str">
        <f t="shared" si="59"/>
        <v>LIM333</v>
      </c>
      <c r="D1872" s="2">
        <v>254</v>
      </c>
      <c r="F1872" s="2451"/>
      <c r="G1872" s="2451"/>
      <c r="H1872" s="2451"/>
      <c r="I1872" s="2451"/>
      <c r="J1872" s="2451"/>
      <c r="K1872" s="2451"/>
      <c r="L1872" s="2453"/>
      <c r="M1872" s="2453"/>
      <c r="N1872" s="2453"/>
      <c r="O1872" s="2453"/>
      <c r="P1872" s="2453"/>
      <c r="W1872" t="s">
        <v>2062</v>
      </c>
    </row>
    <row r="1873" spans="1:23" ht="13.15" customHeight="1">
      <c r="A1873" s="2" t="s">
        <v>2215</v>
      </c>
      <c r="B1873" s="2">
        <f t="shared" si="58"/>
        <v>2020</v>
      </c>
      <c r="C1873" s="2" t="str">
        <f t="shared" si="59"/>
        <v>LIM333</v>
      </c>
      <c r="D1873" s="2">
        <v>255</v>
      </c>
      <c r="F1873" s="2451"/>
      <c r="G1873" s="2451"/>
      <c r="H1873" s="2451"/>
      <c r="I1873" s="2451"/>
      <c r="J1873" s="2451"/>
      <c r="K1873" s="2451"/>
      <c r="L1873" s="2453"/>
      <c r="M1873" s="2453"/>
      <c r="N1873" s="2453"/>
      <c r="O1873" s="2453"/>
      <c r="P1873" s="2453"/>
      <c r="W1873" t="s">
        <v>2062</v>
      </c>
    </row>
    <row r="1874" spans="1:23" ht="13.15" customHeight="1">
      <c r="A1874" s="2" t="s">
        <v>2215</v>
      </c>
      <c r="B1874" s="2">
        <f t="shared" si="58"/>
        <v>2020</v>
      </c>
      <c r="C1874" s="2" t="str">
        <f t="shared" si="59"/>
        <v>LIM333</v>
      </c>
      <c r="D1874" s="2">
        <v>256</v>
      </c>
      <c r="F1874" s="2451"/>
      <c r="G1874" s="2451"/>
      <c r="H1874" s="2451"/>
      <c r="I1874" s="2451"/>
      <c r="J1874" s="2451"/>
      <c r="K1874" s="2451"/>
      <c r="L1874" s="2453"/>
      <c r="M1874" s="2453"/>
      <c r="N1874" s="2453"/>
      <c r="O1874" s="2453"/>
      <c r="P1874" s="2453"/>
      <c r="W1874" t="s">
        <v>2062</v>
      </c>
    </row>
    <row r="1875" spans="1:23" ht="13.15" customHeight="1">
      <c r="A1875" s="2" t="s">
        <v>2215</v>
      </c>
      <c r="B1875" s="2">
        <f t="shared" si="58"/>
        <v>2020</v>
      </c>
      <c r="C1875" s="2" t="str">
        <f t="shared" si="59"/>
        <v>LIM333</v>
      </c>
      <c r="D1875" s="2">
        <v>257</v>
      </c>
      <c r="F1875" s="2451"/>
      <c r="G1875" s="2451"/>
      <c r="H1875" s="2451"/>
      <c r="I1875" s="2451"/>
      <c r="J1875" s="2451"/>
      <c r="K1875" s="2451"/>
      <c r="L1875" s="2453"/>
      <c r="M1875" s="2453"/>
      <c r="N1875" s="2453"/>
      <c r="O1875" s="2453"/>
      <c r="P1875" s="2453"/>
      <c r="W1875" t="s">
        <v>2062</v>
      </c>
    </row>
    <row r="1876" spans="1:23" ht="13.15" customHeight="1">
      <c r="A1876" s="2" t="s">
        <v>2215</v>
      </c>
      <c r="B1876" s="2">
        <f t="shared" si="58"/>
        <v>2020</v>
      </c>
      <c r="C1876" s="2" t="str">
        <f t="shared" si="59"/>
        <v>LIM333</v>
      </c>
      <c r="D1876" s="2">
        <v>258</v>
      </c>
      <c r="F1876" s="2451"/>
      <c r="G1876" s="2451"/>
      <c r="H1876" s="2451"/>
      <c r="I1876" s="2451"/>
      <c r="J1876" s="2451"/>
      <c r="K1876" s="2451"/>
      <c r="L1876" s="2453"/>
      <c r="M1876" s="2453"/>
      <c r="N1876" s="2453"/>
      <c r="O1876" s="2453"/>
      <c r="P1876" s="2453"/>
      <c r="W1876" t="s">
        <v>2062</v>
      </c>
    </row>
    <row r="1877" spans="1:23" ht="13.15" customHeight="1">
      <c r="A1877" s="2" t="s">
        <v>2215</v>
      </c>
      <c r="B1877" s="2">
        <f t="shared" si="58"/>
        <v>2020</v>
      </c>
      <c r="C1877" s="2" t="str">
        <f t="shared" si="59"/>
        <v>LIM333</v>
      </c>
      <c r="D1877" s="2">
        <v>259</v>
      </c>
      <c r="F1877" s="2451"/>
      <c r="G1877" s="2451"/>
      <c r="H1877" s="2451"/>
      <c r="I1877" s="2451"/>
      <c r="J1877" s="2451"/>
      <c r="K1877" s="2451"/>
      <c r="L1877" s="2453"/>
      <c r="M1877" s="2453"/>
      <c r="N1877" s="2453"/>
      <c r="O1877" s="2453"/>
      <c r="P1877" s="2453"/>
      <c r="W1877" t="s">
        <v>2062</v>
      </c>
    </row>
    <row r="1878" spans="1:23" ht="13.15" customHeight="1">
      <c r="A1878" s="2" t="s">
        <v>2215</v>
      </c>
      <c r="B1878" s="2">
        <f t="shared" si="58"/>
        <v>2020</v>
      </c>
      <c r="C1878" s="2" t="str">
        <f t="shared" si="59"/>
        <v>LIM333</v>
      </c>
      <c r="D1878" s="2">
        <v>260</v>
      </c>
      <c r="F1878" s="2451"/>
      <c r="G1878" s="2451"/>
      <c r="H1878" s="2451"/>
      <c r="I1878" s="2451"/>
      <c r="J1878" s="2451"/>
      <c r="K1878" s="2451"/>
      <c r="L1878" s="2453"/>
      <c r="M1878" s="2453"/>
      <c r="N1878" s="2453"/>
      <c r="O1878" s="2453"/>
      <c r="P1878" s="2453"/>
      <c r="W1878" t="s">
        <v>2062</v>
      </c>
    </row>
    <row r="1879" spans="1:23" ht="13.15" customHeight="1">
      <c r="A1879" s="2" t="s">
        <v>2215</v>
      </c>
      <c r="B1879" s="2">
        <f t="shared" si="58"/>
        <v>2020</v>
      </c>
      <c r="C1879" s="2" t="str">
        <f t="shared" si="59"/>
        <v>LIM333</v>
      </c>
      <c r="D1879" s="2">
        <v>261</v>
      </c>
      <c r="F1879" s="2451"/>
      <c r="G1879" s="2451"/>
      <c r="H1879" s="2451"/>
      <c r="I1879" s="2451"/>
      <c r="J1879" s="2451"/>
      <c r="K1879" s="2451"/>
      <c r="L1879" s="2453"/>
      <c r="M1879" s="2453"/>
      <c r="N1879" s="2453"/>
      <c r="O1879" s="2453"/>
      <c r="P1879" s="2453"/>
      <c r="W1879" t="s">
        <v>2062</v>
      </c>
    </row>
    <row r="1880" spans="1:23" ht="13.15" customHeight="1">
      <c r="A1880" s="2" t="s">
        <v>2215</v>
      </c>
      <c r="B1880" s="2">
        <f t="shared" si="58"/>
        <v>2020</v>
      </c>
      <c r="C1880" s="2" t="str">
        <f t="shared" si="59"/>
        <v>LIM333</v>
      </c>
      <c r="D1880" s="2">
        <v>262</v>
      </c>
      <c r="F1880" s="2451"/>
      <c r="G1880" s="2451"/>
      <c r="H1880" s="2451"/>
      <c r="I1880" s="2451"/>
      <c r="J1880" s="2451"/>
      <c r="K1880" s="2451"/>
      <c r="L1880" s="2453"/>
      <c r="M1880" s="2453"/>
      <c r="N1880" s="2453"/>
      <c r="O1880" s="2453"/>
      <c r="P1880" s="2453"/>
      <c r="W1880" t="s">
        <v>2062</v>
      </c>
    </row>
    <row r="1881" spans="1:23" ht="13.15" customHeight="1">
      <c r="A1881" s="2" t="s">
        <v>2215</v>
      </c>
      <c r="B1881" s="2">
        <f t="shared" si="58"/>
        <v>2020</v>
      </c>
      <c r="C1881" s="2" t="str">
        <f t="shared" si="59"/>
        <v>LIM333</v>
      </c>
      <c r="D1881" s="2">
        <v>263</v>
      </c>
      <c r="F1881" s="2451"/>
      <c r="G1881" s="2451"/>
      <c r="H1881" s="2451"/>
      <c r="I1881" s="2451"/>
      <c r="J1881" s="2451"/>
      <c r="K1881" s="2451"/>
      <c r="L1881" s="2453"/>
      <c r="M1881" s="2453"/>
      <c r="N1881" s="2453"/>
      <c r="O1881" s="2453"/>
      <c r="P1881" s="2453"/>
      <c r="W1881" t="s">
        <v>2062</v>
      </c>
    </row>
    <row r="1882" spans="1:23" ht="13.15" customHeight="1">
      <c r="A1882" s="2" t="s">
        <v>2215</v>
      </c>
      <c r="B1882" s="2">
        <f t="shared" si="58"/>
        <v>2020</v>
      </c>
      <c r="C1882" s="2" t="str">
        <f t="shared" si="59"/>
        <v>LIM333</v>
      </c>
      <c r="D1882" s="2">
        <v>264</v>
      </c>
      <c r="F1882" s="2451"/>
      <c r="G1882" s="2451"/>
      <c r="H1882" s="2451"/>
      <c r="I1882" s="2451"/>
      <c r="J1882" s="2451"/>
      <c r="K1882" s="2451"/>
      <c r="L1882" s="2453"/>
      <c r="M1882" s="2453"/>
      <c r="N1882" s="2453"/>
      <c r="O1882" s="2453"/>
      <c r="P1882" s="2453"/>
      <c r="W1882" t="s">
        <v>2062</v>
      </c>
    </row>
    <row r="1883" spans="1:23" ht="13.15" customHeight="1">
      <c r="A1883" s="2" t="s">
        <v>2215</v>
      </c>
      <c r="B1883" s="2">
        <f t="shared" si="58"/>
        <v>2020</v>
      </c>
      <c r="C1883" s="2" t="str">
        <f t="shared" si="59"/>
        <v>LIM333</v>
      </c>
      <c r="D1883" s="2">
        <v>265</v>
      </c>
      <c r="F1883" s="2451"/>
      <c r="G1883" s="2451"/>
      <c r="H1883" s="2451"/>
      <c r="I1883" s="2451"/>
      <c r="J1883" s="2451"/>
      <c r="K1883" s="2451"/>
      <c r="L1883" s="2453"/>
      <c r="M1883" s="2453"/>
      <c r="N1883" s="2453"/>
      <c r="O1883" s="2453"/>
      <c r="P1883" s="2453"/>
      <c r="W1883" t="s">
        <v>2062</v>
      </c>
    </row>
    <row r="1884" spans="1:23" ht="13.15" customHeight="1">
      <c r="A1884" s="2" t="s">
        <v>2215</v>
      </c>
      <c r="B1884" s="2">
        <f t="shared" si="58"/>
        <v>2020</v>
      </c>
      <c r="C1884" s="2" t="str">
        <f t="shared" si="59"/>
        <v>LIM333</v>
      </c>
      <c r="D1884" s="2">
        <v>266</v>
      </c>
      <c r="F1884" s="2451"/>
      <c r="G1884" s="2451"/>
      <c r="H1884" s="2451"/>
      <c r="I1884" s="2451"/>
      <c r="J1884" s="2451"/>
      <c r="K1884" s="2451"/>
      <c r="L1884" s="2453"/>
      <c r="M1884" s="2453"/>
      <c r="N1884" s="2453"/>
      <c r="O1884" s="2453"/>
      <c r="P1884" s="2453"/>
      <c r="W1884" t="s">
        <v>2062</v>
      </c>
    </row>
    <row r="1885" spans="1:23" ht="13.15" customHeight="1">
      <c r="A1885" s="2" t="s">
        <v>2215</v>
      </c>
      <c r="B1885" s="2">
        <f t="shared" si="58"/>
        <v>2020</v>
      </c>
      <c r="C1885" s="2" t="str">
        <f t="shared" si="59"/>
        <v>LIM333</v>
      </c>
      <c r="D1885" s="2">
        <v>267</v>
      </c>
      <c r="F1885" s="2451"/>
      <c r="G1885" s="2451"/>
      <c r="H1885" s="2451"/>
      <c r="I1885" s="2451"/>
      <c r="J1885" s="2451"/>
      <c r="K1885" s="2451"/>
      <c r="L1885" s="2453"/>
      <c r="M1885" s="2453"/>
      <c r="N1885" s="2453"/>
      <c r="O1885" s="2453"/>
      <c r="P1885" s="2453"/>
      <c r="W1885" t="s">
        <v>2062</v>
      </c>
    </row>
    <row r="1886" spans="1:23" ht="13.15" customHeight="1">
      <c r="A1886" s="2" t="s">
        <v>2215</v>
      </c>
      <c r="B1886" s="2">
        <f t="shared" si="58"/>
        <v>2020</v>
      </c>
      <c r="C1886" s="2" t="str">
        <f t="shared" si="59"/>
        <v>LIM333</v>
      </c>
      <c r="D1886" s="2">
        <v>268</v>
      </c>
      <c r="F1886" s="2451"/>
      <c r="G1886" s="2451"/>
      <c r="H1886" s="2451"/>
      <c r="I1886" s="2451"/>
      <c r="J1886" s="2451"/>
      <c r="K1886" s="2451"/>
      <c r="L1886" s="2453"/>
      <c r="M1886" s="2453"/>
      <c r="N1886" s="2453"/>
      <c r="O1886" s="2453"/>
      <c r="P1886" s="2453"/>
      <c r="W1886" t="s">
        <v>2062</v>
      </c>
    </row>
    <row r="1887" spans="1:23" ht="13.15" customHeight="1">
      <c r="A1887" s="2" t="s">
        <v>2215</v>
      </c>
      <c r="B1887" s="2">
        <f t="shared" si="58"/>
        <v>2020</v>
      </c>
      <c r="C1887" s="2" t="str">
        <f t="shared" si="59"/>
        <v>LIM333</v>
      </c>
      <c r="D1887" s="2">
        <v>269</v>
      </c>
      <c r="F1887" s="2451"/>
      <c r="G1887" s="2451"/>
      <c r="H1887" s="2451"/>
      <c r="I1887" s="2451"/>
      <c r="J1887" s="2451"/>
      <c r="K1887" s="2451"/>
      <c r="L1887" s="2453"/>
      <c r="M1887" s="2453"/>
      <c r="N1887" s="2453"/>
      <c r="O1887" s="2453"/>
      <c r="P1887" s="2453"/>
      <c r="W1887" t="s">
        <v>2062</v>
      </c>
    </row>
    <row r="1888" spans="1:23" ht="13.15" customHeight="1">
      <c r="A1888" s="2" t="s">
        <v>2215</v>
      </c>
      <c r="B1888" s="2">
        <f t="shared" si="58"/>
        <v>2020</v>
      </c>
      <c r="C1888" s="2" t="str">
        <f t="shared" si="59"/>
        <v>LIM333</v>
      </c>
      <c r="D1888" s="2">
        <v>270</v>
      </c>
      <c r="F1888" s="2451"/>
      <c r="G1888" s="2451"/>
      <c r="H1888" s="2451"/>
      <c r="I1888" s="2451"/>
      <c r="J1888" s="2451"/>
      <c r="K1888" s="2451"/>
      <c r="L1888" s="2453"/>
      <c r="M1888" s="2453"/>
      <c r="N1888" s="2453"/>
      <c r="O1888" s="2453"/>
      <c r="P1888" s="2453"/>
      <c r="W1888" t="s">
        <v>2062</v>
      </c>
    </row>
    <row r="1889" spans="1:23" ht="13.15" customHeight="1">
      <c r="A1889" s="2" t="s">
        <v>2215</v>
      </c>
      <c r="B1889" s="2">
        <f t="shared" si="58"/>
        <v>2020</v>
      </c>
      <c r="C1889" s="2" t="str">
        <f t="shared" si="59"/>
        <v>LIM333</v>
      </c>
      <c r="D1889" s="2">
        <v>271</v>
      </c>
      <c r="F1889" s="2451"/>
      <c r="G1889" s="2451"/>
      <c r="H1889" s="2451"/>
      <c r="I1889" s="2451"/>
      <c r="J1889" s="2451"/>
      <c r="K1889" s="2451"/>
      <c r="L1889" s="2453"/>
      <c r="M1889" s="2453"/>
      <c r="N1889" s="2453"/>
      <c r="O1889" s="2453"/>
      <c r="P1889" s="2453"/>
      <c r="W1889" t="s">
        <v>2062</v>
      </c>
    </row>
    <row r="1890" spans="1:23" ht="13.15" customHeight="1">
      <c r="A1890" s="2" t="s">
        <v>2215</v>
      </c>
      <c r="B1890" s="2">
        <f t="shared" si="58"/>
        <v>2020</v>
      </c>
      <c r="C1890" s="2" t="str">
        <f t="shared" si="59"/>
        <v>LIM333</v>
      </c>
      <c r="D1890" s="2">
        <v>272</v>
      </c>
      <c r="F1890" s="2451"/>
      <c r="G1890" s="2451"/>
      <c r="H1890" s="2451"/>
      <c r="I1890" s="2451"/>
      <c r="J1890" s="2451"/>
      <c r="K1890" s="2451"/>
      <c r="L1890" s="2453"/>
      <c r="M1890" s="2453"/>
      <c r="N1890" s="2453"/>
      <c r="O1890" s="2453"/>
      <c r="P1890" s="2453"/>
      <c r="W1890" t="s">
        <v>2062</v>
      </c>
    </row>
    <row r="1891" spans="1:23" ht="13.15" customHeight="1">
      <c r="A1891" s="2" t="s">
        <v>2215</v>
      </c>
      <c r="B1891" s="2">
        <f t="shared" si="58"/>
        <v>2020</v>
      </c>
      <c r="C1891" s="2" t="str">
        <f t="shared" si="59"/>
        <v>LIM333</v>
      </c>
      <c r="D1891" s="2">
        <v>273</v>
      </c>
      <c r="F1891" s="2451"/>
      <c r="G1891" s="2451"/>
      <c r="H1891" s="2451"/>
      <c r="I1891" s="2451"/>
      <c r="J1891" s="2451"/>
      <c r="K1891" s="2451"/>
      <c r="L1891" s="2453"/>
      <c r="M1891" s="2453"/>
      <c r="N1891" s="2453"/>
      <c r="O1891" s="2453"/>
      <c r="P1891" s="2453"/>
      <c r="W1891" t="s">
        <v>2062</v>
      </c>
    </row>
    <row r="1892" spans="1:23" ht="13.15" customHeight="1">
      <c r="A1892" s="2" t="s">
        <v>2215</v>
      </c>
      <c r="B1892" s="2">
        <f t="shared" si="58"/>
        <v>2020</v>
      </c>
      <c r="C1892" s="2" t="str">
        <f t="shared" si="59"/>
        <v>LIM333</v>
      </c>
      <c r="D1892" s="2">
        <v>274</v>
      </c>
      <c r="F1892" s="2451"/>
      <c r="G1892" s="2451"/>
      <c r="H1892" s="2451"/>
      <c r="I1892" s="2451"/>
      <c r="J1892" s="2451"/>
      <c r="K1892" s="2451"/>
      <c r="L1892" s="2453"/>
      <c r="M1892" s="2453"/>
      <c r="N1892" s="2453"/>
      <c r="O1892" s="2453"/>
      <c r="P1892" s="2453"/>
      <c r="W1892" t="s">
        <v>2062</v>
      </c>
    </row>
    <row r="1893" spans="1:23" ht="13.15" customHeight="1">
      <c r="A1893" s="2" t="s">
        <v>2215</v>
      </c>
      <c r="B1893" s="2">
        <f t="shared" si="58"/>
        <v>2020</v>
      </c>
      <c r="C1893" s="2" t="str">
        <f t="shared" si="59"/>
        <v>LIM333</v>
      </c>
      <c r="D1893" s="2">
        <v>275</v>
      </c>
      <c r="F1893" s="2451"/>
      <c r="G1893" s="2451"/>
      <c r="H1893" s="2451"/>
      <c r="I1893" s="2451"/>
      <c r="J1893" s="2451"/>
      <c r="K1893" s="2451"/>
      <c r="L1893" s="2453"/>
      <c r="M1893" s="2453"/>
      <c r="N1893" s="2453"/>
      <c r="O1893" s="2453"/>
      <c r="P1893" s="2453"/>
      <c r="W1893" t="s">
        <v>2062</v>
      </c>
    </row>
    <row r="1894" spans="1:23" ht="13.15" customHeight="1">
      <c r="A1894" s="2" t="s">
        <v>2215</v>
      </c>
      <c r="B1894" s="2">
        <f t="shared" si="58"/>
        <v>2020</v>
      </c>
      <c r="C1894" s="2" t="str">
        <f t="shared" si="59"/>
        <v>LIM333</v>
      </c>
      <c r="D1894" s="2">
        <v>276</v>
      </c>
      <c r="F1894" s="2451"/>
      <c r="G1894" s="2451"/>
      <c r="H1894" s="2451"/>
      <c r="I1894" s="2451"/>
      <c r="J1894" s="2451"/>
      <c r="K1894" s="2451"/>
      <c r="L1894" s="2453"/>
      <c r="M1894" s="2453"/>
      <c r="N1894" s="2453"/>
      <c r="O1894" s="2453"/>
      <c r="P1894" s="2453"/>
      <c r="W1894" t="s">
        <v>2062</v>
      </c>
    </row>
    <row r="1895" spans="1:23" ht="13.15" customHeight="1">
      <c r="A1895" s="2" t="s">
        <v>2215</v>
      </c>
      <c r="B1895" s="2">
        <f t="shared" si="58"/>
        <v>2020</v>
      </c>
      <c r="C1895" s="2" t="str">
        <f t="shared" si="59"/>
        <v>LIM333</v>
      </c>
      <c r="D1895" s="2">
        <v>277</v>
      </c>
      <c r="F1895" s="2451"/>
      <c r="G1895" s="2451"/>
      <c r="H1895" s="2451"/>
      <c r="I1895" s="2451"/>
      <c r="J1895" s="2451"/>
      <c r="K1895" s="2451"/>
      <c r="L1895" s="2453"/>
      <c r="M1895" s="2453"/>
      <c r="N1895" s="2453"/>
      <c r="O1895" s="2453"/>
      <c r="P1895" s="2453"/>
      <c r="W1895" t="s">
        <v>2062</v>
      </c>
    </row>
    <row r="1896" spans="1:23" ht="13.15" customHeight="1">
      <c r="A1896" s="2" t="s">
        <v>2215</v>
      </c>
      <c r="B1896" s="2">
        <f t="shared" si="58"/>
        <v>2020</v>
      </c>
      <c r="C1896" s="2" t="str">
        <f t="shared" si="59"/>
        <v>LIM333</v>
      </c>
      <c r="D1896" s="2">
        <v>278</v>
      </c>
      <c r="F1896" s="2451"/>
      <c r="G1896" s="2451"/>
      <c r="H1896" s="2451"/>
      <c r="I1896" s="2451"/>
      <c r="J1896" s="2451"/>
      <c r="K1896" s="2451"/>
      <c r="L1896" s="2453"/>
      <c r="M1896" s="2453"/>
      <c r="N1896" s="2453"/>
      <c r="O1896" s="2453"/>
      <c r="P1896" s="2453"/>
      <c r="W1896" t="s">
        <v>2062</v>
      </c>
    </row>
    <row r="1897" spans="1:23" ht="13.15" customHeight="1">
      <c r="A1897" s="2" t="s">
        <v>2215</v>
      </c>
      <c r="B1897" s="2">
        <f t="shared" si="58"/>
        <v>2020</v>
      </c>
      <c r="C1897" s="2" t="str">
        <f t="shared" si="59"/>
        <v>LIM333</v>
      </c>
      <c r="D1897" s="2">
        <v>279</v>
      </c>
      <c r="F1897" s="2451"/>
      <c r="G1897" s="2451"/>
      <c r="H1897" s="2451"/>
      <c r="I1897" s="2451"/>
      <c r="J1897" s="2451"/>
      <c r="K1897" s="2451"/>
      <c r="L1897" s="2453"/>
      <c r="M1897" s="2453"/>
      <c r="N1897" s="2453"/>
      <c r="O1897" s="2453"/>
      <c r="P1897" s="2453"/>
      <c r="W1897" t="s">
        <v>2062</v>
      </c>
    </row>
    <row r="1898" spans="1:23" ht="13.15" customHeight="1">
      <c r="A1898" s="2" t="s">
        <v>2215</v>
      </c>
      <c r="B1898" s="2">
        <f t="shared" si="58"/>
        <v>2020</v>
      </c>
      <c r="C1898" s="2" t="str">
        <f t="shared" si="59"/>
        <v>LIM333</v>
      </c>
      <c r="D1898" s="2">
        <v>280</v>
      </c>
      <c r="F1898" s="2451"/>
      <c r="G1898" s="2451"/>
      <c r="H1898" s="2451"/>
      <c r="I1898" s="2451"/>
      <c r="J1898" s="2451"/>
      <c r="K1898" s="2451"/>
      <c r="L1898" s="2453"/>
      <c r="M1898" s="2453"/>
      <c r="N1898" s="2453"/>
      <c r="O1898" s="2453"/>
      <c r="P1898" s="2453"/>
      <c r="W1898" t="s">
        <v>2062</v>
      </c>
    </row>
    <row r="1899" spans="1:23" ht="13.15" customHeight="1">
      <c r="A1899" s="2" t="s">
        <v>2215</v>
      </c>
      <c r="B1899" s="2">
        <f t="shared" si="58"/>
        <v>2020</v>
      </c>
      <c r="C1899" s="2" t="str">
        <f t="shared" si="59"/>
        <v>LIM333</v>
      </c>
      <c r="D1899" s="2">
        <v>281</v>
      </c>
      <c r="F1899" s="2451"/>
      <c r="G1899" s="2451"/>
      <c r="H1899" s="2451"/>
      <c r="I1899" s="2451"/>
      <c r="J1899" s="2451"/>
      <c r="K1899" s="2451"/>
      <c r="L1899" s="2453"/>
      <c r="M1899" s="2453"/>
      <c r="N1899" s="2453"/>
      <c r="O1899" s="2453"/>
      <c r="P1899" s="2453"/>
      <c r="W1899" t="s">
        <v>2062</v>
      </c>
    </row>
    <row r="1900" spans="1:23" ht="13.15" customHeight="1">
      <c r="A1900" s="2" t="s">
        <v>2215</v>
      </c>
      <c r="B1900" s="2">
        <f t="shared" si="58"/>
        <v>2020</v>
      </c>
      <c r="C1900" s="2" t="str">
        <f t="shared" si="59"/>
        <v>LIM333</v>
      </c>
      <c r="D1900" s="2">
        <v>282</v>
      </c>
      <c r="F1900" s="2451"/>
      <c r="G1900" s="2451"/>
      <c r="H1900" s="2451"/>
      <c r="I1900" s="2451"/>
      <c r="J1900" s="2451"/>
      <c r="K1900" s="2451"/>
      <c r="L1900" s="2453"/>
      <c r="M1900" s="2453"/>
      <c r="N1900" s="2453"/>
      <c r="O1900" s="2453"/>
      <c r="P1900" s="2453"/>
      <c r="W1900" t="s">
        <v>2062</v>
      </c>
    </row>
    <row r="1901" spans="1:23" ht="13.15" customHeight="1">
      <c r="A1901" s="2" t="s">
        <v>2215</v>
      </c>
      <c r="B1901" s="2">
        <f t="shared" si="58"/>
        <v>2020</v>
      </c>
      <c r="C1901" s="2" t="str">
        <f t="shared" si="59"/>
        <v>LIM333</v>
      </c>
      <c r="D1901" s="2">
        <v>283</v>
      </c>
      <c r="F1901" s="2451"/>
      <c r="G1901" s="2451"/>
      <c r="H1901" s="2451"/>
      <c r="I1901" s="2451"/>
      <c r="J1901" s="2451"/>
      <c r="K1901" s="2451"/>
      <c r="L1901" s="2453"/>
      <c r="M1901" s="2453"/>
      <c r="N1901" s="2453"/>
      <c r="O1901" s="2453"/>
      <c r="P1901" s="2453"/>
      <c r="W1901" t="s">
        <v>2062</v>
      </c>
    </row>
    <row r="1902" spans="1:23" ht="13.15" customHeight="1">
      <c r="A1902" s="2" t="s">
        <v>2215</v>
      </c>
      <c r="B1902" s="2">
        <f t="shared" si="58"/>
        <v>2020</v>
      </c>
      <c r="C1902" s="2" t="str">
        <f t="shared" si="59"/>
        <v>LIM333</v>
      </c>
      <c r="D1902" s="2">
        <v>284</v>
      </c>
      <c r="F1902" s="2451"/>
      <c r="G1902" s="2451"/>
      <c r="H1902" s="2451"/>
      <c r="I1902" s="2451"/>
      <c r="J1902" s="2451"/>
      <c r="K1902" s="2451"/>
      <c r="L1902" s="2453"/>
      <c r="M1902" s="2453"/>
      <c r="N1902" s="2453"/>
      <c r="O1902" s="2453"/>
      <c r="P1902" s="2453"/>
      <c r="W1902" t="s">
        <v>2062</v>
      </c>
    </row>
    <row r="1903" spans="1:23" ht="13.15" customHeight="1">
      <c r="A1903" s="2" t="s">
        <v>2215</v>
      </c>
      <c r="B1903" s="2">
        <f t="shared" si="58"/>
        <v>2020</v>
      </c>
      <c r="C1903" s="2" t="str">
        <f t="shared" si="59"/>
        <v>LIM333</v>
      </c>
      <c r="D1903" s="2">
        <v>285</v>
      </c>
      <c r="F1903" s="2451"/>
      <c r="G1903" s="2451"/>
      <c r="H1903" s="2451"/>
      <c r="I1903" s="2451"/>
      <c r="J1903" s="2451"/>
      <c r="K1903" s="2451"/>
      <c r="L1903" s="2453"/>
      <c r="M1903" s="2453"/>
      <c r="N1903" s="2453"/>
      <c r="O1903" s="2453"/>
      <c r="P1903" s="2453"/>
      <c r="W1903" t="s">
        <v>2062</v>
      </c>
    </row>
    <row r="1904" spans="1:23" ht="13.15" customHeight="1">
      <c r="A1904" s="2" t="s">
        <v>2215</v>
      </c>
      <c r="B1904" s="2">
        <f t="shared" si="58"/>
        <v>2020</v>
      </c>
      <c r="C1904" s="2" t="str">
        <f t="shared" si="59"/>
        <v>LIM333</v>
      </c>
      <c r="D1904" s="2">
        <v>286</v>
      </c>
      <c r="F1904" s="2451"/>
      <c r="G1904" s="2451"/>
      <c r="H1904" s="2451"/>
      <c r="I1904" s="2451"/>
      <c r="J1904" s="2451"/>
      <c r="K1904" s="2451"/>
      <c r="L1904" s="2453"/>
      <c r="M1904" s="2453"/>
      <c r="N1904" s="2453"/>
      <c r="O1904" s="2453"/>
      <c r="P1904" s="2453"/>
      <c r="W1904" t="s">
        <v>2062</v>
      </c>
    </row>
    <row r="1905" spans="1:23" ht="13.15" customHeight="1">
      <c r="A1905" s="2" t="s">
        <v>2215</v>
      </c>
      <c r="B1905" s="2">
        <f t="shared" si="58"/>
        <v>2020</v>
      </c>
      <c r="C1905" s="2" t="str">
        <f t="shared" si="59"/>
        <v>LIM333</v>
      </c>
      <c r="D1905" s="2">
        <v>287</v>
      </c>
      <c r="F1905" s="2451"/>
      <c r="G1905" s="2451"/>
      <c r="H1905" s="2451"/>
      <c r="I1905" s="2451"/>
      <c r="J1905" s="2451"/>
      <c r="K1905" s="2451"/>
      <c r="L1905" s="2453"/>
      <c r="M1905" s="2453"/>
      <c r="N1905" s="2453"/>
      <c r="O1905" s="2453"/>
      <c r="P1905" s="2453"/>
      <c r="W1905" t="s">
        <v>2062</v>
      </c>
    </row>
    <row r="1906" spans="1:23" ht="13.15" customHeight="1">
      <c r="A1906" s="2" t="s">
        <v>2215</v>
      </c>
      <c r="B1906" s="2">
        <f t="shared" si="58"/>
        <v>2020</v>
      </c>
      <c r="C1906" s="2" t="str">
        <f t="shared" si="59"/>
        <v>LIM333</v>
      </c>
      <c r="D1906" s="2">
        <v>288</v>
      </c>
      <c r="F1906" s="2451"/>
      <c r="G1906" s="2451"/>
      <c r="H1906" s="2451"/>
      <c r="I1906" s="2451"/>
      <c r="J1906" s="2451"/>
      <c r="K1906" s="2451"/>
      <c r="L1906" s="2453"/>
      <c r="M1906" s="2453"/>
      <c r="N1906" s="2453"/>
      <c r="O1906" s="2453"/>
      <c r="P1906" s="2453"/>
      <c r="W1906" t="s">
        <v>2062</v>
      </c>
    </row>
    <row r="1907" spans="1:23" ht="13.15" customHeight="1">
      <c r="A1907" s="2" t="s">
        <v>2215</v>
      </c>
      <c r="B1907" s="2">
        <f t="shared" si="58"/>
        <v>2020</v>
      </c>
      <c r="C1907" s="2" t="str">
        <f t="shared" si="59"/>
        <v>LIM333</v>
      </c>
      <c r="D1907" s="2">
        <v>289</v>
      </c>
      <c r="F1907" s="2451"/>
      <c r="G1907" s="2451"/>
      <c r="H1907" s="2451"/>
      <c r="I1907" s="2451"/>
      <c r="J1907" s="2451"/>
      <c r="K1907" s="2451"/>
      <c r="L1907" s="2453"/>
      <c r="M1907" s="2453"/>
      <c r="N1907" s="2453"/>
      <c r="O1907" s="2453"/>
      <c r="P1907" s="2453"/>
      <c r="W1907" t="s">
        <v>2062</v>
      </c>
    </row>
    <row r="1908" spans="1:23" ht="13.15" customHeight="1">
      <c r="A1908" s="2" t="s">
        <v>2215</v>
      </c>
      <c r="B1908" s="2">
        <f t="shared" si="58"/>
        <v>2020</v>
      </c>
      <c r="C1908" s="2" t="str">
        <f t="shared" si="59"/>
        <v>LIM333</v>
      </c>
      <c r="D1908" s="2">
        <v>290</v>
      </c>
      <c r="F1908" s="2451"/>
      <c r="G1908" s="2451"/>
      <c r="H1908" s="2451"/>
      <c r="I1908" s="2451"/>
      <c r="J1908" s="2451"/>
      <c r="K1908" s="2451"/>
      <c r="L1908" s="2453"/>
      <c r="M1908" s="2453"/>
      <c r="N1908" s="2453"/>
      <c r="O1908" s="2453"/>
      <c r="P1908" s="2453"/>
      <c r="W1908" t="s">
        <v>2062</v>
      </c>
    </row>
    <row r="1909" spans="1:23" ht="13.15" customHeight="1">
      <c r="A1909" s="2" t="s">
        <v>2215</v>
      </c>
      <c r="B1909" s="2">
        <f t="shared" si="58"/>
        <v>2020</v>
      </c>
      <c r="C1909" s="2" t="str">
        <f t="shared" si="59"/>
        <v>LIM333</v>
      </c>
      <c r="D1909" s="2">
        <v>291</v>
      </c>
      <c r="F1909" s="2451"/>
      <c r="G1909" s="2451"/>
      <c r="H1909" s="2451"/>
      <c r="I1909" s="2451"/>
      <c r="J1909" s="2451"/>
      <c r="K1909" s="2451"/>
      <c r="L1909" s="2453"/>
      <c r="M1909" s="2453"/>
      <c r="N1909" s="2453"/>
      <c r="O1909" s="2453"/>
      <c r="P1909" s="2453"/>
      <c r="W1909" t="s">
        <v>2062</v>
      </c>
    </row>
    <row r="1910" spans="1:23" ht="13.15" customHeight="1">
      <c r="A1910" s="2" t="s">
        <v>2215</v>
      </c>
      <c r="B1910" s="2">
        <f t="shared" si="58"/>
        <v>2020</v>
      </c>
      <c r="C1910" s="2" t="str">
        <f t="shared" si="59"/>
        <v>LIM333</v>
      </c>
      <c r="D1910" s="2">
        <v>292</v>
      </c>
      <c r="F1910" s="2451"/>
      <c r="G1910" s="2451"/>
      <c r="H1910" s="2451"/>
      <c r="I1910" s="2451"/>
      <c r="J1910" s="2451"/>
      <c r="K1910" s="2451"/>
      <c r="L1910" s="2453"/>
      <c r="M1910" s="2453"/>
      <c r="N1910" s="2453"/>
      <c r="O1910" s="2453"/>
      <c r="P1910" s="2453"/>
      <c r="W1910" t="s">
        <v>2062</v>
      </c>
    </row>
    <row r="1911" spans="1:23" ht="13.15" customHeight="1">
      <c r="A1911" s="2" t="s">
        <v>2215</v>
      </c>
      <c r="B1911" s="2">
        <f t="shared" si="58"/>
        <v>2020</v>
      </c>
      <c r="C1911" s="2" t="str">
        <f t="shared" si="59"/>
        <v>LIM333</v>
      </c>
      <c r="D1911" s="2">
        <v>293</v>
      </c>
      <c r="F1911" s="2451"/>
      <c r="G1911" s="2451"/>
      <c r="H1911" s="2451"/>
      <c r="I1911" s="2451"/>
      <c r="J1911" s="2451"/>
      <c r="K1911" s="2451"/>
      <c r="L1911" s="2453"/>
      <c r="M1911" s="2453"/>
      <c r="N1911" s="2453"/>
      <c r="O1911" s="2453"/>
      <c r="P1911" s="2453"/>
      <c r="W1911" t="s">
        <v>2062</v>
      </c>
    </row>
    <row r="1912" spans="1:23" ht="13.15" customHeight="1">
      <c r="A1912" s="2" t="s">
        <v>2215</v>
      </c>
      <c r="B1912" s="2">
        <f t="shared" si="58"/>
        <v>2020</v>
      </c>
      <c r="C1912" s="2" t="str">
        <f t="shared" si="59"/>
        <v>LIM333</v>
      </c>
      <c r="D1912" s="2">
        <v>294</v>
      </c>
      <c r="F1912" s="2451"/>
      <c r="G1912" s="2451"/>
      <c r="H1912" s="2451"/>
      <c r="I1912" s="2451"/>
      <c r="J1912" s="2451"/>
      <c r="K1912" s="2451"/>
      <c r="L1912" s="2453"/>
      <c r="M1912" s="2453"/>
      <c r="N1912" s="2453"/>
      <c r="O1912" s="2453"/>
      <c r="P1912" s="2453"/>
      <c r="W1912" t="s">
        <v>2062</v>
      </c>
    </row>
    <row r="1913" spans="1:23" ht="13.15" customHeight="1">
      <c r="A1913" s="2" t="s">
        <v>2215</v>
      </c>
      <c r="B1913" s="2">
        <f t="shared" si="58"/>
        <v>2020</v>
      </c>
      <c r="C1913" s="2" t="str">
        <f t="shared" si="59"/>
        <v>LIM333</v>
      </c>
      <c r="D1913" s="2">
        <v>295</v>
      </c>
      <c r="F1913" s="2451"/>
      <c r="G1913" s="2451"/>
      <c r="H1913" s="2451"/>
      <c r="I1913" s="2451"/>
      <c r="J1913" s="2451"/>
      <c r="K1913" s="2451"/>
      <c r="L1913" s="2453"/>
      <c r="M1913" s="2453"/>
      <c r="N1913" s="2453"/>
      <c r="O1913" s="2453"/>
      <c r="P1913" s="2453"/>
      <c r="W1913" t="s">
        <v>2062</v>
      </c>
    </row>
    <row r="1914" spans="1:23" ht="13.15" customHeight="1">
      <c r="A1914" s="2" t="s">
        <v>2215</v>
      </c>
      <c r="B1914" s="2">
        <f t="shared" si="58"/>
        <v>2020</v>
      </c>
      <c r="C1914" s="2" t="str">
        <f t="shared" si="59"/>
        <v>LIM333</v>
      </c>
      <c r="D1914" s="2">
        <v>296</v>
      </c>
      <c r="F1914" s="2451"/>
      <c r="G1914" s="2451"/>
      <c r="H1914" s="2451"/>
      <c r="I1914" s="2451"/>
      <c r="J1914" s="2451"/>
      <c r="K1914" s="2451"/>
      <c r="L1914" s="2453"/>
      <c r="M1914" s="2453"/>
      <c r="N1914" s="2453"/>
      <c r="O1914" s="2453"/>
      <c r="P1914" s="2453"/>
      <c r="W1914" t="s">
        <v>2062</v>
      </c>
    </row>
    <row r="1915" spans="1:23" ht="13.15" customHeight="1">
      <c r="A1915" s="2" t="s">
        <v>2215</v>
      </c>
      <c r="B1915" s="2">
        <f t="shared" si="58"/>
        <v>2020</v>
      </c>
      <c r="C1915" s="2" t="str">
        <f t="shared" si="59"/>
        <v>LIM333</v>
      </c>
      <c r="D1915" s="2">
        <v>297</v>
      </c>
      <c r="F1915" s="2451"/>
      <c r="G1915" s="2451"/>
      <c r="H1915" s="2451"/>
      <c r="I1915" s="2451"/>
      <c r="J1915" s="2451"/>
      <c r="K1915" s="2451"/>
      <c r="L1915" s="2453"/>
      <c r="M1915" s="2453"/>
      <c r="N1915" s="2453"/>
      <c r="O1915" s="2453"/>
      <c r="P1915" s="2453"/>
      <c r="W1915" t="s">
        <v>2062</v>
      </c>
    </row>
    <row r="1916" spans="1:23" ht="13.15" customHeight="1">
      <c r="A1916" s="2" t="s">
        <v>2215</v>
      </c>
      <c r="B1916" s="2">
        <f t="shared" si="58"/>
        <v>2020</v>
      </c>
      <c r="C1916" s="2" t="str">
        <f t="shared" si="59"/>
        <v>LIM333</v>
      </c>
      <c r="D1916" s="2">
        <v>298</v>
      </c>
      <c r="F1916" s="2451"/>
      <c r="G1916" s="2451"/>
      <c r="H1916" s="2451"/>
      <c r="I1916" s="2451"/>
      <c r="J1916" s="2451"/>
      <c r="K1916" s="2451"/>
      <c r="L1916" s="2453"/>
      <c r="M1916" s="2453"/>
      <c r="N1916" s="2453"/>
      <c r="O1916" s="2453"/>
      <c r="P1916" s="2453"/>
      <c r="W1916" t="s">
        <v>2062</v>
      </c>
    </row>
    <row r="1917" spans="1:23" ht="13.15" customHeight="1">
      <c r="A1917" s="2" t="s">
        <v>2215</v>
      </c>
      <c r="B1917" s="2">
        <f t="shared" si="58"/>
        <v>2020</v>
      </c>
      <c r="C1917" s="2" t="str">
        <f t="shared" si="59"/>
        <v>LIM333</v>
      </c>
      <c r="D1917" s="2">
        <v>299</v>
      </c>
      <c r="F1917" s="2451"/>
      <c r="G1917" s="2451"/>
      <c r="H1917" s="2451"/>
      <c r="I1917" s="2451"/>
      <c r="J1917" s="2451"/>
      <c r="K1917" s="2451"/>
      <c r="L1917" s="2453"/>
      <c r="M1917" s="2453"/>
      <c r="N1917" s="2453"/>
      <c r="O1917" s="2453"/>
      <c r="P1917" s="2453"/>
      <c r="W1917" t="s">
        <v>2062</v>
      </c>
    </row>
    <row r="1918" spans="1:23" ht="13.15" customHeight="1">
      <c r="A1918" s="2" t="s">
        <v>2215</v>
      </c>
      <c r="B1918" s="2">
        <f t="shared" si="58"/>
        <v>2020</v>
      </c>
      <c r="C1918" s="2" t="str">
        <f t="shared" si="59"/>
        <v>LIM333</v>
      </c>
      <c r="D1918" s="2">
        <v>300</v>
      </c>
      <c r="F1918" s="2451"/>
      <c r="G1918" s="2451"/>
      <c r="H1918" s="2451"/>
      <c r="I1918" s="2451"/>
      <c r="J1918" s="2451"/>
      <c r="K1918" s="2451"/>
      <c r="L1918" s="2453"/>
      <c r="M1918" s="2453"/>
      <c r="N1918" s="2453"/>
      <c r="O1918" s="2453"/>
      <c r="P1918" s="2453"/>
      <c r="W1918" t="s">
        <v>2062</v>
      </c>
    </row>
    <row r="1919" spans="1:23" ht="13.15" customHeight="1">
      <c r="A1919" s="2" t="s">
        <v>2215</v>
      </c>
      <c r="B1919" s="2">
        <f t="shared" si="58"/>
        <v>2020</v>
      </c>
      <c r="C1919" s="2" t="str">
        <f t="shared" si="59"/>
        <v>LIM333</v>
      </c>
      <c r="D1919" s="2">
        <v>301</v>
      </c>
      <c r="F1919" s="2451"/>
      <c r="G1919" s="2451"/>
      <c r="H1919" s="2451"/>
      <c r="I1919" s="2451"/>
      <c r="J1919" s="2451"/>
      <c r="K1919" s="2451"/>
      <c r="L1919" s="2453"/>
      <c r="M1919" s="2453"/>
      <c r="N1919" s="2453"/>
      <c r="O1919" s="2453"/>
      <c r="P1919" s="2453"/>
      <c r="W1919" t="s">
        <v>2062</v>
      </c>
    </row>
    <row r="1920" spans="1:23" ht="13.15" customHeight="1">
      <c r="A1920" s="2" t="s">
        <v>2215</v>
      </c>
      <c r="B1920" s="2">
        <f t="shared" si="58"/>
        <v>2020</v>
      </c>
      <c r="C1920" s="2" t="str">
        <f t="shared" si="59"/>
        <v>LIM333</v>
      </c>
      <c r="D1920" s="2">
        <v>302</v>
      </c>
      <c r="F1920" s="2451"/>
      <c r="G1920" s="2451"/>
      <c r="H1920" s="2451"/>
      <c r="I1920" s="2451"/>
      <c r="J1920" s="2451"/>
      <c r="K1920" s="2451"/>
      <c r="L1920" s="2453"/>
      <c r="M1920" s="2453"/>
      <c r="N1920" s="2453"/>
      <c r="O1920" s="2453"/>
      <c r="P1920" s="2453"/>
      <c r="W1920" t="s">
        <v>2062</v>
      </c>
    </row>
    <row r="1921" spans="1:23" ht="13.15" customHeight="1">
      <c r="A1921" s="2" t="s">
        <v>2215</v>
      </c>
      <c r="B1921" s="2">
        <f t="shared" si="58"/>
        <v>2020</v>
      </c>
      <c r="C1921" s="2" t="str">
        <f t="shared" si="59"/>
        <v>LIM333</v>
      </c>
      <c r="D1921" s="2">
        <v>303</v>
      </c>
      <c r="F1921" s="2451"/>
      <c r="G1921" s="2451"/>
      <c r="H1921" s="2451"/>
      <c r="I1921" s="2451"/>
      <c r="J1921" s="2451"/>
      <c r="K1921" s="2451"/>
      <c r="L1921" s="2453"/>
      <c r="M1921" s="2453"/>
      <c r="N1921" s="2453"/>
      <c r="O1921" s="2453"/>
      <c r="P1921" s="2453"/>
      <c r="W1921" t="s">
        <v>2062</v>
      </c>
    </row>
    <row r="1922" spans="1:23" ht="13.15" customHeight="1">
      <c r="A1922" s="2" t="s">
        <v>2215</v>
      </c>
      <c r="B1922" s="2">
        <f t="shared" ref="B1922:B1985" si="60">+MTREF</f>
        <v>2020</v>
      </c>
      <c r="C1922" s="2" t="str">
        <f t="shared" ref="C1922:C1985" si="61">LEFT(muni,(FIND(" ",muni,1)-1))</f>
        <v>LIM333</v>
      </c>
      <c r="D1922" s="2">
        <v>304</v>
      </c>
      <c r="F1922" s="2451"/>
      <c r="G1922" s="2451"/>
      <c r="H1922" s="2451"/>
      <c r="I1922" s="2451"/>
      <c r="J1922" s="2451"/>
      <c r="K1922" s="2451"/>
      <c r="L1922" s="2453"/>
      <c r="M1922" s="2453"/>
      <c r="N1922" s="2453"/>
      <c r="O1922" s="2453"/>
      <c r="P1922" s="2453"/>
      <c r="W1922" t="s">
        <v>2062</v>
      </c>
    </row>
    <row r="1923" spans="1:23" ht="13.15" customHeight="1">
      <c r="A1923" s="2" t="s">
        <v>2215</v>
      </c>
      <c r="B1923" s="2">
        <f t="shared" si="60"/>
        <v>2020</v>
      </c>
      <c r="C1923" s="2" t="str">
        <f t="shared" si="61"/>
        <v>LIM333</v>
      </c>
      <c r="D1923" s="2">
        <v>305</v>
      </c>
      <c r="F1923" s="2451"/>
      <c r="G1923" s="2451"/>
      <c r="H1923" s="2451"/>
      <c r="I1923" s="2451"/>
      <c r="J1923" s="2451"/>
      <c r="K1923" s="2451"/>
      <c r="L1923" s="2453"/>
      <c r="M1923" s="2453"/>
      <c r="N1923" s="2453"/>
      <c r="O1923" s="2453"/>
      <c r="P1923" s="2453"/>
      <c r="W1923" t="s">
        <v>2062</v>
      </c>
    </row>
    <row r="1924" spans="1:23" ht="13.15" customHeight="1">
      <c r="A1924" s="2" t="s">
        <v>2215</v>
      </c>
      <c r="B1924" s="2">
        <f t="shared" si="60"/>
        <v>2020</v>
      </c>
      <c r="C1924" s="2" t="str">
        <f t="shared" si="61"/>
        <v>LIM333</v>
      </c>
      <c r="D1924" s="2">
        <v>306</v>
      </c>
      <c r="F1924" s="2451"/>
      <c r="G1924" s="2451"/>
      <c r="H1924" s="2451"/>
      <c r="I1924" s="2451"/>
      <c r="J1924" s="2451"/>
      <c r="K1924" s="2451"/>
      <c r="L1924" s="2453"/>
      <c r="M1924" s="2453"/>
      <c r="N1924" s="2453"/>
      <c r="O1924" s="2453"/>
      <c r="P1924" s="2453"/>
      <c r="W1924" t="s">
        <v>2062</v>
      </c>
    </row>
    <row r="1925" spans="1:23" ht="13.15" customHeight="1">
      <c r="A1925" s="2" t="s">
        <v>2215</v>
      </c>
      <c r="B1925" s="2">
        <f t="shared" si="60"/>
        <v>2020</v>
      </c>
      <c r="C1925" s="2" t="str">
        <f t="shared" si="61"/>
        <v>LIM333</v>
      </c>
      <c r="D1925" s="2">
        <v>307</v>
      </c>
      <c r="F1925" s="2451"/>
      <c r="G1925" s="2451"/>
      <c r="H1925" s="2451"/>
      <c r="I1925" s="2451"/>
      <c r="J1925" s="2451"/>
      <c r="K1925" s="2451"/>
      <c r="L1925" s="2453"/>
      <c r="M1925" s="2453"/>
      <c r="N1925" s="2453"/>
      <c r="O1925" s="2453"/>
      <c r="P1925" s="2453"/>
      <c r="W1925" t="s">
        <v>2062</v>
      </c>
    </row>
    <row r="1926" spans="1:23" ht="13.15" customHeight="1">
      <c r="A1926" s="2" t="s">
        <v>2215</v>
      </c>
      <c r="B1926" s="2">
        <f t="shared" si="60"/>
        <v>2020</v>
      </c>
      <c r="C1926" s="2" t="str">
        <f t="shared" si="61"/>
        <v>LIM333</v>
      </c>
      <c r="D1926" s="2">
        <v>308</v>
      </c>
      <c r="F1926" s="2451"/>
      <c r="G1926" s="2451"/>
      <c r="H1926" s="2451"/>
      <c r="I1926" s="2451"/>
      <c r="J1926" s="2451"/>
      <c r="K1926" s="2451"/>
      <c r="L1926" s="2453"/>
      <c r="M1926" s="2453"/>
      <c r="N1926" s="2453"/>
      <c r="O1926" s="2453"/>
      <c r="P1926" s="2453"/>
      <c r="W1926" t="s">
        <v>2062</v>
      </c>
    </row>
    <row r="1927" spans="1:23" ht="13.15" customHeight="1">
      <c r="A1927" s="2" t="s">
        <v>2215</v>
      </c>
      <c r="B1927" s="2">
        <f t="shared" si="60"/>
        <v>2020</v>
      </c>
      <c r="C1927" s="2" t="str">
        <f t="shared" si="61"/>
        <v>LIM333</v>
      </c>
      <c r="D1927" s="2">
        <v>309</v>
      </c>
      <c r="F1927" s="2451"/>
      <c r="G1927" s="2451"/>
      <c r="H1927" s="2451"/>
      <c r="I1927" s="2451"/>
      <c r="J1927" s="2451"/>
      <c r="K1927" s="2451"/>
      <c r="L1927" s="2453"/>
      <c r="M1927" s="2453"/>
      <c r="N1927" s="2453"/>
      <c r="O1927" s="2453"/>
      <c r="P1927" s="2453"/>
      <c r="W1927" t="s">
        <v>2062</v>
      </c>
    </row>
    <row r="1928" spans="1:23" ht="13.15" customHeight="1">
      <c r="A1928" s="2" t="s">
        <v>2215</v>
      </c>
      <c r="B1928" s="2">
        <f t="shared" si="60"/>
        <v>2020</v>
      </c>
      <c r="C1928" s="2" t="str">
        <f t="shared" si="61"/>
        <v>LIM333</v>
      </c>
      <c r="D1928" s="2">
        <v>310</v>
      </c>
      <c r="F1928" s="2451"/>
      <c r="G1928" s="2451"/>
      <c r="H1928" s="2451"/>
      <c r="I1928" s="2451"/>
      <c r="J1928" s="2451"/>
      <c r="K1928" s="2451"/>
      <c r="L1928" s="2453"/>
      <c r="M1928" s="2453"/>
      <c r="N1928" s="2453"/>
      <c r="O1928" s="2453"/>
      <c r="P1928" s="2453"/>
      <c r="W1928" t="s">
        <v>2062</v>
      </c>
    </row>
    <row r="1929" spans="1:23" ht="13.15" customHeight="1">
      <c r="A1929" s="2" t="s">
        <v>2215</v>
      </c>
      <c r="B1929" s="2">
        <f t="shared" si="60"/>
        <v>2020</v>
      </c>
      <c r="C1929" s="2" t="str">
        <f t="shared" si="61"/>
        <v>LIM333</v>
      </c>
      <c r="D1929" s="2">
        <v>311</v>
      </c>
      <c r="F1929" s="2451"/>
      <c r="G1929" s="2451"/>
      <c r="H1929" s="2451"/>
      <c r="I1929" s="2451"/>
      <c r="J1929" s="2451"/>
      <c r="K1929" s="2451"/>
      <c r="L1929" s="2453"/>
      <c r="M1929" s="2453"/>
      <c r="N1929" s="2453"/>
      <c r="O1929" s="2453"/>
      <c r="P1929" s="2453"/>
      <c r="W1929" t="s">
        <v>2062</v>
      </c>
    </row>
    <row r="1930" spans="1:23" ht="13.15" customHeight="1">
      <c r="A1930" s="2" t="s">
        <v>2215</v>
      </c>
      <c r="B1930" s="2">
        <f t="shared" si="60"/>
        <v>2020</v>
      </c>
      <c r="C1930" s="2" t="str">
        <f t="shared" si="61"/>
        <v>LIM333</v>
      </c>
      <c r="D1930" s="2">
        <v>312</v>
      </c>
      <c r="F1930" s="2451"/>
      <c r="G1930" s="2451"/>
      <c r="H1930" s="2451"/>
      <c r="I1930" s="2451"/>
      <c r="J1930" s="2451"/>
      <c r="K1930" s="2451"/>
      <c r="L1930" s="2453"/>
      <c r="M1930" s="2453"/>
      <c r="N1930" s="2453"/>
      <c r="O1930" s="2453"/>
      <c r="P1930" s="2453"/>
      <c r="W1930" t="s">
        <v>2062</v>
      </c>
    </row>
    <row r="1931" spans="1:23" ht="13.15" customHeight="1">
      <c r="A1931" s="2" t="s">
        <v>2215</v>
      </c>
      <c r="B1931" s="2">
        <f t="shared" si="60"/>
        <v>2020</v>
      </c>
      <c r="C1931" s="2" t="str">
        <f t="shared" si="61"/>
        <v>LIM333</v>
      </c>
      <c r="D1931" s="2">
        <v>313</v>
      </c>
      <c r="F1931" s="2451"/>
      <c r="G1931" s="2451"/>
      <c r="H1931" s="2451"/>
      <c r="I1931" s="2451"/>
      <c r="J1931" s="2451"/>
      <c r="K1931" s="2451"/>
      <c r="L1931" s="2453"/>
      <c r="M1931" s="2453"/>
      <c r="N1931" s="2453"/>
      <c r="O1931" s="2453"/>
      <c r="P1931" s="2453"/>
      <c r="W1931" t="s">
        <v>2062</v>
      </c>
    </row>
    <row r="1932" spans="1:23" ht="13.15" customHeight="1">
      <c r="A1932" s="2" t="s">
        <v>2215</v>
      </c>
      <c r="B1932" s="2">
        <f t="shared" si="60"/>
        <v>2020</v>
      </c>
      <c r="C1932" s="2" t="str">
        <f t="shared" si="61"/>
        <v>LIM333</v>
      </c>
      <c r="D1932" s="2">
        <v>314</v>
      </c>
      <c r="F1932" s="2451"/>
      <c r="G1932" s="2451"/>
      <c r="H1932" s="2451"/>
      <c r="I1932" s="2451"/>
      <c r="J1932" s="2451"/>
      <c r="K1932" s="2451"/>
      <c r="L1932" s="2453"/>
      <c r="M1932" s="2453"/>
      <c r="N1932" s="2453"/>
      <c r="O1932" s="2453"/>
      <c r="P1932" s="2453"/>
      <c r="W1932" t="s">
        <v>2062</v>
      </c>
    </row>
    <row r="1933" spans="1:23" ht="13.15" customHeight="1">
      <c r="A1933" s="2" t="s">
        <v>2215</v>
      </c>
      <c r="B1933" s="2">
        <f t="shared" si="60"/>
        <v>2020</v>
      </c>
      <c r="C1933" s="2" t="str">
        <f t="shared" si="61"/>
        <v>LIM333</v>
      </c>
      <c r="D1933" s="2">
        <v>315</v>
      </c>
      <c r="F1933" s="2451"/>
      <c r="G1933" s="2451"/>
      <c r="H1933" s="2451"/>
      <c r="I1933" s="2451"/>
      <c r="J1933" s="2451"/>
      <c r="K1933" s="2451"/>
      <c r="L1933" s="2453"/>
      <c r="M1933" s="2453"/>
      <c r="N1933" s="2453"/>
      <c r="O1933" s="2453"/>
      <c r="P1933" s="2453"/>
      <c r="W1933" t="s">
        <v>2062</v>
      </c>
    </row>
    <row r="1934" spans="1:23" ht="13.15" customHeight="1">
      <c r="A1934" s="2" t="s">
        <v>2215</v>
      </c>
      <c r="B1934" s="2">
        <f t="shared" si="60"/>
        <v>2020</v>
      </c>
      <c r="C1934" s="2" t="str">
        <f t="shared" si="61"/>
        <v>LIM333</v>
      </c>
      <c r="D1934" s="2">
        <v>316</v>
      </c>
      <c r="F1934" s="2451"/>
      <c r="G1934" s="2451"/>
      <c r="H1934" s="2451"/>
      <c r="I1934" s="2451"/>
      <c r="J1934" s="2451"/>
      <c r="K1934" s="2451"/>
      <c r="L1934" s="2453"/>
      <c r="M1934" s="2453"/>
      <c r="N1934" s="2453"/>
      <c r="O1934" s="2453"/>
      <c r="P1934" s="2453"/>
      <c r="W1934" t="s">
        <v>2062</v>
      </c>
    </row>
    <row r="1935" spans="1:23" ht="13.15" customHeight="1">
      <c r="A1935" s="2" t="s">
        <v>2215</v>
      </c>
      <c r="B1935" s="2">
        <f t="shared" si="60"/>
        <v>2020</v>
      </c>
      <c r="C1935" s="2" t="str">
        <f t="shared" si="61"/>
        <v>LIM333</v>
      </c>
      <c r="D1935" s="2">
        <v>317</v>
      </c>
      <c r="F1935" s="2451"/>
      <c r="G1935" s="2451"/>
      <c r="H1935" s="2451"/>
      <c r="I1935" s="2451"/>
      <c r="J1935" s="2451"/>
      <c r="K1935" s="2451"/>
      <c r="L1935" s="2453"/>
      <c r="M1935" s="2453"/>
      <c r="N1935" s="2453"/>
      <c r="O1935" s="2453"/>
      <c r="P1935" s="2453"/>
      <c r="W1935" t="s">
        <v>2062</v>
      </c>
    </row>
    <row r="1936" spans="1:23" ht="13.15" customHeight="1">
      <c r="A1936" s="2" t="s">
        <v>2215</v>
      </c>
      <c r="B1936" s="2">
        <f t="shared" si="60"/>
        <v>2020</v>
      </c>
      <c r="C1936" s="2" t="str">
        <f t="shared" si="61"/>
        <v>LIM333</v>
      </c>
      <c r="D1936" s="2">
        <v>318</v>
      </c>
      <c r="F1936" s="2451"/>
      <c r="G1936" s="2451"/>
      <c r="H1936" s="2451"/>
      <c r="I1936" s="2451"/>
      <c r="J1936" s="2451"/>
      <c r="K1936" s="2451"/>
      <c r="L1936" s="2453"/>
      <c r="M1936" s="2453"/>
      <c r="N1936" s="2453"/>
      <c r="O1936" s="2453"/>
      <c r="P1936" s="2453"/>
      <c r="W1936" t="s">
        <v>2062</v>
      </c>
    </row>
    <row r="1937" spans="1:23" ht="13.15" customHeight="1">
      <c r="A1937" s="2" t="s">
        <v>2215</v>
      </c>
      <c r="B1937" s="2">
        <f t="shared" si="60"/>
        <v>2020</v>
      </c>
      <c r="C1937" s="2" t="str">
        <f t="shared" si="61"/>
        <v>LIM333</v>
      </c>
      <c r="D1937" s="2">
        <v>319</v>
      </c>
      <c r="F1937" s="2451"/>
      <c r="G1937" s="2451"/>
      <c r="H1937" s="2451"/>
      <c r="I1937" s="2451"/>
      <c r="J1937" s="2451"/>
      <c r="K1937" s="2451"/>
      <c r="L1937" s="2453"/>
      <c r="M1937" s="2453"/>
      <c r="N1937" s="2453"/>
      <c r="O1937" s="2453"/>
      <c r="P1937" s="2453"/>
      <c r="W1937" t="s">
        <v>2062</v>
      </c>
    </row>
    <row r="1938" spans="1:23" ht="13.15" customHeight="1">
      <c r="A1938" s="2" t="s">
        <v>2215</v>
      </c>
      <c r="B1938" s="2">
        <f t="shared" si="60"/>
        <v>2020</v>
      </c>
      <c r="C1938" s="2" t="str">
        <f t="shared" si="61"/>
        <v>LIM333</v>
      </c>
      <c r="D1938" s="2">
        <v>320</v>
      </c>
      <c r="F1938" s="2451"/>
      <c r="G1938" s="2451"/>
      <c r="H1938" s="2451"/>
      <c r="I1938" s="2451"/>
      <c r="J1938" s="2451"/>
      <c r="K1938" s="2451"/>
      <c r="L1938" s="2453"/>
      <c r="M1938" s="2453"/>
      <c r="N1938" s="2453"/>
      <c r="O1938" s="2453"/>
      <c r="P1938" s="2453"/>
      <c r="W1938" t="s">
        <v>2062</v>
      </c>
    </row>
    <row r="1939" spans="1:23" ht="13.15" customHeight="1">
      <c r="A1939" s="2" t="s">
        <v>2215</v>
      </c>
      <c r="B1939" s="2">
        <f t="shared" si="60"/>
        <v>2020</v>
      </c>
      <c r="C1939" s="2" t="str">
        <f t="shared" si="61"/>
        <v>LIM333</v>
      </c>
      <c r="D1939" s="2">
        <v>321</v>
      </c>
      <c r="F1939" s="2451"/>
      <c r="G1939" s="2451"/>
      <c r="H1939" s="2451"/>
      <c r="I1939" s="2451"/>
      <c r="J1939" s="2451"/>
      <c r="K1939" s="2451"/>
      <c r="L1939" s="2453"/>
      <c r="M1939" s="2453"/>
      <c r="N1939" s="2453"/>
      <c r="O1939" s="2453"/>
      <c r="P1939" s="2453"/>
      <c r="W1939" t="s">
        <v>2062</v>
      </c>
    </row>
    <row r="1940" spans="1:23" ht="13.15" customHeight="1">
      <c r="A1940" s="2" t="s">
        <v>2215</v>
      </c>
      <c r="B1940" s="2">
        <f t="shared" si="60"/>
        <v>2020</v>
      </c>
      <c r="C1940" s="2" t="str">
        <f t="shared" si="61"/>
        <v>LIM333</v>
      </c>
      <c r="D1940" s="2">
        <v>322</v>
      </c>
      <c r="F1940" s="2451"/>
      <c r="G1940" s="2451"/>
      <c r="H1940" s="2451"/>
      <c r="I1940" s="2451"/>
      <c r="J1940" s="2451"/>
      <c r="K1940" s="2451"/>
      <c r="L1940" s="2453"/>
      <c r="M1940" s="2453"/>
      <c r="N1940" s="2453"/>
      <c r="O1940" s="2453"/>
      <c r="P1940" s="2453"/>
      <c r="W1940" t="s">
        <v>2062</v>
      </c>
    </row>
    <row r="1941" spans="1:23" ht="13.15" customHeight="1">
      <c r="A1941" s="2" t="s">
        <v>2215</v>
      </c>
      <c r="B1941" s="2">
        <f t="shared" si="60"/>
        <v>2020</v>
      </c>
      <c r="C1941" s="2" t="str">
        <f t="shared" si="61"/>
        <v>LIM333</v>
      </c>
      <c r="D1941" s="2">
        <v>323</v>
      </c>
      <c r="F1941" s="2451"/>
      <c r="G1941" s="2451"/>
      <c r="H1941" s="2451"/>
      <c r="I1941" s="2451"/>
      <c r="J1941" s="2451"/>
      <c r="K1941" s="2451"/>
      <c r="L1941" s="2453"/>
      <c r="M1941" s="2453"/>
      <c r="N1941" s="2453"/>
      <c r="O1941" s="2453"/>
      <c r="P1941" s="2453"/>
      <c r="W1941" t="s">
        <v>2062</v>
      </c>
    </row>
    <row r="1942" spans="1:23" ht="13.15" customHeight="1">
      <c r="A1942" s="2" t="s">
        <v>2215</v>
      </c>
      <c r="B1942" s="2">
        <f t="shared" si="60"/>
        <v>2020</v>
      </c>
      <c r="C1942" s="2" t="str">
        <f t="shared" si="61"/>
        <v>LIM333</v>
      </c>
      <c r="D1942" s="2">
        <v>324</v>
      </c>
      <c r="F1942" s="2451"/>
      <c r="G1942" s="2451"/>
      <c r="H1942" s="2451"/>
      <c r="I1942" s="2451"/>
      <c r="J1942" s="2451"/>
      <c r="K1942" s="2451"/>
      <c r="L1942" s="2453"/>
      <c r="M1942" s="2453"/>
      <c r="N1942" s="2453"/>
      <c r="O1942" s="2453"/>
      <c r="P1942" s="2453"/>
      <c r="W1942" t="s">
        <v>2062</v>
      </c>
    </row>
    <row r="1943" spans="1:23" ht="13.15" customHeight="1">
      <c r="A1943" s="2" t="s">
        <v>2215</v>
      </c>
      <c r="B1943" s="2">
        <f t="shared" si="60"/>
        <v>2020</v>
      </c>
      <c r="C1943" s="2" t="str">
        <f t="shared" si="61"/>
        <v>LIM333</v>
      </c>
      <c r="D1943" s="2">
        <v>325</v>
      </c>
      <c r="F1943" s="2451"/>
      <c r="G1943" s="2451"/>
      <c r="H1943" s="2451"/>
      <c r="I1943" s="2451"/>
      <c r="J1943" s="2451"/>
      <c r="K1943" s="2451"/>
      <c r="L1943" s="2453"/>
      <c r="M1943" s="2453"/>
      <c r="N1943" s="2453"/>
      <c r="O1943" s="2453"/>
      <c r="P1943" s="2453"/>
      <c r="W1943" t="s">
        <v>2062</v>
      </c>
    </row>
    <row r="1944" spans="1:23" ht="13.15" customHeight="1">
      <c r="A1944" s="2" t="s">
        <v>2215</v>
      </c>
      <c r="B1944" s="2">
        <f t="shared" si="60"/>
        <v>2020</v>
      </c>
      <c r="C1944" s="2" t="str">
        <f t="shared" si="61"/>
        <v>LIM333</v>
      </c>
      <c r="D1944" s="2">
        <v>326</v>
      </c>
      <c r="F1944" s="2451"/>
      <c r="G1944" s="2451"/>
      <c r="H1944" s="2451"/>
      <c r="I1944" s="2451"/>
      <c r="J1944" s="2451"/>
      <c r="K1944" s="2451"/>
      <c r="L1944" s="2453"/>
      <c r="M1944" s="2453"/>
      <c r="N1944" s="2453"/>
      <c r="O1944" s="2453"/>
      <c r="P1944" s="2453"/>
      <c r="W1944" t="s">
        <v>2062</v>
      </c>
    </row>
    <row r="1945" spans="1:23" ht="13.15" customHeight="1">
      <c r="A1945" s="2" t="s">
        <v>2215</v>
      </c>
      <c r="B1945" s="2">
        <f t="shared" si="60"/>
        <v>2020</v>
      </c>
      <c r="C1945" s="2" t="str">
        <f t="shared" si="61"/>
        <v>LIM333</v>
      </c>
      <c r="D1945" s="2">
        <v>327</v>
      </c>
      <c r="F1945" s="2451"/>
      <c r="G1945" s="2451"/>
      <c r="H1945" s="2451"/>
      <c r="I1945" s="2451"/>
      <c r="J1945" s="2451"/>
      <c r="K1945" s="2451"/>
      <c r="L1945" s="2453"/>
      <c r="M1945" s="2453"/>
      <c r="N1945" s="2453"/>
      <c r="O1945" s="2453"/>
      <c r="P1945" s="2453"/>
      <c r="W1945" t="s">
        <v>2062</v>
      </c>
    </row>
    <row r="1946" spans="1:23" ht="13.15" customHeight="1">
      <c r="A1946" s="2" t="s">
        <v>2215</v>
      </c>
      <c r="B1946" s="2">
        <f t="shared" si="60"/>
        <v>2020</v>
      </c>
      <c r="C1946" s="2" t="str">
        <f t="shared" si="61"/>
        <v>LIM333</v>
      </c>
      <c r="D1946" s="2">
        <v>328</v>
      </c>
      <c r="F1946" s="2451"/>
      <c r="G1946" s="2451"/>
      <c r="H1946" s="2451"/>
      <c r="I1946" s="2451"/>
      <c r="J1946" s="2451"/>
      <c r="K1946" s="2451"/>
      <c r="L1946" s="2453"/>
      <c r="M1946" s="2453"/>
      <c r="N1946" s="2453"/>
      <c r="O1946" s="2453"/>
      <c r="P1946" s="2453"/>
      <c r="W1946" t="s">
        <v>2062</v>
      </c>
    </row>
    <row r="1947" spans="1:23" ht="13.15" customHeight="1">
      <c r="A1947" s="2" t="s">
        <v>2215</v>
      </c>
      <c r="B1947" s="2">
        <f t="shared" si="60"/>
        <v>2020</v>
      </c>
      <c r="C1947" s="2" t="str">
        <f t="shared" si="61"/>
        <v>LIM333</v>
      </c>
      <c r="D1947" s="2">
        <v>329</v>
      </c>
      <c r="F1947" s="2451"/>
      <c r="G1947" s="2451"/>
      <c r="H1947" s="2451"/>
      <c r="I1947" s="2451"/>
      <c r="J1947" s="2451"/>
      <c r="K1947" s="2451"/>
      <c r="L1947" s="2453"/>
      <c r="M1947" s="2453"/>
      <c r="N1947" s="2453"/>
      <c r="O1947" s="2453"/>
      <c r="P1947" s="2453"/>
      <c r="W1947" t="s">
        <v>2062</v>
      </c>
    </row>
    <row r="1948" spans="1:23" ht="13.15" customHeight="1">
      <c r="A1948" s="2" t="s">
        <v>2215</v>
      </c>
      <c r="B1948" s="2">
        <f t="shared" si="60"/>
        <v>2020</v>
      </c>
      <c r="C1948" s="2" t="str">
        <f t="shared" si="61"/>
        <v>LIM333</v>
      </c>
      <c r="D1948" s="2">
        <v>330</v>
      </c>
      <c r="F1948" s="2451"/>
      <c r="G1948" s="2451"/>
      <c r="H1948" s="2451"/>
      <c r="I1948" s="2451"/>
      <c r="J1948" s="2451"/>
      <c r="K1948" s="2451"/>
      <c r="L1948" s="2453"/>
      <c r="M1948" s="2453"/>
      <c r="N1948" s="2453"/>
      <c r="O1948" s="2453"/>
      <c r="P1948" s="2453"/>
      <c r="W1948" t="s">
        <v>2062</v>
      </c>
    </row>
    <row r="1949" spans="1:23" ht="13.15" customHeight="1">
      <c r="A1949" s="2" t="s">
        <v>2215</v>
      </c>
      <c r="B1949" s="2">
        <f t="shared" si="60"/>
        <v>2020</v>
      </c>
      <c r="C1949" s="2" t="str">
        <f t="shared" si="61"/>
        <v>LIM333</v>
      </c>
      <c r="D1949" s="2">
        <v>331</v>
      </c>
      <c r="F1949" s="2451"/>
      <c r="G1949" s="2451"/>
      <c r="H1949" s="2451"/>
      <c r="I1949" s="2451"/>
      <c r="J1949" s="2451"/>
      <c r="K1949" s="2451"/>
      <c r="L1949" s="2453"/>
      <c r="M1949" s="2453"/>
      <c r="N1949" s="2453"/>
      <c r="O1949" s="2453"/>
      <c r="P1949" s="2453"/>
      <c r="W1949" t="s">
        <v>2062</v>
      </c>
    </row>
    <row r="1950" spans="1:23" ht="13.15" customHeight="1">
      <c r="A1950" s="2" t="s">
        <v>2215</v>
      </c>
      <c r="B1950" s="2">
        <f t="shared" si="60"/>
        <v>2020</v>
      </c>
      <c r="C1950" s="2" t="str">
        <f t="shared" si="61"/>
        <v>LIM333</v>
      </c>
      <c r="D1950" s="2">
        <v>332</v>
      </c>
      <c r="F1950" s="2451"/>
      <c r="G1950" s="2451"/>
      <c r="H1950" s="2451"/>
      <c r="I1950" s="2451"/>
      <c r="J1950" s="2451"/>
      <c r="K1950" s="2451"/>
      <c r="L1950" s="2453"/>
      <c r="M1950" s="2453"/>
      <c r="N1950" s="2453"/>
      <c r="O1950" s="2453"/>
      <c r="P1950" s="2453"/>
      <c r="W1950" t="s">
        <v>2062</v>
      </c>
    </row>
    <row r="1951" spans="1:23" ht="13.15" customHeight="1">
      <c r="A1951" s="2" t="s">
        <v>2215</v>
      </c>
      <c r="B1951" s="2">
        <f t="shared" si="60"/>
        <v>2020</v>
      </c>
      <c r="C1951" s="2" t="str">
        <f t="shared" si="61"/>
        <v>LIM333</v>
      </c>
      <c r="D1951" s="2">
        <v>333</v>
      </c>
      <c r="F1951" s="2451"/>
      <c r="G1951" s="2451"/>
      <c r="H1951" s="2451"/>
      <c r="I1951" s="2451"/>
      <c r="J1951" s="2451"/>
      <c r="K1951" s="2451"/>
      <c r="L1951" s="2453"/>
      <c r="M1951" s="2453"/>
      <c r="N1951" s="2453"/>
      <c r="O1951" s="2453"/>
      <c r="P1951" s="2453"/>
      <c r="W1951" t="s">
        <v>2062</v>
      </c>
    </row>
    <row r="1952" spans="1:23" ht="13.15" customHeight="1">
      <c r="A1952" s="2" t="s">
        <v>2215</v>
      </c>
      <c r="B1952" s="2">
        <f t="shared" si="60"/>
        <v>2020</v>
      </c>
      <c r="C1952" s="2" t="str">
        <f t="shared" si="61"/>
        <v>LIM333</v>
      </c>
      <c r="D1952" s="2">
        <v>334</v>
      </c>
      <c r="F1952" s="2451"/>
      <c r="G1952" s="2451"/>
      <c r="H1952" s="2451"/>
      <c r="I1952" s="2451"/>
      <c r="J1952" s="2451"/>
      <c r="K1952" s="2451"/>
      <c r="L1952" s="2453"/>
      <c r="M1952" s="2453"/>
      <c r="N1952" s="2453"/>
      <c r="O1952" s="2453"/>
      <c r="P1952" s="2453"/>
      <c r="W1952" t="s">
        <v>2062</v>
      </c>
    </row>
    <row r="1953" spans="1:23" ht="13.15" customHeight="1">
      <c r="A1953" s="2" t="s">
        <v>2215</v>
      </c>
      <c r="B1953" s="2">
        <f t="shared" si="60"/>
        <v>2020</v>
      </c>
      <c r="C1953" s="2" t="str">
        <f t="shared" si="61"/>
        <v>LIM333</v>
      </c>
      <c r="D1953" s="2">
        <v>335</v>
      </c>
      <c r="F1953" s="2451"/>
      <c r="G1953" s="2451"/>
      <c r="H1953" s="2451"/>
      <c r="I1953" s="2451"/>
      <c r="J1953" s="2451"/>
      <c r="K1953" s="2451"/>
      <c r="L1953" s="2453"/>
      <c r="M1953" s="2453"/>
      <c r="N1953" s="2453"/>
      <c r="O1953" s="2453"/>
      <c r="P1953" s="2453"/>
      <c r="W1953" t="s">
        <v>2062</v>
      </c>
    </row>
    <row r="1954" spans="1:23" ht="13.15" customHeight="1">
      <c r="A1954" s="2" t="s">
        <v>2215</v>
      </c>
      <c r="B1954" s="2">
        <f t="shared" si="60"/>
        <v>2020</v>
      </c>
      <c r="C1954" s="2" t="str">
        <f t="shared" si="61"/>
        <v>LIM333</v>
      </c>
      <c r="D1954" s="2">
        <v>336</v>
      </c>
      <c r="F1954" s="2451"/>
      <c r="G1954" s="2451"/>
      <c r="H1954" s="2451"/>
      <c r="I1954" s="2451"/>
      <c r="J1954" s="2451"/>
      <c r="K1954" s="2451"/>
      <c r="L1954" s="2453"/>
      <c r="M1954" s="2453"/>
      <c r="N1954" s="2453"/>
      <c r="O1954" s="2453"/>
      <c r="P1954" s="2453"/>
      <c r="W1954" t="s">
        <v>2062</v>
      </c>
    </row>
    <row r="1955" spans="1:23" ht="13.15" customHeight="1">
      <c r="A1955" s="2" t="s">
        <v>2215</v>
      </c>
      <c r="B1955" s="2">
        <f t="shared" si="60"/>
        <v>2020</v>
      </c>
      <c r="C1955" s="2" t="str">
        <f t="shared" si="61"/>
        <v>LIM333</v>
      </c>
      <c r="D1955" s="2">
        <v>337</v>
      </c>
      <c r="F1955" s="2451"/>
      <c r="G1955" s="2451"/>
      <c r="H1955" s="2451"/>
      <c r="I1955" s="2451"/>
      <c r="J1955" s="2451"/>
      <c r="K1955" s="2451"/>
      <c r="L1955" s="2453"/>
      <c r="M1955" s="2453"/>
      <c r="N1955" s="2453"/>
      <c r="O1955" s="2453"/>
      <c r="P1955" s="2453"/>
      <c r="W1955" t="s">
        <v>2062</v>
      </c>
    </row>
    <row r="1956" spans="1:23" ht="13.15" customHeight="1">
      <c r="A1956" s="2" t="s">
        <v>2215</v>
      </c>
      <c r="B1956" s="2">
        <f t="shared" si="60"/>
        <v>2020</v>
      </c>
      <c r="C1956" s="2" t="str">
        <f t="shared" si="61"/>
        <v>LIM333</v>
      </c>
      <c r="D1956" s="2">
        <v>338</v>
      </c>
      <c r="F1956" s="2451"/>
      <c r="G1956" s="2451"/>
      <c r="H1956" s="2451"/>
      <c r="I1956" s="2451"/>
      <c r="J1956" s="2451"/>
      <c r="K1956" s="2451"/>
      <c r="L1956" s="2453"/>
      <c r="M1956" s="2453"/>
      <c r="N1956" s="2453"/>
      <c r="O1956" s="2453"/>
      <c r="P1956" s="2453"/>
      <c r="W1956" t="s">
        <v>2062</v>
      </c>
    </row>
    <row r="1957" spans="1:23" ht="13.15" customHeight="1">
      <c r="A1957" s="2" t="s">
        <v>2215</v>
      </c>
      <c r="B1957" s="2">
        <f t="shared" si="60"/>
        <v>2020</v>
      </c>
      <c r="C1957" s="2" t="str">
        <f t="shared" si="61"/>
        <v>LIM333</v>
      </c>
      <c r="D1957" s="2">
        <v>339</v>
      </c>
      <c r="F1957" s="2451"/>
      <c r="G1957" s="2451"/>
      <c r="H1957" s="2451"/>
      <c r="I1957" s="2451"/>
      <c r="J1957" s="2451"/>
      <c r="K1957" s="2451"/>
      <c r="L1957" s="2453"/>
      <c r="M1957" s="2453"/>
      <c r="N1957" s="2453"/>
      <c r="O1957" s="2453"/>
      <c r="P1957" s="2453"/>
      <c r="W1957" t="s">
        <v>2062</v>
      </c>
    </row>
    <row r="1958" spans="1:23" ht="13.15" customHeight="1">
      <c r="A1958" s="2" t="s">
        <v>2215</v>
      </c>
      <c r="B1958" s="2">
        <f t="shared" si="60"/>
        <v>2020</v>
      </c>
      <c r="C1958" s="2" t="str">
        <f t="shared" si="61"/>
        <v>LIM333</v>
      </c>
      <c r="D1958" s="2">
        <v>340</v>
      </c>
      <c r="F1958" s="2451"/>
      <c r="G1958" s="2451"/>
      <c r="H1958" s="2451"/>
      <c r="I1958" s="2451"/>
      <c r="J1958" s="2451"/>
      <c r="K1958" s="2451"/>
      <c r="L1958" s="2453"/>
      <c r="M1958" s="2453"/>
      <c r="N1958" s="2453"/>
      <c r="O1958" s="2453"/>
      <c r="P1958" s="2453"/>
      <c r="W1958" t="s">
        <v>2062</v>
      </c>
    </row>
    <row r="1959" spans="1:23" ht="13.15" customHeight="1">
      <c r="A1959" s="2" t="s">
        <v>2215</v>
      </c>
      <c r="B1959" s="2">
        <f t="shared" si="60"/>
        <v>2020</v>
      </c>
      <c r="C1959" s="2" t="str">
        <f t="shared" si="61"/>
        <v>LIM333</v>
      </c>
      <c r="D1959" s="2">
        <v>341</v>
      </c>
      <c r="F1959" s="2451"/>
      <c r="G1959" s="2451"/>
      <c r="H1959" s="2451"/>
      <c r="I1959" s="2451"/>
      <c r="J1959" s="2451"/>
      <c r="K1959" s="2451"/>
      <c r="L1959" s="2453"/>
      <c r="M1959" s="2453"/>
      <c r="N1959" s="2453"/>
      <c r="O1959" s="2453"/>
      <c r="P1959" s="2453"/>
      <c r="W1959" t="s">
        <v>2062</v>
      </c>
    </row>
    <row r="1960" spans="1:23" ht="13.15" customHeight="1">
      <c r="A1960" s="2" t="s">
        <v>2215</v>
      </c>
      <c r="B1960" s="2">
        <f t="shared" si="60"/>
        <v>2020</v>
      </c>
      <c r="C1960" s="2" t="str">
        <f t="shared" si="61"/>
        <v>LIM333</v>
      </c>
      <c r="D1960" s="2">
        <v>342</v>
      </c>
      <c r="F1960" s="2451"/>
      <c r="G1960" s="2451"/>
      <c r="H1960" s="2451"/>
      <c r="I1960" s="2451"/>
      <c r="J1960" s="2451"/>
      <c r="K1960" s="2451"/>
      <c r="L1960" s="2453"/>
      <c r="M1960" s="2453"/>
      <c r="N1960" s="2453"/>
      <c r="O1960" s="2453"/>
      <c r="P1960" s="2453"/>
      <c r="W1960" t="s">
        <v>2062</v>
      </c>
    </row>
    <row r="1961" spans="1:23" ht="13.15" customHeight="1">
      <c r="A1961" s="2" t="s">
        <v>2215</v>
      </c>
      <c r="B1961" s="2">
        <f t="shared" si="60"/>
        <v>2020</v>
      </c>
      <c r="C1961" s="2" t="str">
        <f t="shared" si="61"/>
        <v>LIM333</v>
      </c>
      <c r="D1961" s="2">
        <v>343</v>
      </c>
      <c r="F1961" s="2451"/>
      <c r="G1961" s="2451"/>
      <c r="H1961" s="2451"/>
      <c r="I1961" s="2451"/>
      <c r="J1961" s="2451"/>
      <c r="K1961" s="2451"/>
      <c r="L1961" s="2453"/>
      <c r="M1961" s="2453"/>
      <c r="N1961" s="2453"/>
      <c r="O1961" s="2453"/>
      <c r="P1961" s="2453"/>
      <c r="W1961" t="s">
        <v>2062</v>
      </c>
    </row>
    <row r="1962" spans="1:23" ht="13.15" customHeight="1">
      <c r="A1962" s="2" t="s">
        <v>2215</v>
      </c>
      <c r="B1962" s="2">
        <f t="shared" si="60"/>
        <v>2020</v>
      </c>
      <c r="C1962" s="2" t="str">
        <f t="shared" si="61"/>
        <v>LIM333</v>
      </c>
      <c r="D1962" s="2">
        <v>344</v>
      </c>
      <c r="F1962" s="2451"/>
      <c r="G1962" s="2451"/>
      <c r="H1962" s="2451"/>
      <c r="I1962" s="2451"/>
      <c r="J1962" s="2451"/>
      <c r="K1962" s="2451"/>
      <c r="L1962" s="2453"/>
      <c r="M1962" s="2453"/>
      <c r="N1962" s="2453"/>
      <c r="O1962" s="2453"/>
      <c r="P1962" s="2453"/>
      <c r="W1962" t="s">
        <v>2062</v>
      </c>
    </row>
    <row r="1963" spans="1:23" ht="13.15" customHeight="1">
      <c r="A1963" s="2" t="s">
        <v>2215</v>
      </c>
      <c r="B1963" s="2">
        <f t="shared" si="60"/>
        <v>2020</v>
      </c>
      <c r="C1963" s="2" t="str">
        <f t="shared" si="61"/>
        <v>LIM333</v>
      </c>
      <c r="D1963" s="2">
        <v>345</v>
      </c>
      <c r="F1963" s="2451"/>
      <c r="G1963" s="2451"/>
      <c r="H1963" s="2451"/>
      <c r="I1963" s="2451"/>
      <c r="J1963" s="2451"/>
      <c r="K1963" s="2451"/>
      <c r="L1963" s="2453"/>
      <c r="M1963" s="2453"/>
      <c r="N1963" s="2453"/>
      <c r="O1963" s="2453"/>
      <c r="P1963" s="2453"/>
      <c r="W1963" t="s">
        <v>2062</v>
      </c>
    </row>
    <row r="1964" spans="1:23" ht="13.15" customHeight="1">
      <c r="A1964" s="2" t="s">
        <v>2215</v>
      </c>
      <c r="B1964" s="2">
        <f t="shared" si="60"/>
        <v>2020</v>
      </c>
      <c r="C1964" s="2" t="str">
        <f t="shared" si="61"/>
        <v>LIM333</v>
      </c>
      <c r="D1964" s="2">
        <v>346</v>
      </c>
      <c r="F1964" s="2451"/>
      <c r="G1964" s="2451"/>
      <c r="H1964" s="2451"/>
      <c r="I1964" s="2451"/>
      <c r="J1964" s="2451"/>
      <c r="K1964" s="2451"/>
      <c r="L1964" s="2453"/>
      <c r="M1964" s="2453"/>
      <c r="N1964" s="2453"/>
      <c r="O1964" s="2453"/>
      <c r="P1964" s="2453"/>
      <c r="W1964" t="s">
        <v>2062</v>
      </c>
    </row>
    <row r="1965" spans="1:23" ht="13.15" customHeight="1">
      <c r="A1965" s="2" t="s">
        <v>2215</v>
      </c>
      <c r="B1965" s="2">
        <f t="shared" si="60"/>
        <v>2020</v>
      </c>
      <c r="C1965" s="2" t="str">
        <f t="shared" si="61"/>
        <v>LIM333</v>
      </c>
      <c r="D1965" s="2">
        <v>347</v>
      </c>
      <c r="F1965" s="2451"/>
      <c r="G1965" s="2451"/>
      <c r="H1965" s="2451"/>
      <c r="I1965" s="2451"/>
      <c r="J1965" s="2451"/>
      <c r="K1965" s="2451"/>
      <c r="L1965" s="2453"/>
      <c r="M1965" s="2453"/>
      <c r="N1965" s="2453"/>
      <c r="O1965" s="2453"/>
      <c r="P1965" s="2453"/>
      <c r="W1965" t="s">
        <v>2062</v>
      </c>
    </row>
    <row r="1966" spans="1:23" ht="13.15" customHeight="1">
      <c r="A1966" s="2" t="s">
        <v>2215</v>
      </c>
      <c r="B1966" s="2">
        <f t="shared" si="60"/>
        <v>2020</v>
      </c>
      <c r="C1966" s="2" t="str">
        <f t="shared" si="61"/>
        <v>LIM333</v>
      </c>
      <c r="D1966" s="2">
        <v>348</v>
      </c>
      <c r="F1966" s="2451"/>
      <c r="G1966" s="2451"/>
      <c r="H1966" s="2451"/>
      <c r="I1966" s="2451"/>
      <c r="J1966" s="2451"/>
      <c r="K1966" s="2451"/>
      <c r="L1966" s="2453"/>
      <c r="M1966" s="2453"/>
      <c r="N1966" s="2453"/>
      <c r="O1966" s="2453"/>
      <c r="P1966" s="2453"/>
      <c r="W1966" t="s">
        <v>2062</v>
      </c>
    </row>
    <row r="1967" spans="1:23" ht="13.15" customHeight="1">
      <c r="A1967" s="2" t="s">
        <v>2215</v>
      </c>
      <c r="B1967" s="2">
        <f t="shared" si="60"/>
        <v>2020</v>
      </c>
      <c r="C1967" s="2" t="str">
        <f t="shared" si="61"/>
        <v>LIM333</v>
      </c>
      <c r="D1967" s="2">
        <v>349</v>
      </c>
      <c r="F1967" s="2451"/>
      <c r="G1967" s="2451"/>
      <c r="H1967" s="2451"/>
      <c r="I1967" s="2451"/>
      <c r="J1967" s="2451"/>
      <c r="K1967" s="2451"/>
      <c r="L1967" s="2453"/>
      <c r="M1967" s="2453"/>
      <c r="N1967" s="2453"/>
      <c r="O1967" s="2453"/>
      <c r="P1967" s="2453"/>
      <c r="W1967" t="s">
        <v>2062</v>
      </c>
    </row>
    <row r="1968" spans="1:23" ht="13.15" customHeight="1">
      <c r="A1968" s="2" t="s">
        <v>2215</v>
      </c>
      <c r="B1968" s="2">
        <f t="shared" si="60"/>
        <v>2020</v>
      </c>
      <c r="C1968" s="2" t="str">
        <f t="shared" si="61"/>
        <v>LIM333</v>
      </c>
      <c r="D1968" s="2">
        <v>350</v>
      </c>
      <c r="F1968" s="2451"/>
      <c r="G1968" s="2451"/>
      <c r="H1968" s="2451"/>
      <c r="I1968" s="2451"/>
      <c r="J1968" s="2451"/>
      <c r="K1968" s="2451"/>
      <c r="L1968" s="2453"/>
      <c r="M1968" s="2453"/>
      <c r="N1968" s="2453"/>
      <c r="O1968" s="2453"/>
      <c r="P1968" s="2453"/>
      <c r="W1968" t="s">
        <v>2062</v>
      </c>
    </row>
    <row r="1969" spans="1:23" ht="13.15" customHeight="1">
      <c r="A1969" s="2" t="s">
        <v>2215</v>
      </c>
      <c r="B1969" s="2">
        <f t="shared" si="60"/>
        <v>2020</v>
      </c>
      <c r="C1969" s="2" t="str">
        <f t="shared" si="61"/>
        <v>LIM333</v>
      </c>
      <c r="D1969" s="2">
        <v>351</v>
      </c>
      <c r="F1969" s="2451"/>
      <c r="G1969" s="2451"/>
      <c r="H1969" s="2451"/>
      <c r="I1969" s="2451"/>
      <c r="J1969" s="2451"/>
      <c r="K1969" s="2451"/>
      <c r="L1969" s="2453"/>
      <c r="M1969" s="2453"/>
      <c r="N1969" s="2453"/>
      <c r="O1969" s="2453"/>
      <c r="P1969" s="2453"/>
      <c r="W1969" t="s">
        <v>2062</v>
      </c>
    </row>
    <row r="1970" spans="1:23" ht="13.15" customHeight="1">
      <c r="A1970" s="2" t="s">
        <v>2215</v>
      </c>
      <c r="B1970" s="2">
        <f t="shared" si="60"/>
        <v>2020</v>
      </c>
      <c r="C1970" s="2" t="str">
        <f t="shared" si="61"/>
        <v>LIM333</v>
      </c>
      <c r="D1970" s="2">
        <v>352</v>
      </c>
      <c r="F1970" s="2451"/>
      <c r="G1970" s="2451"/>
      <c r="H1970" s="2451"/>
      <c r="I1970" s="2451"/>
      <c r="J1970" s="2451"/>
      <c r="K1970" s="2451"/>
      <c r="L1970" s="2453"/>
      <c r="M1970" s="2453"/>
      <c r="N1970" s="2453"/>
      <c r="O1970" s="2453"/>
      <c r="P1970" s="2453"/>
      <c r="W1970" t="s">
        <v>2062</v>
      </c>
    </row>
    <row r="1971" spans="1:23" ht="13.15" customHeight="1">
      <c r="A1971" s="2" t="s">
        <v>2215</v>
      </c>
      <c r="B1971" s="2">
        <f t="shared" si="60"/>
        <v>2020</v>
      </c>
      <c r="C1971" s="2" t="str">
        <f t="shared" si="61"/>
        <v>LIM333</v>
      </c>
      <c r="D1971" s="2">
        <v>353</v>
      </c>
      <c r="F1971" s="2451"/>
      <c r="G1971" s="2451"/>
      <c r="H1971" s="2451"/>
      <c r="I1971" s="2451"/>
      <c r="J1971" s="2451"/>
      <c r="K1971" s="2451"/>
      <c r="L1971" s="2453"/>
      <c r="M1971" s="2453"/>
      <c r="N1971" s="2453"/>
      <c r="O1971" s="2453"/>
      <c r="P1971" s="2453"/>
      <c r="W1971" t="s">
        <v>2062</v>
      </c>
    </row>
    <row r="1972" spans="1:23" ht="13.15" customHeight="1">
      <c r="A1972" s="2" t="s">
        <v>2215</v>
      </c>
      <c r="B1972" s="2">
        <f t="shared" si="60"/>
        <v>2020</v>
      </c>
      <c r="C1972" s="2" t="str">
        <f t="shared" si="61"/>
        <v>LIM333</v>
      </c>
      <c r="D1972" s="2">
        <v>354</v>
      </c>
      <c r="F1972" s="2451"/>
      <c r="G1972" s="2451"/>
      <c r="H1972" s="2451"/>
      <c r="I1972" s="2451"/>
      <c r="J1972" s="2451"/>
      <c r="K1972" s="2451"/>
      <c r="L1972" s="2453"/>
      <c r="M1972" s="2453"/>
      <c r="N1972" s="2453"/>
      <c r="O1972" s="2453"/>
      <c r="P1972" s="2453"/>
      <c r="W1972" t="s">
        <v>2062</v>
      </c>
    </row>
    <row r="1973" spans="1:23" ht="13.15" customHeight="1">
      <c r="A1973" s="2" t="s">
        <v>2215</v>
      </c>
      <c r="B1973" s="2">
        <f t="shared" si="60"/>
        <v>2020</v>
      </c>
      <c r="C1973" s="2" t="str">
        <f t="shared" si="61"/>
        <v>LIM333</v>
      </c>
      <c r="D1973" s="2">
        <v>355</v>
      </c>
      <c r="F1973" s="2451"/>
      <c r="G1973" s="2451"/>
      <c r="H1973" s="2451"/>
      <c r="I1973" s="2451"/>
      <c r="J1973" s="2451"/>
      <c r="K1973" s="2451"/>
      <c r="L1973" s="2453"/>
      <c r="M1973" s="2453"/>
      <c r="N1973" s="2453"/>
      <c r="O1973" s="2453"/>
      <c r="P1973" s="2453"/>
      <c r="W1973" t="s">
        <v>2062</v>
      </c>
    </row>
    <row r="1974" spans="1:23" ht="13.15" customHeight="1">
      <c r="A1974" s="2" t="s">
        <v>2215</v>
      </c>
      <c r="B1974" s="2">
        <f t="shared" si="60"/>
        <v>2020</v>
      </c>
      <c r="C1974" s="2" t="str">
        <f t="shared" si="61"/>
        <v>LIM333</v>
      </c>
      <c r="D1974" s="2">
        <v>356</v>
      </c>
      <c r="F1974" s="2451"/>
      <c r="G1974" s="2451"/>
      <c r="H1974" s="2451"/>
      <c r="I1974" s="2451"/>
      <c r="J1974" s="2451"/>
      <c r="K1974" s="2451"/>
      <c r="L1974" s="2453"/>
      <c r="M1974" s="2453"/>
      <c r="N1974" s="2453"/>
      <c r="O1974" s="2453"/>
      <c r="P1974" s="2453"/>
      <c r="W1974" t="s">
        <v>2062</v>
      </c>
    </row>
    <row r="1975" spans="1:23" ht="13.15" customHeight="1">
      <c r="A1975" s="2" t="s">
        <v>2215</v>
      </c>
      <c r="B1975" s="2">
        <f t="shared" si="60"/>
        <v>2020</v>
      </c>
      <c r="C1975" s="2" t="str">
        <f t="shared" si="61"/>
        <v>LIM333</v>
      </c>
      <c r="D1975" s="2">
        <v>357</v>
      </c>
      <c r="F1975" s="2451"/>
      <c r="G1975" s="2451"/>
      <c r="H1975" s="2451"/>
      <c r="I1975" s="2451"/>
      <c r="J1975" s="2451"/>
      <c r="K1975" s="2451"/>
      <c r="L1975" s="2453"/>
      <c r="M1975" s="2453"/>
      <c r="N1975" s="2453"/>
      <c r="O1975" s="2453"/>
      <c r="P1975" s="2453"/>
      <c r="W1975" t="s">
        <v>2062</v>
      </c>
    </row>
    <row r="1976" spans="1:23" ht="13.15" customHeight="1">
      <c r="A1976" s="2" t="s">
        <v>2215</v>
      </c>
      <c r="B1976" s="2">
        <f t="shared" si="60"/>
        <v>2020</v>
      </c>
      <c r="C1976" s="2" t="str">
        <f t="shared" si="61"/>
        <v>LIM333</v>
      </c>
      <c r="D1976" s="2">
        <v>358</v>
      </c>
      <c r="F1976" s="2451"/>
      <c r="G1976" s="2451"/>
      <c r="H1976" s="2451"/>
      <c r="I1976" s="2451"/>
      <c r="J1976" s="2451"/>
      <c r="K1976" s="2451"/>
      <c r="L1976" s="2453"/>
      <c r="M1976" s="2453"/>
      <c r="N1976" s="2453"/>
      <c r="O1976" s="2453"/>
      <c r="P1976" s="2453"/>
      <c r="W1976" t="s">
        <v>2062</v>
      </c>
    </row>
    <row r="1977" spans="1:23" ht="13.15" customHeight="1">
      <c r="A1977" s="2" t="s">
        <v>2215</v>
      </c>
      <c r="B1977" s="2">
        <f t="shared" si="60"/>
        <v>2020</v>
      </c>
      <c r="C1977" s="2" t="str">
        <f t="shared" si="61"/>
        <v>LIM333</v>
      </c>
      <c r="D1977" s="2">
        <v>359</v>
      </c>
      <c r="F1977" s="2451"/>
      <c r="G1977" s="2451"/>
      <c r="H1977" s="2451"/>
      <c r="I1977" s="2451"/>
      <c r="J1977" s="2451"/>
      <c r="K1977" s="2451"/>
      <c r="L1977" s="2453"/>
      <c r="M1977" s="2453"/>
      <c r="N1977" s="2453"/>
      <c r="O1977" s="2453"/>
      <c r="P1977" s="2453"/>
      <c r="W1977" t="s">
        <v>2062</v>
      </c>
    </row>
    <row r="1978" spans="1:23" ht="13.15" customHeight="1">
      <c r="A1978" s="2" t="s">
        <v>2215</v>
      </c>
      <c r="B1978" s="2">
        <f t="shared" si="60"/>
        <v>2020</v>
      </c>
      <c r="C1978" s="2" t="str">
        <f t="shared" si="61"/>
        <v>LIM333</v>
      </c>
      <c r="D1978" s="2">
        <v>360</v>
      </c>
      <c r="F1978" s="2451"/>
      <c r="G1978" s="2451"/>
      <c r="H1978" s="2451"/>
      <c r="I1978" s="2451"/>
      <c r="J1978" s="2451"/>
      <c r="K1978" s="2451"/>
      <c r="L1978" s="2453"/>
      <c r="M1978" s="2453"/>
      <c r="N1978" s="2453"/>
      <c r="O1978" s="2453"/>
      <c r="P1978" s="2453"/>
      <c r="W1978" t="s">
        <v>2062</v>
      </c>
    </row>
    <row r="1979" spans="1:23" ht="13.15" customHeight="1">
      <c r="A1979" s="2" t="s">
        <v>2215</v>
      </c>
      <c r="B1979" s="2">
        <f t="shared" si="60"/>
        <v>2020</v>
      </c>
      <c r="C1979" s="2" t="str">
        <f t="shared" si="61"/>
        <v>LIM333</v>
      </c>
      <c r="D1979" s="2">
        <v>361</v>
      </c>
      <c r="F1979" s="2451"/>
      <c r="G1979" s="2451"/>
      <c r="H1979" s="2451"/>
      <c r="I1979" s="2451"/>
      <c r="J1979" s="2451"/>
      <c r="K1979" s="2451"/>
      <c r="L1979" s="2453"/>
      <c r="M1979" s="2453"/>
      <c r="N1979" s="2453"/>
      <c r="O1979" s="2453"/>
      <c r="P1979" s="2453"/>
      <c r="W1979" t="s">
        <v>2062</v>
      </c>
    </row>
    <row r="1980" spans="1:23" ht="13.15" customHeight="1">
      <c r="A1980" s="2" t="s">
        <v>2215</v>
      </c>
      <c r="B1980" s="2">
        <f t="shared" si="60"/>
        <v>2020</v>
      </c>
      <c r="C1980" s="2" t="str">
        <f t="shared" si="61"/>
        <v>LIM333</v>
      </c>
      <c r="D1980" s="2">
        <v>362</v>
      </c>
      <c r="F1980" s="2451"/>
      <c r="G1980" s="2451"/>
      <c r="H1980" s="2451"/>
      <c r="I1980" s="2451"/>
      <c r="J1980" s="2451"/>
      <c r="K1980" s="2451"/>
      <c r="L1980" s="2453"/>
      <c r="M1980" s="2453"/>
      <c r="N1980" s="2453"/>
      <c r="O1980" s="2453"/>
      <c r="P1980" s="2453"/>
      <c r="W1980" t="s">
        <v>2062</v>
      </c>
    </row>
    <row r="1981" spans="1:23" ht="13.15" customHeight="1">
      <c r="A1981" s="2" t="s">
        <v>2215</v>
      </c>
      <c r="B1981" s="2">
        <f t="shared" si="60"/>
        <v>2020</v>
      </c>
      <c r="C1981" s="2" t="str">
        <f t="shared" si="61"/>
        <v>LIM333</v>
      </c>
      <c r="D1981" s="2">
        <v>363</v>
      </c>
      <c r="F1981" s="2451"/>
      <c r="G1981" s="2451"/>
      <c r="H1981" s="2451"/>
      <c r="I1981" s="2451"/>
      <c r="J1981" s="2451"/>
      <c r="K1981" s="2451"/>
      <c r="L1981" s="2453"/>
      <c r="M1981" s="2453"/>
      <c r="N1981" s="2453"/>
      <c r="O1981" s="2453"/>
      <c r="P1981" s="2453"/>
      <c r="W1981" t="s">
        <v>2062</v>
      </c>
    </row>
    <row r="1982" spans="1:23" ht="13.15" customHeight="1">
      <c r="A1982" s="2" t="s">
        <v>2215</v>
      </c>
      <c r="B1982" s="2">
        <f t="shared" si="60"/>
        <v>2020</v>
      </c>
      <c r="C1982" s="2" t="str">
        <f t="shared" si="61"/>
        <v>LIM333</v>
      </c>
      <c r="D1982" s="2">
        <v>364</v>
      </c>
      <c r="F1982" s="2451"/>
      <c r="G1982" s="2451"/>
      <c r="H1982" s="2451"/>
      <c r="I1982" s="2451"/>
      <c r="J1982" s="2451"/>
      <c r="K1982" s="2451"/>
      <c r="L1982" s="2453"/>
      <c r="M1982" s="2453"/>
      <c r="N1982" s="2453"/>
      <c r="O1982" s="2453"/>
      <c r="P1982" s="2453"/>
      <c r="W1982" t="s">
        <v>2062</v>
      </c>
    </row>
    <row r="1983" spans="1:23" ht="13.15" customHeight="1">
      <c r="A1983" s="2" t="s">
        <v>2215</v>
      </c>
      <c r="B1983" s="2">
        <f t="shared" si="60"/>
        <v>2020</v>
      </c>
      <c r="C1983" s="2" t="str">
        <f t="shared" si="61"/>
        <v>LIM333</v>
      </c>
      <c r="D1983" s="2">
        <v>365</v>
      </c>
      <c r="F1983" s="2451"/>
      <c r="G1983" s="2451"/>
      <c r="H1983" s="2451"/>
      <c r="I1983" s="2451"/>
      <c r="J1983" s="2451"/>
      <c r="K1983" s="2451"/>
      <c r="L1983" s="2453"/>
      <c r="M1983" s="2453"/>
      <c r="N1983" s="2453"/>
      <c r="O1983" s="2453"/>
      <c r="P1983" s="2453"/>
      <c r="W1983" t="s">
        <v>2062</v>
      </c>
    </row>
    <row r="1984" spans="1:23" ht="13.15" customHeight="1">
      <c r="A1984" s="2" t="s">
        <v>2215</v>
      </c>
      <c r="B1984" s="2">
        <f t="shared" si="60"/>
        <v>2020</v>
      </c>
      <c r="C1984" s="2" t="str">
        <f t="shared" si="61"/>
        <v>LIM333</v>
      </c>
      <c r="D1984" s="2">
        <v>366</v>
      </c>
      <c r="F1984" s="2451"/>
      <c r="G1984" s="2451"/>
      <c r="H1984" s="2451"/>
      <c r="I1984" s="2451"/>
      <c r="J1984" s="2451"/>
      <c r="K1984" s="2451"/>
      <c r="L1984" s="2453"/>
      <c r="M1984" s="2453"/>
      <c r="N1984" s="2453"/>
      <c r="O1984" s="2453"/>
      <c r="P1984" s="2453"/>
      <c r="W1984" t="s">
        <v>2062</v>
      </c>
    </row>
    <row r="1985" spans="1:23" ht="13.15" customHeight="1">
      <c r="A1985" s="2" t="s">
        <v>2215</v>
      </c>
      <c r="B1985" s="2">
        <f t="shared" si="60"/>
        <v>2020</v>
      </c>
      <c r="C1985" s="2" t="str">
        <f t="shared" si="61"/>
        <v>LIM333</v>
      </c>
      <c r="D1985" s="2">
        <v>367</v>
      </c>
      <c r="F1985" s="2451"/>
      <c r="G1985" s="2451"/>
      <c r="H1985" s="2451"/>
      <c r="I1985" s="2451"/>
      <c r="J1985" s="2451"/>
      <c r="K1985" s="2451"/>
      <c r="L1985" s="2453"/>
      <c r="M1985" s="2453"/>
      <c r="N1985" s="2453"/>
      <c r="O1985" s="2453"/>
      <c r="P1985" s="2453"/>
      <c r="W1985" t="s">
        <v>2062</v>
      </c>
    </row>
    <row r="1986" spans="1:23" ht="13.15" customHeight="1">
      <c r="A1986" s="2" t="s">
        <v>2215</v>
      </c>
      <c r="B1986" s="2">
        <f t="shared" ref="B1986:B2049" si="62">+MTREF</f>
        <v>2020</v>
      </c>
      <c r="C1986" s="2" t="str">
        <f t="shared" ref="C1986:C2049" si="63">LEFT(muni,(FIND(" ",muni,1)-1))</f>
        <v>LIM333</v>
      </c>
      <c r="D1986" s="2">
        <v>368</v>
      </c>
      <c r="F1986" s="2451"/>
      <c r="G1986" s="2451"/>
      <c r="H1986" s="2451"/>
      <c r="I1986" s="2451"/>
      <c r="J1986" s="2451"/>
      <c r="K1986" s="2451"/>
      <c r="L1986" s="2453"/>
      <c r="M1986" s="2453"/>
      <c r="N1986" s="2453"/>
      <c r="O1986" s="2453"/>
      <c r="P1986" s="2453"/>
      <c r="W1986" t="s">
        <v>2062</v>
      </c>
    </row>
    <row r="1987" spans="1:23" ht="13.15" customHeight="1">
      <c r="A1987" s="2" t="s">
        <v>2215</v>
      </c>
      <c r="B1987" s="2">
        <f t="shared" si="62"/>
        <v>2020</v>
      </c>
      <c r="C1987" s="2" t="str">
        <f t="shared" si="63"/>
        <v>LIM333</v>
      </c>
      <c r="D1987" s="2">
        <v>369</v>
      </c>
      <c r="F1987" s="2451"/>
      <c r="G1987" s="2451"/>
      <c r="H1987" s="2451"/>
      <c r="I1987" s="2451"/>
      <c r="J1987" s="2451"/>
      <c r="K1987" s="2451"/>
      <c r="L1987" s="2453"/>
      <c r="M1987" s="2453"/>
      <c r="N1987" s="2453"/>
      <c r="O1987" s="2453"/>
      <c r="P1987" s="2453"/>
      <c r="W1987" t="s">
        <v>2062</v>
      </c>
    </row>
    <row r="1988" spans="1:23" ht="13.15" customHeight="1">
      <c r="A1988" s="2" t="s">
        <v>2215</v>
      </c>
      <c r="B1988" s="2">
        <f t="shared" si="62"/>
        <v>2020</v>
      </c>
      <c r="C1988" s="2" t="str">
        <f t="shared" si="63"/>
        <v>LIM333</v>
      </c>
      <c r="D1988" s="2">
        <v>370</v>
      </c>
      <c r="F1988" s="2451"/>
      <c r="G1988" s="2451"/>
      <c r="H1988" s="2451"/>
      <c r="I1988" s="2451"/>
      <c r="J1988" s="2451"/>
      <c r="K1988" s="2451"/>
      <c r="L1988" s="2453"/>
      <c r="M1988" s="2453"/>
      <c r="N1988" s="2453"/>
      <c r="O1988" s="2453"/>
      <c r="P1988" s="2453"/>
      <c r="W1988" t="s">
        <v>2062</v>
      </c>
    </row>
    <row r="1989" spans="1:23" ht="13.15" customHeight="1">
      <c r="A1989" s="2" t="s">
        <v>2215</v>
      </c>
      <c r="B1989" s="2">
        <f t="shared" si="62"/>
        <v>2020</v>
      </c>
      <c r="C1989" s="2" t="str">
        <f t="shared" si="63"/>
        <v>LIM333</v>
      </c>
      <c r="D1989" s="2">
        <v>371</v>
      </c>
      <c r="F1989" s="2451"/>
      <c r="G1989" s="2451"/>
      <c r="H1989" s="2451"/>
      <c r="I1989" s="2451"/>
      <c r="J1989" s="2451"/>
      <c r="K1989" s="2451"/>
      <c r="L1989" s="2453"/>
      <c r="M1989" s="2453"/>
      <c r="N1989" s="2453"/>
      <c r="O1989" s="2453"/>
      <c r="P1989" s="2453"/>
      <c r="W1989" t="s">
        <v>2062</v>
      </c>
    </row>
    <row r="1990" spans="1:23" ht="13.15" customHeight="1">
      <c r="A1990" s="2" t="s">
        <v>2215</v>
      </c>
      <c r="B1990" s="2">
        <f t="shared" si="62"/>
        <v>2020</v>
      </c>
      <c r="C1990" s="2" t="str">
        <f t="shared" si="63"/>
        <v>LIM333</v>
      </c>
      <c r="D1990" s="2">
        <v>372</v>
      </c>
      <c r="F1990" s="2451"/>
      <c r="G1990" s="2451"/>
      <c r="H1990" s="2451"/>
      <c r="I1990" s="2451"/>
      <c r="J1990" s="2451"/>
      <c r="K1990" s="2451"/>
      <c r="L1990" s="2453"/>
      <c r="M1990" s="2453"/>
      <c r="N1990" s="2453"/>
      <c r="O1990" s="2453"/>
      <c r="P1990" s="2453"/>
      <c r="W1990" t="s">
        <v>2062</v>
      </c>
    </row>
    <row r="1991" spans="1:23" ht="13.15" customHeight="1">
      <c r="A1991" s="2" t="s">
        <v>2215</v>
      </c>
      <c r="B1991" s="2">
        <f t="shared" si="62"/>
        <v>2020</v>
      </c>
      <c r="C1991" s="2" t="str">
        <f t="shared" si="63"/>
        <v>LIM333</v>
      </c>
      <c r="D1991" s="2">
        <v>373</v>
      </c>
      <c r="F1991" s="2451"/>
      <c r="G1991" s="2451"/>
      <c r="H1991" s="2451"/>
      <c r="I1991" s="2451"/>
      <c r="J1991" s="2451"/>
      <c r="K1991" s="2451"/>
      <c r="L1991" s="2453"/>
      <c r="M1991" s="2453"/>
      <c r="N1991" s="2453"/>
      <c r="O1991" s="2453"/>
      <c r="P1991" s="2453"/>
      <c r="W1991" t="s">
        <v>2062</v>
      </c>
    </row>
    <row r="1992" spans="1:23" ht="13.15" customHeight="1">
      <c r="A1992" s="2" t="s">
        <v>2215</v>
      </c>
      <c r="B1992" s="2">
        <f t="shared" si="62"/>
        <v>2020</v>
      </c>
      <c r="C1992" s="2" t="str">
        <f t="shared" si="63"/>
        <v>LIM333</v>
      </c>
      <c r="D1992" s="2">
        <v>374</v>
      </c>
      <c r="F1992" s="2451"/>
      <c r="G1992" s="2451"/>
      <c r="H1992" s="2451"/>
      <c r="I1992" s="2451"/>
      <c r="J1992" s="2451"/>
      <c r="K1992" s="2451"/>
      <c r="L1992" s="2453"/>
      <c r="M1992" s="2453"/>
      <c r="N1992" s="2453"/>
      <c r="O1992" s="2453"/>
      <c r="P1992" s="2453"/>
      <c r="W1992" t="s">
        <v>2062</v>
      </c>
    </row>
    <row r="1993" spans="1:23" ht="13.15" customHeight="1">
      <c r="A1993" s="2" t="s">
        <v>2215</v>
      </c>
      <c r="B1993" s="2">
        <f t="shared" si="62"/>
        <v>2020</v>
      </c>
      <c r="C1993" s="2" t="str">
        <f t="shared" si="63"/>
        <v>LIM333</v>
      </c>
      <c r="D1993" s="2">
        <v>375</v>
      </c>
      <c r="F1993" s="2451"/>
      <c r="G1993" s="2451"/>
      <c r="H1993" s="2451"/>
      <c r="I1993" s="2451"/>
      <c r="J1993" s="2451"/>
      <c r="K1993" s="2451"/>
      <c r="L1993" s="2453"/>
      <c r="M1993" s="2453"/>
      <c r="N1993" s="2453"/>
      <c r="O1993" s="2453"/>
      <c r="P1993" s="2453"/>
      <c r="W1993" t="s">
        <v>2062</v>
      </c>
    </row>
    <row r="1994" spans="1:23" ht="13.15" customHeight="1">
      <c r="A1994" s="2" t="s">
        <v>2215</v>
      </c>
      <c r="B1994" s="2">
        <f t="shared" si="62"/>
        <v>2020</v>
      </c>
      <c r="C1994" s="2" t="str">
        <f t="shared" si="63"/>
        <v>LIM333</v>
      </c>
      <c r="D1994" s="2">
        <v>376</v>
      </c>
      <c r="F1994" s="2451"/>
      <c r="G1994" s="2451"/>
      <c r="H1994" s="2451"/>
      <c r="I1994" s="2451"/>
      <c r="J1994" s="2451"/>
      <c r="K1994" s="2451"/>
      <c r="L1994" s="2453"/>
      <c r="M1994" s="2453"/>
      <c r="N1994" s="2453"/>
      <c r="O1994" s="2453"/>
      <c r="P1994" s="2453"/>
      <c r="W1994" t="s">
        <v>2062</v>
      </c>
    </row>
    <row r="1995" spans="1:23" ht="13.15" customHeight="1">
      <c r="A1995" s="2" t="s">
        <v>2215</v>
      </c>
      <c r="B1995" s="2">
        <f t="shared" si="62"/>
        <v>2020</v>
      </c>
      <c r="C1995" s="2" t="str">
        <f t="shared" si="63"/>
        <v>LIM333</v>
      </c>
      <c r="D1995" s="2">
        <v>377</v>
      </c>
      <c r="F1995" s="2451"/>
      <c r="G1995" s="2451"/>
      <c r="H1995" s="2451"/>
      <c r="I1995" s="2451"/>
      <c r="J1995" s="2451"/>
      <c r="K1995" s="2451"/>
      <c r="L1995" s="2453"/>
      <c r="M1995" s="2453"/>
      <c r="N1995" s="2453"/>
      <c r="O1995" s="2453"/>
      <c r="P1995" s="2453"/>
      <c r="W1995" t="s">
        <v>2062</v>
      </c>
    </row>
    <row r="1996" spans="1:23" ht="13.15" customHeight="1">
      <c r="A1996" s="2" t="s">
        <v>2215</v>
      </c>
      <c r="B1996" s="2">
        <f t="shared" si="62"/>
        <v>2020</v>
      </c>
      <c r="C1996" s="2" t="str">
        <f t="shared" si="63"/>
        <v>LIM333</v>
      </c>
      <c r="D1996" s="2">
        <v>378</v>
      </c>
      <c r="F1996" s="2451"/>
      <c r="G1996" s="2451"/>
      <c r="H1996" s="2451"/>
      <c r="I1996" s="2451"/>
      <c r="J1996" s="2451"/>
      <c r="K1996" s="2451"/>
      <c r="L1996" s="2453"/>
      <c r="M1996" s="2453"/>
      <c r="N1996" s="2453"/>
      <c r="O1996" s="2453"/>
      <c r="P1996" s="2453"/>
      <c r="W1996" t="s">
        <v>2062</v>
      </c>
    </row>
    <row r="1997" spans="1:23" ht="13.15" customHeight="1">
      <c r="A1997" s="2" t="s">
        <v>2215</v>
      </c>
      <c r="B1997" s="2">
        <f t="shared" si="62"/>
        <v>2020</v>
      </c>
      <c r="C1997" s="2" t="str">
        <f t="shared" si="63"/>
        <v>LIM333</v>
      </c>
      <c r="D1997" s="2">
        <v>379</v>
      </c>
      <c r="F1997" s="2451"/>
      <c r="G1997" s="2451"/>
      <c r="H1997" s="2451"/>
      <c r="I1997" s="2451"/>
      <c r="J1997" s="2451"/>
      <c r="K1997" s="2451"/>
      <c r="L1997" s="2453"/>
      <c r="M1997" s="2453"/>
      <c r="N1997" s="2453"/>
      <c r="O1997" s="2453"/>
      <c r="P1997" s="2453"/>
      <c r="W1997" t="s">
        <v>2062</v>
      </c>
    </row>
    <row r="1998" spans="1:23" ht="13.15" customHeight="1">
      <c r="A1998" s="2" t="s">
        <v>2215</v>
      </c>
      <c r="B1998" s="2">
        <f t="shared" si="62"/>
        <v>2020</v>
      </c>
      <c r="C1998" s="2" t="str">
        <f t="shared" si="63"/>
        <v>LIM333</v>
      </c>
      <c r="D1998" s="2">
        <v>380</v>
      </c>
      <c r="F1998" s="2451"/>
      <c r="G1998" s="2451"/>
      <c r="H1998" s="2451"/>
      <c r="I1998" s="2451"/>
      <c r="J1998" s="2451"/>
      <c r="K1998" s="2451"/>
      <c r="L1998" s="2453"/>
      <c r="M1998" s="2453"/>
      <c r="N1998" s="2453"/>
      <c r="O1998" s="2453"/>
      <c r="P1998" s="2453"/>
      <c r="W1998" t="s">
        <v>2062</v>
      </c>
    </row>
    <row r="1999" spans="1:23" ht="13.15" customHeight="1">
      <c r="A1999" s="2" t="s">
        <v>2215</v>
      </c>
      <c r="B1999" s="2">
        <f t="shared" si="62"/>
        <v>2020</v>
      </c>
      <c r="C1999" s="2" t="str">
        <f t="shared" si="63"/>
        <v>LIM333</v>
      </c>
      <c r="D1999" s="2">
        <v>381</v>
      </c>
      <c r="F1999" s="2451"/>
      <c r="G1999" s="2451"/>
      <c r="H1999" s="2451"/>
      <c r="I1999" s="2451"/>
      <c r="J1999" s="2451"/>
      <c r="K1999" s="2451"/>
      <c r="L1999" s="2453"/>
      <c r="M1999" s="2453"/>
      <c r="N1999" s="2453"/>
      <c r="O1999" s="2453"/>
      <c r="P1999" s="2453"/>
      <c r="W1999" t="s">
        <v>2062</v>
      </c>
    </row>
    <row r="2000" spans="1:23" ht="13.15" customHeight="1">
      <c r="A2000" s="2" t="s">
        <v>2215</v>
      </c>
      <c r="B2000" s="2">
        <f t="shared" si="62"/>
        <v>2020</v>
      </c>
      <c r="C2000" s="2" t="str">
        <f t="shared" si="63"/>
        <v>LIM333</v>
      </c>
      <c r="D2000" s="2">
        <v>382</v>
      </c>
      <c r="F2000" s="2451"/>
      <c r="G2000" s="2451"/>
      <c r="H2000" s="2451"/>
      <c r="I2000" s="2451"/>
      <c r="J2000" s="2451"/>
      <c r="K2000" s="2451"/>
      <c r="L2000" s="2453"/>
      <c r="M2000" s="2453"/>
      <c r="N2000" s="2453"/>
      <c r="O2000" s="2453"/>
      <c r="P2000" s="2453"/>
      <c r="W2000" t="s">
        <v>2062</v>
      </c>
    </row>
    <row r="2001" spans="1:23" ht="13.15" customHeight="1">
      <c r="A2001" s="2" t="s">
        <v>2215</v>
      </c>
      <c r="B2001" s="2">
        <f t="shared" si="62"/>
        <v>2020</v>
      </c>
      <c r="C2001" s="2" t="str">
        <f t="shared" si="63"/>
        <v>LIM333</v>
      </c>
      <c r="D2001" s="2">
        <v>383</v>
      </c>
      <c r="F2001" s="2451"/>
      <c r="G2001" s="2451"/>
      <c r="H2001" s="2451"/>
      <c r="I2001" s="2451"/>
      <c r="J2001" s="2451"/>
      <c r="K2001" s="2451"/>
      <c r="L2001" s="2453"/>
      <c r="M2001" s="2453"/>
      <c r="N2001" s="2453"/>
      <c r="O2001" s="2453"/>
      <c r="P2001" s="2453"/>
      <c r="W2001" t="s">
        <v>2062</v>
      </c>
    </row>
    <row r="2002" spans="1:23" ht="13.15" customHeight="1">
      <c r="A2002" s="2" t="s">
        <v>2215</v>
      </c>
      <c r="B2002" s="2">
        <f t="shared" si="62"/>
        <v>2020</v>
      </c>
      <c r="C2002" s="2" t="str">
        <f t="shared" si="63"/>
        <v>LIM333</v>
      </c>
      <c r="D2002" s="2">
        <v>384</v>
      </c>
      <c r="F2002" s="2451"/>
      <c r="G2002" s="2451"/>
      <c r="H2002" s="2451"/>
      <c r="I2002" s="2451"/>
      <c r="J2002" s="2451"/>
      <c r="K2002" s="2451"/>
      <c r="L2002" s="2453"/>
      <c r="M2002" s="2453"/>
      <c r="N2002" s="2453"/>
      <c r="O2002" s="2453"/>
      <c r="P2002" s="2453"/>
      <c r="W2002" t="s">
        <v>2062</v>
      </c>
    </row>
    <row r="2003" spans="1:23" ht="13.15" customHeight="1">
      <c r="A2003" s="2" t="s">
        <v>2215</v>
      </c>
      <c r="B2003" s="2">
        <f t="shared" si="62"/>
        <v>2020</v>
      </c>
      <c r="C2003" s="2" t="str">
        <f t="shared" si="63"/>
        <v>LIM333</v>
      </c>
      <c r="D2003" s="2">
        <v>385</v>
      </c>
      <c r="F2003" s="2451"/>
      <c r="G2003" s="2451"/>
      <c r="H2003" s="2451"/>
      <c r="I2003" s="2451"/>
      <c r="J2003" s="2451"/>
      <c r="K2003" s="2451"/>
      <c r="L2003" s="2453"/>
      <c r="M2003" s="2453"/>
      <c r="N2003" s="2453"/>
      <c r="O2003" s="2453"/>
      <c r="P2003" s="2453"/>
      <c r="W2003" t="s">
        <v>2062</v>
      </c>
    </row>
    <row r="2004" spans="1:23" ht="13.15" customHeight="1">
      <c r="A2004" s="2" t="s">
        <v>2215</v>
      </c>
      <c r="B2004" s="2">
        <f t="shared" si="62"/>
        <v>2020</v>
      </c>
      <c r="C2004" s="2" t="str">
        <f t="shared" si="63"/>
        <v>LIM333</v>
      </c>
      <c r="D2004" s="2">
        <v>386</v>
      </c>
      <c r="F2004" s="2451"/>
      <c r="G2004" s="2451"/>
      <c r="H2004" s="2451"/>
      <c r="I2004" s="2451"/>
      <c r="J2004" s="2451"/>
      <c r="K2004" s="2451"/>
      <c r="L2004" s="2453"/>
      <c r="M2004" s="2453"/>
      <c r="N2004" s="2453"/>
      <c r="O2004" s="2453"/>
      <c r="P2004" s="2453"/>
      <c r="W2004" t="s">
        <v>2062</v>
      </c>
    </row>
    <row r="2005" spans="1:23" ht="13.15" customHeight="1">
      <c r="A2005" s="2" t="s">
        <v>2215</v>
      </c>
      <c r="B2005" s="2">
        <f t="shared" si="62"/>
        <v>2020</v>
      </c>
      <c r="C2005" s="2" t="str">
        <f t="shared" si="63"/>
        <v>LIM333</v>
      </c>
      <c r="D2005" s="2">
        <v>387</v>
      </c>
      <c r="F2005" s="2451"/>
      <c r="G2005" s="2451"/>
      <c r="H2005" s="2451"/>
      <c r="I2005" s="2451"/>
      <c r="J2005" s="2451"/>
      <c r="K2005" s="2451"/>
      <c r="L2005" s="2453"/>
      <c r="M2005" s="2453"/>
      <c r="N2005" s="2453"/>
      <c r="O2005" s="2453"/>
      <c r="P2005" s="2453"/>
      <c r="W2005" t="s">
        <v>2062</v>
      </c>
    </row>
    <row r="2006" spans="1:23" ht="13.15" customHeight="1">
      <c r="A2006" s="2" t="s">
        <v>2215</v>
      </c>
      <c r="B2006" s="2">
        <f t="shared" si="62"/>
        <v>2020</v>
      </c>
      <c r="C2006" s="2" t="str">
        <f t="shared" si="63"/>
        <v>LIM333</v>
      </c>
      <c r="D2006" s="2">
        <v>388</v>
      </c>
      <c r="F2006" s="2451"/>
      <c r="G2006" s="2451"/>
      <c r="H2006" s="2451"/>
      <c r="I2006" s="2451"/>
      <c r="J2006" s="2451"/>
      <c r="K2006" s="2451"/>
      <c r="L2006" s="2453"/>
      <c r="M2006" s="2453"/>
      <c r="N2006" s="2453"/>
      <c r="O2006" s="2453"/>
      <c r="P2006" s="2453"/>
      <c r="W2006" t="s">
        <v>2062</v>
      </c>
    </row>
    <row r="2007" spans="1:23" ht="13.15" customHeight="1">
      <c r="A2007" s="2" t="s">
        <v>2215</v>
      </c>
      <c r="B2007" s="2">
        <f t="shared" si="62"/>
        <v>2020</v>
      </c>
      <c r="C2007" s="2" t="str">
        <f t="shared" si="63"/>
        <v>LIM333</v>
      </c>
      <c r="D2007" s="2">
        <v>389</v>
      </c>
      <c r="F2007" s="2451"/>
      <c r="G2007" s="2451"/>
      <c r="H2007" s="2451"/>
      <c r="I2007" s="2451"/>
      <c r="J2007" s="2451"/>
      <c r="K2007" s="2451"/>
      <c r="L2007" s="2453"/>
      <c r="M2007" s="2453"/>
      <c r="N2007" s="2453"/>
      <c r="O2007" s="2453"/>
      <c r="P2007" s="2453"/>
      <c r="W2007" t="s">
        <v>2062</v>
      </c>
    </row>
    <row r="2008" spans="1:23" ht="13.15" customHeight="1">
      <c r="A2008" s="2" t="s">
        <v>2215</v>
      </c>
      <c r="B2008" s="2">
        <f t="shared" si="62"/>
        <v>2020</v>
      </c>
      <c r="C2008" s="2" t="str">
        <f t="shared" si="63"/>
        <v>LIM333</v>
      </c>
      <c r="D2008" s="2">
        <v>390</v>
      </c>
      <c r="F2008" s="2451"/>
      <c r="G2008" s="2451"/>
      <c r="H2008" s="2451"/>
      <c r="I2008" s="2451"/>
      <c r="J2008" s="2451"/>
      <c r="K2008" s="2451"/>
      <c r="L2008" s="2453"/>
      <c r="M2008" s="2453"/>
      <c r="N2008" s="2453"/>
      <c r="O2008" s="2453"/>
      <c r="P2008" s="2453"/>
      <c r="W2008" t="s">
        <v>2062</v>
      </c>
    </row>
    <row r="2009" spans="1:23" ht="13.15" customHeight="1">
      <c r="A2009" s="2" t="s">
        <v>2215</v>
      </c>
      <c r="B2009" s="2">
        <f t="shared" si="62"/>
        <v>2020</v>
      </c>
      <c r="C2009" s="2" t="str">
        <f t="shared" si="63"/>
        <v>LIM333</v>
      </c>
      <c r="D2009" s="2">
        <v>391</v>
      </c>
      <c r="F2009" s="2451"/>
      <c r="G2009" s="2451"/>
      <c r="H2009" s="2451"/>
      <c r="I2009" s="2451"/>
      <c r="J2009" s="2451"/>
      <c r="K2009" s="2451"/>
      <c r="L2009" s="2453"/>
      <c r="M2009" s="2453"/>
      <c r="N2009" s="2453"/>
      <c r="O2009" s="2453"/>
      <c r="P2009" s="2453"/>
      <c r="W2009" t="s">
        <v>2062</v>
      </c>
    </row>
    <row r="2010" spans="1:23" ht="13.15" customHeight="1">
      <c r="A2010" s="2" t="s">
        <v>2215</v>
      </c>
      <c r="B2010" s="2">
        <f t="shared" si="62"/>
        <v>2020</v>
      </c>
      <c r="C2010" s="2" t="str">
        <f t="shared" si="63"/>
        <v>LIM333</v>
      </c>
      <c r="D2010" s="2">
        <v>392</v>
      </c>
      <c r="F2010" s="2451"/>
      <c r="G2010" s="2451"/>
      <c r="H2010" s="2451"/>
      <c r="I2010" s="2451"/>
      <c r="J2010" s="2451"/>
      <c r="K2010" s="2451"/>
      <c r="L2010" s="2453"/>
      <c r="M2010" s="2453"/>
      <c r="N2010" s="2453"/>
      <c r="O2010" s="2453"/>
      <c r="P2010" s="2453"/>
      <c r="W2010" t="s">
        <v>2062</v>
      </c>
    </row>
    <row r="2011" spans="1:23" ht="13.15" customHeight="1">
      <c r="A2011" s="2" t="s">
        <v>2215</v>
      </c>
      <c r="B2011" s="2">
        <f t="shared" si="62"/>
        <v>2020</v>
      </c>
      <c r="C2011" s="2" t="str">
        <f t="shared" si="63"/>
        <v>LIM333</v>
      </c>
      <c r="D2011" s="2">
        <v>393</v>
      </c>
      <c r="F2011" s="2451"/>
      <c r="G2011" s="2451"/>
      <c r="H2011" s="2451"/>
      <c r="I2011" s="2451"/>
      <c r="J2011" s="2451"/>
      <c r="K2011" s="2451"/>
      <c r="L2011" s="2453"/>
      <c r="M2011" s="2453"/>
      <c r="N2011" s="2453"/>
      <c r="O2011" s="2453"/>
      <c r="P2011" s="2453"/>
      <c r="W2011" t="s">
        <v>2062</v>
      </c>
    </row>
    <row r="2012" spans="1:23" ht="13.15" customHeight="1">
      <c r="A2012" s="2" t="s">
        <v>2215</v>
      </c>
      <c r="B2012" s="2">
        <f t="shared" si="62"/>
        <v>2020</v>
      </c>
      <c r="C2012" s="2" t="str">
        <f t="shared" si="63"/>
        <v>LIM333</v>
      </c>
      <c r="D2012" s="2">
        <v>394</v>
      </c>
      <c r="F2012" s="2451"/>
      <c r="G2012" s="2451"/>
      <c r="H2012" s="2451"/>
      <c r="I2012" s="2451"/>
      <c r="J2012" s="2451"/>
      <c r="K2012" s="2451"/>
      <c r="L2012" s="2453"/>
      <c r="M2012" s="2453"/>
      <c r="N2012" s="2453"/>
      <c r="O2012" s="2453"/>
      <c r="P2012" s="2453"/>
      <c r="W2012" t="s">
        <v>2062</v>
      </c>
    </row>
    <row r="2013" spans="1:23" ht="13.15" customHeight="1">
      <c r="A2013" s="2" t="s">
        <v>2215</v>
      </c>
      <c r="B2013" s="2">
        <f t="shared" si="62"/>
        <v>2020</v>
      </c>
      <c r="C2013" s="2" t="str">
        <f t="shared" si="63"/>
        <v>LIM333</v>
      </c>
      <c r="D2013" s="2">
        <v>395</v>
      </c>
      <c r="F2013" s="2451"/>
      <c r="G2013" s="2451"/>
      <c r="H2013" s="2451"/>
      <c r="I2013" s="2451"/>
      <c r="J2013" s="2451"/>
      <c r="K2013" s="2451"/>
      <c r="L2013" s="2453"/>
      <c r="M2013" s="2453"/>
      <c r="N2013" s="2453"/>
      <c r="O2013" s="2453"/>
      <c r="P2013" s="2453"/>
      <c r="W2013" t="s">
        <v>2062</v>
      </c>
    </row>
    <row r="2014" spans="1:23" ht="13.15" customHeight="1">
      <c r="A2014" s="2" t="s">
        <v>2215</v>
      </c>
      <c r="B2014" s="2">
        <f t="shared" si="62"/>
        <v>2020</v>
      </c>
      <c r="C2014" s="2" t="str">
        <f t="shared" si="63"/>
        <v>LIM333</v>
      </c>
      <c r="D2014" s="2">
        <v>396</v>
      </c>
      <c r="F2014" s="2451"/>
      <c r="G2014" s="2451"/>
      <c r="H2014" s="2451"/>
      <c r="I2014" s="2451"/>
      <c r="J2014" s="2451"/>
      <c r="K2014" s="2451"/>
      <c r="L2014" s="2453"/>
      <c r="M2014" s="2453"/>
      <c r="N2014" s="2453"/>
      <c r="O2014" s="2453"/>
      <c r="P2014" s="2453"/>
      <c r="W2014" t="s">
        <v>2062</v>
      </c>
    </row>
    <row r="2015" spans="1:23" ht="13.15" customHeight="1">
      <c r="A2015" s="2" t="s">
        <v>2215</v>
      </c>
      <c r="B2015" s="2">
        <f t="shared" si="62"/>
        <v>2020</v>
      </c>
      <c r="C2015" s="2" t="str">
        <f t="shared" si="63"/>
        <v>LIM333</v>
      </c>
      <c r="D2015" s="2">
        <v>397</v>
      </c>
      <c r="F2015" s="2451"/>
      <c r="G2015" s="2451"/>
      <c r="H2015" s="2451"/>
      <c r="I2015" s="2451"/>
      <c r="J2015" s="2451"/>
      <c r="K2015" s="2451"/>
      <c r="L2015" s="2453"/>
      <c r="M2015" s="2453"/>
      <c r="N2015" s="2453"/>
      <c r="O2015" s="2453"/>
      <c r="P2015" s="2453"/>
      <c r="W2015" t="s">
        <v>2062</v>
      </c>
    </row>
    <row r="2016" spans="1:23" ht="13.15" customHeight="1">
      <c r="A2016" s="2" t="s">
        <v>2215</v>
      </c>
      <c r="B2016" s="2">
        <f t="shared" si="62"/>
        <v>2020</v>
      </c>
      <c r="C2016" s="2" t="str">
        <f t="shared" si="63"/>
        <v>LIM333</v>
      </c>
      <c r="D2016" s="2">
        <v>398</v>
      </c>
      <c r="F2016" s="2451"/>
      <c r="G2016" s="2451"/>
      <c r="H2016" s="2451"/>
      <c r="I2016" s="2451"/>
      <c r="J2016" s="2451"/>
      <c r="K2016" s="2451"/>
      <c r="L2016" s="2453"/>
      <c r="M2016" s="2453"/>
      <c r="N2016" s="2453"/>
      <c r="O2016" s="2453"/>
      <c r="P2016" s="2453"/>
      <c r="W2016" t="s">
        <v>2062</v>
      </c>
    </row>
    <row r="2017" spans="1:23" ht="13.15" customHeight="1">
      <c r="A2017" s="2" t="s">
        <v>2215</v>
      </c>
      <c r="B2017" s="2">
        <f t="shared" si="62"/>
        <v>2020</v>
      </c>
      <c r="C2017" s="2" t="str">
        <f t="shared" si="63"/>
        <v>LIM333</v>
      </c>
      <c r="D2017" s="2">
        <v>399</v>
      </c>
      <c r="F2017" s="2451"/>
      <c r="G2017" s="2451"/>
      <c r="H2017" s="2451"/>
      <c r="I2017" s="2451"/>
      <c r="J2017" s="2451"/>
      <c r="K2017" s="2451"/>
      <c r="L2017" s="2453"/>
      <c r="M2017" s="2453"/>
      <c r="N2017" s="2453"/>
      <c r="O2017" s="2453"/>
      <c r="P2017" s="2453"/>
      <c r="W2017" t="s">
        <v>2062</v>
      </c>
    </row>
    <row r="2018" spans="1:23" ht="13.15" customHeight="1">
      <c r="A2018" s="2" t="s">
        <v>2215</v>
      </c>
      <c r="B2018" s="2">
        <f t="shared" si="62"/>
        <v>2020</v>
      </c>
      <c r="C2018" s="2" t="str">
        <f t="shared" si="63"/>
        <v>LIM333</v>
      </c>
      <c r="D2018" s="2">
        <v>400</v>
      </c>
      <c r="F2018" s="2451"/>
      <c r="G2018" s="2451"/>
      <c r="H2018" s="2451"/>
      <c r="I2018" s="2451"/>
      <c r="J2018" s="2451"/>
      <c r="K2018" s="2451"/>
      <c r="L2018" s="2453"/>
      <c r="M2018" s="2453"/>
      <c r="N2018" s="2453"/>
      <c r="O2018" s="2453"/>
      <c r="P2018" s="2453"/>
      <c r="W2018" t="s">
        <v>2062</v>
      </c>
    </row>
    <row r="2019" spans="1:23" ht="13.15" customHeight="1">
      <c r="A2019" s="2" t="s">
        <v>2215</v>
      </c>
      <c r="B2019" s="2">
        <f t="shared" si="62"/>
        <v>2020</v>
      </c>
      <c r="C2019" s="2" t="str">
        <f t="shared" si="63"/>
        <v>LIM333</v>
      </c>
      <c r="D2019" s="2">
        <v>401</v>
      </c>
      <c r="F2019" s="2451"/>
      <c r="G2019" s="2451"/>
      <c r="H2019" s="2451"/>
      <c r="I2019" s="2451"/>
      <c r="J2019" s="2451"/>
      <c r="K2019" s="2451"/>
      <c r="L2019" s="2453"/>
      <c r="M2019" s="2453"/>
      <c r="N2019" s="2453"/>
      <c r="O2019" s="2453"/>
      <c r="P2019" s="2453"/>
      <c r="W2019" t="s">
        <v>2062</v>
      </c>
    </row>
    <row r="2020" spans="1:23" ht="13.15" customHeight="1">
      <c r="A2020" s="2" t="s">
        <v>2215</v>
      </c>
      <c r="B2020" s="2">
        <f t="shared" si="62"/>
        <v>2020</v>
      </c>
      <c r="C2020" s="2" t="str">
        <f t="shared" si="63"/>
        <v>LIM333</v>
      </c>
      <c r="D2020" s="2">
        <v>402</v>
      </c>
      <c r="F2020" s="2451"/>
      <c r="G2020" s="2451"/>
      <c r="H2020" s="2451"/>
      <c r="I2020" s="2451"/>
      <c r="J2020" s="2451"/>
      <c r="K2020" s="2451"/>
      <c r="L2020" s="2453"/>
      <c r="M2020" s="2453"/>
      <c r="N2020" s="2453"/>
      <c r="O2020" s="2453"/>
      <c r="P2020" s="2453"/>
      <c r="W2020" t="s">
        <v>2062</v>
      </c>
    </row>
    <row r="2021" spans="1:23" ht="13.15" customHeight="1">
      <c r="A2021" s="2" t="s">
        <v>2215</v>
      </c>
      <c r="B2021" s="2">
        <f t="shared" si="62"/>
        <v>2020</v>
      </c>
      <c r="C2021" s="2" t="str">
        <f t="shared" si="63"/>
        <v>LIM333</v>
      </c>
      <c r="D2021" s="2">
        <v>403</v>
      </c>
      <c r="F2021" s="2451"/>
      <c r="G2021" s="2451"/>
      <c r="H2021" s="2451"/>
      <c r="I2021" s="2451"/>
      <c r="J2021" s="2451"/>
      <c r="K2021" s="2451"/>
      <c r="L2021" s="2453"/>
      <c r="M2021" s="2453"/>
      <c r="N2021" s="2453"/>
      <c r="O2021" s="2453"/>
      <c r="P2021" s="2453"/>
      <c r="W2021" t="s">
        <v>2062</v>
      </c>
    </row>
    <row r="2022" spans="1:23" ht="13.15" customHeight="1">
      <c r="A2022" s="2" t="s">
        <v>2215</v>
      </c>
      <c r="B2022" s="2">
        <f t="shared" si="62"/>
        <v>2020</v>
      </c>
      <c r="C2022" s="2" t="str">
        <f t="shared" si="63"/>
        <v>LIM333</v>
      </c>
      <c r="D2022" s="2">
        <v>404</v>
      </c>
      <c r="F2022" s="2451"/>
      <c r="G2022" s="2451"/>
      <c r="H2022" s="2451"/>
      <c r="I2022" s="2451"/>
      <c r="J2022" s="2451"/>
      <c r="K2022" s="2451"/>
      <c r="L2022" s="2453"/>
      <c r="M2022" s="2453"/>
      <c r="N2022" s="2453"/>
      <c r="O2022" s="2453"/>
      <c r="P2022" s="2453"/>
      <c r="W2022" t="s">
        <v>2062</v>
      </c>
    </row>
    <row r="2023" spans="1:23" ht="13.15" customHeight="1">
      <c r="A2023" s="2" t="s">
        <v>2215</v>
      </c>
      <c r="B2023" s="2">
        <f t="shared" si="62"/>
        <v>2020</v>
      </c>
      <c r="C2023" s="2" t="str">
        <f t="shared" si="63"/>
        <v>LIM333</v>
      </c>
      <c r="D2023" s="2">
        <v>405</v>
      </c>
      <c r="F2023" s="2451"/>
      <c r="G2023" s="2451"/>
      <c r="H2023" s="2451"/>
      <c r="I2023" s="2451"/>
      <c r="J2023" s="2451"/>
      <c r="K2023" s="2451"/>
      <c r="L2023" s="2453"/>
      <c r="M2023" s="2453"/>
      <c r="N2023" s="2453"/>
      <c r="O2023" s="2453"/>
      <c r="P2023" s="2453"/>
      <c r="W2023" t="s">
        <v>2062</v>
      </c>
    </row>
    <row r="2024" spans="1:23" ht="13.15" customHeight="1">
      <c r="A2024" s="2" t="s">
        <v>2215</v>
      </c>
      <c r="B2024" s="2">
        <f t="shared" si="62"/>
        <v>2020</v>
      </c>
      <c r="C2024" s="2" t="str">
        <f t="shared" si="63"/>
        <v>LIM333</v>
      </c>
      <c r="D2024" s="2">
        <v>406</v>
      </c>
      <c r="F2024" s="2451"/>
      <c r="G2024" s="2451"/>
      <c r="H2024" s="2451"/>
      <c r="I2024" s="2451"/>
      <c r="J2024" s="2451"/>
      <c r="K2024" s="2451"/>
      <c r="L2024" s="2453"/>
      <c r="M2024" s="2453"/>
      <c r="N2024" s="2453"/>
      <c r="O2024" s="2453"/>
      <c r="P2024" s="2453"/>
      <c r="W2024" t="s">
        <v>2062</v>
      </c>
    </row>
    <row r="2025" spans="1:23" ht="13.15" customHeight="1">
      <c r="A2025" s="2" t="s">
        <v>2215</v>
      </c>
      <c r="B2025" s="2">
        <f t="shared" si="62"/>
        <v>2020</v>
      </c>
      <c r="C2025" s="2" t="str">
        <f t="shared" si="63"/>
        <v>LIM333</v>
      </c>
      <c r="D2025" s="2">
        <v>407</v>
      </c>
      <c r="F2025" s="2451"/>
      <c r="G2025" s="2451"/>
      <c r="H2025" s="2451"/>
      <c r="I2025" s="2451"/>
      <c r="J2025" s="2451"/>
      <c r="K2025" s="2451"/>
      <c r="L2025" s="2453"/>
      <c r="M2025" s="2453"/>
      <c r="N2025" s="2453"/>
      <c r="O2025" s="2453"/>
      <c r="P2025" s="2453"/>
      <c r="W2025" t="s">
        <v>2062</v>
      </c>
    </row>
    <row r="2026" spans="1:23" ht="13.15" customHeight="1">
      <c r="A2026" s="2" t="s">
        <v>2215</v>
      </c>
      <c r="B2026" s="2">
        <f t="shared" si="62"/>
        <v>2020</v>
      </c>
      <c r="C2026" s="2" t="str">
        <f t="shared" si="63"/>
        <v>LIM333</v>
      </c>
      <c r="D2026" s="2">
        <v>408</v>
      </c>
      <c r="F2026" s="2451"/>
      <c r="G2026" s="2451"/>
      <c r="H2026" s="2451"/>
      <c r="I2026" s="2451"/>
      <c r="J2026" s="2451"/>
      <c r="K2026" s="2451"/>
      <c r="L2026" s="2453"/>
      <c r="M2026" s="2453"/>
      <c r="N2026" s="2453"/>
      <c r="O2026" s="2453"/>
      <c r="P2026" s="2453"/>
      <c r="W2026" t="s">
        <v>2062</v>
      </c>
    </row>
    <row r="2027" spans="1:23" ht="13.15" customHeight="1">
      <c r="A2027" s="2" t="s">
        <v>2215</v>
      </c>
      <c r="B2027" s="2">
        <f t="shared" si="62"/>
        <v>2020</v>
      </c>
      <c r="C2027" s="2" t="str">
        <f t="shared" si="63"/>
        <v>LIM333</v>
      </c>
      <c r="D2027" s="2">
        <v>409</v>
      </c>
      <c r="F2027" s="2451"/>
      <c r="G2027" s="2451"/>
      <c r="H2027" s="2451"/>
      <c r="I2027" s="2451"/>
      <c r="J2027" s="2451"/>
      <c r="K2027" s="2451"/>
      <c r="L2027" s="2453"/>
      <c r="M2027" s="2453"/>
      <c r="N2027" s="2453"/>
      <c r="O2027" s="2453"/>
      <c r="P2027" s="2453"/>
      <c r="W2027" t="s">
        <v>2062</v>
      </c>
    </row>
    <row r="2028" spans="1:23" ht="13.15" customHeight="1">
      <c r="A2028" s="2" t="s">
        <v>2215</v>
      </c>
      <c r="B2028" s="2">
        <f t="shared" si="62"/>
        <v>2020</v>
      </c>
      <c r="C2028" s="2" t="str">
        <f t="shared" si="63"/>
        <v>LIM333</v>
      </c>
      <c r="D2028" s="2">
        <v>410</v>
      </c>
      <c r="F2028" s="2451"/>
      <c r="G2028" s="2451"/>
      <c r="H2028" s="2451"/>
      <c r="I2028" s="2451"/>
      <c r="J2028" s="2451"/>
      <c r="K2028" s="2451"/>
      <c r="L2028" s="2453"/>
      <c r="M2028" s="2453"/>
      <c r="N2028" s="2453"/>
      <c r="O2028" s="2453"/>
      <c r="P2028" s="2453"/>
      <c r="W2028" t="s">
        <v>2062</v>
      </c>
    </row>
    <row r="2029" spans="1:23" ht="13.15" customHeight="1">
      <c r="A2029" s="2" t="s">
        <v>2215</v>
      </c>
      <c r="B2029" s="2">
        <f t="shared" si="62"/>
        <v>2020</v>
      </c>
      <c r="C2029" s="2" t="str">
        <f t="shared" si="63"/>
        <v>LIM333</v>
      </c>
      <c r="D2029" s="2">
        <v>411</v>
      </c>
      <c r="F2029" s="2451"/>
      <c r="G2029" s="2451"/>
      <c r="H2029" s="2451"/>
      <c r="I2029" s="2451"/>
      <c r="J2029" s="2451"/>
      <c r="K2029" s="2451"/>
      <c r="L2029" s="2453"/>
      <c r="M2029" s="2453"/>
      <c r="N2029" s="2453"/>
      <c r="O2029" s="2453"/>
      <c r="P2029" s="2453"/>
      <c r="W2029" t="s">
        <v>2062</v>
      </c>
    </row>
    <row r="2030" spans="1:23" ht="13.15" customHeight="1">
      <c r="A2030" s="2" t="s">
        <v>2215</v>
      </c>
      <c r="B2030" s="2">
        <f t="shared" si="62"/>
        <v>2020</v>
      </c>
      <c r="C2030" s="2" t="str">
        <f t="shared" si="63"/>
        <v>LIM333</v>
      </c>
      <c r="D2030" s="2">
        <v>412</v>
      </c>
      <c r="F2030" s="2451"/>
      <c r="G2030" s="2451"/>
      <c r="H2030" s="2451"/>
      <c r="I2030" s="2451"/>
      <c r="J2030" s="2451"/>
      <c r="K2030" s="2451"/>
      <c r="L2030" s="2453"/>
      <c r="M2030" s="2453"/>
      <c r="N2030" s="2453"/>
      <c r="O2030" s="2453"/>
      <c r="P2030" s="2453"/>
      <c r="W2030" t="s">
        <v>2062</v>
      </c>
    </row>
    <row r="2031" spans="1:23" ht="13.15" customHeight="1">
      <c r="A2031" s="2" t="s">
        <v>2215</v>
      </c>
      <c r="B2031" s="2">
        <f t="shared" si="62"/>
        <v>2020</v>
      </c>
      <c r="C2031" s="2" t="str">
        <f t="shared" si="63"/>
        <v>LIM333</v>
      </c>
      <c r="D2031" s="2">
        <v>413</v>
      </c>
      <c r="F2031" s="2451"/>
      <c r="G2031" s="2451"/>
      <c r="H2031" s="2451"/>
      <c r="I2031" s="2451"/>
      <c r="J2031" s="2451"/>
      <c r="K2031" s="2451"/>
      <c r="L2031" s="2453"/>
      <c r="M2031" s="2453"/>
      <c r="N2031" s="2453"/>
      <c r="O2031" s="2453"/>
      <c r="P2031" s="2453"/>
      <c r="W2031" t="s">
        <v>2062</v>
      </c>
    </row>
    <row r="2032" spans="1:23" ht="13.15" customHeight="1">
      <c r="A2032" s="2" t="s">
        <v>2215</v>
      </c>
      <c r="B2032" s="2">
        <f t="shared" si="62"/>
        <v>2020</v>
      </c>
      <c r="C2032" s="2" t="str">
        <f t="shared" si="63"/>
        <v>LIM333</v>
      </c>
      <c r="D2032" s="2">
        <v>414</v>
      </c>
      <c r="F2032" s="2451"/>
      <c r="G2032" s="2451"/>
      <c r="H2032" s="2451"/>
      <c r="I2032" s="2451"/>
      <c r="J2032" s="2451"/>
      <c r="K2032" s="2451"/>
      <c r="L2032" s="2453"/>
      <c r="M2032" s="2453"/>
      <c r="N2032" s="2453"/>
      <c r="O2032" s="2453"/>
      <c r="P2032" s="2453"/>
      <c r="W2032" t="s">
        <v>2062</v>
      </c>
    </row>
    <row r="2033" spans="1:23" ht="13.15" customHeight="1">
      <c r="A2033" s="2" t="s">
        <v>2215</v>
      </c>
      <c r="B2033" s="2">
        <f t="shared" si="62"/>
        <v>2020</v>
      </c>
      <c r="C2033" s="2" t="str">
        <f t="shared" si="63"/>
        <v>LIM333</v>
      </c>
      <c r="D2033" s="2">
        <v>415</v>
      </c>
      <c r="F2033" s="2451"/>
      <c r="G2033" s="2451"/>
      <c r="H2033" s="2451"/>
      <c r="I2033" s="2451"/>
      <c r="J2033" s="2451"/>
      <c r="K2033" s="2451"/>
      <c r="L2033" s="2453"/>
      <c r="M2033" s="2453"/>
      <c r="N2033" s="2453"/>
      <c r="O2033" s="2453"/>
      <c r="P2033" s="2453"/>
      <c r="W2033" t="s">
        <v>2062</v>
      </c>
    </row>
    <row r="2034" spans="1:23" ht="13.15" customHeight="1">
      <c r="A2034" s="2" t="s">
        <v>2215</v>
      </c>
      <c r="B2034" s="2">
        <f t="shared" si="62"/>
        <v>2020</v>
      </c>
      <c r="C2034" s="2" t="str">
        <f t="shared" si="63"/>
        <v>LIM333</v>
      </c>
      <c r="D2034" s="2">
        <v>416</v>
      </c>
      <c r="F2034" s="2451"/>
      <c r="G2034" s="2451"/>
      <c r="H2034" s="2451"/>
      <c r="I2034" s="2451"/>
      <c r="J2034" s="2451"/>
      <c r="K2034" s="2451"/>
      <c r="L2034" s="2453"/>
      <c r="M2034" s="2453"/>
      <c r="N2034" s="2453"/>
      <c r="O2034" s="2453"/>
      <c r="P2034" s="2453"/>
      <c r="W2034" t="s">
        <v>2062</v>
      </c>
    </row>
    <row r="2035" spans="1:23" ht="13.15" customHeight="1">
      <c r="A2035" s="2" t="s">
        <v>2215</v>
      </c>
      <c r="B2035" s="2">
        <f t="shared" si="62"/>
        <v>2020</v>
      </c>
      <c r="C2035" s="2" t="str">
        <f t="shared" si="63"/>
        <v>LIM333</v>
      </c>
      <c r="D2035" s="2">
        <v>417</v>
      </c>
      <c r="F2035" s="2451"/>
      <c r="G2035" s="2451"/>
      <c r="H2035" s="2451"/>
      <c r="I2035" s="2451"/>
      <c r="J2035" s="2451"/>
      <c r="K2035" s="2451"/>
      <c r="L2035" s="2453"/>
      <c r="M2035" s="2453"/>
      <c r="N2035" s="2453"/>
      <c r="O2035" s="2453"/>
      <c r="P2035" s="2453"/>
      <c r="W2035" t="s">
        <v>2062</v>
      </c>
    </row>
    <row r="2036" spans="1:23" ht="13.15" customHeight="1">
      <c r="A2036" s="2" t="s">
        <v>2215</v>
      </c>
      <c r="B2036" s="2">
        <f t="shared" si="62"/>
        <v>2020</v>
      </c>
      <c r="C2036" s="2" t="str">
        <f t="shared" si="63"/>
        <v>LIM333</v>
      </c>
      <c r="D2036" s="2">
        <v>418</v>
      </c>
      <c r="F2036" s="2451"/>
      <c r="G2036" s="2451"/>
      <c r="H2036" s="2451"/>
      <c r="I2036" s="2451"/>
      <c r="J2036" s="2451"/>
      <c r="K2036" s="2451"/>
      <c r="L2036" s="2453"/>
      <c r="M2036" s="2453"/>
      <c r="N2036" s="2453"/>
      <c r="O2036" s="2453"/>
      <c r="P2036" s="2453"/>
      <c r="W2036" t="s">
        <v>2062</v>
      </c>
    </row>
    <row r="2037" spans="1:23" ht="13.15" customHeight="1">
      <c r="A2037" s="2" t="s">
        <v>2215</v>
      </c>
      <c r="B2037" s="2">
        <f t="shared" si="62"/>
        <v>2020</v>
      </c>
      <c r="C2037" s="2" t="str">
        <f t="shared" si="63"/>
        <v>LIM333</v>
      </c>
      <c r="D2037" s="2">
        <v>419</v>
      </c>
      <c r="F2037" s="2451"/>
      <c r="G2037" s="2451"/>
      <c r="H2037" s="2451"/>
      <c r="I2037" s="2451"/>
      <c r="J2037" s="2451"/>
      <c r="K2037" s="2451"/>
      <c r="L2037" s="2453"/>
      <c r="M2037" s="2453"/>
      <c r="N2037" s="2453"/>
      <c r="O2037" s="2453"/>
      <c r="P2037" s="2453"/>
      <c r="W2037" t="s">
        <v>2062</v>
      </c>
    </row>
    <row r="2038" spans="1:23" ht="13.15" customHeight="1">
      <c r="A2038" s="2" t="s">
        <v>2215</v>
      </c>
      <c r="B2038" s="2">
        <f t="shared" si="62"/>
        <v>2020</v>
      </c>
      <c r="C2038" s="2" t="str">
        <f t="shared" si="63"/>
        <v>LIM333</v>
      </c>
      <c r="D2038" s="2">
        <v>420</v>
      </c>
      <c r="F2038" s="2451"/>
      <c r="G2038" s="2451"/>
      <c r="H2038" s="2451"/>
      <c r="I2038" s="2451"/>
      <c r="J2038" s="2451"/>
      <c r="K2038" s="2451"/>
      <c r="L2038" s="2453"/>
      <c r="M2038" s="2453"/>
      <c r="N2038" s="2453"/>
      <c r="O2038" s="2453"/>
      <c r="P2038" s="2453"/>
      <c r="W2038" t="s">
        <v>2062</v>
      </c>
    </row>
    <row r="2039" spans="1:23" ht="13.15" customHeight="1">
      <c r="A2039" s="2" t="s">
        <v>2215</v>
      </c>
      <c r="B2039" s="2">
        <f t="shared" si="62"/>
        <v>2020</v>
      </c>
      <c r="C2039" s="2" t="str">
        <f t="shared" si="63"/>
        <v>LIM333</v>
      </c>
      <c r="D2039" s="2">
        <v>421</v>
      </c>
      <c r="F2039" s="2451"/>
      <c r="G2039" s="2451"/>
      <c r="H2039" s="2451"/>
      <c r="I2039" s="2451"/>
      <c r="J2039" s="2451"/>
      <c r="K2039" s="2451"/>
      <c r="L2039" s="2453"/>
      <c r="M2039" s="2453"/>
      <c r="N2039" s="2453"/>
      <c r="O2039" s="2453"/>
      <c r="P2039" s="2453"/>
      <c r="W2039" t="s">
        <v>2062</v>
      </c>
    </row>
    <row r="2040" spans="1:23" ht="13.15" customHeight="1">
      <c r="A2040" s="2" t="s">
        <v>2215</v>
      </c>
      <c r="B2040" s="2">
        <f t="shared" si="62"/>
        <v>2020</v>
      </c>
      <c r="C2040" s="2" t="str">
        <f t="shared" si="63"/>
        <v>LIM333</v>
      </c>
      <c r="D2040" s="2">
        <v>422</v>
      </c>
      <c r="F2040" s="2451"/>
      <c r="G2040" s="2451"/>
      <c r="H2040" s="2451"/>
      <c r="I2040" s="2451"/>
      <c r="J2040" s="2451"/>
      <c r="K2040" s="2451"/>
      <c r="L2040" s="2453"/>
      <c r="M2040" s="2453"/>
      <c r="N2040" s="2453"/>
      <c r="O2040" s="2453"/>
      <c r="P2040" s="2453"/>
      <c r="W2040" t="s">
        <v>2062</v>
      </c>
    </row>
    <row r="2041" spans="1:23" ht="13.15" customHeight="1">
      <c r="A2041" s="2" t="s">
        <v>2215</v>
      </c>
      <c r="B2041" s="2">
        <f t="shared" si="62"/>
        <v>2020</v>
      </c>
      <c r="C2041" s="2" t="str">
        <f t="shared" si="63"/>
        <v>LIM333</v>
      </c>
      <c r="D2041" s="2">
        <v>423</v>
      </c>
      <c r="F2041" s="2451"/>
      <c r="G2041" s="2451"/>
      <c r="H2041" s="2451"/>
      <c r="I2041" s="2451"/>
      <c r="J2041" s="2451"/>
      <c r="K2041" s="2451"/>
      <c r="L2041" s="2453"/>
      <c r="M2041" s="2453"/>
      <c r="N2041" s="2453"/>
      <c r="O2041" s="2453"/>
      <c r="P2041" s="2453"/>
      <c r="W2041" t="s">
        <v>2062</v>
      </c>
    </row>
    <row r="2042" spans="1:23" ht="13.15" customHeight="1">
      <c r="A2042" s="2" t="s">
        <v>2215</v>
      </c>
      <c r="B2042" s="2">
        <f t="shared" si="62"/>
        <v>2020</v>
      </c>
      <c r="C2042" s="2" t="str">
        <f t="shared" si="63"/>
        <v>LIM333</v>
      </c>
      <c r="D2042" s="2">
        <v>424</v>
      </c>
      <c r="F2042" s="2451"/>
      <c r="G2042" s="2451"/>
      <c r="H2042" s="2451"/>
      <c r="I2042" s="2451"/>
      <c r="J2042" s="2451"/>
      <c r="K2042" s="2451"/>
      <c r="L2042" s="2453"/>
      <c r="M2042" s="2453"/>
      <c r="N2042" s="2453"/>
      <c r="O2042" s="2453"/>
      <c r="P2042" s="2453"/>
      <c r="W2042" t="s">
        <v>2062</v>
      </c>
    </row>
    <row r="2043" spans="1:23" ht="13.15" customHeight="1">
      <c r="A2043" s="2" t="s">
        <v>2215</v>
      </c>
      <c r="B2043" s="2">
        <f t="shared" si="62"/>
        <v>2020</v>
      </c>
      <c r="C2043" s="2" t="str">
        <f t="shared" si="63"/>
        <v>LIM333</v>
      </c>
      <c r="D2043" s="2">
        <v>425</v>
      </c>
      <c r="F2043" s="2451"/>
      <c r="G2043" s="2451"/>
      <c r="H2043" s="2451"/>
      <c r="I2043" s="2451"/>
      <c r="J2043" s="2451"/>
      <c r="K2043" s="2451"/>
      <c r="L2043" s="2453"/>
      <c r="M2043" s="2453"/>
      <c r="N2043" s="2453"/>
      <c r="O2043" s="2453"/>
      <c r="P2043" s="2453"/>
      <c r="W2043" t="s">
        <v>2062</v>
      </c>
    </row>
    <row r="2044" spans="1:23" ht="13.15" customHeight="1">
      <c r="A2044" s="2" t="s">
        <v>2215</v>
      </c>
      <c r="B2044" s="2">
        <f t="shared" si="62"/>
        <v>2020</v>
      </c>
      <c r="C2044" s="2" t="str">
        <f t="shared" si="63"/>
        <v>LIM333</v>
      </c>
      <c r="D2044" s="2">
        <v>426</v>
      </c>
      <c r="F2044" s="2451"/>
      <c r="G2044" s="2451"/>
      <c r="H2044" s="2451"/>
      <c r="I2044" s="2451"/>
      <c r="J2044" s="2451"/>
      <c r="K2044" s="2451"/>
      <c r="L2044" s="2453"/>
      <c r="M2044" s="2453"/>
      <c r="N2044" s="2453"/>
      <c r="O2044" s="2453"/>
      <c r="P2044" s="2453"/>
      <c r="W2044" t="s">
        <v>2062</v>
      </c>
    </row>
    <row r="2045" spans="1:23" ht="13.15" customHeight="1">
      <c r="A2045" s="2" t="s">
        <v>2215</v>
      </c>
      <c r="B2045" s="2">
        <f t="shared" si="62"/>
        <v>2020</v>
      </c>
      <c r="C2045" s="2" t="str">
        <f t="shared" si="63"/>
        <v>LIM333</v>
      </c>
      <c r="D2045" s="2">
        <v>427</v>
      </c>
      <c r="F2045" s="2451"/>
      <c r="G2045" s="2451"/>
      <c r="H2045" s="2451"/>
      <c r="I2045" s="2451"/>
      <c r="J2045" s="2451"/>
      <c r="K2045" s="2451"/>
      <c r="L2045" s="2453"/>
      <c r="M2045" s="2453"/>
      <c r="N2045" s="2453"/>
      <c r="O2045" s="2453"/>
      <c r="P2045" s="2453"/>
      <c r="W2045" t="s">
        <v>2062</v>
      </c>
    </row>
    <row r="2046" spans="1:23" ht="13.15" customHeight="1">
      <c r="A2046" s="2" t="s">
        <v>2215</v>
      </c>
      <c r="B2046" s="2">
        <f t="shared" si="62"/>
        <v>2020</v>
      </c>
      <c r="C2046" s="2" t="str">
        <f t="shared" si="63"/>
        <v>LIM333</v>
      </c>
      <c r="D2046" s="2">
        <v>428</v>
      </c>
      <c r="F2046" s="2451"/>
      <c r="G2046" s="2451"/>
      <c r="H2046" s="2451"/>
      <c r="I2046" s="2451"/>
      <c r="J2046" s="2451"/>
      <c r="K2046" s="2451"/>
      <c r="L2046" s="2453"/>
      <c r="M2046" s="2453"/>
      <c r="N2046" s="2453"/>
      <c r="O2046" s="2453"/>
      <c r="P2046" s="2453"/>
      <c r="W2046" t="s">
        <v>2062</v>
      </c>
    </row>
    <row r="2047" spans="1:23" ht="13.15" customHeight="1">
      <c r="A2047" s="2" t="s">
        <v>2215</v>
      </c>
      <c r="B2047" s="2">
        <f t="shared" si="62"/>
        <v>2020</v>
      </c>
      <c r="C2047" s="2" t="str">
        <f t="shared" si="63"/>
        <v>LIM333</v>
      </c>
      <c r="D2047" s="2">
        <v>429</v>
      </c>
      <c r="F2047" s="2451"/>
      <c r="G2047" s="2451"/>
      <c r="H2047" s="2451"/>
      <c r="I2047" s="2451"/>
      <c r="J2047" s="2451"/>
      <c r="K2047" s="2451"/>
      <c r="L2047" s="2453"/>
      <c r="M2047" s="2453"/>
      <c r="N2047" s="2453"/>
      <c r="O2047" s="2453"/>
      <c r="P2047" s="2453"/>
      <c r="W2047" t="s">
        <v>2062</v>
      </c>
    </row>
    <row r="2048" spans="1:23" ht="13.15" customHeight="1">
      <c r="A2048" s="2" t="s">
        <v>2215</v>
      </c>
      <c r="B2048" s="2">
        <f t="shared" si="62"/>
        <v>2020</v>
      </c>
      <c r="C2048" s="2" t="str">
        <f t="shared" si="63"/>
        <v>LIM333</v>
      </c>
      <c r="D2048" s="2">
        <v>430</v>
      </c>
      <c r="F2048" s="2451"/>
      <c r="G2048" s="2451"/>
      <c r="H2048" s="2451"/>
      <c r="I2048" s="2451"/>
      <c r="J2048" s="2451"/>
      <c r="K2048" s="2451"/>
      <c r="L2048" s="2453"/>
      <c r="M2048" s="2453"/>
      <c r="N2048" s="2453"/>
      <c r="O2048" s="2453"/>
      <c r="P2048" s="2453"/>
      <c r="W2048" t="s">
        <v>2062</v>
      </c>
    </row>
    <row r="2049" spans="1:23" ht="13.15" customHeight="1">
      <c r="A2049" s="2" t="s">
        <v>2215</v>
      </c>
      <c r="B2049" s="2">
        <f t="shared" si="62"/>
        <v>2020</v>
      </c>
      <c r="C2049" s="2" t="str">
        <f t="shared" si="63"/>
        <v>LIM333</v>
      </c>
      <c r="D2049" s="2">
        <v>431</v>
      </c>
      <c r="F2049" s="2451"/>
      <c r="G2049" s="2451"/>
      <c r="H2049" s="2451"/>
      <c r="I2049" s="2451"/>
      <c r="J2049" s="2451"/>
      <c r="K2049" s="2451"/>
      <c r="L2049" s="2453"/>
      <c r="M2049" s="2453"/>
      <c r="N2049" s="2453"/>
      <c r="O2049" s="2453"/>
      <c r="P2049" s="2453"/>
      <c r="W2049" t="s">
        <v>2062</v>
      </c>
    </row>
    <row r="2050" spans="1:23" ht="13.15" customHeight="1">
      <c r="A2050" s="2" t="s">
        <v>2215</v>
      </c>
      <c r="B2050" s="2">
        <f t="shared" ref="B2050:B2113" si="64">+MTREF</f>
        <v>2020</v>
      </c>
      <c r="C2050" s="2" t="str">
        <f t="shared" ref="C2050:C2113" si="65">LEFT(muni,(FIND(" ",muni,1)-1))</f>
        <v>LIM333</v>
      </c>
      <c r="D2050" s="2">
        <v>432</v>
      </c>
      <c r="F2050" s="2451"/>
      <c r="G2050" s="2451"/>
      <c r="H2050" s="2451"/>
      <c r="I2050" s="2451"/>
      <c r="J2050" s="2451"/>
      <c r="K2050" s="2451"/>
      <c r="L2050" s="2453"/>
      <c r="M2050" s="2453"/>
      <c r="N2050" s="2453"/>
      <c r="O2050" s="2453"/>
      <c r="P2050" s="2453"/>
      <c r="W2050" t="s">
        <v>2062</v>
      </c>
    </row>
    <row r="2051" spans="1:23" ht="13.15" customHeight="1">
      <c r="A2051" s="2" t="s">
        <v>2215</v>
      </c>
      <c r="B2051" s="2">
        <f t="shared" si="64"/>
        <v>2020</v>
      </c>
      <c r="C2051" s="2" t="str">
        <f t="shared" si="65"/>
        <v>LIM333</v>
      </c>
      <c r="D2051" s="2">
        <v>433</v>
      </c>
      <c r="F2051" s="2451"/>
      <c r="G2051" s="2451"/>
      <c r="H2051" s="2451"/>
      <c r="I2051" s="2451"/>
      <c r="J2051" s="2451"/>
      <c r="K2051" s="2451"/>
      <c r="L2051" s="2453"/>
      <c r="M2051" s="2453"/>
      <c r="N2051" s="2453"/>
      <c r="O2051" s="2453"/>
      <c r="P2051" s="2453"/>
      <c r="W2051" t="s">
        <v>2062</v>
      </c>
    </row>
    <row r="2052" spans="1:23" ht="13.15" customHeight="1">
      <c r="A2052" s="2" t="s">
        <v>2215</v>
      </c>
      <c r="B2052" s="2">
        <f t="shared" si="64"/>
        <v>2020</v>
      </c>
      <c r="C2052" s="2" t="str">
        <f t="shared" si="65"/>
        <v>LIM333</v>
      </c>
      <c r="D2052" s="2">
        <v>434</v>
      </c>
      <c r="F2052" s="2451"/>
      <c r="G2052" s="2451"/>
      <c r="H2052" s="2451"/>
      <c r="I2052" s="2451"/>
      <c r="J2052" s="2451"/>
      <c r="K2052" s="2451"/>
      <c r="L2052" s="2453"/>
      <c r="M2052" s="2453"/>
      <c r="N2052" s="2453"/>
      <c r="O2052" s="2453"/>
      <c r="P2052" s="2453"/>
      <c r="W2052" t="s">
        <v>2062</v>
      </c>
    </row>
    <row r="2053" spans="1:23" ht="13.15" customHeight="1">
      <c r="A2053" s="2" t="s">
        <v>2215</v>
      </c>
      <c r="B2053" s="2">
        <f t="shared" si="64"/>
        <v>2020</v>
      </c>
      <c r="C2053" s="2" t="str">
        <f t="shared" si="65"/>
        <v>LIM333</v>
      </c>
      <c r="D2053" s="2">
        <v>435</v>
      </c>
      <c r="F2053" s="2451"/>
      <c r="G2053" s="2451"/>
      <c r="H2053" s="2451"/>
      <c r="I2053" s="2451"/>
      <c r="J2053" s="2451"/>
      <c r="K2053" s="2451"/>
      <c r="L2053" s="2453"/>
      <c r="M2053" s="2453"/>
      <c r="N2053" s="2453"/>
      <c r="O2053" s="2453"/>
      <c r="P2053" s="2453"/>
      <c r="W2053" t="s">
        <v>2062</v>
      </c>
    </row>
    <row r="2054" spans="1:23" ht="13.15" customHeight="1">
      <c r="A2054" s="2" t="s">
        <v>2215</v>
      </c>
      <c r="B2054" s="2">
        <f t="shared" si="64"/>
        <v>2020</v>
      </c>
      <c r="C2054" s="2" t="str">
        <f t="shared" si="65"/>
        <v>LIM333</v>
      </c>
      <c r="D2054" s="2">
        <v>436</v>
      </c>
      <c r="F2054" s="2451"/>
      <c r="G2054" s="2451"/>
      <c r="H2054" s="2451"/>
      <c r="I2054" s="2451"/>
      <c r="J2054" s="2451"/>
      <c r="K2054" s="2451"/>
      <c r="L2054" s="2453"/>
      <c r="M2054" s="2453"/>
      <c r="N2054" s="2453"/>
      <c r="O2054" s="2453"/>
      <c r="P2054" s="2453"/>
      <c r="W2054" t="s">
        <v>2062</v>
      </c>
    </row>
    <row r="2055" spans="1:23" ht="13.15" customHeight="1">
      <c r="A2055" s="2" t="s">
        <v>2215</v>
      </c>
      <c r="B2055" s="2">
        <f t="shared" si="64"/>
        <v>2020</v>
      </c>
      <c r="C2055" s="2" t="str">
        <f t="shared" si="65"/>
        <v>LIM333</v>
      </c>
      <c r="D2055" s="2">
        <v>437</v>
      </c>
      <c r="F2055" s="2451"/>
      <c r="G2055" s="2451"/>
      <c r="H2055" s="2451"/>
      <c r="I2055" s="2451"/>
      <c r="J2055" s="2451"/>
      <c r="K2055" s="2451"/>
      <c r="L2055" s="2453"/>
      <c r="M2055" s="2453"/>
      <c r="N2055" s="2453"/>
      <c r="O2055" s="2453"/>
      <c r="P2055" s="2453"/>
      <c r="W2055" t="s">
        <v>2062</v>
      </c>
    </row>
    <row r="2056" spans="1:23" ht="13.15" customHeight="1">
      <c r="A2056" s="2" t="s">
        <v>2215</v>
      </c>
      <c r="B2056" s="2">
        <f t="shared" si="64"/>
        <v>2020</v>
      </c>
      <c r="C2056" s="2" t="str">
        <f t="shared" si="65"/>
        <v>LIM333</v>
      </c>
      <c r="D2056" s="2">
        <v>438</v>
      </c>
      <c r="F2056" s="2451"/>
      <c r="G2056" s="2451"/>
      <c r="H2056" s="2451"/>
      <c r="I2056" s="2451"/>
      <c r="J2056" s="2451"/>
      <c r="K2056" s="2451"/>
      <c r="L2056" s="2453"/>
      <c r="M2056" s="2453"/>
      <c r="N2056" s="2453"/>
      <c r="O2056" s="2453"/>
      <c r="P2056" s="2453"/>
      <c r="W2056" t="s">
        <v>2062</v>
      </c>
    </row>
    <row r="2057" spans="1:23" ht="13.15" customHeight="1">
      <c r="A2057" s="2" t="s">
        <v>2215</v>
      </c>
      <c r="B2057" s="2">
        <f t="shared" si="64"/>
        <v>2020</v>
      </c>
      <c r="C2057" s="2" t="str">
        <f t="shared" si="65"/>
        <v>LIM333</v>
      </c>
      <c r="D2057" s="2">
        <v>439</v>
      </c>
      <c r="F2057" s="2451"/>
      <c r="G2057" s="2451"/>
      <c r="H2057" s="2451"/>
      <c r="I2057" s="2451"/>
      <c r="J2057" s="2451"/>
      <c r="K2057" s="2451"/>
      <c r="L2057" s="2453"/>
      <c r="M2057" s="2453"/>
      <c r="N2057" s="2453"/>
      <c r="O2057" s="2453"/>
      <c r="P2057" s="2453"/>
      <c r="W2057" t="s">
        <v>2062</v>
      </c>
    </row>
    <row r="2058" spans="1:23" ht="13.15" customHeight="1">
      <c r="A2058" s="2" t="s">
        <v>2215</v>
      </c>
      <c r="B2058" s="2">
        <f t="shared" si="64"/>
        <v>2020</v>
      </c>
      <c r="C2058" s="2" t="str">
        <f t="shared" si="65"/>
        <v>LIM333</v>
      </c>
      <c r="D2058" s="2">
        <v>440</v>
      </c>
      <c r="F2058" s="2451"/>
      <c r="G2058" s="2451"/>
      <c r="H2058" s="2451"/>
      <c r="I2058" s="2451"/>
      <c r="J2058" s="2451"/>
      <c r="K2058" s="2451"/>
      <c r="L2058" s="2453"/>
      <c r="M2058" s="2453"/>
      <c r="N2058" s="2453"/>
      <c r="O2058" s="2453"/>
      <c r="P2058" s="2453"/>
      <c r="W2058" t="s">
        <v>2062</v>
      </c>
    </row>
    <row r="2059" spans="1:23" ht="13.15" customHeight="1">
      <c r="A2059" s="2" t="s">
        <v>2215</v>
      </c>
      <c r="B2059" s="2">
        <f t="shared" si="64"/>
        <v>2020</v>
      </c>
      <c r="C2059" s="2" t="str">
        <f t="shared" si="65"/>
        <v>LIM333</v>
      </c>
      <c r="D2059" s="2">
        <v>441</v>
      </c>
      <c r="F2059" s="2451"/>
      <c r="G2059" s="2451"/>
      <c r="H2059" s="2451"/>
      <c r="I2059" s="2451"/>
      <c r="J2059" s="2451"/>
      <c r="K2059" s="2451"/>
      <c r="L2059" s="2453"/>
      <c r="M2059" s="2453"/>
      <c r="N2059" s="2453"/>
      <c r="O2059" s="2453"/>
      <c r="P2059" s="2453"/>
      <c r="W2059" t="s">
        <v>2062</v>
      </c>
    </row>
    <row r="2060" spans="1:23" ht="13.15" customHeight="1">
      <c r="A2060" s="2" t="s">
        <v>2215</v>
      </c>
      <c r="B2060" s="2">
        <f t="shared" si="64"/>
        <v>2020</v>
      </c>
      <c r="C2060" s="2" t="str">
        <f t="shared" si="65"/>
        <v>LIM333</v>
      </c>
      <c r="D2060" s="2">
        <v>442</v>
      </c>
      <c r="F2060" s="2451"/>
      <c r="G2060" s="2451"/>
      <c r="H2060" s="2451"/>
      <c r="I2060" s="2451"/>
      <c r="J2060" s="2451"/>
      <c r="K2060" s="2451"/>
      <c r="L2060" s="2453"/>
      <c r="M2060" s="2453"/>
      <c r="N2060" s="2453"/>
      <c r="O2060" s="2453"/>
      <c r="P2060" s="2453"/>
      <c r="W2060" t="s">
        <v>2062</v>
      </c>
    </row>
    <row r="2061" spans="1:23" ht="13.15" customHeight="1">
      <c r="A2061" s="2" t="s">
        <v>2215</v>
      </c>
      <c r="B2061" s="2">
        <f t="shared" si="64"/>
        <v>2020</v>
      </c>
      <c r="C2061" s="2" t="str">
        <f t="shared" si="65"/>
        <v>LIM333</v>
      </c>
      <c r="D2061" s="2">
        <v>443</v>
      </c>
      <c r="F2061" s="2451"/>
      <c r="G2061" s="2451"/>
      <c r="H2061" s="2451"/>
      <c r="I2061" s="2451"/>
      <c r="J2061" s="2451"/>
      <c r="K2061" s="2451"/>
      <c r="L2061" s="2453"/>
      <c r="M2061" s="2453"/>
      <c r="N2061" s="2453"/>
      <c r="O2061" s="2453"/>
      <c r="P2061" s="2453"/>
      <c r="W2061" t="s">
        <v>2062</v>
      </c>
    </row>
    <row r="2062" spans="1:23" ht="13.15" customHeight="1">
      <c r="A2062" s="2" t="s">
        <v>2215</v>
      </c>
      <c r="B2062" s="2">
        <f t="shared" si="64"/>
        <v>2020</v>
      </c>
      <c r="C2062" s="2" t="str">
        <f t="shared" si="65"/>
        <v>LIM333</v>
      </c>
      <c r="D2062" s="2">
        <v>444</v>
      </c>
      <c r="F2062" s="2451"/>
      <c r="G2062" s="2451"/>
      <c r="H2062" s="2451"/>
      <c r="I2062" s="2451"/>
      <c r="J2062" s="2451"/>
      <c r="K2062" s="2451"/>
      <c r="L2062" s="2453"/>
      <c r="M2062" s="2453"/>
      <c r="N2062" s="2453"/>
      <c r="O2062" s="2453"/>
      <c r="P2062" s="2453"/>
      <c r="W2062" t="s">
        <v>2062</v>
      </c>
    </row>
    <row r="2063" spans="1:23" ht="13.15" customHeight="1">
      <c r="A2063" s="2" t="s">
        <v>2215</v>
      </c>
      <c r="B2063" s="2">
        <f t="shared" si="64"/>
        <v>2020</v>
      </c>
      <c r="C2063" s="2" t="str">
        <f t="shared" si="65"/>
        <v>LIM333</v>
      </c>
      <c r="D2063" s="2">
        <v>445</v>
      </c>
      <c r="F2063" s="2451"/>
      <c r="G2063" s="2451"/>
      <c r="H2063" s="2451"/>
      <c r="I2063" s="2451"/>
      <c r="J2063" s="2451"/>
      <c r="K2063" s="2451"/>
      <c r="L2063" s="2453"/>
      <c r="M2063" s="2453"/>
      <c r="N2063" s="2453"/>
      <c r="O2063" s="2453"/>
      <c r="P2063" s="2453"/>
      <c r="W2063" t="s">
        <v>2062</v>
      </c>
    </row>
    <row r="2064" spans="1:23" ht="13.15" customHeight="1">
      <c r="A2064" s="2" t="s">
        <v>2215</v>
      </c>
      <c r="B2064" s="2">
        <f t="shared" si="64"/>
        <v>2020</v>
      </c>
      <c r="C2064" s="2" t="str">
        <f t="shared" si="65"/>
        <v>LIM333</v>
      </c>
      <c r="D2064" s="2">
        <v>446</v>
      </c>
      <c r="F2064" s="2451"/>
      <c r="G2064" s="2451"/>
      <c r="H2064" s="2451"/>
      <c r="I2064" s="2451"/>
      <c r="J2064" s="2451"/>
      <c r="K2064" s="2451"/>
      <c r="L2064" s="2453"/>
      <c r="M2064" s="2453"/>
      <c r="N2064" s="2453"/>
      <c r="O2064" s="2453"/>
      <c r="P2064" s="2453"/>
      <c r="W2064" t="s">
        <v>2062</v>
      </c>
    </row>
    <row r="2065" spans="1:23" ht="13.15" customHeight="1">
      <c r="A2065" s="2" t="s">
        <v>2215</v>
      </c>
      <c r="B2065" s="2">
        <f t="shared" si="64"/>
        <v>2020</v>
      </c>
      <c r="C2065" s="2" t="str">
        <f t="shared" si="65"/>
        <v>LIM333</v>
      </c>
      <c r="D2065" s="2">
        <v>447</v>
      </c>
      <c r="F2065" s="2451"/>
      <c r="G2065" s="2451"/>
      <c r="H2065" s="2451"/>
      <c r="I2065" s="2451"/>
      <c r="J2065" s="2451"/>
      <c r="K2065" s="2451"/>
      <c r="L2065" s="2453"/>
      <c r="M2065" s="2453"/>
      <c r="N2065" s="2453"/>
      <c r="O2065" s="2453"/>
      <c r="P2065" s="2453"/>
      <c r="W2065" t="s">
        <v>2062</v>
      </c>
    </row>
    <row r="2066" spans="1:23" ht="13.15" customHeight="1">
      <c r="A2066" s="2" t="s">
        <v>2215</v>
      </c>
      <c r="B2066" s="2">
        <f t="shared" si="64"/>
        <v>2020</v>
      </c>
      <c r="C2066" s="2" t="str">
        <f t="shared" si="65"/>
        <v>LIM333</v>
      </c>
      <c r="D2066" s="2">
        <v>448</v>
      </c>
      <c r="F2066" s="2451"/>
      <c r="G2066" s="2451"/>
      <c r="H2066" s="2451"/>
      <c r="I2066" s="2451"/>
      <c r="J2066" s="2451"/>
      <c r="K2066" s="2451"/>
      <c r="L2066" s="2453"/>
      <c r="M2066" s="2453"/>
      <c r="N2066" s="2453"/>
      <c r="O2066" s="2453"/>
      <c r="P2066" s="2453"/>
      <c r="W2066" t="s">
        <v>2062</v>
      </c>
    </row>
    <row r="2067" spans="1:23" ht="13.15" customHeight="1">
      <c r="A2067" s="2" t="s">
        <v>2215</v>
      </c>
      <c r="B2067" s="2">
        <f t="shared" si="64"/>
        <v>2020</v>
      </c>
      <c r="C2067" s="2" t="str">
        <f t="shared" si="65"/>
        <v>LIM333</v>
      </c>
      <c r="D2067" s="2">
        <v>449</v>
      </c>
      <c r="F2067" s="2451"/>
      <c r="G2067" s="2451"/>
      <c r="H2067" s="2451"/>
      <c r="I2067" s="2451"/>
      <c r="J2067" s="2451"/>
      <c r="K2067" s="2451"/>
      <c r="L2067" s="2453"/>
      <c r="M2067" s="2453"/>
      <c r="N2067" s="2453"/>
      <c r="O2067" s="2453"/>
      <c r="P2067" s="2453"/>
      <c r="W2067" t="s">
        <v>2062</v>
      </c>
    </row>
    <row r="2068" spans="1:23" ht="13.15" customHeight="1">
      <c r="A2068" s="2" t="s">
        <v>2215</v>
      </c>
      <c r="B2068" s="2">
        <f t="shared" si="64"/>
        <v>2020</v>
      </c>
      <c r="C2068" s="2" t="str">
        <f t="shared" si="65"/>
        <v>LIM333</v>
      </c>
      <c r="D2068" s="2">
        <v>450</v>
      </c>
      <c r="F2068" s="2451"/>
      <c r="G2068" s="2451"/>
      <c r="H2068" s="2451"/>
      <c r="I2068" s="2451"/>
      <c r="J2068" s="2451"/>
      <c r="K2068" s="2451"/>
      <c r="L2068" s="2453"/>
      <c r="M2068" s="2453"/>
      <c r="N2068" s="2453"/>
      <c r="O2068" s="2453"/>
      <c r="P2068" s="2453"/>
      <c r="W2068" t="s">
        <v>2062</v>
      </c>
    </row>
    <row r="2069" spans="1:23" ht="13.15" customHeight="1">
      <c r="A2069" s="2" t="s">
        <v>2215</v>
      </c>
      <c r="B2069" s="2">
        <f t="shared" si="64"/>
        <v>2020</v>
      </c>
      <c r="C2069" s="2" t="str">
        <f t="shared" si="65"/>
        <v>LIM333</v>
      </c>
      <c r="D2069" s="2">
        <v>451</v>
      </c>
      <c r="F2069" s="2451"/>
      <c r="G2069" s="2451"/>
      <c r="H2069" s="2451"/>
      <c r="I2069" s="2451"/>
      <c r="J2069" s="2451"/>
      <c r="K2069" s="2451"/>
      <c r="L2069" s="2453"/>
      <c r="M2069" s="2453"/>
      <c r="N2069" s="2453"/>
      <c r="O2069" s="2453"/>
      <c r="P2069" s="2453"/>
      <c r="W2069" t="s">
        <v>2062</v>
      </c>
    </row>
    <row r="2070" spans="1:23" ht="13.15" customHeight="1">
      <c r="A2070" s="2" t="s">
        <v>2215</v>
      </c>
      <c r="B2070" s="2">
        <f t="shared" si="64"/>
        <v>2020</v>
      </c>
      <c r="C2070" s="2" t="str">
        <f t="shared" si="65"/>
        <v>LIM333</v>
      </c>
      <c r="D2070" s="2">
        <v>452</v>
      </c>
      <c r="F2070" s="2451"/>
      <c r="G2070" s="2451"/>
      <c r="H2070" s="2451"/>
      <c r="I2070" s="2451"/>
      <c r="J2070" s="2451"/>
      <c r="K2070" s="2451"/>
      <c r="L2070" s="2453"/>
      <c r="M2070" s="2453"/>
      <c r="N2070" s="2453"/>
      <c r="O2070" s="2453"/>
      <c r="P2070" s="2453"/>
      <c r="W2070" t="s">
        <v>2062</v>
      </c>
    </row>
    <row r="2071" spans="1:23" ht="13.15" customHeight="1">
      <c r="A2071" s="2" t="s">
        <v>2215</v>
      </c>
      <c r="B2071" s="2">
        <f t="shared" si="64"/>
        <v>2020</v>
      </c>
      <c r="C2071" s="2" t="str">
        <f t="shared" si="65"/>
        <v>LIM333</v>
      </c>
      <c r="D2071" s="2">
        <v>453</v>
      </c>
      <c r="F2071" s="2451"/>
      <c r="G2071" s="2451"/>
      <c r="H2071" s="2451"/>
      <c r="I2071" s="2451"/>
      <c r="J2071" s="2451"/>
      <c r="K2071" s="2451"/>
      <c r="L2071" s="2453"/>
      <c r="M2071" s="2453"/>
      <c r="N2071" s="2453"/>
      <c r="O2071" s="2453"/>
      <c r="P2071" s="2453"/>
      <c r="W2071" t="s">
        <v>2062</v>
      </c>
    </row>
    <row r="2072" spans="1:23" ht="13.15" customHeight="1">
      <c r="A2072" s="2" t="s">
        <v>2215</v>
      </c>
      <c r="B2072" s="2">
        <f t="shared" si="64"/>
        <v>2020</v>
      </c>
      <c r="C2072" s="2" t="str">
        <f t="shared" si="65"/>
        <v>LIM333</v>
      </c>
      <c r="D2072" s="2">
        <v>454</v>
      </c>
      <c r="F2072" s="2451"/>
      <c r="G2072" s="2451"/>
      <c r="H2072" s="2451"/>
      <c r="I2072" s="2451"/>
      <c r="J2072" s="2451"/>
      <c r="K2072" s="2451"/>
      <c r="L2072" s="2453"/>
      <c r="M2072" s="2453"/>
      <c r="N2072" s="2453"/>
      <c r="O2072" s="2453"/>
      <c r="P2072" s="2453"/>
      <c r="W2072" t="s">
        <v>2062</v>
      </c>
    </row>
    <row r="2073" spans="1:23" ht="13.15" customHeight="1">
      <c r="A2073" s="2" t="s">
        <v>2215</v>
      </c>
      <c r="B2073" s="2">
        <f t="shared" si="64"/>
        <v>2020</v>
      </c>
      <c r="C2073" s="2" t="str">
        <f t="shared" si="65"/>
        <v>LIM333</v>
      </c>
      <c r="D2073" s="2">
        <v>455</v>
      </c>
      <c r="F2073" s="2451"/>
      <c r="G2073" s="2451"/>
      <c r="H2073" s="2451"/>
      <c r="I2073" s="2451"/>
      <c r="J2073" s="2451"/>
      <c r="K2073" s="2451"/>
      <c r="L2073" s="2453"/>
      <c r="M2073" s="2453"/>
      <c r="N2073" s="2453"/>
      <c r="O2073" s="2453"/>
      <c r="P2073" s="2453"/>
      <c r="W2073" t="s">
        <v>2062</v>
      </c>
    </row>
    <row r="2074" spans="1:23" ht="13.15" customHeight="1">
      <c r="A2074" s="2" t="s">
        <v>2215</v>
      </c>
      <c r="B2074" s="2">
        <f t="shared" si="64"/>
        <v>2020</v>
      </c>
      <c r="C2074" s="2" t="str">
        <f t="shared" si="65"/>
        <v>LIM333</v>
      </c>
      <c r="D2074" s="2">
        <v>456</v>
      </c>
      <c r="F2074" s="2451"/>
      <c r="G2074" s="2451"/>
      <c r="H2074" s="2451"/>
      <c r="I2074" s="2451"/>
      <c r="J2074" s="2451"/>
      <c r="K2074" s="2451"/>
      <c r="L2074" s="2453"/>
      <c r="M2074" s="2453"/>
      <c r="N2074" s="2453"/>
      <c r="O2074" s="2453"/>
      <c r="P2074" s="2453"/>
      <c r="W2074" t="s">
        <v>2062</v>
      </c>
    </row>
    <row r="2075" spans="1:23" ht="13.15" customHeight="1">
      <c r="A2075" s="2" t="s">
        <v>2215</v>
      </c>
      <c r="B2075" s="2">
        <f t="shared" si="64"/>
        <v>2020</v>
      </c>
      <c r="C2075" s="2" t="str">
        <f t="shared" si="65"/>
        <v>LIM333</v>
      </c>
      <c r="D2075" s="2">
        <v>457</v>
      </c>
      <c r="F2075" s="2451"/>
      <c r="G2075" s="2451"/>
      <c r="H2075" s="2451"/>
      <c r="I2075" s="2451"/>
      <c r="J2075" s="2451"/>
      <c r="K2075" s="2451"/>
      <c r="L2075" s="2453"/>
      <c r="M2075" s="2453"/>
      <c r="N2075" s="2453"/>
      <c r="O2075" s="2453"/>
      <c r="P2075" s="2453"/>
      <c r="W2075" t="s">
        <v>2062</v>
      </c>
    </row>
    <row r="2076" spans="1:23" ht="13.15" customHeight="1">
      <c r="A2076" s="2" t="s">
        <v>2215</v>
      </c>
      <c r="B2076" s="2">
        <f t="shared" si="64"/>
        <v>2020</v>
      </c>
      <c r="C2076" s="2" t="str">
        <f t="shared" si="65"/>
        <v>LIM333</v>
      </c>
      <c r="D2076" s="2">
        <v>458</v>
      </c>
      <c r="F2076" s="2451"/>
      <c r="G2076" s="2451"/>
      <c r="H2076" s="2451"/>
      <c r="I2076" s="2451"/>
      <c r="J2076" s="2451"/>
      <c r="K2076" s="2451"/>
      <c r="L2076" s="2453"/>
      <c r="M2076" s="2453"/>
      <c r="N2076" s="2453"/>
      <c r="O2076" s="2453"/>
      <c r="P2076" s="2453"/>
      <c r="W2076" t="s">
        <v>2062</v>
      </c>
    </row>
    <row r="2077" spans="1:23" ht="13.15" customHeight="1">
      <c r="A2077" s="2" t="s">
        <v>2215</v>
      </c>
      <c r="B2077" s="2">
        <f t="shared" si="64"/>
        <v>2020</v>
      </c>
      <c r="C2077" s="2" t="str">
        <f t="shared" si="65"/>
        <v>LIM333</v>
      </c>
      <c r="D2077" s="2">
        <v>459</v>
      </c>
      <c r="F2077" s="2451"/>
      <c r="G2077" s="2451"/>
      <c r="H2077" s="2451"/>
      <c r="I2077" s="2451"/>
      <c r="J2077" s="2451"/>
      <c r="K2077" s="2451"/>
      <c r="L2077" s="2453"/>
      <c r="M2077" s="2453"/>
      <c r="N2077" s="2453"/>
      <c r="O2077" s="2453"/>
      <c r="P2077" s="2453"/>
      <c r="W2077" t="s">
        <v>2062</v>
      </c>
    </row>
    <row r="2078" spans="1:23" ht="13.15" customHeight="1">
      <c r="A2078" s="2" t="s">
        <v>2215</v>
      </c>
      <c r="B2078" s="2">
        <f t="shared" si="64"/>
        <v>2020</v>
      </c>
      <c r="C2078" s="2" t="str">
        <f t="shared" si="65"/>
        <v>LIM333</v>
      </c>
      <c r="D2078" s="2">
        <v>460</v>
      </c>
      <c r="F2078" s="2451"/>
      <c r="G2078" s="2451"/>
      <c r="H2078" s="2451"/>
      <c r="I2078" s="2451"/>
      <c r="J2078" s="2451"/>
      <c r="K2078" s="2451"/>
      <c r="L2078" s="2453"/>
      <c r="M2078" s="2453"/>
      <c r="N2078" s="2453"/>
      <c r="O2078" s="2453"/>
      <c r="P2078" s="2453"/>
      <c r="W2078" t="s">
        <v>2062</v>
      </c>
    </row>
    <row r="2079" spans="1:23" ht="13.15" customHeight="1">
      <c r="A2079" s="2" t="s">
        <v>2215</v>
      </c>
      <c r="B2079" s="2">
        <f t="shared" si="64"/>
        <v>2020</v>
      </c>
      <c r="C2079" s="2" t="str">
        <f t="shared" si="65"/>
        <v>LIM333</v>
      </c>
      <c r="D2079" s="2">
        <v>461</v>
      </c>
      <c r="F2079" s="2451"/>
      <c r="G2079" s="2451"/>
      <c r="H2079" s="2451"/>
      <c r="I2079" s="2451"/>
      <c r="J2079" s="2451"/>
      <c r="K2079" s="2451"/>
      <c r="L2079" s="2453"/>
      <c r="M2079" s="2453"/>
      <c r="N2079" s="2453"/>
      <c r="O2079" s="2453"/>
      <c r="P2079" s="2453"/>
      <c r="W2079" t="s">
        <v>2062</v>
      </c>
    </row>
    <row r="2080" spans="1:23" ht="13.15" customHeight="1">
      <c r="A2080" s="2" t="s">
        <v>2215</v>
      </c>
      <c r="B2080" s="2">
        <f t="shared" si="64"/>
        <v>2020</v>
      </c>
      <c r="C2080" s="2" t="str">
        <f t="shared" si="65"/>
        <v>LIM333</v>
      </c>
      <c r="D2080" s="2">
        <v>462</v>
      </c>
      <c r="F2080" s="2451"/>
      <c r="G2080" s="2451"/>
      <c r="H2080" s="2451"/>
      <c r="I2080" s="2451"/>
      <c r="J2080" s="2451"/>
      <c r="K2080" s="2451"/>
      <c r="L2080" s="2453"/>
      <c r="M2080" s="2453"/>
      <c r="N2080" s="2453"/>
      <c r="O2080" s="2453"/>
      <c r="P2080" s="2453"/>
      <c r="W2080" t="s">
        <v>2062</v>
      </c>
    </row>
    <row r="2081" spans="1:23" ht="13.15" customHeight="1">
      <c r="A2081" s="2" t="s">
        <v>2215</v>
      </c>
      <c r="B2081" s="2">
        <f t="shared" si="64"/>
        <v>2020</v>
      </c>
      <c r="C2081" s="2" t="str">
        <f t="shared" si="65"/>
        <v>LIM333</v>
      </c>
      <c r="D2081" s="2">
        <v>463</v>
      </c>
      <c r="F2081" s="2451"/>
      <c r="G2081" s="2451"/>
      <c r="H2081" s="2451"/>
      <c r="I2081" s="2451"/>
      <c r="J2081" s="2451"/>
      <c r="K2081" s="2451"/>
      <c r="L2081" s="2453"/>
      <c r="M2081" s="2453"/>
      <c r="N2081" s="2453"/>
      <c r="O2081" s="2453"/>
      <c r="P2081" s="2453"/>
      <c r="W2081" t="s">
        <v>2062</v>
      </c>
    </row>
    <row r="2082" spans="1:23" ht="13.15" customHeight="1">
      <c r="A2082" s="2" t="s">
        <v>2215</v>
      </c>
      <c r="B2082" s="2">
        <f t="shared" si="64"/>
        <v>2020</v>
      </c>
      <c r="C2082" s="2" t="str">
        <f t="shared" si="65"/>
        <v>LIM333</v>
      </c>
      <c r="D2082" s="2">
        <v>464</v>
      </c>
      <c r="F2082" s="2451"/>
      <c r="G2082" s="2451"/>
      <c r="H2082" s="2451"/>
      <c r="I2082" s="2451"/>
      <c r="J2082" s="2451"/>
      <c r="K2082" s="2451"/>
      <c r="L2082" s="2453"/>
      <c r="M2082" s="2453"/>
      <c r="N2082" s="2453"/>
      <c r="O2082" s="2453"/>
      <c r="P2082" s="2453"/>
      <c r="W2082" t="s">
        <v>2062</v>
      </c>
    </row>
    <row r="2083" spans="1:23" ht="13.15" customHeight="1">
      <c r="A2083" s="2" t="s">
        <v>2215</v>
      </c>
      <c r="B2083" s="2">
        <f t="shared" si="64"/>
        <v>2020</v>
      </c>
      <c r="C2083" s="2" t="str">
        <f t="shared" si="65"/>
        <v>LIM333</v>
      </c>
      <c r="D2083" s="2">
        <v>465</v>
      </c>
      <c r="F2083" s="2451"/>
      <c r="G2083" s="2451"/>
      <c r="H2083" s="2451"/>
      <c r="I2083" s="2451"/>
      <c r="J2083" s="2451"/>
      <c r="K2083" s="2451"/>
      <c r="L2083" s="2453"/>
      <c r="M2083" s="2453"/>
      <c r="N2083" s="2453"/>
      <c r="O2083" s="2453"/>
      <c r="P2083" s="2453"/>
      <c r="W2083" t="s">
        <v>2062</v>
      </c>
    </row>
    <row r="2084" spans="1:23" ht="13.15" customHeight="1">
      <c r="A2084" s="2" t="s">
        <v>2215</v>
      </c>
      <c r="B2084" s="2">
        <f t="shared" si="64"/>
        <v>2020</v>
      </c>
      <c r="C2084" s="2" t="str">
        <f t="shared" si="65"/>
        <v>LIM333</v>
      </c>
      <c r="D2084" s="2">
        <v>466</v>
      </c>
      <c r="F2084" s="2451"/>
      <c r="G2084" s="2451"/>
      <c r="H2084" s="2451"/>
      <c r="I2084" s="2451"/>
      <c r="J2084" s="2451"/>
      <c r="K2084" s="2451"/>
      <c r="L2084" s="2453"/>
      <c r="M2084" s="2453"/>
      <c r="N2084" s="2453"/>
      <c r="O2084" s="2453"/>
      <c r="P2084" s="2453"/>
      <c r="W2084" t="s">
        <v>2062</v>
      </c>
    </row>
    <row r="2085" spans="1:23" ht="13.15" customHeight="1">
      <c r="A2085" s="2" t="s">
        <v>2215</v>
      </c>
      <c r="B2085" s="2">
        <f t="shared" si="64"/>
        <v>2020</v>
      </c>
      <c r="C2085" s="2" t="str">
        <f t="shared" si="65"/>
        <v>LIM333</v>
      </c>
      <c r="D2085" s="2">
        <v>467</v>
      </c>
      <c r="F2085" s="2451"/>
      <c r="G2085" s="2451"/>
      <c r="H2085" s="2451"/>
      <c r="I2085" s="2451"/>
      <c r="J2085" s="2451"/>
      <c r="K2085" s="2451"/>
      <c r="L2085" s="2453"/>
      <c r="M2085" s="2453"/>
      <c r="N2085" s="2453"/>
      <c r="O2085" s="2453"/>
      <c r="P2085" s="2453"/>
      <c r="W2085" t="s">
        <v>2062</v>
      </c>
    </row>
    <row r="2086" spans="1:23" ht="13.15" customHeight="1">
      <c r="A2086" s="2" t="s">
        <v>2215</v>
      </c>
      <c r="B2086" s="2">
        <f t="shared" si="64"/>
        <v>2020</v>
      </c>
      <c r="C2086" s="2" t="str">
        <f t="shared" si="65"/>
        <v>LIM333</v>
      </c>
      <c r="D2086" s="2">
        <v>468</v>
      </c>
      <c r="F2086" s="2451"/>
      <c r="G2086" s="2451"/>
      <c r="H2086" s="2451"/>
      <c r="I2086" s="2451"/>
      <c r="J2086" s="2451"/>
      <c r="K2086" s="2451"/>
      <c r="L2086" s="2453"/>
      <c r="M2086" s="2453"/>
      <c r="N2086" s="2453"/>
      <c r="O2086" s="2453"/>
      <c r="P2086" s="2453"/>
      <c r="W2086" t="s">
        <v>2062</v>
      </c>
    </row>
    <row r="2087" spans="1:23" ht="13.15" customHeight="1">
      <c r="A2087" s="2" t="s">
        <v>2215</v>
      </c>
      <c r="B2087" s="2">
        <f t="shared" si="64"/>
        <v>2020</v>
      </c>
      <c r="C2087" s="2" t="str">
        <f t="shared" si="65"/>
        <v>LIM333</v>
      </c>
      <c r="D2087" s="2">
        <v>469</v>
      </c>
      <c r="F2087" s="2451"/>
      <c r="G2087" s="2451"/>
      <c r="H2087" s="2451"/>
      <c r="I2087" s="2451"/>
      <c r="J2087" s="2451"/>
      <c r="K2087" s="2451"/>
      <c r="L2087" s="2453"/>
      <c r="M2087" s="2453"/>
      <c r="N2087" s="2453"/>
      <c r="O2087" s="2453"/>
      <c r="P2087" s="2453"/>
      <c r="W2087" t="s">
        <v>2062</v>
      </c>
    </row>
    <row r="2088" spans="1:23" ht="13.15" customHeight="1">
      <c r="A2088" s="2" t="s">
        <v>2215</v>
      </c>
      <c r="B2088" s="2">
        <f t="shared" si="64"/>
        <v>2020</v>
      </c>
      <c r="C2088" s="2" t="str">
        <f t="shared" si="65"/>
        <v>LIM333</v>
      </c>
      <c r="D2088" s="2">
        <v>470</v>
      </c>
      <c r="F2088" s="2451"/>
      <c r="G2088" s="2451"/>
      <c r="H2088" s="2451"/>
      <c r="I2088" s="2451"/>
      <c r="J2088" s="2451"/>
      <c r="K2088" s="2451"/>
      <c r="L2088" s="2453"/>
      <c r="M2088" s="2453"/>
      <c r="N2088" s="2453"/>
      <c r="O2088" s="2453"/>
      <c r="P2088" s="2453"/>
      <c r="W2088" t="s">
        <v>2062</v>
      </c>
    </row>
    <row r="2089" spans="1:23" ht="13.15" customHeight="1">
      <c r="A2089" s="2" t="s">
        <v>2215</v>
      </c>
      <c r="B2089" s="2">
        <f t="shared" si="64"/>
        <v>2020</v>
      </c>
      <c r="C2089" s="2" t="str">
        <f t="shared" si="65"/>
        <v>LIM333</v>
      </c>
      <c r="D2089" s="2">
        <v>471</v>
      </c>
      <c r="F2089" s="2451"/>
      <c r="G2089" s="2451"/>
      <c r="H2089" s="2451"/>
      <c r="I2089" s="2451"/>
      <c r="J2089" s="2451"/>
      <c r="K2089" s="2451"/>
      <c r="L2089" s="2453"/>
      <c r="M2089" s="2453"/>
      <c r="N2089" s="2453"/>
      <c r="O2089" s="2453"/>
      <c r="P2089" s="2453"/>
      <c r="W2089" t="s">
        <v>2062</v>
      </c>
    </row>
    <row r="2090" spans="1:23" ht="13.15" customHeight="1">
      <c r="A2090" s="2" t="s">
        <v>2215</v>
      </c>
      <c r="B2090" s="2">
        <f t="shared" si="64"/>
        <v>2020</v>
      </c>
      <c r="C2090" s="2" t="str">
        <f t="shared" si="65"/>
        <v>LIM333</v>
      </c>
      <c r="D2090" s="2">
        <v>472</v>
      </c>
      <c r="F2090" s="2451"/>
      <c r="G2090" s="2451"/>
      <c r="H2090" s="2451"/>
      <c r="I2090" s="2451"/>
      <c r="J2090" s="2451"/>
      <c r="K2090" s="2451"/>
      <c r="L2090" s="2453"/>
      <c r="M2090" s="2453"/>
      <c r="N2090" s="2453"/>
      <c r="O2090" s="2453"/>
      <c r="P2090" s="2453"/>
      <c r="W2090" t="s">
        <v>2062</v>
      </c>
    </row>
    <row r="2091" spans="1:23" ht="13.15" customHeight="1">
      <c r="A2091" s="2" t="s">
        <v>2215</v>
      </c>
      <c r="B2091" s="2">
        <f t="shared" si="64"/>
        <v>2020</v>
      </c>
      <c r="C2091" s="2" t="str">
        <f t="shared" si="65"/>
        <v>LIM333</v>
      </c>
      <c r="D2091" s="2">
        <v>473</v>
      </c>
      <c r="F2091" s="2451"/>
      <c r="G2091" s="2451"/>
      <c r="H2091" s="2451"/>
      <c r="I2091" s="2451"/>
      <c r="J2091" s="2451"/>
      <c r="K2091" s="2451"/>
      <c r="L2091" s="2453"/>
      <c r="M2091" s="2453"/>
      <c r="N2091" s="2453"/>
      <c r="O2091" s="2453"/>
      <c r="P2091" s="2453"/>
      <c r="W2091" t="s">
        <v>2062</v>
      </c>
    </row>
    <row r="2092" spans="1:23" ht="13.15" customHeight="1">
      <c r="A2092" s="2" t="s">
        <v>2215</v>
      </c>
      <c r="B2092" s="2">
        <f t="shared" si="64"/>
        <v>2020</v>
      </c>
      <c r="C2092" s="2" t="str">
        <f t="shared" si="65"/>
        <v>LIM333</v>
      </c>
      <c r="D2092" s="2">
        <v>474</v>
      </c>
      <c r="F2092" s="2451"/>
      <c r="G2092" s="2451"/>
      <c r="H2092" s="2451"/>
      <c r="I2092" s="2451"/>
      <c r="J2092" s="2451"/>
      <c r="K2092" s="2451"/>
      <c r="L2092" s="2453"/>
      <c r="M2092" s="2453"/>
      <c r="N2092" s="2453"/>
      <c r="O2092" s="2453"/>
      <c r="P2092" s="2453"/>
      <c r="W2092" t="s">
        <v>2062</v>
      </c>
    </row>
    <row r="2093" spans="1:23" ht="13.15" customHeight="1">
      <c r="A2093" s="2" t="s">
        <v>2215</v>
      </c>
      <c r="B2093" s="2">
        <f t="shared" si="64"/>
        <v>2020</v>
      </c>
      <c r="C2093" s="2" t="str">
        <f t="shared" si="65"/>
        <v>LIM333</v>
      </c>
      <c r="D2093" s="2">
        <v>475</v>
      </c>
      <c r="F2093" s="2451"/>
      <c r="G2093" s="2451"/>
      <c r="H2093" s="2451"/>
      <c r="I2093" s="2451"/>
      <c r="J2093" s="2451"/>
      <c r="K2093" s="2451"/>
      <c r="L2093" s="2453"/>
      <c r="M2093" s="2453"/>
      <c r="N2093" s="2453"/>
      <c r="O2093" s="2453"/>
      <c r="P2093" s="2453"/>
      <c r="W2093" t="s">
        <v>2062</v>
      </c>
    </row>
    <row r="2094" spans="1:23" ht="13.15" customHeight="1">
      <c r="A2094" s="2" t="s">
        <v>2215</v>
      </c>
      <c r="B2094" s="2">
        <f t="shared" si="64"/>
        <v>2020</v>
      </c>
      <c r="C2094" s="2" t="str">
        <f t="shared" si="65"/>
        <v>LIM333</v>
      </c>
      <c r="D2094" s="2">
        <v>476</v>
      </c>
      <c r="F2094" s="2451"/>
      <c r="G2094" s="2451"/>
      <c r="H2094" s="2451"/>
      <c r="I2094" s="2451"/>
      <c r="J2094" s="2451"/>
      <c r="K2094" s="2451"/>
      <c r="L2094" s="2453"/>
      <c r="M2094" s="2453"/>
      <c r="N2094" s="2453"/>
      <c r="O2094" s="2453"/>
      <c r="P2094" s="2453"/>
      <c r="W2094" t="s">
        <v>2062</v>
      </c>
    </row>
    <row r="2095" spans="1:23" ht="13.15" customHeight="1">
      <c r="A2095" s="2" t="s">
        <v>2215</v>
      </c>
      <c r="B2095" s="2">
        <f t="shared" si="64"/>
        <v>2020</v>
      </c>
      <c r="C2095" s="2" t="str">
        <f t="shared" si="65"/>
        <v>LIM333</v>
      </c>
      <c r="D2095" s="2">
        <v>477</v>
      </c>
      <c r="F2095" s="2451"/>
      <c r="G2095" s="2451"/>
      <c r="H2095" s="2451"/>
      <c r="I2095" s="2451"/>
      <c r="J2095" s="2451"/>
      <c r="K2095" s="2451"/>
      <c r="L2095" s="2453"/>
      <c r="M2095" s="2453"/>
      <c r="N2095" s="2453"/>
      <c r="O2095" s="2453"/>
      <c r="P2095" s="2453"/>
      <c r="W2095" t="s">
        <v>2062</v>
      </c>
    </row>
    <row r="2096" spans="1:23" ht="13.15" customHeight="1">
      <c r="A2096" s="2" t="s">
        <v>2215</v>
      </c>
      <c r="B2096" s="2">
        <f t="shared" si="64"/>
        <v>2020</v>
      </c>
      <c r="C2096" s="2" t="str">
        <f t="shared" si="65"/>
        <v>LIM333</v>
      </c>
      <c r="D2096" s="2">
        <v>478</v>
      </c>
      <c r="F2096" s="2451"/>
      <c r="G2096" s="2451"/>
      <c r="H2096" s="2451"/>
      <c r="I2096" s="2451"/>
      <c r="J2096" s="2451"/>
      <c r="K2096" s="2451"/>
      <c r="L2096" s="2453"/>
      <c r="M2096" s="2453"/>
      <c r="N2096" s="2453"/>
      <c r="O2096" s="2453"/>
      <c r="P2096" s="2453"/>
      <c r="W2096" t="s">
        <v>2062</v>
      </c>
    </row>
    <row r="2097" spans="1:23" ht="13.15" customHeight="1">
      <c r="A2097" s="2" t="s">
        <v>2215</v>
      </c>
      <c r="B2097" s="2">
        <f t="shared" si="64"/>
        <v>2020</v>
      </c>
      <c r="C2097" s="2" t="str">
        <f t="shared" si="65"/>
        <v>LIM333</v>
      </c>
      <c r="D2097" s="2">
        <v>479</v>
      </c>
      <c r="F2097" s="2451"/>
      <c r="G2097" s="2451"/>
      <c r="H2097" s="2451"/>
      <c r="I2097" s="2451"/>
      <c r="J2097" s="2451"/>
      <c r="K2097" s="2451"/>
      <c r="L2097" s="2453"/>
      <c r="M2097" s="2453"/>
      <c r="N2097" s="2453"/>
      <c r="O2097" s="2453"/>
      <c r="P2097" s="2453"/>
      <c r="W2097" t="s">
        <v>2062</v>
      </c>
    </row>
    <row r="2098" spans="1:23" ht="13.15" customHeight="1">
      <c r="A2098" s="2" t="s">
        <v>2215</v>
      </c>
      <c r="B2098" s="2">
        <f t="shared" si="64"/>
        <v>2020</v>
      </c>
      <c r="C2098" s="2" t="str">
        <f t="shared" si="65"/>
        <v>LIM333</v>
      </c>
      <c r="D2098" s="2">
        <v>480</v>
      </c>
      <c r="F2098" s="2451"/>
      <c r="G2098" s="2451"/>
      <c r="H2098" s="2451"/>
      <c r="I2098" s="2451"/>
      <c r="J2098" s="2451"/>
      <c r="K2098" s="2451"/>
      <c r="L2098" s="2453"/>
      <c r="M2098" s="2453"/>
      <c r="N2098" s="2453"/>
      <c r="O2098" s="2453"/>
      <c r="P2098" s="2453"/>
      <c r="W2098" t="s">
        <v>2062</v>
      </c>
    </row>
    <row r="2099" spans="1:23" ht="13.15" customHeight="1">
      <c r="A2099" s="2" t="s">
        <v>2215</v>
      </c>
      <c r="B2099" s="2">
        <f t="shared" si="64"/>
        <v>2020</v>
      </c>
      <c r="C2099" s="2" t="str">
        <f t="shared" si="65"/>
        <v>LIM333</v>
      </c>
      <c r="D2099" s="2">
        <v>481</v>
      </c>
      <c r="F2099" s="2451"/>
      <c r="G2099" s="2451"/>
      <c r="H2099" s="2451"/>
      <c r="I2099" s="2451"/>
      <c r="J2099" s="2451"/>
      <c r="K2099" s="2451"/>
      <c r="L2099" s="2453"/>
      <c r="M2099" s="2453"/>
      <c r="N2099" s="2453"/>
      <c r="O2099" s="2453"/>
      <c r="P2099" s="2453"/>
      <c r="W2099" t="s">
        <v>2062</v>
      </c>
    </row>
    <row r="2100" spans="1:23" ht="13.15" customHeight="1">
      <c r="A2100" s="2" t="s">
        <v>2215</v>
      </c>
      <c r="B2100" s="2">
        <f t="shared" si="64"/>
        <v>2020</v>
      </c>
      <c r="C2100" s="2" t="str">
        <f t="shared" si="65"/>
        <v>LIM333</v>
      </c>
      <c r="D2100" s="2">
        <v>482</v>
      </c>
      <c r="F2100" s="2451"/>
      <c r="G2100" s="2451"/>
      <c r="H2100" s="2451"/>
      <c r="I2100" s="2451"/>
      <c r="J2100" s="2451"/>
      <c r="K2100" s="2451"/>
      <c r="L2100" s="2453"/>
      <c r="M2100" s="2453"/>
      <c r="N2100" s="2453"/>
      <c r="O2100" s="2453"/>
      <c r="P2100" s="2453"/>
      <c r="W2100" t="s">
        <v>2062</v>
      </c>
    </row>
    <row r="2101" spans="1:23" ht="13.15" customHeight="1">
      <c r="A2101" s="2" t="s">
        <v>2215</v>
      </c>
      <c r="B2101" s="2">
        <f t="shared" si="64"/>
        <v>2020</v>
      </c>
      <c r="C2101" s="2" t="str">
        <f t="shared" si="65"/>
        <v>LIM333</v>
      </c>
      <c r="D2101" s="2">
        <v>483</v>
      </c>
      <c r="F2101" s="2451"/>
      <c r="G2101" s="2451"/>
      <c r="H2101" s="2451"/>
      <c r="I2101" s="2451"/>
      <c r="J2101" s="2451"/>
      <c r="K2101" s="2451"/>
      <c r="L2101" s="2453"/>
      <c r="M2101" s="2453"/>
      <c r="N2101" s="2453"/>
      <c r="O2101" s="2453"/>
      <c r="P2101" s="2453"/>
      <c r="W2101" t="s">
        <v>2062</v>
      </c>
    </row>
    <row r="2102" spans="1:23" ht="13.15" customHeight="1">
      <c r="A2102" s="2" t="s">
        <v>2215</v>
      </c>
      <c r="B2102" s="2">
        <f t="shared" si="64"/>
        <v>2020</v>
      </c>
      <c r="C2102" s="2" t="str">
        <f t="shared" si="65"/>
        <v>LIM333</v>
      </c>
      <c r="D2102" s="2">
        <v>484</v>
      </c>
      <c r="F2102" s="2451"/>
      <c r="G2102" s="2451"/>
      <c r="H2102" s="2451"/>
      <c r="I2102" s="2451"/>
      <c r="J2102" s="2451"/>
      <c r="K2102" s="2451"/>
      <c r="L2102" s="2453"/>
      <c r="M2102" s="2453"/>
      <c r="N2102" s="2453"/>
      <c r="O2102" s="2453"/>
      <c r="P2102" s="2453"/>
      <c r="W2102" t="s">
        <v>2062</v>
      </c>
    </row>
    <row r="2103" spans="1:23" ht="13.15" customHeight="1">
      <c r="A2103" s="2" t="s">
        <v>2215</v>
      </c>
      <c r="B2103" s="2">
        <f t="shared" si="64"/>
        <v>2020</v>
      </c>
      <c r="C2103" s="2" t="str">
        <f t="shared" si="65"/>
        <v>LIM333</v>
      </c>
      <c r="D2103" s="2">
        <v>485</v>
      </c>
      <c r="F2103" s="2451"/>
      <c r="G2103" s="2451"/>
      <c r="H2103" s="2451"/>
      <c r="I2103" s="2451"/>
      <c r="J2103" s="2451"/>
      <c r="K2103" s="2451"/>
      <c r="L2103" s="2453"/>
      <c r="M2103" s="2453"/>
      <c r="N2103" s="2453"/>
      <c r="O2103" s="2453"/>
      <c r="P2103" s="2453"/>
      <c r="W2103" t="s">
        <v>2062</v>
      </c>
    </row>
    <row r="2104" spans="1:23" ht="13.15" customHeight="1">
      <c r="A2104" s="2" t="s">
        <v>2215</v>
      </c>
      <c r="B2104" s="2">
        <f t="shared" si="64"/>
        <v>2020</v>
      </c>
      <c r="C2104" s="2" t="str">
        <f t="shared" si="65"/>
        <v>LIM333</v>
      </c>
      <c r="D2104" s="2">
        <v>486</v>
      </c>
      <c r="F2104" s="2451"/>
      <c r="G2104" s="2451"/>
      <c r="H2104" s="2451"/>
      <c r="I2104" s="2451"/>
      <c r="J2104" s="2451"/>
      <c r="K2104" s="2451"/>
      <c r="L2104" s="2453"/>
      <c r="M2104" s="2453"/>
      <c r="N2104" s="2453"/>
      <c r="O2104" s="2453"/>
      <c r="P2104" s="2453"/>
      <c r="W2104" t="s">
        <v>2062</v>
      </c>
    </row>
    <row r="2105" spans="1:23" ht="13.15" customHeight="1">
      <c r="A2105" s="2" t="s">
        <v>2215</v>
      </c>
      <c r="B2105" s="2">
        <f t="shared" si="64"/>
        <v>2020</v>
      </c>
      <c r="C2105" s="2" t="str">
        <f t="shared" si="65"/>
        <v>LIM333</v>
      </c>
      <c r="D2105" s="2">
        <v>487</v>
      </c>
      <c r="F2105" s="2451"/>
      <c r="G2105" s="2451"/>
      <c r="H2105" s="2451"/>
      <c r="I2105" s="2451"/>
      <c r="J2105" s="2451"/>
      <c r="K2105" s="2451"/>
      <c r="L2105" s="2453"/>
      <c r="M2105" s="2453"/>
      <c r="N2105" s="2453"/>
      <c r="O2105" s="2453"/>
      <c r="P2105" s="2453"/>
      <c r="W2105" t="s">
        <v>2062</v>
      </c>
    </row>
    <row r="2106" spans="1:23" ht="13.15" customHeight="1">
      <c r="A2106" s="2" t="s">
        <v>2215</v>
      </c>
      <c r="B2106" s="2">
        <f t="shared" si="64"/>
        <v>2020</v>
      </c>
      <c r="C2106" s="2" t="str">
        <f t="shared" si="65"/>
        <v>LIM333</v>
      </c>
      <c r="D2106" s="2">
        <v>488</v>
      </c>
      <c r="F2106" s="2451"/>
      <c r="G2106" s="2451"/>
      <c r="H2106" s="2451"/>
      <c r="I2106" s="2451"/>
      <c r="J2106" s="2451"/>
      <c r="K2106" s="2451"/>
      <c r="L2106" s="2453"/>
      <c r="M2106" s="2453"/>
      <c r="N2106" s="2453"/>
      <c r="O2106" s="2453"/>
      <c r="P2106" s="2453"/>
      <c r="W2106" t="s">
        <v>2062</v>
      </c>
    </row>
    <row r="2107" spans="1:23" ht="13.15" customHeight="1">
      <c r="A2107" s="2" t="s">
        <v>2215</v>
      </c>
      <c r="B2107" s="2">
        <f t="shared" si="64"/>
        <v>2020</v>
      </c>
      <c r="C2107" s="2" t="str">
        <f t="shared" si="65"/>
        <v>LIM333</v>
      </c>
      <c r="D2107" s="2">
        <v>489</v>
      </c>
      <c r="F2107" s="2451"/>
      <c r="G2107" s="2451"/>
      <c r="H2107" s="2451"/>
      <c r="I2107" s="2451"/>
      <c r="J2107" s="2451"/>
      <c r="K2107" s="2451"/>
      <c r="L2107" s="2453"/>
      <c r="M2107" s="2453"/>
      <c r="N2107" s="2453"/>
      <c r="O2107" s="2453"/>
      <c r="P2107" s="2453"/>
      <c r="W2107" t="s">
        <v>2062</v>
      </c>
    </row>
    <row r="2108" spans="1:23" ht="13.15" customHeight="1">
      <c r="A2108" s="2" t="s">
        <v>2215</v>
      </c>
      <c r="B2108" s="2">
        <f t="shared" si="64"/>
        <v>2020</v>
      </c>
      <c r="C2108" s="2" t="str">
        <f t="shared" si="65"/>
        <v>LIM333</v>
      </c>
      <c r="D2108" s="2">
        <v>490</v>
      </c>
      <c r="F2108" s="2451"/>
      <c r="G2108" s="2451"/>
      <c r="H2108" s="2451"/>
      <c r="I2108" s="2451"/>
      <c r="J2108" s="2451"/>
      <c r="K2108" s="2451"/>
      <c r="L2108" s="2453"/>
      <c r="M2108" s="2453"/>
      <c r="N2108" s="2453"/>
      <c r="O2108" s="2453"/>
      <c r="P2108" s="2453"/>
      <c r="W2108" t="s">
        <v>2062</v>
      </c>
    </row>
    <row r="2109" spans="1:23" ht="13.15" customHeight="1">
      <c r="A2109" s="2" t="s">
        <v>2215</v>
      </c>
      <c r="B2109" s="2">
        <f t="shared" si="64"/>
        <v>2020</v>
      </c>
      <c r="C2109" s="2" t="str">
        <f t="shared" si="65"/>
        <v>LIM333</v>
      </c>
      <c r="D2109" s="2">
        <v>491</v>
      </c>
      <c r="F2109" s="2451"/>
      <c r="G2109" s="2451"/>
      <c r="H2109" s="2451"/>
      <c r="I2109" s="2451"/>
      <c r="J2109" s="2451"/>
      <c r="K2109" s="2451"/>
      <c r="L2109" s="2453"/>
      <c r="M2109" s="2453"/>
      <c r="N2109" s="2453"/>
      <c r="O2109" s="2453"/>
      <c r="P2109" s="2453"/>
      <c r="W2109" t="s">
        <v>2062</v>
      </c>
    </row>
    <row r="2110" spans="1:23" ht="13.15" customHeight="1">
      <c r="A2110" s="2" t="s">
        <v>2215</v>
      </c>
      <c r="B2110" s="2">
        <f t="shared" si="64"/>
        <v>2020</v>
      </c>
      <c r="C2110" s="2" t="str">
        <f t="shared" si="65"/>
        <v>LIM333</v>
      </c>
      <c r="D2110" s="2">
        <v>492</v>
      </c>
      <c r="F2110" s="2451"/>
      <c r="G2110" s="2451"/>
      <c r="H2110" s="2451"/>
      <c r="I2110" s="2451"/>
      <c r="J2110" s="2451"/>
      <c r="K2110" s="2451"/>
      <c r="L2110" s="2453"/>
      <c r="M2110" s="2453"/>
      <c r="N2110" s="2453"/>
      <c r="O2110" s="2453"/>
      <c r="P2110" s="2453"/>
      <c r="W2110" t="s">
        <v>2062</v>
      </c>
    </row>
    <row r="2111" spans="1:23" ht="13.15" customHeight="1">
      <c r="A2111" s="2" t="s">
        <v>2215</v>
      </c>
      <c r="B2111" s="2">
        <f t="shared" si="64"/>
        <v>2020</v>
      </c>
      <c r="C2111" s="2" t="str">
        <f t="shared" si="65"/>
        <v>LIM333</v>
      </c>
      <c r="D2111" s="2">
        <v>493</v>
      </c>
      <c r="F2111" s="2451"/>
      <c r="G2111" s="2451"/>
      <c r="H2111" s="2451"/>
      <c r="I2111" s="2451"/>
      <c r="J2111" s="2451"/>
      <c r="K2111" s="2451"/>
      <c r="L2111" s="2453"/>
      <c r="M2111" s="2453"/>
      <c r="N2111" s="2453"/>
      <c r="O2111" s="2453"/>
      <c r="P2111" s="2453"/>
      <c r="W2111" t="s">
        <v>2062</v>
      </c>
    </row>
    <row r="2112" spans="1:23" ht="13.15" customHeight="1">
      <c r="A2112" s="2" t="s">
        <v>2215</v>
      </c>
      <c r="B2112" s="2">
        <f t="shared" si="64"/>
        <v>2020</v>
      </c>
      <c r="C2112" s="2" t="str">
        <f t="shared" si="65"/>
        <v>LIM333</v>
      </c>
      <c r="D2112" s="2">
        <v>494</v>
      </c>
      <c r="F2112" s="2451"/>
      <c r="G2112" s="2451"/>
      <c r="H2112" s="2451"/>
      <c r="I2112" s="2451"/>
      <c r="J2112" s="2451"/>
      <c r="K2112" s="2451"/>
      <c r="L2112" s="2453"/>
      <c r="M2112" s="2453"/>
      <c r="N2112" s="2453"/>
      <c r="O2112" s="2453"/>
      <c r="P2112" s="2453"/>
      <c r="W2112" t="s">
        <v>2062</v>
      </c>
    </row>
    <row r="2113" spans="1:23" ht="13.15" customHeight="1">
      <c r="A2113" s="2" t="s">
        <v>2215</v>
      </c>
      <c r="B2113" s="2">
        <f t="shared" si="64"/>
        <v>2020</v>
      </c>
      <c r="C2113" s="2" t="str">
        <f t="shared" si="65"/>
        <v>LIM333</v>
      </c>
      <c r="D2113" s="2">
        <v>495</v>
      </c>
      <c r="F2113" s="2451"/>
      <c r="G2113" s="2451"/>
      <c r="H2113" s="2451"/>
      <c r="I2113" s="2451"/>
      <c r="J2113" s="2451"/>
      <c r="K2113" s="2451"/>
      <c r="L2113" s="2453"/>
      <c r="M2113" s="2453"/>
      <c r="N2113" s="2453"/>
      <c r="O2113" s="2453"/>
      <c r="P2113" s="2453"/>
      <c r="W2113" t="s">
        <v>2062</v>
      </c>
    </row>
    <row r="2114" spans="1:23" ht="13.15" customHeight="1">
      <c r="A2114" s="2" t="s">
        <v>2215</v>
      </c>
      <c r="B2114" s="2">
        <f t="shared" ref="B2114:B2177" si="66">+MTREF</f>
        <v>2020</v>
      </c>
      <c r="C2114" s="2" t="str">
        <f t="shared" ref="C2114:C2177" si="67">LEFT(muni,(FIND(" ",muni,1)-1))</f>
        <v>LIM333</v>
      </c>
      <c r="D2114" s="2">
        <v>496</v>
      </c>
      <c r="F2114" s="2451"/>
      <c r="G2114" s="2451"/>
      <c r="H2114" s="2451"/>
      <c r="I2114" s="2451"/>
      <c r="J2114" s="2451"/>
      <c r="K2114" s="2451"/>
      <c r="L2114" s="2453"/>
      <c r="M2114" s="2453"/>
      <c r="N2114" s="2453"/>
      <c r="O2114" s="2453"/>
      <c r="P2114" s="2453"/>
      <c r="W2114" t="s">
        <v>2062</v>
      </c>
    </row>
    <row r="2115" spans="1:23" ht="13.15" customHeight="1">
      <c r="A2115" s="2" t="s">
        <v>2215</v>
      </c>
      <c r="B2115" s="2">
        <f t="shared" si="66"/>
        <v>2020</v>
      </c>
      <c r="C2115" s="2" t="str">
        <f t="shared" si="67"/>
        <v>LIM333</v>
      </c>
      <c r="D2115" s="2">
        <v>497</v>
      </c>
      <c r="F2115" s="2451"/>
      <c r="G2115" s="2451"/>
      <c r="H2115" s="2451"/>
      <c r="I2115" s="2451"/>
      <c r="J2115" s="2451"/>
      <c r="K2115" s="2451"/>
      <c r="L2115" s="2453"/>
      <c r="M2115" s="2453"/>
      <c r="N2115" s="2453"/>
      <c r="O2115" s="2453"/>
      <c r="P2115" s="2453"/>
      <c r="W2115" t="s">
        <v>2062</v>
      </c>
    </row>
    <row r="2116" spans="1:23" ht="13.15" customHeight="1">
      <c r="A2116" s="2" t="s">
        <v>2215</v>
      </c>
      <c r="B2116" s="2">
        <f t="shared" si="66"/>
        <v>2020</v>
      </c>
      <c r="C2116" s="2" t="str">
        <f t="shared" si="67"/>
        <v>LIM333</v>
      </c>
      <c r="D2116" s="2">
        <v>498</v>
      </c>
      <c r="F2116" s="2451"/>
      <c r="G2116" s="2451"/>
      <c r="H2116" s="2451"/>
      <c r="I2116" s="2451"/>
      <c r="J2116" s="2451"/>
      <c r="K2116" s="2451"/>
      <c r="L2116" s="2453"/>
      <c r="M2116" s="2453"/>
      <c r="N2116" s="2453"/>
      <c r="O2116" s="2453"/>
      <c r="P2116" s="2453"/>
      <c r="W2116" t="s">
        <v>2062</v>
      </c>
    </row>
    <row r="2117" spans="1:23" ht="13.15" customHeight="1">
      <c r="A2117" s="2" t="s">
        <v>2215</v>
      </c>
      <c r="B2117" s="2">
        <f t="shared" si="66"/>
        <v>2020</v>
      </c>
      <c r="C2117" s="2" t="str">
        <f t="shared" si="67"/>
        <v>LIM333</v>
      </c>
      <c r="D2117" s="2">
        <v>499</v>
      </c>
      <c r="F2117" s="2451"/>
      <c r="G2117" s="2451"/>
      <c r="H2117" s="2451"/>
      <c r="I2117" s="2451"/>
      <c r="J2117" s="2451"/>
      <c r="K2117" s="2451"/>
      <c r="L2117" s="2453"/>
      <c r="M2117" s="2453"/>
      <c r="N2117" s="2453"/>
      <c r="O2117" s="2453"/>
      <c r="P2117" s="2453"/>
      <c r="W2117" t="s">
        <v>2062</v>
      </c>
    </row>
    <row r="2118" spans="1:23" ht="13.15" customHeight="1">
      <c r="A2118" s="2" t="s">
        <v>2215</v>
      </c>
      <c r="B2118" s="2">
        <f t="shared" si="66"/>
        <v>2020</v>
      </c>
      <c r="C2118" s="2" t="str">
        <f t="shared" si="67"/>
        <v>LIM333</v>
      </c>
      <c r="D2118" s="2">
        <v>500</v>
      </c>
      <c r="F2118" s="2451"/>
      <c r="G2118" s="2451"/>
      <c r="H2118" s="2451"/>
      <c r="I2118" s="2451"/>
      <c r="J2118" s="2451"/>
      <c r="K2118" s="2451"/>
      <c r="L2118" s="2453"/>
      <c r="M2118" s="2453"/>
      <c r="N2118" s="2453"/>
      <c r="O2118" s="2453"/>
      <c r="P2118" s="2453"/>
      <c r="W2118" t="s">
        <v>2062</v>
      </c>
    </row>
    <row r="2119" spans="1:23" ht="13.15" customHeight="1">
      <c r="A2119" s="2" t="s">
        <v>2215</v>
      </c>
      <c r="B2119" s="2">
        <f t="shared" si="66"/>
        <v>2020</v>
      </c>
      <c r="C2119" s="2" t="str">
        <f t="shared" si="67"/>
        <v>LIM333</v>
      </c>
      <c r="D2119" s="2">
        <v>501</v>
      </c>
      <c r="F2119" s="2451"/>
      <c r="G2119" s="2451"/>
      <c r="H2119" s="2451"/>
      <c r="I2119" s="2451"/>
      <c r="J2119" s="2451"/>
      <c r="K2119" s="2451"/>
      <c r="L2119" s="2453"/>
      <c r="M2119" s="2453"/>
      <c r="N2119" s="2453"/>
      <c r="O2119" s="2453"/>
      <c r="P2119" s="2453"/>
      <c r="W2119" t="s">
        <v>2062</v>
      </c>
    </row>
    <row r="2120" spans="1:23" ht="13.15" customHeight="1">
      <c r="A2120" s="2" t="s">
        <v>2215</v>
      </c>
      <c r="B2120" s="2">
        <f t="shared" si="66"/>
        <v>2020</v>
      </c>
      <c r="C2120" s="2" t="str">
        <f t="shared" si="67"/>
        <v>LIM333</v>
      </c>
      <c r="D2120" s="2">
        <v>502</v>
      </c>
      <c r="F2120" s="2451"/>
      <c r="G2120" s="2451"/>
      <c r="H2120" s="2451"/>
      <c r="I2120" s="2451"/>
      <c r="J2120" s="2451"/>
      <c r="K2120" s="2451"/>
      <c r="L2120" s="2453"/>
      <c r="M2120" s="2453"/>
      <c r="N2120" s="2453"/>
      <c r="O2120" s="2453"/>
      <c r="P2120" s="2453"/>
      <c r="W2120" t="s">
        <v>2062</v>
      </c>
    </row>
    <row r="2121" spans="1:23" ht="13.15" customHeight="1">
      <c r="A2121" s="2" t="s">
        <v>2215</v>
      </c>
      <c r="B2121" s="2">
        <f t="shared" si="66"/>
        <v>2020</v>
      </c>
      <c r="C2121" s="2" t="str">
        <f t="shared" si="67"/>
        <v>LIM333</v>
      </c>
      <c r="D2121" s="2">
        <v>503</v>
      </c>
      <c r="F2121" s="2451"/>
      <c r="G2121" s="2451"/>
      <c r="H2121" s="2451"/>
      <c r="I2121" s="2451"/>
      <c r="J2121" s="2451"/>
      <c r="K2121" s="2451"/>
      <c r="L2121" s="2453"/>
      <c r="M2121" s="2453"/>
      <c r="N2121" s="2453"/>
      <c r="O2121" s="2453"/>
      <c r="P2121" s="2453"/>
      <c r="W2121" t="s">
        <v>2062</v>
      </c>
    </row>
    <row r="2122" spans="1:23" ht="13.15" customHeight="1">
      <c r="A2122" s="2" t="s">
        <v>2215</v>
      </c>
      <c r="B2122" s="2">
        <f t="shared" si="66"/>
        <v>2020</v>
      </c>
      <c r="C2122" s="2" t="str">
        <f t="shared" si="67"/>
        <v>LIM333</v>
      </c>
      <c r="D2122" s="2">
        <v>504</v>
      </c>
      <c r="F2122" s="2451"/>
      <c r="G2122" s="2451"/>
      <c r="H2122" s="2451"/>
      <c r="I2122" s="2451"/>
      <c r="J2122" s="2451"/>
      <c r="K2122" s="2451"/>
      <c r="L2122" s="2453"/>
      <c r="M2122" s="2453"/>
      <c r="N2122" s="2453"/>
      <c r="O2122" s="2453"/>
      <c r="P2122" s="2453"/>
      <c r="W2122" t="s">
        <v>2062</v>
      </c>
    </row>
    <row r="2123" spans="1:23" ht="13.15" customHeight="1">
      <c r="A2123" s="2" t="s">
        <v>2215</v>
      </c>
      <c r="B2123" s="2">
        <f t="shared" si="66"/>
        <v>2020</v>
      </c>
      <c r="C2123" s="2" t="str">
        <f t="shared" si="67"/>
        <v>LIM333</v>
      </c>
      <c r="D2123" s="2">
        <v>505</v>
      </c>
      <c r="F2123" s="2451"/>
      <c r="G2123" s="2451"/>
      <c r="H2123" s="2451"/>
      <c r="I2123" s="2451"/>
      <c r="J2123" s="2451"/>
      <c r="K2123" s="2451"/>
      <c r="L2123" s="2453"/>
      <c r="M2123" s="2453"/>
      <c r="N2123" s="2453"/>
      <c r="O2123" s="2453"/>
      <c r="P2123" s="2453"/>
      <c r="W2123" t="s">
        <v>2062</v>
      </c>
    </row>
    <row r="2124" spans="1:23" ht="13.15" customHeight="1">
      <c r="A2124" s="2" t="s">
        <v>2215</v>
      </c>
      <c r="B2124" s="2">
        <f t="shared" si="66"/>
        <v>2020</v>
      </c>
      <c r="C2124" s="2" t="str">
        <f t="shared" si="67"/>
        <v>LIM333</v>
      </c>
      <c r="D2124" s="2">
        <v>506</v>
      </c>
      <c r="F2124" s="2451"/>
      <c r="G2124" s="2451"/>
      <c r="H2124" s="2451"/>
      <c r="I2124" s="2451"/>
      <c r="J2124" s="2451"/>
      <c r="K2124" s="2451"/>
      <c r="L2124" s="2453"/>
      <c r="M2124" s="2453"/>
      <c r="N2124" s="2453"/>
      <c r="O2124" s="2453"/>
      <c r="P2124" s="2453"/>
      <c r="W2124" t="s">
        <v>2062</v>
      </c>
    </row>
    <row r="2125" spans="1:23" ht="13.15" customHeight="1">
      <c r="A2125" s="2" t="s">
        <v>2215</v>
      </c>
      <c r="B2125" s="2">
        <f t="shared" si="66"/>
        <v>2020</v>
      </c>
      <c r="C2125" s="2" t="str">
        <f t="shared" si="67"/>
        <v>LIM333</v>
      </c>
      <c r="D2125" s="2">
        <v>507</v>
      </c>
      <c r="F2125" s="2451"/>
      <c r="G2125" s="2451"/>
      <c r="H2125" s="2451"/>
      <c r="I2125" s="2451"/>
      <c r="J2125" s="2451"/>
      <c r="K2125" s="2451"/>
      <c r="L2125" s="2453"/>
      <c r="M2125" s="2453"/>
      <c r="N2125" s="2453"/>
      <c r="O2125" s="2453"/>
      <c r="P2125" s="2453"/>
      <c r="W2125" t="s">
        <v>2062</v>
      </c>
    </row>
    <row r="2126" spans="1:23" ht="13.15" customHeight="1">
      <c r="A2126" s="2" t="s">
        <v>2215</v>
      </c>
      <c r="B2126" s="2">
        <f t="shared" si="66"/>
        <v>2020</v>
      </c>
      <c r="C2126" s="2" t="str">
        <f t="shared" si="67"/>
        <v>LIM333</v>
      </c>
      <c r="D2126" s="2">
        <v>508</v>
      </c>
      <c r="F2126" s="2451"/>
      <c r="G2126" s="2451"/>
      <c r="H2126" s="2451"/>
      <c r="I2126" s="2451"/>
      <c r="J2126" s="2451"/>
      <c r="K2126" s="2451"/>
      <c r="L2126" s="2453"/>
      <c r="M2126" s="2453"/>
      <c r="N2126" s="2453"/>
      <c r="O2126" s="2453"/>
      <c r="P2126" s="2453"/>
      <c r="W2126" t="s">
        <v>2062</v>
      </c>
    </row>
    <row r="2127" spans="1:23" ht="13.15" customHeight="1">
      <c r="A2127" s="2" t="s">
        <v>2215</v>
      </c>
      <c r="B2127" s="2">
        <f t="shared" si="66"/>
        <v>2020</v>
      </c>
      <c r="C2127" s="2" t="str">
        <f t="shared" si="67"/>
        <v>LIM333</v>
      </c>
      <c r="D2127" s="2">
        <v>509</v>
      </c>
      <c r="F2127" s="2451"/>
      <c r="G2127" s="2451"/>
      <c r="H2127" s="2451"/>
      <c r="I2127" s="2451"/>
      <c r="J2127" s="2451"/>
      <c r="K2127" s="2451"/>
      <c r="L2127" s="2453"/>
      <c r="M2127" s="2453"/>
      <c r="N2127" s="2453"/>
      <c r="O2127" s="2453"/>
      <c r="P2127" s="2453"/>
      <c r="W2127" t="s">
        <v>2062</v>
      </c>
    </row>
    <row r="2128" spans="1:23" ht="13.15" customHeight="1">
      <c r="A2128" s="2" t="s">
        <v>2215</v>
      </c>
      <c r="B2128" s="2">
        <f t="shared" si="66"/>
        <v>2020</v>
      </c>
      <c r="C2128" s="2" t="str">
        <f t="shared" si="67"/>
        <v>LIM333</v>
      </c>
      <c r="D2128" s="2">
        <v>510</v>
      </c>
      <c r="F2128" s="2451"/>
      <c r="G2128" s="2451"/>
      <c r="H2128" s="2451"/>
      <c r="I2128" s="2451"/>
      <c r="J2128" s="2451"/>
      <c r="K2128" s="2451"/>
      <c r="L2128" s="2453"/>
      <c r="M2128" s="2453"/>
      <c r="N2128" s="2453"/>
      <c r="O2128" s="2453"/>
      <c r="P2128" s="2453"/>
      <c r="W2128" t="s">
        <v>2062</v>
      </c>
    </row>
    <row r="2129" spans="1:23" ht="13.15" customHeight="1">
      <c r="A2129" s="2" t="s">
        <v>2215</v>
      </c>
      <c r="B2129" s="2">
        <f t="shared" si="66"/>
        <v>2020</v>
      </c>
      <c r="C2129" s="2" t="str">
        <f t="shared" si="67"/>
        <v>LIM333</v>
      </c>
      <c r="D2129" s="2">
        <v>511</v>
      </c>
      <c r="F2129" s="2451"/>
      <c r="G2129" s="2451"/>
      <c r="H2129" s="2451"/>
      <c r="I2129" s="2451"/>
      <c r="J2129" s="2451"/>
      <c r="K2129" s="2451"/>
      <c r="L2129" s="2453"/>
      <c r="M2129" s="2453"/>
      <c r="N2129" s="2453"/>
      <c r="O2129" s="2453"/>
      <c r="P2129" s="2453"/>
      <c r="W2129" t="s">
        <v>2062</v>
      </c>
    </row>
    <row r="2130" spans="1:23" ht="13.15" customHeight="1">
      <c r="A2130" s="2" t="s">
        <v>2215</v>
      </c>
      <c r="B2130" s="2">
        <f t="shared" si="66"/>
        <v>2020</v>
      </c>
      <c r="C2130" s="2" t="str">
        <f t="shared" si="67"/>
        <v>LIM333</v>
      </c>
      <c r="D2130" s="2">
        <v>512</v>
      </c>
      <c r="F2130" s="2451"/>
      <c r="G2130" s="2451"/>
      <c r="H2130" s="2451"/>
      <c r="I2130" s="2451"/>
      <c r="J2130" s="2451"/>
      <c r="K2130" s="2451"/>
      <c r="L2130" s="2453"/>
      <c r="M2130" s="2453"/>
      <c r="N2130" s="2453"/>
      <c r="O2130" s="2453"/>
      <c r="P2130" s="2453"/>
      <c r="W2130" t="s">
        <v>2062</v>
      </c>
    </row>
    <row r="2131" spans="1:23" ht="13.15" customHeight="1">
      <c r="A2131" s="2" t="s">
        <v>2215</v>
      </c>
      <c r="B2131" s="2">
        <f t="shared" si="66"/>
        <v>2020</v>
      </c>
      <c r="C2131" s="2" t="str">
        <f t="shared" si="67"/>
        <v>LIM333</v>
      </c>
      <c r="D2131" s="2">
        <v>513</v>
      </c>
      <c r="F2131" s="2451"/>
      <c r="G2131" s="2451"/>
      <c r="H2131" s="2451"/>
      <c r="I2131" s="2451"/>
      <c r="J2131" s="2451"/>
      <c r="K2131" s="2451"/>
      <c r="L2131" s="2453"/>
      <c r="M2131" s="2453"/>
      <c r="N2131" s="2453"/>
      <c r="O2131" s="2453"/>
      <c r="P2131" s="2453"/>
      <c r="W2131" t="s">
        <v>2062</v>
      </c>
    </row>
    <row r="2132" spans="1:23" ht="13.15" customHeight="1">
      <c r="A2132" s="2" t="s">
        <v>2215</v>
      </c>
      <c r="B2132" s="2">
        <f t="shared" si="66"/>
        <v>2020</v>
      </c>
      <c r="C2132" s="2" t="str">
        <f t="shared" si="67"/>
        <v>LIM333</v>
      </c>
      <c r="D2132" s="2">
        <v>514</v>
      </c>
      <c r="F2132" s="2451"/>
      <c r="G2132" s="2451"/>
      <c r="H2132" s="2451"/>
      <c r="I2132" s="2451"/>
      <c r="J2132" s="2451"/>
      <c r="K2132" s="2451"/>
      <c r="L2132" s="2453"/>
      <c r="M2132" s="2453"/>
      <c r="N2132" s="2453"/>
      <c r="O2132" s="2453"/>
      <c r="P2132" s="2453"/>
      <c r="W2132" t="s">
        <v>2062</v>
      </c>
    </row>
    <row r="2133" spans="1:23" ht="13.15" customHeight="1">
      <c r="A2133" s="2" t="s">
        <v>2215</v>
      </c>
      <c r="B2133" s="2">
        <f t="shared" si="66"/>
        <v>2020</v>
      </c>
      <c r="C2133" s="2" t="str">
        <f t="shared" si="67"/>
        <v>LIM333</v>
      </c>
      <c r="D2133" s="2">
        <v>515</v>
      </c>
      <c r="F2133" s="2451"/>
      <c r="G2133" s="2451"/>
      <c r="H2133" s="2451"/>
      <c r="I2133" s="2451"/>
      <c r="J2133" s="2451"/>
      <c r="K2133" s="2451"/>
      <c r="L2133" s="2453"/>
      <c r="M2133" s="2453"/>
      <c r="N2133" s="2453"/>
      <c r="O2133" s="2453"/>
      <c r="P2133" s="2453"/>
      <c r="W2133" t="s">
        <v>2062</v>
      </c>
    </row>
    <row r="2134" spans="1:23" ht="13.15" customHeight="1">
      <c r="A2134" s="2" t="s">
        <v>2215</v>
      </c>
      <c r="B2134" s="2">
        <f t="shared" si="66"/>
        <v>2020</v>
      </c>
      <c r="C2134" s="2" t="str">
        <f t="shared" si="67"/>
        <v>LIM333</v>
      </c>
      <c r="D2134" s="2">
        <v>516</v>
      </c>
      <c r="F2134" s="2451"/>
      <c r="G2134" s="2451"/>
      <c r="H2134" s="2451"/>
      <c r="I2134" s="2451"/>
      <c r="J2134" s="2451"/>
      <c r="K2134" s="2451"/>
      <c r="L2134" s="2453"/>
      <c r="M2134" s="2453"/>
      <c r="N2134" s="2453"/>
      <c r="O2134" s="2453"/>
      <c r="P2134" s="2453"/>
      <c r="W2134" t="s">
        <v>2062</v>
      </c>
    </row>
    <row r="2135" spans="1:23" ht="13.15" customHeight="1">
      <c r="A2135" s="2" t="s">
        <v>2215</v>
      </c>
      <c r="B2135" s="2">
        <f t="shared" si="66"/>
        <v>2020</v>
      </c>
      <c r="C2135" s="2" t="str">
        <f t="shared" si="67"/>
        <v>LIM333</v>
      </c>
      <c r="D2135" s="2">
        <v>517</v>
      </c>
      <c r="F2135" s="2451"/>
      <c r="G2135" s="2451"/>
      <c r="H2135" s="2451"/>
      <c r="I2135" s="2451"/>
      <c r="J2135" s="2451"/>
      <c r="K2135" s="2451"/>
      <c r="L2135" s="2453"/>
      <c r="M2135" s="2453"/>
      <c r="N2135" s="2453"/>
      <c r="O2135" s="2453"/>
      <c r="P2135" s="2453"/>
      <c r="W2135" t="s">
        <v>2062</v>
      </c>
    </row>
    <row r="2136" spans="1:23" ht="13.15" customHeight="1">
      <c r="A2136" s="2" t="s">
        <v>2215</v>
      </c>
      <c r="B2136" s="2">
        <f t="shared" si="66"/>
        <v>2020</v>
      </c>
      <c r="C2136" s="2" t="str">
        <f t="shared" si="67"/>
        <v>LIM333</v>
      </c>
      <c r="D2136" s="2">
        <v>518</v>
      </c>
      <c r="F2136" s="2451"/>
      <c r="G2136" s="2451"/>
      <c r="H2136" s="2451"/>
      <c r="I2136" s="2451"/>
      <c r="J2136" s="2451"/>
      <c r="K2136" s="2451"/>
      <c r="L2136" s="2453"/>
      <c r="M2136" s="2453"/>
      <c r="N2136" s="2453"/>
      <c r="O2136" s="2453"/>
      <c r="P2136" s="2453"/>
      <c r="W2136" t="s">
        <v>2062</v>
      </c>
    </row>
    <row r="2137" spans="1:23" ht="13.15" customHeight="1">
      <c r="A2137" s="2" t="s">
        <v>2215</v>
      </c>
      <c r="B2137" s="2">
        <f t="shared" si="66"/>
        <v>2020</v>
      </c>
      <c r="C2137" s="2" t="str">
        <f t="shared" si="67"/>
        <v>LIM333</v>
      </c>
      <c r="D2137" s="2">
        <v>519</v>
      </c>
      <c r="F2137" s="2451"/>
      <c r="G2137" s="2451"/>
      <c r="H2137" s="2451"/>
      <c r="I2137" s="2451"/>
      <c r="J2137" s="2451"/>
      <c r="K2137" s="2451"/>
      <c r="L2137" s="2453"/>
      <c r="M2137" s="2453"/>
      <c r="N2137" s="2453"/>
      <c r="O2137" s="2453"/>
      <c r="P2137" s="2453"/>
      <c r="W2137" t="s">
        <v>2062</v>
      </c>
    </row>
    <row r="2138" spans="1:23" ht="13.15" customHeight="1">
      <c r="A2138" s="2" t="s">
        <v>2215</v>
      </c>
      <c r="B2138" s="2">
        <f t="shared" si="66"/>
        <v>2020</v>
      </c>
      <c r="C2138" s="2" t="str">
        <f t="shared" si="67"/>
        <v>LIM333</v>
      </c>
      <c r="D2138" s="2">
        <v>520</v>
      </c>
      <c r="F2138" s="2451"/>
      <c r="G2138" s="2451"/>
      <c r="H2138" s="2451"/>
      <c r="I2138" s="2451"/>
      <c r="J2138" s="2451"/>
      <c r="K2138" s="2451"/>
      <c r="L2138" s="2453"/>
      <c r="M2138" s="2453"/>
      <c r="N2138" s="2453"/>
      <c r="O2138" s="2453"/>
      <c r="P2138" s="2453"/>
      <c r="W2138" t="s">
        <v>2062</v>
      </c>
    </row>
    <row r="2139" spans="1:23" ht="13.15" customHeight="1">
      <c r="A2139" s="2" t="s">
        <v>2215</v>
      </c>
      <c r="B2139" s="2">
        <f t="shared" si="66"/>
        <v>2020</v>
      </c>
      <c r="C2139" s="2" t="str">
        <f t="shared" si="67"/>
        <v>LIM333</v>
      </c>
      <c r="D2139" s="2">
        <v>521</v>
      </c>
      <c r="F2139" s="2451"/>
      <c r="G2139" s="2451"/>
      <c r="H2139" s="2451"/>
      <c r="I2139" s="2451"/>
      <c r="J2139" s="2451"/>
      <c r="K2139" s="2451"/>
      <c r="L2139" s="2453"/>
      <c r="M2139" s="2453"/>
      <c r="N2139" s="2453"/>
      <c r="O2139" s="2453"/>
      <c r="P2139" s="2453"/>
      <c r="W2139" t="s">
        <v>2062</v>
      </c>
    </row>
    <row r="2140" spans="1:23" ht="13.15" customHeight="1">
      <c r="A2140" s="2" t="s">
        <v>2215</v>
      </c>
      <c r="B2140" s="2">
        <f t="shared" si="66"/>
        <v>2020</v>
      </c>
      <c r="C2140" s="2" t="str">
        <f t="shared" si="67"/>
        <v>LIM333</v>
      </c>
      <c r="D2140" s="2">
        <v>522</v>
      </c>
      <c r="F2140" s="2451"/>
      <c r="G2140" s="2451"/>
      <c r="H2140" s="2451"/>
      <c r="I2140" s="2451"/>
      <c r="J2140" s="2451"/>
      <c r="K2140" s="2451"/>
      <c r="L2140" s="2453"/>
      <c r="M2140" s="2453"/>
      <c r="N2140" s="2453"/>
      <c r="O2140" s="2453"/>
      <c r="P2140" s="2453"/>
      <c r="W2140" t="s">
        <v>2062</v>
      </c>
    </row>
    <row r="2141" spans="1:23" ht="13.15" customHeight="1">
      <c r="A2141" s="2" t="s">
        <v>2215</v>
      </c>
      <c r="B2141" s="2">
        <f t="shared" si="66"/>
        <v>2020</v>
      </c>
      <c r="C2141" s="2" t="str">
        <f t="shared" si="67"/>
        <v>LIM333</v>
      </c>
      <c r="D2141" s="2">
        <v>523</v>
      </c>
      <c r="F2141" s="2451"/>
      <c r="G2141" s="2451"/>
      <c r="H2141" s="2451"/>
      <c r="I2141" s="2451"/>
      <c r="J2141" s="2451"/>
      <c r="K2141" s="2451"/>
      <c r="L2141" s="2453"/>
      <c r="M2141" s="2453"/>
      <c r="N2141" s="2453"/>
      <c r="O2141" s="2453"/>
      <c r="P2141" s="2453"/>
      <c r="W2141" t="s">
        <v>2062</v>
      </c>
    </row>
    <row r="2142" spans="1:23" ht="13.15" customHeight="1">
      <c r="A2142" s="2" t="s">
        <v>2215</v>
      </c>
      <c r="B2142" s="2">
        <f t="shared" si="66"/>
        <v>2020</v>
      </c>
      <c r="C2142" s="2" t="str">
        <f t="shared" si="67"/>
        <v>LIM333</v>
      </c>
      <c r="D2142" s="2">
        <v>524</v>
      </c>
      <c r="F2142" s="2451"/>
      <c r="G2142" s="2451"/>
      <c r="H2142" s="2451"/>
      <c r="I2142" s="2451"/>
      <c r="J2142" s="2451"/>
      <c r="K2142" s="2451"/>
      <c r="L2142" s="2453"/>
      <c r="M2142" s="2453"/>
      <c r="N2142" s="2453"/>
      <c r="O2142" s="2453"/>
      <c r="P2142" s="2453"/>
      <c r="W2142" t="s">
        <v>2062</v>
      </c>
    </row>
    <row r="2143" spans="1:23" ht="13.15" customHeight="1">
      <c r="A2143" s="2" t="s">
        <v>2215</v>
      </c>
      <c r="B2143" s="2">
        <f t="shared" si="66"/>
        <v>2020</v>
      </c>
      <c r="C2143" s="2" t="str">
        <f t="shared" si="67"/>
        <v>LIM333</v>
      </c>
      <c r="D2143" s="2">
        <v>525</v>
      </c>
      <c r="F2143" s="2451"/>
      <c r="G2143" s="2451"/>
      <c r="H2143" s="2451"/>
      <c r="I2143" s="2451"/>
      <c r="J2143" s="2451"/>
      <c r="K2143" s="2451"/>
      <c r="L2143" s="2453"/>
      <c r="M2143" s="2453"/>
      <c r="N2143" s="2453"/>
      <c r="O2143" s="2453"/>
      <c r="P2143" s="2453"/>
      <c r="W2143" t="s">
        <v>2062</v>
      </c>
    </row>
    <row r="2144" spans="1:23" ht="13.15" customHeight="1">
      <c r="A2144" s="2" t="s">
        <v>2215</v>
      </c>
      <c r="B2144" s="2">
        <f t="shared" si="66"/>
        <v>2020</v>
      </c>
      <c r="C2144" s="2" t="str">
        <f t="shared" si="67"/>
        <v>LIM333</v>
      </c>
      <c r="D2144" s="2">
        <v>526</v>
      </c>
      <c r="F2144" s="2451"/>
      <c r="G2144" s="2451"/>
      <c r="H2144" s="2451"/>
      <c r="I2144" s="2451"/>
      <c r="J2144" s="2451"/>
      <c r="K2144" s="2451"/>
      <c r="L2144" s="2453"/>
      <c r="M2144" s="2453"/>
      <c r="N2144" s="2453"/>
      <c r="O2144" s="2453"/>
      <c r="P2144" s="2453"/>
      <c r="W2144" t="s">
        <v>2062</v>
      </c>
    </row>
    <row r="2145" spans="1:23" ht="13.15" customHeight="1">
      <c r="A2145" s="2" t="s">
        <v>2215</v>
      </c>
      <c r="B2145" s="2">
        <f t="shared" si="66"/>
        <v>2020</v>
      </c>
      <c r="C2145" s="2" t="str">
        <f t="shared" si="67"/>
        <v>LIM333</v>
      </c>
      <c r="D2145" s="2">
        <v>527</v>
      </c>
      <c r="F2145" s="2451"/>
      <c r="G2145" s="2451"/>
      <c r="H2145" s="2451"/>
      <c r="I2145" s="2451"/>
      <c r="J2145" s="2451"/>
      <c r="K2145" s="2451"/>
      <c r="L2145" s="2453"/>
      <c r="M2145" s="2453"/>
      <c r="N2145" s="2453"/>
      <c r="O2145" s="2453"/>
      <c r="P2145" s="2453"/>
      <c r="W2145" t="s">
        <v>2062</v>
      </c>
    </row>
    <row r="2146" spans="1:23" ht="13.15" customHeight="1">
      <c r="A2146" s="2" t="s">
        <v>2215</v>
      </c>
      <c r="B2146" s="2">
        <f t="shared" si="66"/>
        <v>2020</v>
      </c>
      <c r="C2146" s="2" t="str">
        <f t="shared" si="67"/>
        <v>LIM333</v>
      </c>
      <c r="D2146" s="2">
        <v>528</v>
      </c>
      <c r="F2146" s="2451"/>
      <c r="G2146" s="2451"/>
      <c r="H2146" s="2451"/>
      <c r="I2146" s="2451"/>
      <c r="J2146" s="2451"/>
      <c r="K2146" s="2451"/>
      <c r="L2146" s="2453"/>
      <c r="M2146" s="2453"/>
      <c r="N2146" s="2453"/>
      <c r="O2146" s="2453"/>
      <c r="P2146" s="2453"/>
      <c r="W2146" t="s">
        <v>2062</v>
      </c>
    </row>
    <row r="2147" spans="1:23" ht="13.15" customHeight="1">
      <c r="A2147" s="2" t="s">
        <v>2215</v>
      </c>
      <c r="B2147" s="2">
        <f t="shared" si="66"/>
        <v>2020</v>
      </c>
      <c r="C2147" s="2" t="str">
        <f t="shared" si="67"/>
        <v>LIM333</v>
      </c>
      <c r="D2147" s="2">
        <v>529</v>
      </c>
      <c r="F2147" s="2451"/>
      <c r="G2147" s="2451"/>
      <c r="H2147" s="2451"/>
      <c r="I2147" s="2451"/>
      <c r="J2147" s="2451"/>
      <c r="K2147" s="2451"/>
      <c r="L2147" s="2453"/>
      <c r="M2147" s="2453"/>
      <c r="N2147" s="2453"/>
      <c r="O2147" s="2453"/>
      <c r="P2147" s="2453"/>
      <c r="W2147" t="s">
        <v>2062</v>
      </c>
    </row>
    <row r="2148" spans="1:23" ht="13.15" customHeight="1">
      <c r="A2148" s="2" t="s">
        <v>2215</v>
      </c>
      <c r="B2148" s="2">
        <f t="shared" si="66"/>
        <v>2020</v>
      </c>
      <c r="C2148" s="2" t="str">
        <f t="shared" si="67"/>
        <v>LIM333</v>
      </c>
      <c r="D2148" s="2">
        <v>530</v>
      </c>
      <c r="F2148" s="2451"/>
      <c r="G2148" s="2451"/>
      <c r="H2148" s="2451"/>
      <c r="I2148" s="2451"/>
      <c r="J2148" s="2451"/>
      <c r="K2148" s="2451"/>
      <c r="L2148" s="2453"/>
      <c r="M2148" s="2453"/>
      <c r="N2148" s="2453"/>
      <c r="O2148" s="2453"/>
      <c r="P2148" s="2453"/>
      <c r="W2148" t="s">
        <v>2062</v>
      </c>
    </row>
    <row r="2149" spans="1:23" ht="13.15" customHeight="1">
      <c r="A2149" s="2" t="s">
        <v>2215</v>
      </c>
      <c r="B2149" s="2">
        <f t="shared" si="66"/>
        <v>2020</v>
      </c>
      <c r="C2149" s="2" t="str">
        <f t="shared" si="67"/>
        <v>LIM333</v>
      </c>
      <c r="D2149" s="2">
        <v>531</v>
      </c>
      <c r="F2149" s="2451"/>
      <c r="G2149" s="2451"/>
      <c r="H2149" s="2451"/>
      <c r="I2149" s="2451"/>
      <c r="J2149" s="2451"/>
      <c r="K2149" s="2451"/>
      <c r="L2149" s="2453"/>
      <c r="M2149" s="2453"/>
      <c r="N2149" s="2453"/>
      <c r="O2149" s="2453"/>
      <c r="P2149" s="2453"/>
      <c r="W2149" t="s">
        <v>2062</v>
      </c>
    </row>
    <row r="2150" spans="1:23" ht="13.15" customHeight="1">
      <c r="A2150" s="2" t="s">
        <v>2215</v>
      </c>
      <c r="B2150" s="2">
        <f t="shared" si="66"/>
        <v>2020</v>
      </c>
      <c r="C2150" s="2" t="str">
        <f t="shared" si="67"/>
        <v>LIM333</v>
      </c>
      <c r="D2150" s="2">
        <v>532</v>
      </c>
      <c r="F2150" s="2451"/>
      <c r="G2150" s="2451"/>
      <c r="H2150" s="2451"/>
      <c r="I2150" s="2451"/>
      <c r="J2150" s="2451"/>
      <c r="K2150" s="2451"/>
      <c r="L2150" s="2453"/>
      <c r="M2150" s="2453"/>
      <c r="N2150" s="2453"/>
      <c r="O2150" s="2453"/>
      <c r="P2150" s="2453"/>
      <c r="W2150" t="s">
        <v>2062</v>
      </c>
    </row>
    <row r="2151" spans="1:23" ht="13.15" customHeight="1">
      <c r="A2151" s="2" t="s">
        <v>2215</v>
      </c>
      <c r="B2151" s="2">
        <f t="shared" si="66"/>
        <v>2020</v>
      </c>
      <c r="C2151" s="2" t="str">
        <f t="shared" si="67"/>
        <v>LIM333</v>
      </c>
      <c r="D2151" s="2">
        <v>533</v>
      </c>
      <c r="F2151" s="2451"/>
      <c r="G2151" s="2451"/>
      <c r="H2151" s="2451"/>
      <c r="I2151" s="2451"/>
      <c r="J2151" s="2451"/>
      <c r="K2151" s="2451"/>
      <c r="L2151" s="2453"/>
      <c r="M2151" s="2453"/>
      <c r="N2151" s="2453"/>
      <c r="O2151" s="2453"/>
      <c r="P2151" s="2453"/>
      <c r="W2151" t="s">
        <v>2062</v>
      </c>
    </row>
    <row r="2152" spans="1:23" ht="13.15" customHeight="1">
      <c r="A2152" s="2" t="s">
        <v>2215</v>
      </c>
      <c r="B2152" s="2">
        <f t="shared" si="66"/>
        <v>2020</v>
      </c>
      <c r="C2152" s="2" t="str">
        <f t="shared" si="67"/>
        <v>LIM333</v>
      </c>
      <c r="D2152" s="2">
        <v>534</v>
      </c>
      <c r="F2152" s="2451"/>
      <c r="G2152" s="2451"/>
      <c r="H2152" s="2451"/>
      <c r="I2152" s="2451"/>
      <c r="J2152" s="2451"/>
      <c r="K2152" s="2451"/>
      <c r="L2152" s="2453"/>
      <c r="M2152" s="2453"/>
      <c r="N2152" s="2453"/>
      <c r="O2152" s="2453"/>
      <c r="P2152" s="2453"/>
      <c r="W2152" t="s">
        <v>2062</v>
      </c>
    </row>
    <row r="2153" spans="1:23" ht="13.15" customHeight="1">
      <c r="A2153" s="2" t="s">
        <v>2215</v>
      </c>
      <c r="B2153" s="2">
        <f t="shared" si="66"/>
        <v>2020</v>
      </c>
      <c r="C2153" s="2" t="str">
        <f t="shared" si="67"/>
        <v>LIM333</v>
      </c>
      <c r="D2153" s="2">
        <v>535</v>
      </c>
      <c r="F2153" s="2451"/>
      <c r="G2153" s="2451"/>
      <c r="H2153" s="2451"/>
      <c r="I2153" s="2451"/>
      <c r="J2153" s="2451"/>
      <c r="K2153" s="2451"/>
      <c r="L2153" s="2453"/>
      <c r="M2153" s="2453"/>
      <c r="N2153" s="2453"/>
      <c r="O2153" s="2453"/>
      <c r="P2153" s="2453"/>
      <c r="W2153" t="s">
        <v>2062</v>
      </c>
    </row>
    <row r="2154" spans="1:23" ht="13.15" customHeight="1">
      <c r="A2154" s="2" t="s">
        <v>2215</v>
      </c>
      <c r="B2154" s="2">
        <f t="shared" si="66"/>
        <v>2020</v>
      </c>
      <c r="C2154" s="2" t="str">
        <f t="shared" si="67"/>
        <v>LIM333</v>
      </c>
      <c r="D2154" s="2">
        <v>536</v>
      </c>
      <c r="F2154" s="2451"/>
      <c r="G2154" s="2451"/>
      <c r="H2154" s="2451"/>
      <c r="I2154" s="2451"/>
      <c r="J2154" s="2451"/>
      <c r="K2154" s="2451"/>
      <c r="L2154" s="2453"/>
      <c r="M2154" s="2453"/>
      <c r="N2154" s="2453"/>
      <c r="O2154" s="2453"/>
      <c r="P2154" s="2453"/>
      <c r="W2154" t="s">
        <v>2062</v>
      </c>
    </row>
    <row r="2155" spans="1:23" ht="13.15" customHeight="1">
      <c r="A2155" s="2" t="s">
        <v>2215</v>
      </c>
      <c r="B2155" s="2">
        <f t="shared" si="66"/>
        <v>2020</v>
      </c>
      <c r="C2155" s="2" t="str">
        <f t="shared" si="67"/>
        <v>LIM333</v>
      </c>
      <c r="D2155" s="2">
        <v>537</v>
      </c>
      <c r="F2155" s="2451"/>
      <c r="G2155" s="2451"/>
      <c r="H2155" s="2451"/>
      <c r="I2155" s="2451"/>
      <c r="J2155" s="2451"/>
      <c r="K2155" s="2451"/>
      <c r="L2155" s="2453"/>
      <c r="M2155" s="2453"/>
      <c r="N2155" s="2453"/>
      <c r="O2155" s="2453"/>
      <c r="P2155" s="2453"/>
      <c r="W2155" t="s">
        <v>2062</v>
      </c>
    </row>
    <row r="2156" spans="1:23" ht="13.15" customHeight="1">
      <c r="A2156" s="2" t="s">
        <v>2215</v>
      </c>
      <c r="B2156" s="2">
        <f t="shared" si="66"/>
        <v>2020</v>
      </c>
      <c r="C2156" s="2" t="str">
        <f t="shared" si="67"/>
        <v>LIM333</v>
      </c>
      <c r="D2156" s="2">
        <v>538</v>
      </c>
      <c r="F2156" s="2451"/>
      <c r="G2156" s="2451"/>
      <c r="H2156" s="2451"/>
      <c r="I2156" s="2451"/>
      <c r="J2156" s="2451"/>
      <c r="K2156" s="2451"/>
      <c r="L2156" s="2453"/>
      <c r="M2156" s="2453"/>
      <c r="N2156" s="2453"/>
      <c r="O2156" s="2453"/>
      <c r="P2156" s="2453"/>
      <c r="W2156" t="s">
        <v>2062</v>
      </c>
    </row>
    <row r="2157" spans="1:23" ht="13.15" customHeight="1">
      <c r="A2157" s="2" t="s">
        <v>2215</v>
      </c>
      <c r="B2157" s="2">
        <f t="shared" si="66"/>
        <v>2020</v>
      </c>
      <c r="C2157" s="2" t="str">
        <f t="shared" si="67"/>
        <v>LIM333</v>
      </c>
      <c r="D2157" s="2">
        <v>539</v>
      </c>
      <c r="F2157" s="2451"/>
      <c r="G2157" s="2451"/>
      <c r="H2157" s="2451"/>
      <c r="I2157" s="2451"/>
      <c r="J2157" s="2451"/>
      <c r="K2157" s="2451"/>
      <c r="L2157" s="2453"/>
      <c r="M2157" s="2453"/>
      <c r="N2157" s="2453"/>
      <c r="O2157" s="2453"/>
      <c r="P2157" s="2453"/>
      <c r="W2157" t="s">
        <v>2062</v>
      </c>
    </row>
    <row r="2158" spans="1:23" ht="13.15" customHeight="1">
      <c r="A2158" s="2" t="s">
        <v>2215</v>
      </c>
      <c r="B2158" s="2">
        <f t="shared" si="66"/>
        <v>2020</v>
      </c>
      <c r="C2158" s="2" t="str">
        <f t="shared" si="67"/>
        <v>LIM333</v>
      </c>
      <c r="D2158" s="2">
        <v>540</v>
      </c>
      <c r="F2158" s="2451"/>
      <c r="G2158" s="2451"/>
      <c r="H2158" s="2451"/>
      <c r="I2158" s="2451"/>
      <c r="J2158" s="2451"/>
      <c r="K2158" s="2451"/>
      <c r="L2158" s="2453"/>
      <c r="M2158" s="2453"/>
      <c r="N2158" s="2453"/>
      <c r="O2158" s="2453"/>
      <c r="P2158" s="2453"/>
      <c r="W2158" t="s">
        <v>2062</v>
      </c>
    </row>
    <row r="2159" spans="1:23" ht="13.15" customHeight="1">
      <c r="A2159" s="2" t="s">
        <v>2215</v>
      </c>
      <c r="B2159" s="2">
        <f t="shared" si="66"/>
        <v>2020</v>
      </c>
      <c r="C2159" s="2" t="str">
        <f t="shared" si="67"/>
        <v>LIM333</v>
      </c>
      <c r="D2159" s="2">
        <v>541</v>
      </c>
      <c r="F2159" s="2451"/>
      <c r="G2159" s="2451"/>
      <c r="H2159" s="2451"/>
      <c r="I2159" s="2451"/>
      <c r="J2159" s="2451"/>
      <c r="K2159" s="2451"/>
      <c r="L2159" s="2453"/>
      <c r="M2159" s="2453"/>
      <c r="N2159" s="2453"/>
      <c r="O2159" s="2453"/>
      <c r="P2159" s="2453"/>
      <c r="W2159" t="s">
        <v>2062</v>
      </c>
    </row>
    <row r="2160" spans="1:23" ht="13.15" customHeight="1">
      <c r="A2160" s="2" t="s">
        <v>2215</v>
      </c>
      <c r="B2160" s="2">
        <f t="shared" si="66"/>
        <v>2020</v>
      </c>
      <c r="C2160" s="2" t="str">
        <f t="shared" si="67"/>
        <v>LIM333</v>
      </c>
      <c r="D2160" s="2">
        <v>542</v>
      </c>
      <c r="F2160" s="2451"/>
      <c r="G2160" s="2451"/>
      <c r="H2160" s="2451"/>
      <c r="I2160" s="2451"/>
      <c r="J2160" s="2451"/>
      <c r="K2160" s="2451"/>
      <c r="L2160" s="2453"/>
      <c r="M2160" s="2453"/>
      <c r="N2160" s="2453"/>
      <c r="O2160" s="2453"/>
      <c r="P2160" s="2453"/>
      <c r="W2160" t="s">
        <v>2062</v>
      </c>
    </row>
    <row r="2161" spans="1:23" ht="13.15" customHeight="1">
      <c r="A2161" s="2" t="s">
        <v>2215</v>
      </c>
      <c r="B2161" s="2">
        <f t="shared" si="66"/>
        <v>2020</v>
      </c>
      <c r="C2161" s="2" t="str">
        <f t="shared" si="67"/>
        <v>LIM333</v>
      </c>
      <c r="D2161" s="2">
        <v>543</v>
      </c>
      <c r="F2161" s="2451"/>
      <c r="G2161" s="2451"/>
      <c r="H2161" s="2451"/>
      <c r="I2161" s="2451"/>
      <c r="J2161" s="2451"/>
      <c r="K2161" s="2451"/>
      <c r="L2161" s="2453"/>
      <c r="M2161" s="2453"/>
      <c r="N2161" s="2453"/>
      <c r="O2161" s="2453"/>
      <c r="P2161" s="2453"/>
      <c r="W2161" t="s">
        <v>2062</v>
      </c>
    </row>
    <row r="2162" spans="1:23" ht="13.15" customHeight="1">
      <c r="A2162" s="2" t="s">
        <v>2215</v>
      </c>
      <c r="B2162" s="2">
        <f t="shared" si="66"/>
        <v>2020</v>
      </c>
      <c r="C2162" s="2" t="str">
        <f t="shared" si="67"/>
        <v>LIM333</v>
      </c>
      <c r="D2162" s="2">
        <v>544</v>
      </c>
      <c r="F2162" s="2451"/>
      <c r="G2162" s="2451"/>
      <c r="H2162" s="2451"/>
      <c r="I2162" s="2451"/>
      <c r="J2162" s="2451"/>
      <c r="K2162" s="2451"/>
      <c r="L2162" s="2453"/>
      <c r="M2162" s="2453"/>
      <c r="N2162" s="2453"/>
      <c r="O2162" s="2453"/>
      <c r="P2162" s="2453"/>
      <c r="W2162" t="s">
        <v>2062</v>
      </c>
    </row>
    <row r="2163" spans="1:23" ht="13.15" customHeight="1">
      <c r="A2163" s="2" t="s">
        <v>2215</v>
      </c>
      <c r="B2163" s="2">
        <f t="shared" si="66"/>
        <v>2020</v>
      </c>
      <c r="C2163" s="2" t="str">
        <f t="shared" si="67"/>
        <v>LIM333</v>
      </c>
      <c r="D2163" s="2">
        <v>545</v>
      </c>
      <c r="F2163" s="2451"/>
      <c r="G2163" s="2451"/>
      <c r="H2163" s="2451"/>
      <c r="I2163" s="2451"/>
      <c r="J2163" s="2451"/>
      <c r="K2163" s="2451"/>
      <c r="L2163" s="2453"/>
      <c r="M2163" s="2453"/>
      <c r="N2163" s="2453"/>
      <c r="O2163" s="2453"/>
      <c r="P2163" s="2453"/>
      <c r="W2163" t="s">
        <v>2062</v>
      </c>
    </row>
    <row r="2164" spans="1:23" ht="13.15" customHeight="1">
      <c r="A2164" s="2" t="s">
        <v>2215</v>
      </c>
      <c r="B2164" s="2">
        <f t="shared" si="66"/>
        <v>2020</v>
      </c>
      <c r="C2164" s="2" t="str">
        <f t="shared" si="67"/>
        <v>LIM333</v>
      </c>
      <c r="D2164" s="2">
        <v>546</v>
      </c>
      <c r="F2164" s="2451"/>
      <c r="G2164" s="2451"/>
      <c r="H2164" s="2451"/>
      <c r="I2164" s="2451"/>
      <c r="J2164" s="2451"/>
      <c r="K2164" s="2451"/>
      <c r="L2164" s="2453"/>
      <c r="M2164" s="2453"/>
      <c r="N2164" s="2453"/>
      <c r="O2164" s="2453"/>
      <c r="P2164" s="2453"/>
      <c r="W2164" t="s">
        <v>2062</v>
      </c>
    </row>
    <row r="2165" spans="1:23" ht="13.15" customHeight="1">
      <c r="A2165" s="2" t="s">
        <v>2215</v>
      </c>
      <c r="B2165" s="2">
        <f t="shared" si="66"/>
        <v>2020</v>
      </c>
      <c r="C2165" s="2" t="str">
        <f t="shared" si="67"/>
        <v>LIM333</v>
      </c>
      <c r="D2165" s="2">
        <v>547</v>
      </c>
      <c r="F2165" s="2451"/>
      <c r="G2165" s="2451"/>
      <c r="H2165" s="2451"/>
      <c r="I2165" s="2451"/>
      <c r="J2165" s="2451"/>
      <c r="K2165" s="2451"/>
      <c r="L2165" s="2453"/>
      <c r="M2165" s="2453"/>
      <c r="N2165" s="2453"/>
      <c r="O2165" s="2453"/>
      <c r="P2165" s="2453"/>
      <c r="W2165" t="s">
        <v>2062</v>
      </c>
    </row>
    <row r="2166" spans="1:23" ht="13.15" customHeight="1">
      <c r="A2166" s="2" t="s">
        <v>2215</v>
      </c>
      <c r="B2166" s="2">
        <f t="shared" si="66"/>
        <v>2020</v>
      </c>
      <c r="C2166" s="2" t="str">
        <f t="shared" si="67"/>
        <v>LIM333</v>
      </c>
      <c r="D2166" s="2">
        <v>548</v>
      </c>
      <c r="F2166" s="2451"/>
      <c r="G2166" s="2451"/>
      <c r="H2166" s="2451"/>
      <c r="I2166" s="2451"/>
      <c r="J2166" s="2451"/>
      <c r="K2166" s="2451"/>
      <c r="L2166" s="2453"/>
      <c r="M2166" s="2453"/>
      <c r="N2166" s="2453"/>
      <c r="O2166" s="2453"/>
      <c r="P2166" s="2453"/>
      <c r="W2166" t="s">
        <v>2062</v>
      </c>
    </row>
    <row r="2167" spans="1:23" ht="13.15" customHeight="1">
      <c r="A2167" s="2" t="s">
        <v>2215</v>
      </c>
      <c r="B2167" s="2">
        <f t="shared" si="66"/>
        <v>2020</v>
      </c>
      <c r="C2167" s="2" t="str">
        <f t="shared" si="67"/>
        <v>LIM333</v>
      </c>
      <c r="D2167" s="2">
        <v>549</v>
      </c>
      <c r="F2167" s="2451"/>
      <c r="G2167" s="2451"/>
      <c r="H2167" s="2451"/>
      <c r="I2167" s="2451"/>
      <c r="J2167" s="2451"/>
      <c r="K2167" s="2451"/>
      <c r="L2167" s="2453"/>
      <c r="M2167" s="2453"/>
      <c r="N2167" s="2453"/>
      <c r="O2167" s="2453"/>
      <c r="P2167" s="2453"/>
      <c r="W2167" t="s">
        <v>2062</v>
      </c>
    </row>
    <row r="2168" spans="1:23" ht="13.15" customHeight="1">
      <c r="A2168" s="2" t="s">
        <v>2215</v>
      </c>
      <c r="B2168" s="2">
        <f t="shared" si="66"/>
        <v>2020</v>
      </c>
      <c r="C2168" s="2" t="str">
        <f t="shared" si="67"/>
        <v>LIM333</v>
      </c>
      <c r="D2168" s="2">
        <v>550</v>
      </c>
      <c r="F2168" s="2451"/>
      <c r="G2168" s="2451"/>
      <c r="H2168" s="2451"/>
      <c r="I2168" s="2451"/>
      <c r="J2168" s="2451"/>
      <c r="K2168" s="2451"/>
      <c r="L2168" s="2453"/>
      <c r="M2168" s="2453"/>
      <c r="N2168" s="2453"/>
      <c r="O2168" s="2453"/>
      <c r="P2168" s="2453"/>
      <c r="W2168" t="s">
        <v>2062</v>
      </c>
    </row>
    <row r="2169" spans="1:23" ht="13.15" customHeight="1">
      <c r="A2169" s="2" t="s">
        <v>2215</v>
      </c>
      <c r="B2169" s="2">
        <f t="shared" si="66"/>
        <v>2020</v>
      </c>
      <c r="C2169" s="2" t="str">
        <f t="shared" si="67"/>
        <v>LIM333</v>
      </c>
      <c r="D2169" s="2">
        <v>551</v>
      </c>
      <c r="F2169" s="2451"/>
      <c r="G2169" s="2451"/>
      <c r="H2169" s="2451"/>
      <c r="I2169" s="2451"/>
      <c r="J2169" s="2451"/>
      <c r="K2169" s="2451"/>
      <c r="L2169" s="2453"/>
      <c r="M2169" s="2453"/>
      <c r="N2169" s="2453"/>
      <c r="O2169" s="2453"/>
      <c r="P2169" s="2453"/>
      <c r="W2169" t="s">
        <v>2062</v>
      </c>
    </row>
    <row r="2170" spans="1:23" ht="13.15" customHeight="1">
      <c r="A2170" s="2" t="s">
        <v>2215</v>
      </c>
      <c r="B2170" s="2">
        <f t="shared" si="66"/>
        <v>2020</v>
      </c>
      <c r="C2170" s="2" t="str">
        <f t="shared" si="67"/>
        <v>LIM333</v>
      </c>
      <c r="D2170" s="2">
        <v>552</v>
      </c>
      <c r="F2170" s="2451"/>
      <c r="G2170" s="2451"/>
      <c r="H2170" s="2451"/>
      <c r="I2170" s="2451"/>
      <c r="J2170" s="2451"/>
      <c r="K2170" s="2451"/>
      <c r="L2170" s="2453"/>
      <c r="M2170" s="2453"/>
      <c r="N2170" s="2453"/>
      <c r="O2170" s="2453"/>
      <c r="P2170" s="2453"/>
      <c r="W2170" t="s">
        <v>2062</v>
      </c>
    </row>
    <row r="2171" spans="1:23" ht="13.15" customHeight="1">
      <c r="A2171" s="2" t="s">
        <v>2215</v>
      </c>
      <c r="B2171" s="2">
        <f t="shared" si="66"/>
        <v>2020</v>
      </c>
      <c r="C2171" s="2" t="str">
        <f t="shared" si="67"/>
        <v>LIM333</v>
      </c>
      <c r="D2171" s="2">
        <v>553</v>
      </c>
      <c r="F2171" s="2451"/>
      <c r="G2171" s="2451"/>
      <c r="H2171" s="2451"/>
      <c r="I2171" s="2451"/>
      <c r="J2171" s="2451"/>
      <c r="K2171" s="2451"/>
      <c r="L2171" s="2453"/>
      <c r="M2171" s="2453"/>
      <c r="N2171" s="2453"/>
      <c r="O2171" s="2453"/>
      <c r="P2171" s="2453"/>
      <c r="W2171" t="s">
        <v>2062</v>
      </c>
    </row>
    <row r="2172" spans="1:23" ht="13.15" customHeight="1">
      <c r="A2172" s="2" t="s">
        <v>2215</v>
      </c>
      <c r="B2172" s="2">
        <f t="shared" si="66"/>
        <v>2020</v>
      </c>
      <c r="C2172" s="2" t="str">
        <f t="shared" si="67"/>
        <v>LIM333</v>
      </c>
      <c r="D2172" s="2">
        <v>554</v>
      </c>
      <c r="F2172" s="2451"/>
      <c r="G2172" s="2451"/>
      <c r="H2172" s="2451"/>
      <c r="I2172" s="2451"/>
      <c r="J2172" s="2451"/>
      <c r="K2172" s="2451"/>
      <c r="L2172" s="2453"/>
      <c r="M2172" s="2453"/>
      <c r="N2172" s="2453"/>
      <c r="O2172" s="2453"/>
      <c r="P2172" s="2453"/>
      <c r="W2172" t="s">
        <v>2062</v>
      </c>
    </row>
    <row r="2173" spans="1:23" ht="13.15" customHeight="1">
      <c r="A2173" s="2" t="s">
        <v>2215</v>
      </c>
      <c r="B2173" s="2">
        <f t="shared" si="66"/>
        <v>2020</v>
      </c>
      <c r="C2173" s="2" t="str">
        <f t="shared" si="67"/>
        <v>LIM333</v>
      </c>
      <c r="D2173" s="2">
        <v>555</v>
      </c>
      <c r="F2173" s="2451"/>
      <c r="G2173" s="2451"/>
      <c r="H2173" s="2451"/>
      <c r="I2173" s="2451"/>
      <c r="J2173" s="2451"/>
      <c r="K2173" s="2451"/>
      <c r="L2173" s="2453"/>
      <c r="M2173" s="2453"/>
      <c r="N2173" s="2453"/>
      <c r="O2173" s="2453"/>
      <c r="P2173" s="2453"/>
      <c r="W2173" t="s">
        <v>2062</v>
      </c>
    </row>
    <row r="2174" spans="1:23" ht="13.15" customHeight="1">
      <c r="A2174" s="2" t="s">
        <v>2215</v>
      </c>
      <c r="B2174" s="2">
        <f t="shared" si="66"/>
        <v>2020</v>
      </c>
      <c r="C2174" s="2" t="str">
        <f t="shared" si="67"/>
        <v>LIM333</v>
      </c>
      <c r="D2174" s="2">
        <v>556</v>
      </c>
      <c r="F2174" s="2451"/>
      <c r="G2174" s="2451"/>
      <c r="H2174" s="2451"/>
      <c r="I2174" s="2451"/>
      <c r="J2174" s="2451"/>
      <c r="K2174" s="2451"/>
      <c r="L2174" s="2453"/>
      <c r="M2174" s="2453"/>
      <c r="N2174" s="2453"/>
      <c r="O2174" s="2453"/>
      <c r="P2174" s="2453"/>
      <c r="W2174" t="s">
        <v>2062</v>
      </c>
    </row>
    <row r="2175" spans="1:23" ht="13.15" customHeight="1">
      <c r="A2175" s="2" t="s">
        <v>2215</v>
      </c>
      <c r="B2175" s="2">
        <f t="shared" si="66"/>
        <v>2020</v>
      </c>
      <c r="C2175" s="2" t="str">
        <f t="shared" si="67"/>
        <v>LIM333</v>
      </c>
      <c r="D2175" s="2">
        <v>557</v>
      </c>
      <c r="F2175" s="2451"/>
      <c r="G2175" s="2451"/>
      <c r="H2175" s="2451"/>
      <c r="I2175" s="2451"/>
      <c r="J2175" s="2451"/>
      <c r="K2175" s="2451"/>
      <c r="L2175" s="2453"/>
      <c r="M2175" s="2453"/>
      <c r="N2175" s="2453"/>
      <c r="O2175" s="2453"/>
      <c r="P2175" s="2453"/>
      <c r="W2175" t="s">
        <v>2062</v>
      </c>
    </row>
    <row r="2176" spans="1:23" ht="13.15" customHeight="1">
      <c r="A2176" s="2" t="s">
        <v>2215</v>
      </c>
      <c r="B2176" s="2">
        <f t="shared" si="66"/>
        <v>2020</v>
      </c>
      <c r="C2176" s="2" t="str">
        <f t="shared" si="67"/>
        <v>LIM333</v>
      </c>
      <c r="D2176" s="2">
        <v>558</v>
      </c>
      <c r="F2176" s="2451"/>
      <c r="G2176" s="2451"/>
      <c r="H2176" s="2451"/>
      <c r="I2176" s="2451"/>
      <c r="J2176" s="2451"/>
      <c r="K2176" s="2451"/>
      <c r="L2176" s="2453"/>
      <c r="M2176" s="2453"/>
      <c r="N2176" s="2453"/>
      <c r="O2176" s="2453"/>
      <c r="P2176" s="2453"/>
      <c r="W2176" t="s">
        <v>2062</v>
      </c>
    </row>
    <row r="2177" spans="1:23" ht="13.15" customHeight="1">
      <c r="A2177" s="2" t="s">
        <v>2215</v>
      </c>
      <c r="B2177" s="2">
        <f t="shared" si="66"/>
        <v>2020</v>
      </c>
      <c r="C2177" s="2" t="str">
        <f t="shared" si="67"/>
        <v>LIM333</v>
      </c>
      <c r="D2177" s="2">
        <v>559</v>
      </c>
      <c r="F2177" s="2451"/>
      <c r="G2177" s="2451"/>
      <c r="H2177" s="2451"/>
      <c r="I2177" s="2451"/>
      <c r="J2177" s="2451"/>
      <c r="K2177" s="2451"/>
      <c r="L2177" s="2453"/>
      <c r="M2177" s="2453"/>
      <c r="N2177" s="2453"/>
      <c r="O2177" s="2453"/>
      <c r="P2177" s="2453"/>
      <c r="W2177" t="s">
        <v>2062</v>
      </c>
    </row>
    <row r="2178" spans="1:23" ht="13.15" customHeight="1">
      <c r="A2178" s="2" t="s">
        <v>2215</v>
      </c>
      <c r="B2178" s="2">
        <f t="shared" ref="B2178:B2241" si="68">+MTREF</f>
        <v>2020</v>
      </c>
      <c r="C2178" s="2" t="str">
        <f t="shared" ref="C2178:C2241" si="69">LEFT(muni,(FIND(" ",muni,1)-1))</f>
        <v>LIM333</v>
      </c>
      <c r="D2178" s="2">
        <v>560</v>
      </c>
      <c r="F2178" s="2451"/>
      <c r="G2178" s="2451"/>
      <c r="H2178" s="2451"/>
      <c r="I2178" s="2451"/>
      <c r="J2178" s="2451"/>
      <c r="K2178" s="2451"/>
      <c r="L2178" s="2453"/>
      <c r="M2178" s="2453"/>
      <c r="N2178" s="2453"/>
      <c r="O2178" s="2453"/>
      <c r="P2178" s="2453"/>
      <c r="W2178" t="s">
        <v>2062</v>
      </c>
    </row>
    <row r="2179" spans="1:23" ht="13.15" customHeight="1">
      <c r="A2179" s="2" t="s">
        <v>2215</v>
      </c>
      <c r="B2179" s="2">
        <f t="shared" si="68"/>
        <v>2020</v>
      </c>
      <c r="C2179" s="2" t="str">
        <f t="shared" si="69"/>
        <v>LIM333</v>
      </c>
      <c r="D2179" s="2">
        <v>561</v>
      </c>
      <c r="F2179" s="2451"/>
      <c r="G2179" s="2451"/>
      <c r="H2179" s="2451"/>
      <c r="I2179" s="2451"/>
      <c r="J2179" s="2451"/>
      <c r="K2179" s="2451"/>
      <c r="L2179" s="2453"/>
      <c r="M2179" s="2453"/>
      <c r="N2179" s="2453"/>
      <c r="O2179" s="2453"/>
      <c r="P2179" s="2453"/>
      <c r="W2179" t="s">
        <v>2062</v>
      </c>
    </row>
    <row r="2180" spans="1:23" ht="13.15" customHeight="1">
      <c r="A2180" s="2" t="s">
        <v>2215</v>
      </c>
      <c r="B2180" s="2">
        <f t="shared" si="68"/>
        <v>2020</v>
      </c>
      <c r="C2180" s="2" t="str">
        <f t="shared" si="69"/>
        <v>LIM333</v>
      </c>
      <c r="D2180" s="2">
        <v>562</v>
      </c>
      <c r="F2180" s="2451"/>
      <c r="G2180" s="2451"/>
      <c r="H2180" s="2451"/>
      <c r="I2180" s="2451"/>
      <c r="J2180" s="2451"/>
      <c r="K2180" s="2451"/>
      <c r="L2180" s="2453"/>
      <c r="M2180" s="2453"/>
      <c r="N2180" s="2453"/>
      <c r="O2180" s="2453"/>
      <c r="P2180" s="2453"/>
      <c r="W2180" t="s">
        <v>2062</v>
      </c>
    </row>
    <row r="2181" spans="1:23" ht="13.15" customHeight="1">
      <c r="A2181" s="2" t="s">
        <v>2215</v>
      </c>
      <c r="B2181" s="2">
        <f t="shared" si="68"/>
        <v>2020</v>
      </c>
      <c r="C2181" s="2" t="str">
        <f t="shared" si="69"/>
        <v>LIM333</v>
      </c>
      <c r="D2181" s="2">
        <v>563</v>
      </c>
      <c r="F2181" s="2451"/>
      <c r="G2181" s="2451"/>
      <c r="H2181" s="2451"/>
      <c r="I2181" s="2451"/>
      <c r="J2181" s="2451"/>
      <c r="K2181" s="2451"/>
      <c r="L2181" s="2453"/>
      <c r="M2181" s="2453"/>
      <c r="N2181" s="2453"/>
      <c r="O2181" s="2453"/>
      <c r="P2181" s="2453"/>
      <c r="W2181" t="s">
        <v>2062</v>
      </c>
    </row>
    <row r="2182" spans="1:23" ht="13.15" customHeight="1">
      <c r="A2182" s="2" t="s">
        <v>2215</v>
      </c>
      <c r="B2182" s="2">
        <f t="shared" si="68"/>
        <v>2020</v>
      </c>
      <c r="C2182" s="2" t="str">
        <f t="shared" si="69"/>
        <v>LIM333</v>
      </c>
      <c r="D2182" s="2">
        <v>564</v>
      </c>
      <c r="F2182" s="2451"/>
      <c r="G2182" s="2451"/>
      <c r="H2182" s="2451"/>
      <c r="I2182" s="2451"/>
      <c r="J2182" s="2451"/>
      <c r="K2182" s="2451"/>
      <c r="L2182" s="2453"/>
      <c r="M2182" s="2453"/>
      <c r="N2182" s="2453"/>
      <c r="O2182" s="2453"/>
      <c r="P2182" s="2453"/>
      <c r="W2182" t="s">
        <v>2062</v>
      </c>
    </row>
    <row r="2183" spans="1:23" ht="13.15" customHeight="1">
      <c r="A2183" s="2" t="s">
        <v>2215</v>
      </c>
      <c r="B2183" s="2">
        <f t="shared" si="68"/>
        <v>2020</v>
      </c>
      <c r="C2183" s="2" t="str">
        <f t="shared" si="69"/>
        <v>LIM333</v>
      </c>
      <c r="D2183" s="2">
        <v>565</v>
      </c>
      <c r="F2183" s="2451"/>
      <c r="G2183" s="2451"/>
      <c r="H2183" s="2451"/>
      <c r="I2183" s="2451"/>
      <c r="J2183" s="2451"/>
      <c r="K2183" s="2451"/>
      <c r="L2183" s="2453"/>
      <c r="M2183" s="2453"/>
      <c r="N2183" s="2453"/>
      <c r="O2183" s="2453"/>
      <c r="P2183" s="2453"/>
      <c r="W2183" t="s">
        <v>2062</v>
      </c>
    </row>
    <row r="2184" spans="1:23" ht="13.15" customHeight="1">
      <c r="A2184" s="2" t="s">
        <v>2215</v>
      </c>
      <c r="B2184" s="2">
        <f t="shared" si="68"/>
        <v>2020</v>
      </c>
      <c r="C2184" s="2" t="str">
        <f t="shared" si="69"/>
        <v>LIM333</v>
      </c>
      <c r="D2184" s="2">
        <v>566</v>
      </c>
      <c r="F2184" s="2451"/>
      <c r="G2184" s="2451"/>
      <c r="H2184" s="2451"/>
      <c r="I2184" s="2451"/>
      <c r="J2184" s="2451"/>
      <c r="K2184" s="2451"/>
      <c r="L2184" s="2453"/>
      <c r="M2184" s="2453"/>
      <c r="N2184" s="2453"/>
      <c r="O2184" s="2453"/>
      <c r="P2184" s="2453"/>
      <c r="W2184" t="s">
        <v>2062</v>
      </c>
    </row>
    <row r="2185" spans="1:23" ht="13.15" customHeight="1">
      <c r="A2185" s="2" t="s">
        <v>2215</v>
      </c>
      <c r="B2185" s="2">
        <f t="shared" si="68"/>
        <v>2020</v>
      </c>
      <c r="C2185" s="2" t="str">
        <f t="shared" si="69"/>
        <v>LIM333</v>
      </c>
      <c r="D2185" s="2">
        <v>567</v>
      </c>
      <c r="F2185" s="2451"/>
      <c r="G2185" s="2451"/>
      <c r="H2185" s="2451"/>
      <c r="I2185" s="2451"/>
      <c r="J2185" s="2451"/>
      <c r="K2185" s="2451"/>
      <c r="L2185" s="2453"/>
      <c r="M2185" s="2453"/>
      <c r="N2185" s="2453"/>
      <c r="O2185" s="2453"/>
      <c r="P2185" s="2453"/>
      <c r="W2185" t="s">
        <v>2062</v>
      </c>
    </row>
    <row r="2186" spans="1:23" ht="13.15" customHeight="1">
      <c r="A2186" s="2" t="s">
        <v>2215</v>
      </c>
      <c r="B2186" s="2">
        <f t="shared" si="68"/>
        <v>2020</v>
      </c>
      <c r="C2186" s="2" t="str">
        <f t="shared" si="69"/>
        <v>LIM333</v>
      </c>
      <c r="D2186" s="2">
        <v>568</v>
      </c>
      <c r="F2186" s="2451"/>
      <c r="G2186" s="2451"/>
      <c r="H2186" s="2451"/>
      <c r="I2186" s="2451"/>
      <c r="J2186" s="2451"/>
      <c r="K2186" s="2451"/>
      <c r="L2186" s="2453"/>
      <c r="M2186" s="2453"/>
      <c r="N2186" s="2453"/>
      <c r="O2186" s="2453"/>
      <c r="P2186" s="2453"/>
      <c r="W2186" t="s">
        <v>2062</v>
      </c>
    </row>
    <row r="2187" spans="1:23" ht="13.15" customHeight="1">
      <c r="A2187" s="2" t="s">
        <v>2215</v>
      </c>
      <c r="B2187" s="2">
        <f t="shared" si="68"/>
        <v>2020</v>
      </c>
      <c r="C2187" s="2" t="str">
        <f t="shared" si="69"/>
        <v>LIM333</v>
      </c>
      <c r="D2187" s="2">
        <v>569</v>
      </c>
      <c r="F2187" s="2451"/>
      <c r="G2187" s="2451"/>
      <c r="H2187" s="2451"/>
      <c r="I2187" s="2451"/>
      <c r="J2187" s="2451"/>
      <c r="K2187" s="2451"/>
      <c r="L2187" s="2453"/>
      <c r="M2187" s="2453"/>
      <c r="N2187" s="2453"/>
      <c r="O2187" s="2453"/>
      <c r="P2187" s="2453"/>
      <c r="W2187" t="s">
        <v>2062</v>
      </c>
    </row>
    <row r="2188" spans="1:23" ht="13.15" customHeight="1">
      <c r="A2188" s="2" t="s">
        <v>2215</v>
      </c>
      <c r="B2188" s="2">
        <f t="shared" si="68"/>
        <v>2020</v>
      </c>
      <c r="C2188" s="2" t="str">
        <f t="shared" si="69"/>
        <v>LIM333</v>
      </c>
      <c r="D2188" s="2">
        <v>570</v>
      </c>
      <c r="F2188" s="2451"/>
      <c r="G2188" s="2451"/>
      <c r="H2188" s="2451"/>
      <c r="I2188" s="2451"/>
      <c r="J2188" s="2451"/>
      <c r="K2188" s="2451"/>
      <c r="L2188" s="2453"/>
      <c r="M2188" s="2453"/>
      <c r="N2188" s="2453"/>
      <c r="O2188" s="2453"/>
      <c r="P2188" s="2453"/>
      <c r="W2188" t="s">
        <v>2062</v>
      </c>
    </row>
    <row r="2189" spans="1:23" ht="13.15" customHeight="1">
      <c r="A2189" s="2" t="s">
        <v>2215</v>
      </c>
      <c r="B2189" s="2">
        <f t="shared" si="68"/>
        <v>2020</v>
      </c>
      <c r="C2189" s="2" t="str">
        <f t="shared" si="69"/>
        <v>LIM333</v>
      </c>
      <c r="D2189" s="2">
        <v>571</v>
      </c>
      <c r="F2189" s="2451"/>
      <c r="G2189" s="2451"/>
      <c r="H2189" s="2451"/>
      <c r="I2189" s="2451"/>
      <c r="J2189" s="2451"/>
      <c r="K2189" s="2451"/>
      <c r="L2189" s="2453"/>
      <c r="M2189" s="2453"/>
      <c r="N2189" s="2453"/>
      <c r="O2189" s="2453"/>
      <c r="P2189" s="2453"/>
      <c r="W2189" t="s">
        <v>2062</v>
      </c>
    </row>
    <row r="2190" spans="1:23" ht="13.15" customHeight="1">
      <c r="A2190" s="2" t="s">
        <v>2215</v>
      </c>
      <c r="B2190" s="2">
        <f t="shared" si="68"/>
        <v>2020</v>
      </c>
      <c r="C2190" s="2" t="str">
        <f t="shared" si="69"/>
        <v>LIM333</v>
      </c>
      <c r="D2190" s="2">
        <v>572</v>
      </c>
      <c r="F2190" s="2451"/>
      <c r="G2190" s="2451"/>
      <c r="H2190" s="2451"/>
      <c r="I2190" s="2451"/>
      <c r="J2190" s="2451"/>
      <c r="K2190" s="2451"/>
      <c r="L2190" s="2453"/>
      <c r="M2190" s="2453"/>
      <c r="N2190" s="2453"/>
      <c r="O2190" s="2453"/>
      <c r="P2190" s="2453"/>
      <c r="W2190" t="s">
        <v>2062</v>
      </c>
    </row>
    <row r="2191" spans="1:23" ht="13.15" customHeight="1">
      <c r="A2191" s="2" t="s">
        <v>2215</v>
      </c>
      <c r="B2191" s="2">
        <f t="shared" si="68"/>
        <v>2020</v>
      </c>
      <c r="C2191" s="2" t="str">
        <f t="shared" si="69"/>
        <v>LIM333</v>
      </c>
      <c r="D2191" s="2">
        <v>573</v>
      </c>
      <c r="F2191" s="2451"/>
      <c r="G2191" s="2451"/>
      <c r="H2191" s="2451"/>
      <c r="I2191" s="2451"/>
      <c r="J2191" s="2451"/>
      <c r="K2191" s="2451"/>
      <c r="L2191" s="2453"/>
      <c r="M2191" s="2453"/>
      <c r="N2191" s="2453"/>
      <c r="O2191" s="2453"/>
      <c r="P2191" s="2453"/>
      <c r="W2191" t="s">
        <v>2062</v>
      </c>
    </row>
    <row r="2192" spans="1:23" ht="13.15" customHeight="1">
      <c r="A2192" s="2" t="s">
        <v>2215</v>
      </c>
      <c r="B2192" s="2">
        <f t="shared" si="68"/>
        <v>2020</v>
      </c>
      <c r="C2192" s="2" t="str">
        <f t="shared" si="69"/>
        <v>LIM333</v>
      </c>
      <c r="D2192" s="2">
        <v>574</v>
      </c>
      <c r="F2192" s="2451"/>
      <c r="G2192" s="2451"/>
      <c r="H2192" s="2451"/>
      <c r="I2192" s="2451"/>
      <c r="J2192" s="2451"/>
      <c r="K2192" s="2451"/>
      <c r="L2192" s="2453"/>
      <c r="M2192" s="2453"/>
      <c r="N2192" s="2453"/>
      <c r="O2192" s="2453"/>
      <c r="P2192" s="2453"/>
      <c r="W2192" t="s">
        <v>2062</v>
      </c>
    </row>
    <row r="2193" spans="1:23" ht="13.15" customHeight="1">
      <c r="A2193" s="2" t="s">
        <v>2215</v>
      </c>
      <c r="B2193" s="2">
        <f t="shared" si="68"/>
        <v>2020</v>
      </c>
      <c r="C2193" s="2" t="str">
        <f t="shared" si="69"/>
        <v>LIM333</v>
      </c>
      <c r="D2193" s="2">
        <v>575</v>
      </c>
      <c r="F2193" s="2451"/>
      <c r="G2193" s="2451"/>
      <c r="H2193" s="2451"/>
      <c r="I2193" s="2451"/>
      <c r="J2193" s="2451"/>
      <c r="K2193" s="2451"/>
      <c r="L2193" s="2453"/>
      <c r="M2193" s="2453"/>
      <c r="N2193" s="2453"/>
      <c r="O2193" s="2453"/>
      <c r="P2193" s="2453"/>
      <c r="W2193" t="s">
        <v>2062</v>
      </c>
    </row>
    <row r="2194" spans="1:23" ht="13.15" customHeight="1">
      <c r="A2194" s="2" t="s">
        <v>2215</v>
      </c>
      <c r="B2194" s="2">
        <f t="shared" si="68"/>
        <v>2020</v>
      </c>
      <c r="C2194" s="2" t="str">
        <f t="shared" si="69"/>
        <v>LIM333</v>
      </c>
      <c r="D2194" s="2">
        <v>576</v>
      </c>
      <c r="F2194" s="2451"/>
      <c r="G2194" s="2451"/>
      <c r="H2194" s="2451"/>
      <c r="I2194" s="2451"/>
      <c r="J2194" s="2451"/>
      <c r="K2194" s="2451"/>
      <c r="L2194" s="2453"/>
      <c r="M2194" s="2453"/>
      <c r="N2194" s="2453"/>
      <c r="O2194" s="2453"/>
      <c r="P2194" s="2453"/>
      <c r="W2194" t="s">
        <v>2062</v>
      </c>
    </row>
    <row r="2195" spans="1:23" ht="13.15" customHeight="1">
      <c r="A2195" s="2" t="s">
        <v>2215</v>
      </c>
      <c r="B2195" s="2">
        <f t="shared" si="68"/>
        <v>2020</v>
      </c>
      <c r="C2195" s="2" t="str">
        <f t="shared" si="69"/>
        <v>LIM333</v>
      </c>
      <c r="D2195" s="2">
        <v>577</v>
      </c>
      <c r="F2195" s="2451"/>
      <c r="G2195" s="2451"/>
      <c r="H2195" s="2451"/>
      <c r="I2195" s="2451"/>
      <c r="J2195" s="2451"/>
      <c r="K2195" s="2451"/>
      <c r="L2195" s="2453"/>
      <c r="M2195" s="2453"/>
      <c r="N2195" s="2453"/>
      <c r="O2195" s="2453"/>
      <c r="P2195" s="2453"/>
      <c r="W2195" t="s">
        <v>2062</v>
      </c>
    </row>
    <row r="2196" spans="1:23" ht="13.15" customHeight="1">
      <c r="A2196" s="2" t="s">
        <v>2215</v>
      </c>
      <c r="B2196" s="2">
        <f t="shared" si="68"/>
        <v>2020</v>
      </c>
      <c r="C2196" s="2" t="str">
        <f t="shared" si="69"/>
        <v>LIM333</v>
      </c>
      <c r="D2196" s="2">
        <v>578</v>
      </c>
      <c r="F2196" s="2451"/>
      <c r="G2196" s="2451"/>
      <c r="H2196" s="2451"/>
      <c r="I2196" s="2451"/>
      <c r="J2196" s="2451"/>
      <c r="K2196" s="2451"/>
      <c r="L2196" s="2453"/>
      <c r="M2196" s="2453"/>
      <c r="N2196" s="2453"/>
      <c r="O2196" s="2453"/>
      <c r="P2196" s="2453"/>
      <c r="W2196" t="s">
        <v>2062</v>
      </c>
    </row>
    <row r="2197" spans="1:23" ht="13.15" customHeight="1">
      <c r="A2197" s="2" t="s">
        <v>2215</v>
      </c>
      <c r="B2197" s="2">
        <f t="shared" si="68"/>
        <v>2020</v>
      </c>
      <c r="C2197" s="2" t="str">
        <f t="shared" si="69"/>
        <v>LIM333</v>
      </c>
      <c r="D2197" s="2">
        <v>579</v>
      </c>
      <c r="F2197" s="2451"/>
      <c r="G2197" s="2451"/>
      <c r="H2197" s="2451"/>
      <c r="I2197" s="2451"/>
      <c r="J2197" s="2451"/>
      <c r="K2197" s="2451"/>
      <c r="L2197" s="2453"/>
      <c r="M2197" s="2453"/>
      <c r="N2197" s="2453"/>
      <c r="O2197" s="2453"/>
      <c r="P2197" s="2453"/>
      <c r="W2197" t="s">
        <v>2062</v>
      </c>
    </row>
    <row r="2198" spans="1:23" ht="13.15" customHeight="1">
      <c r="A2198" s="2" t="s">
        <v>2215</v>
      </c>
      <c r="B2198" s="2">
        <f t="shared" si="68"/>
        <v>2020</v>
      </c>
      <c r="C2198" s="2" t="str">
        <f t="shared" si="69"/>
        <v>LIM333</v>
      </c>
      <c r="D2198" s="2">
        <v>580</v>
      </c>
      <c r="F2198" s="2451"/>
      <c r="G2198" s="2451"/>
      <c r="H2198" s="2451"/>
      <c r="I2198" s="2451"/>
      <c r="J2198" s="2451"/>
      <c r="K2198" s="2451"/>
      <c r="L2198" s="2453"/>
      <c r="M2198" s="2453"/>
      <c r="N2198" s="2453"/>
      <c r="O2198" s="2453"/>
      <c r="P2198" s="2453"/>
      <c r="W2198" t="s">
        <v>2062</v>
      </c>
    </row>
    <row r="2199" spans="1:23" ht="13.15" customHeight="1">
      <c r="A2199" s="2" t="s">
        <v>2215</v>
      </c>
      <c r="B2199" s="2">
        <f t="shared" si="68"/>
        <v>2020</v>
      </c>
      <c r="C2199" s="2" t="str">
        <f t="shared" si="69"/>
        <v>LIM333</v>
      </c>
      <c r="D2199" s="2">
        <v>581</v>
      </c>
      <c r="F2199" s="2451"/>
      <c r="G2199" s="2451"/>
      <c r="H2199" s="2451"/>
      <c r="I2199" s="2451"/>
      <c r="J2199" s="2451"/>
      <c r="K2199" s="2451"/>
      <c r="L2199" s="2453"/>
      <c r="M2199" s="2453"/>
      <c r="N2199" s="2453"/>
      <c r="O2199" s="2453"/>
      <c r="P2199" s="2453"/>
      <c r="W2199" t="s">
        <v>2062</v>
      </c>
    </row>
    <row r="2200" spans="1:23" ht="13.15" customHeight="1">
      <c r="A2200" s="2" t="s">
        <v>2215</v>
      </c>
      <c r="B2200" s="2">
        <f t="shared" si="68"/>
        <v>2020</v>
      </c>
      <c r="C2200" s="2" t="str">
        <f t="shared" si="69"/>
        <v>LIM333</v>
      </c>
      <c r="D2200" s="2">
        <v>582</v>
      </c>
      <c r="F2200" s="2451"/>
      <c r="G2200" s="2451"/>
      <c r="H2200" s="2451"/>
      <c r="I2200" s="2451"/>
      <c r="J2200" s="2451"/>
      <c r="K2200" s="2451"/>
      <c r="L2200" s="2453"/>
      <c r="M2200" s="2453"/>
      <c r="N2200" s="2453"/>
      <c r="O2200" s="2453"/>
      <c r="P2200" s="2453"/>
      <c r="W2200" t="s">
        <v>2062</v>
      </c>
    </row>
    <row r="2201" spans="1:23" ht="13.15" customHeight="1">
      <c r="A2201" s="2" t="s">
        <v>2215</v>
      </c>
      <c r="B2201" s="2">
        <f t="shared" si="68"/>
        <v>2020</v>
      </c>
      <c r="C2201" s="2" t="str">
        <f t="shared" si="69"/>
        <v>LIM333</v>
      </c>
      <c r="D2201" s="2">
        <v>583</v>
      </c>
      <c r="F2201" s="2451"/>
      <c r="G2201" s="2451"/>
      <c r="H2201" s="2451"/>
      <c r="I2201" s="2451"/>
      <c r="J2201" s="2451"/>
      <c r="K2201" s="2451"/>
      <c r="L2201" s="2453"/>
      <c r="M2201" s="2453"/>
      <c r="N2201" s="2453"/>
      <c r="O2201" s="2453"/>
      <c r="P2201" s="2453"/>
      <c r="W2201" t="s">
        <v>2062</v>
      </c>
    </row>
    <row r="2202" spans="1:23" ht="13.15" customHeight="1">
      <c r="A2202" s="2" t="s">
        <v>2215</v>
      </c>
      <c r="B2202" s="2">
        <f t="shared" si="68"/>
        <v>2020</v>
      </c>
      <c r="C2202" s="2" t="str">
        <f t="shared" si="69"/>
        <v>LIM333</v>
      </c>
      <c r="D2202" s="2">
        <v>584</v>
      </c>
      <c r="F2202" s="2451"/>
      <c r="G2202" s="2451"/>
      <c r="H2202" s="2451"/>
      <c r="I2202" s="2451"/>
      <c r="J2202" s="2451"/>
      <c r="K2202" s="2451"/>
      <c r="L2202" s="2453"/>
      <c r="M2202" s="2453"/>
      <c r="N2202" s="2453"/>
      <c r="O2202" s="2453"/>
      <c r="P2202" s="2453"/>
      <c r="W2202" t="s">
        <v>2062</v>
      </c>
    </row>
    <row r="2203" spans="1:23" ht="13.15" customHeight="1">
      <c r="A2203" s="2" t="s">
        <v>2215</v>
      </c>
      <c r="B2203" s="2">
        <f t="shared" si="68"/>
        <v>2020</v>
      </c>
      <c r="C2203" s="2" t="str">
        <f t="shared" si="69"/>
        <v>LIM333</v>
      </c>
      <c r="D2203" s="2">
        <v>585</v>
      </c>
      <c r="F2203" s="2451"/>
      <c r="G2203" s="2451"/>
      <c r="H2203" s="2451"/>
      <c r="I2203" s="2451"/>
      <c r="J2203" s="2451"/>
      <c r="K2203" s="2451"/>
      <c r="L2203" s="2453"/>
      <c r="M2203" s="2453"/>
      <c r="N2203" s="2453"/>
      <c r="O2203" s="2453"/>
      <c r="P2203" s="2453"/>
      <c r="W2203" t="s">
        <v>2062</v>
      </c>
    </row>
    <row r="2204" spans="1:23" ht="13.15" customHeight="1">
      <c r="A2204" s="2" t="s">
        <v>2215</v>
      </c>
      <c r="B2204" s="2">
        <f t="shared" si="68"/>
        <v>2020</v>
      </c>
      <c r="C2204" s="2" t="str">
        <f t="shared" si="69"/>
        <v>LIM333</v>
      </c>
      <c r="D2204" s="2">
        <v>586</v>
      </c>
      <c r="F2204" s="2451"/>
      <c r="G2204" s="2451"/>
      <c r="H2204" s="2451"/>
      <c r="I2204" s="2451"/>
      <c r="J2204" s="2451"/>
      <c r="K2204" s="2451"/>
      <c r="L2204" s="2453"/>
      <c r="M2204" s="2453"/>
      <c r="N2204" s="2453"/>
      <c r="O2204" s="2453"/>
      <c r="P2204" s="2453"/>
      <c r="W2204" t="s">
        <v>2062</v>
      </c>
    </row>
    <row r="2205" spans="1:23" ht="13.15" customHeight="1">
      <c r="A2205" s="2" t="s">
        <v>2215</v>
      </c>
      <c r="B2205" s="2">
        <f t="shared" si="68"/>
        <v>2020</v>
      </c>
      <c r="C2205" s="2" t="str">
        <f t="shared" si="69"/>
        <v>LIM333</v>
      </c>
      <c r="D2205" s="2">
        <v>587</v>
      </c>
      <c r="F2205" s="2451"/>
      <c r="G2205" s="2451"/>
      <c r="H2205" s="2451"/>
      <c r="I2205" s="2451"/>
      <c r="J2205" s="2451"/>
      <c r="K2205" s="2451"/>
      <c r="L2205" s="2453"/>
      <c r="M2205" s="2453"/>
      <c r="N2205" s="2453"/>
      <c r="O2205" s="2453"/>
      <c r="P2205" s="2453"/>
      <c r="W2205" t="s">
        <v>2062</v>
      </c>
    </row>
    <row r="2206" spans="1:23" ht="13.15" customHeight="1">
      <c r="A2206" s="2" t="s">
        <v>2215</v>
      </c>
      <c r="B2206" s="2">
        <f t="shared" si="68"/>
        <v>2020</v>
      </c>
      <c r="C2206" s="2" t="str">
        <f t="shared" si="69"/>
        <v>LIM333</v>
      </c>
      <c r="D2206" s="2">
        <v>588</v>
      </c>
      <c r="F2206" s="2451"/>
      <c r="G2206" s="2451"/>
      <c r="H2206" s="2451"/>
      <c r="I2206" s="2451"/>
      <c r="J2206" s="2451"/>
      <c r="K2206" s="2451"/>
      <c r="L2206" s="2453"/>
      <c r="M2206" s="2453"/>
      <c r="N2206" s="2453"/>
      <c r="O2206" s="2453"/>
      <c r="P2206" s="2453"/>
      <c r="W2206" t="s">
        <v>2062</v>
      </c>
    </row>
    <row r="2207" spans="1:23" ht="13.15" customHeight="1">
      <c r="A2207" s="2" t="s">
        <v>2215</v>
      </c>
      <c r="B2207" s="2">
        <f t="shared" si="68"/>
        <v>2020</v>
      </c>
      <c r="C2207" s="2" t="str">
        <f t="shared" si="69"/>
        <v>LIM333</v>
      </c>
      <c r="D2207" s="2">
        <v>589</v>
      </c>
      <c r="F2207" s="2451"/>
      <c r="G2207" s="2451"/>
      <c r="H2207" s="2451"/>
      <c r="I2207" s="2451"/>
      <c r="J2207" s="2451"/>
      <c r="K2207" s="2451"/>
      <c r="L2207" s="2453"/>
      <c r="M2207" s="2453"/>
      <c r="N2207" s="2453"/>
      <c r="O2207" s="2453"/>
      <c r="P2207" s="2453"/>
      <c r="W2207" t="s">
        <v>2062</v>
      </c>
    </row>
    <row r="2208" spans="1:23" ht="13.15" customHeight="1">
      <c r="A2208" s="2" t="s">
        <v>2215</v>
      </c>
      <c r="B2208" s="2">
        <f t="shared" si="68"/>
        <v>2020</v>
      </c>
      <c r="C2208" s="2" t="str">
        <f t="shared" si="69"/>
        <v>LIM333</v>
      </c>
      <c r="D2208" s="2">
        <v>590</v>
      </c>
      <c r="F2208" s="2451"/>
      <c r="G2208" s="2451"/>
      <c r="H2208" s="2451"/>
      <c r="I2208" s="2451"/>
      <c r="J2208" s="2451"/>
      <c r="K2208" s="2451"/>
      <c r="L2208" s="2453"/>
      <c r="M2208" s="2453"/>
      <c r="N2208" s="2453"/>
      <c r="O2208" s="2453"/>
      <c r="P2208" s="2453"/>
      <c r="W2208" t="s">
        <v>2062</v>
      </c>
    </row>
    <row r="2209" spans="1:23" ht="13.15" customHeight="1">
      <c r="A2209" s="2" t="s">
        <v>2215</v>
      </c>
      <c r="B2209" s="2">
        <f t="shared" si="68"/>
        <v>2020</v>
      </c>
      <c r="C2209" s="2" t="str">
        <f t="shared" si="69"/>
        <v>LIM333</v>
      </c>
      <c r="D2209" s="2">
        <v>591</v>
      </c>
      <c r="F2209" s="2451"/>
      <c r="G2209" s="2451"/>
      <c r="H2209" s="2451"/>
      <c r="I2209" s="2451"/>
      <c r="J2209" s="2451"/>
      <c r="K2209" s="2451"/>
      <c r="L2209" s="2453"/>
      <c r="M2209" s="2453"/>
      <c r="N2209" s="2453"/>
      <c r="O2209" s="2453"/>
      <c r="P2209" s="2453"/>
      <c r="W2209" t="s">
        <v>2062</v>
      </c>
    </row>
    <row r="2210" spans="1:23" ht="13.15" customHeight="1">
      <c r="A2210" s="2" t="s">
        <v>2215</v>
      </c>
      <c r="B2210" s="2">
        <f t="shared" si="68"/>
        <v>2020</v>
      </c>
      <c r="C2210" s="2" t="str">
        <f t="shared" si="69"/>
        <v>LIM333</v>
      </c>
      <c r="D2210" s="2">
        <v>592</v>
      </c>
      <c r="F2210" s="2451"/>
      <c r="G2210" s="2451"/>
      <c r="H2210" s="2451"/>
      <c r="I2210" s="2451"/>
      <c r="J2210" s="2451"/>
      <c r="K2210" s="2451"/>
      <c r="L2210" s="2453"/>
      <c r="M2210" s="2453"/>
      <c r="N2210" s="2453"/>
      <c r="O2210" s="2453"/>
      <c r="P2210" s="2453"/>
      <c r="W2210" t="s">
        <v>2062</v>
      </c>
    </row>
    <row r="2211" spans="1:23" ht="13.15" customHeight="1">
      <c r="A2211" s="2" t="s">
        <v>2215</v>
      </c>
      <c r="B2211" s="2">
        <f t="shared" si="68"/>
        <v>2020</v>
      </c>
      <c r="C2211" s="2" t="str">
        <f t="shared" si="69"/>
        <v>LIM333</v>
      </c>
      <c r="D2211" s="2">
        <v>593</v>
      </c>
      <c r="F2211" s="2451"/>
      <c r="G2211" s="2451"/>
      <c r="H2211" s="2451"/>
      <c r="I2211" s="2451"/>
      <c r="J2211" s="2451"/>
      <c r="K2211" s="2451"/>
      <c r="L2211" s="2453"/>
      <c r="M2211" s="2453"/>
      <c r="N2211" s="2453"/>
      <c r="O2211" s="2453"/>
      <c r="P2211" s="2453"/>
      <c r="W2211" t="s">
        <v>2062</v>
      </c>
    </row>
    <row r="2212" spans="1:23" ht="13.15" customHeight="1">
      <c r="A2212" s="2" t="s">
        <v>2215</v>
      </c>
      <c r="B2212" s="2">
        <f t="shared" si="68"/>
        <v>2020</v>
      </c>
      <c r="C2212" s="2" t="str">
        <f t="shared" si="69"/>
        <v>LIM333</v>
      </c>
      <c r="D2212" s="2">
        <v>594</v>
      </c>
      <c r="F2212" s="2451"/>
      <c r="G2212" s="2451"/>
      <c r="H2212" s="2451"/>
      <c r="I2212" s="2451"/>
      <c r="J2212" s="2451"/>
      <c r="K2212" s="2451"/>
      <c r="L2212" s="2453"/>
      <c r="M2212" s="2453"/>
      <c r="N2212" s="2453"/>
      <c r="O2212" s="2453"/>
      <c r="P2212" s="2453"/>
      <c r="W2212" t="s">
        <v>2062</v>
      </c>
    </row>
    <row r="2213" spans="1:23" ht="13.15" customHeight="1">
      <c r="A2213" s="2" t="s">
        <v>2215</v>
      </c>
      <c r="B2213" s="2">
        <f t="shared" si="68"/>
        <v>2020</v>
      </c>
      <c r="C2213" s="2" t="str">
        <f t="shared" si="69"/>
        <v>LIM333</v>
      </c>
      <c r="D2213" s="2">
        <v>595</v>
      </c>
      <c r="F2213" s="2451"/>
      <c r="G2213" s="2451"/>
      <c r="H2213" s="2451"/>
      <c r="I2213" s="2451"/>
      <c r="J2213" s="2451"/>
      <c r="K2213" s="2451"/>
      <c r="L2213" s="2453"/>
      <c r="M2213" s="2453"/>
      <c r="N2213" s="2453"/>
      <c r="O2213" s="2453"/>
      <c r="P2213" s="2453"/>
      <c r="W2213" t="s">
        <v>2062</v>
      </c>
    </row>
    <row r="2214" spans="1:23" ht="13.15" customHeight="1">
      <c r="A2214" s="2" t="s">
        <v>2215</v>
      </c>
      <c r="B2214" s="2">
        <f t="shared" si="68"/>
        <v>2020</v>
      </c>
      <c r="C2214" s="2" t="str">
        <f t="shared" si="69"/>
        <v>LIM333</v>
      </c>
      <c r="D2214" s="2">
        <v>596</v>
      </c>
      <c r="F2214" s="2451"/>
      <c r="G2214" s="2451"/>
      <c r="H2214" s="2451"/>
      <c r="I2214" s="2451"/>
      <c r="J2214" s="2451"/>
      <c r="K2214" s="2451"/>
      <c r="L2214" s="2453"/>
      <c r="M2214" s="2453"/>
      <c r="N2214" s="2453"/>
      <c r="O2214" s="2453"/>
      <c r="P2214" s="2453"/>
      <c r="W2214" t="s">
        <v>2062</v>
      </c>
    </row>
    <row r="2215" spans="1:23" ht="13.15" customHeight="1">
      <c r="A2215" s="2" t="s">
        <v>2215</v>
      </c>
      <c r="B2215" s="2">
        <f t="shared" si="68"/>
        <v>2020</v>
      </c>
      <c r="C2215" s="2" t="str">
        <f t="shared" si="69"/>
        <v>LIM333</v>
      </c>
      <c r="D2215" s="2">
        <v>597</v>
      </c>
      <c r="F2215" s="2451"/>
      <c r="G2215" s="2451"/>
      <c r="H2215" s="2451"/>
      <c r="I2215" s="2451"/>
      <c r="J2215" s="2451"/>
      <c r="K2215" s="2451"/>
      <c r="L2215" s="2453"/>
      <c r="M2215" s="2453"/>
      <c r="N2215" s="2453"/>
      <c r="O2215" s="2453"/>
      <c r="P2215" s="2453"/>
      <c r="W2215" t="s">
        <v>2062</v>
      </c>
    </row>
    <row r="2216" spans="1:23" ht="13.15" customHeight="1">
      <c r="A2216" s="2" t="s">
        <v>2215</v>
      </c>
      <c r="B2216" s="2">
        <f t="shared" si="68"/>
        <v>2020</v>
      </c>
      <c r="C2216" s="2" t="str">
        <f t="shared" si="69"/>
        <v>LIM333</v>
      </c>
      <c r="D2216" s="2">
        <v>598</v>
      </c>
      <c r="F2216" s="2451"/>
      <c r="G2216" s="2451"/>
      <c r="H2216" s="2451"/>
      <c r="I2216" s="2451"/>
      <c r="J2216" s="2451"/>
      <c r="K2216" s="2451"/>
      <c r="L2216" s="2453"/>
      <c r="M2216" s="2453"/>
      <c r="N2216" s="2453"/>
      <c r="O2216" s="2453"/>
      <c r="P2216" s="2453"/>
      <c r="W2216" t="s">
        <v>2062</v>
      </c>
    </row>
    <row r="2217" spans="1:23" ht="13.15" customHeight="1">
      <c r="A2217" s="2" t="s">
        <v>2215</v>
      </c>
      <c r="B2217" s="2">
        <f t="shared" si="68"/>
        <v>2020</v>
      </c>
      <c r="C2217" s="2" t="str">
        <f t="shared" si="69"/>
        <v>LIM333</v>
      </c>
      <c r="D2217" s="2">
        <v>599</v>
      </c>
      <c r="F2217" s="2451"/>
      <c r="G2217" s="2451"/>
      <c r="H2217" s="2451"/>
      <c r="I2217" s="2451"/>
      <c r="J2217" s="2451"/>
      <c r="K2217" s="2451"/>
      <c r="L2217" s="2453"/>
      <c r="M2217" s="2453"/>
      <c r="N2217" s="2453"/>
      <c r="O2217" s="2453"/>
      <c r="P2217" s="2453"/>
      <c r="W2217" t="s">
        <v>2062</v>
      </c>
    </row>
    <row r="2218" spans="1:23" ht="13.15" customHeight="1">
      <c r="A2218" s="2" t="s">
        <v>2215</v>
      </c>
      <c r="B2218" s="2">
        <f t="shared" si="68"/>
        <v>2020</v>
      </c>
      <c r="C2218" s="2" t="str">
        <f t="shared" si="69"/>
        <v>LIM333</v>
      </c>
      <c r="D2218" s="2">
        <v>600</v>
      </c>
      <c r="F2218" s="2451"/>
      <c r="G2218" s="2451"/>
      <c r="H2218" s="2451"/>
      <c r="I2218" s="2451"/>
      <c r="J2218" s="2451"/>
      <c r="K2218" s="2451"/>
      <c r="L2218" s="2453"/>
      <c r="M2218" s="2453"/>
      <c r="N2218" s="2453"/>
      <c r="O2218" s="2453"/>
      <c r="P2218" s="2453"/>
      <c r="W2218" t="s">
        <v>2062</v>
      </c>
    </row>
    <row r="2219" spans="1:23" ht="13.15" customHeight="1">
      <c r="A2219" s="2" t="s">
        <v>2215</v>
      </c>
      <c r="B2219" s="2">
        <f t="shared" si="68"/>
        <v>2020</v>
      </c>
      <c r="C2219" s="2" t="str">
        <f t="shared" si="69"/>
        <v>LIM333</v>
      </c>
      <c r="D2219" s="2">
        <v>601</v>
      </c>
      <c r="F2219" s="2451"/>
      <c r="G2219" s="2451"/>
      <c r="H2219" s="2451"/>
      <c r="I2219" s="2451"/>
      <c r="J2219" s="2451"/>
      <c r="K2219" s="2451"/>
      <c r="L2219" s="2453"/>
      <c r="M2219" s="2453"/>
      <c r="N2219" s="2453"/>
      <c r="O2219" s="2453"/>
      <c r="P2219" s="2453"/>
      <c r="W2219" t="s">
        <v>2062</v>
      </c>
    </row>
    <row r="2220" spans="1:23" ht="13.15" customHeight="1">
      <c r="A2220" s="2" t="s">
        <v>2215</v>
      </c>
      <c r="B2220" s="2">
        <f t="shared" si="68"/>
        <v>2020</v>
      </c>
      <c r="C2220" s="2" t="str">
        <f t="shared" si="69"/>
        <v>LIM333</v>
      </c>
      <c r="D2220" s="2">
        <v>602</v>
      </c>
      <c r="F2220" s="2451"/>
      <c r="G2220" s="2451"/>
      <c r="H2220" s="2451"/>
      <c r="I2220" s="2451"/>
      <c r="J2220" s="2451"/>
      <c r="K2220" s="2451"/>
      <c r="L2220" s="2453"/>
      <c r="M2220" s="2453"/>
      <c r="N2220" s="2453"/>
      <c r="O2220" s="2453"/>
      <c r="P2220" s="2453"/>
      <c r="W2220" t="s">
        <v>2062</v>
      </c>
    </row>
    <row r="2221" spans="1:23" ht="13.15" customHeight="1">
      <c r="A2221" s="2" t="s">
        <v>2215</v>
      </c>
      <c r="B2221" s="2">
        <f t="shared" si="68"/>
        <v>2020</v>
      </c>
      <c r="C2221" s="2" t="str">
        <f t="shared" si="69"/>
        <v>LIM333</v>
      </c>
      <c r="D2221" s="2">
        <v>603</v>
      </c>
      <c r="F2221" s="2451"/>
      <c r="G2221" s="2451"/>
      <c r="H2221" s="2451"/>
      <c r="I2221" s="2451"/>
      <c r="J2221" s="2451"/>
      <c r="K2221" s="2451"/>
      <c r="L2221" s="2453"/>
      <c r="M2221" s="2453"/>
      <c r="N2221" s="2453"/>
      <c r="O2221" s="2453"/>
      <c r="P2221" s="2453"/>
      <c r="W2221" t="s">
        <v>2062</v>
      </c>
    </row>
    <row r="2222" spans="1:23" ht="13.15" customHeight="1">
      <c r="A2222" s="2" t="s">
        <v>2215</v>
      </c>
      <c r="B2222" s="2">
        <f t="shared" si="68"/>
        <v>2020</v>
      </c>
      <c r="C2222" s="2" t="str">
        <f t="shared" si="69"/>
        <v>LIM333</v>
      </c>
      <c r="D2222" s="2">
        <v>604</v>
      </c>
      <c r="F2222" s="2451"/>
      <c r="G2222" s="2451"/>
      <c r="H2222" s="2451"/>
      <c r="I2222" s="2451"/>
      <c r="J2222" s="2451"/>
      <c r="K2222" s="2451"/>
      <c r="L2222" s="2453"/>
      <c r="M2222" s="2453"/>
      <c r="N2222" s="2453"/>
      <c r="O2222" s="2453"/>
      <c r="P2222" s="2453"/>
      <c r="W2222" t="s">
        <v>2062</v>
      </c>
    </row>
    <row r="2223" spans="1:23" ht="13.15" customHeight="1">
      <c r="A2223" s="2" t="s">
        <v>2215</v>
      </c>
      <c r="B2223" s="2">
        <f t="shared" si="68"/>
        <v>2020</v>
      </c>
      <c r="C2223" s="2" t="str">
        <f t="shared" si="69"/>
        <v>LIM333</v>
      </c>
      <c r="D2223" s="2">
        <v>605</v>
      </c>
      <c r="F2223" s="2451"/>
      <c r="G2223" s="2451"/>
      <c r="H2223" s="2451"/>
      <c r="I2223" s="2451"/>
      <c r="J2223" s="2451"/>
      <c r="K2223" s="2451"/>
      <c r="L2223" s="2453"/>
      <c r="M2223" s="2453"/>
      <c r="N2223" s="2453"/>
      <c r="O2223" s="2453"/>
      <c r="P2223" s="2453"/>
      <c r="W2223" t="s">
        <v>2062</v>
      </c>
    </row>
    <row r="2224" spans="1:23" ht="13.15" customHeight="1">
      <c r="A2224" s="2" t="s">
        <v>2215</v>
      </c>
      <c r="B2224" s="2">
        <f t="shared" si="68"/>
        <v>2020</v>
      </c>
      <c r="C2224" s="2" t="str">
        <f t="shared" si="69"/>
        <v>LIM333</v>
      </c>
      <c r="D2224" s="2">
        <v>606</v>
      </c>
      <c r="F2224" s="2451"/>
      <c r="G2224" s="2451"/>
      <c r="H2224" s="2451"/>
      <c r="I2224" s="2451"/>
      <c r="J2224" s="2451"/>
      <c r="K2224" s="2451"/>
      <c r="L2224" s="2453"/>
      <c r="M2224" s="2453"/>
      <c r="N2224" s="2453"/>
      <c r="O2224" s="2453"/>
      <c r="P2224" s="2453"/>
      <c r="W2224" t="s">
        <v>2062</v>
      </c>
    </row>
    <row r="2225" spans="1:23" ht="13.15" customHeight="1">
      <c r="A2225" s="2" t="s">
        <v>2215</v>
      </c>
      <c r="B2225" s="2">
        <f t="shared" si="68"/>
        <v>2020</v>
      </c>
      <c r="C2225" s="2" t="str">
        <f t="shared" si="69"/>
        <v>LIM333</v>
      </c>
      <c r="D2225" s="2">
        <v>607</v>
      </c>
      <c r="F2225" s="2451"/>
      <c r="G2225" s="2451"/>
      <c r="H2225" s="2451"/>
      <c r="I2225" s="2451"/>
      <c r="J2225" s="2451"/>
      <c r="K2225" s="2451"/>
      <c r="L2225" s="2453"/>
      <c r="M2225" s="2453"/>
      <c r="N2225" s="2453"/>
      <c r="O2225" s="2453"/>
      <c r="P2225" s="2453"/>
      <c r="W2225" t="s">
        <v>2062</v>
      </c>
    </row>
    <row r="2226" spans="1:23" ht="13.15" customHeight="1">
      <c r="A2226" s="2" t="s">
        <v>2215</v>
      </c>
      <c r="B2226" s="2">
        <f t="shared" si="68"/>
        <v>2020</v>
      </c>
      <c r="C2226" s="2" t="str">
        <f t="shared" si="69"/>
        <v>LIM333</v>
      </c>
      <c r="D2226" s="2">
        <v>608</v>
      </c>
      <c r="F2226" s="2451"/>
      <c r="G2226" s="2451"/>
      <c r="H2226" s="2451"/>
      <c r="I2226" s="2451"/>
      <c r="J2226" s="2451"/>
      <c r="K2226" s="2451"/>
      <c r="L2226" s="2453"/>
      <c r="M2226" s="2453"/>
      <c r="N2226" s="2453"/>
      <c r="O2226" s="2453"/>
      <c r="P2226" s="2453"/>
      <c r="W2226" t="s">
        <v>2062</v>
      </c>
    </row>
    <row r="2227" spans="1:23" ht="13.15" customHeight="1">
      <c r="A2227" s="2" t="s">
        <v>2215</v>
      </c>
      <c r="B2227" s="2">
        <f t="shared" si="68"/>
        <v>2020</v>
      </c>
      <c r="C2227" s="2" t="str">
        <f t="shared" si="69"/>
        <v>LIM333</v>
      </c>
      <c r="D2227" s="2">
        <v>609</v>
      </c>
      <c r="F2227" s="2451"/>
      <c r="G2227" s="2451"/>
      <c r="H2227" s="2451"/>
      <c r="I2227" s="2451"/>
      <c r="J2227" s="2451"/>
      <c r="K2227" s="2451"/>
      <c r="L2227" s="2453"/>
      <c r="M2227" s="2453"/>
      <c r="N2227" s="2453"/>
      <c r="O2227" s="2453"/>
      <c r="P2227" s="2453"/>
      <c r="W2227" t="s">
        <v>2062</v>
      </c>
    </row>
    <row r="2228" spans="1:23" ht="13.15" customHeight="1">
      <c r="A2228" s="2" t="s">
        <v>2215</v>
      </c>
      <c r="B2228" s="2">
        <f t="shared" si="68"/>
        <v>2020</v>
      </c>
      <c r="C2228" s="2" t="str">
        <f t="shared" si="69"/>
        <v>LIM333</v>
      </c>
      <c r="D2228" s="2">
        <v>610</v>
      </c>
      <c r="F2228" s="2451"/>
      <c r="G2228" s="2451"/>
      <c r="H2228" s="2451"/>
      <c r="I2228" s="2451"/>
      <c r="J2228" s="2451"/>
      <c r="K2228" s="2451"/>
      <c r="L2228" s="2453"/>
      <c r="M2228" s="2453"/>
      <c r="N2228" s="2453"/>
      <c r="O2228" s="2453"/>
      <c r="P2228" s="2453"/>
      <c r="W2228" t="s">
        <v>2062</v>
      </c>
    </row>
    <row r="2229" spans="1:23" ht="13.15" customHeight="1">
      <c r="A2229" s="2" t="s">
        <v>2215</v>
      </c>
      <c r="B2229" s="2">
        <f t="shared" si="68"/>
        <v>2020</v>
      </c>
      <c r="C2229" s="2" t="str">
        <f t="shared" si="69"/>
        <v>LIM333</v>
      </c>
      <c r="D2229" s="2">
        <v>611</v>
      </c>
      <c r="F2229" s="2451"/>
      <c r="G2229" s="2451"/>
      <c r="H2229" s="2451"/>
      <c r="I2229" s="2451"/>
      <c r="J2229" s="2451"/>
      <c r="K2229" s="2451"/>
      <c r="L2229" s="2453"/>
      <c r="M2229" s="2453"/>
      <c r="N2229" s="2453"/>
      <c r="O2229" s="2453"/>
      <c r="P2229" s="2453"/>
      <c r="W2229" t="s">
        <v>2062</v>
      </c>
    </row>
    <row r="2230" spans="1:23" ht="13.15" customHeight="1">
      <c r="A2230" s="2" t="s">
        <v>2215</v>
      </c>
      <c r="B2230" s="2">
        <f t="shared" si="68"/>
        <v>2020</v>
      </c>
      <c r="C2230" s="2" t="str">
        <f t="shared" si="69"/>
        <v>LIM333</v>
      </c>
      <c r="D2230" s="2">
        <v>612</v>
      </c>
      <c r="F2230" s="2451"/>
      <c r="G2230" s="2451"/>
      <c r="H2230" s="2451"/>
      <c r="I2230" s="2451"/>
      <c r="J2230" s="2451"/>
      <c r="K2230" s="2451"/>
      <c r="L2230" s="2453"/>
      <c r="M2230" s="2453"/>
      <c r="N2230" s="2453"/>
      <c r="O2230" s="2453"/>
      <c r="P2230" s="2453"/>
      <c r="W2230" t="s">
        <v>2062</v>
      </c>
    </row>
    <row r="2231" spans="1:23" ht="13.15" customHeight="1">
      <c r="A2231" s="2" t="s">
        <v>2215</v>
      </c>
      <c r="B2231" s="2">
        <f t="shared" si="68"/>
        <v>2020</v>
      </c>
      <c r="C2231" s="2" t="str">
        <f t="shared" si="69"/>
        <v>LIM333</v>
      </c>
      <c r="D2231" s="2">
        <v>613</v>
      </c>
      <c r="F2231" s="2451"/>
      <c r="G2231" s="2451"/>
      <c r="H2231" s="2451"/>
      <c r="I2231" s="2451"/>
      <c r="J2231" s="2451"/>
      <c r="K2231" s="2451"/>
      <c r="L2231" s="2453"/>
      <c r="M2231" s="2453"/>
      <c r="N2231" s="2453"/>
      <c r="O2231" s="2453"/>
      <c r="P2231" s="2453"/>
      <c r="W2231" t="s">
        <v>2062</v>
      </c>
    </row>
    <row r="2232" spans="1:23" ht="13.15" customHeight="1">
      <c r="A2232" s="2" t="s">
        <v>2215</v>
      </c>
      <c r="B2232" s="2">
        <f t="shared" si="68"/>
        <v>2020</v>
      </c>
      <c r="C2232" s="2" t="str">
        <f t="shared" si="69"/>
        <v>LIM333</v>
      </c>
      <c r="D2232" s="2">
        <v>614</v>
      </c>
      <c r="F2232" s="2451"/>
      <c r="G2232" s="2451"/>
      <c r="H2232" s="2451"/>
      <c r="I2232" s="2451"/>
      <c r="J2232" s="2451"/>
      <c r="K2232" s="2451"/>
      <c r="L2232" s="2453"/>
      <c r="M2232" s="2453"/>
      <c r="N2232" s="2453"/>
      <c r="O2232" s="2453"/>
      <c r="P2232" s="2453"/>
      <c r="W2232" t="s">
        <v>2062</v>
      </c>
    </row>
    <row r="2233" spans="1:23" ht="13.15" customHeight="1">
      <c r="A2233" s="2" t="s">
        <v>2215</v>
      </c>
      <c r="B2233" s="2">
        <f t="shared" si="68"/>
        <v>2020</v>
      </c>
      <c r="C2233" s="2" t="str">
        <f t="shared" si="69"/>
        <v>LIM333</v>
      </c>
      <c r="D2233" s="2">
        <v>615</v>
      </c>
      <c r="F2233" s="2451"/>
      <c r="G2233" s="2451"/>
      <c r="H2233" s="2451"/>
      <c r="I2233" s="2451"/>
      <c r="J2233" s="2451"/>
      <c r="K2233" s="2451"/>
      <c r="L2233" s="2453"/>
      <c r="M2233" s="2453"/>
      <c r="N2233" s="2453"/>
      <c r="O2233" s="2453"/>
      <c r="P2233" s="2453"/>
      <c r="W2233" t="s">
        <v>2062</v>
      </c>
    </row>
    <row r="2234" spans="1:23" ht="13.15" customHeight="1">
      <c r="A2234" s="2" t="s">
        <v>2215</v>
      </c>
      <c r="B2234" s="2">
        <f t="shared" si="68"/>
        <v>2020</v>
      </c>
      <c r="C2234" s="2" t="str">
        <f t="shared" si="69"/>
        <v>LIM333</v>
      </c>
      <c r="D2234" s="2">
        <v>616</v>
      </c>
      <c r="F2234" s="2451"/>
      <c r="G2234" s="2451"/>
      <c r="H2234" s="2451"/>
      <c r="I2234" s="2451"/>
      <c r="J2234" s="2451"/>
      <c r="K2234" s="2451"/>
      <c r="L2234" s="2453"/>
      <c r="M2234" s="2453"/>
      <c r="N2234" s="2453"/>
      <c r="O2234" s="2453"/>
      <c r="P2234" s="2453"/>
      <c r="W2234" t="s">
        <v>2062</v>
      </c>
    </row>
    <row r="2235" spans="1:23" ht="13.15" customHeight="1">
      <c r="A2235" s="2" t="s">
        <v>2215</v>
      </c>
      <c r="B2235" s="2">
        <f t="shared" si="68"/>
        <v>2020</v>
      </c>
      <c r="C2235" s="2" t="str">
        <f t="shared" si="69"/>
        <v>LIM333</v>
      </c>
      <c r="D2235" s="2">
        <v>617</v>
      </c>
      <c r="F2235" s="2451"/>
      <c r="G2235" s="2451"/>
      <c r="H2235" s="2451"/>
      <c r="I2235" s="2451"/>
      <c r="J2235" s="2451"/>
      <c r="K2235" s="2451"/>
      <c r="L2235" s="2453"/>
      <c r="M2235" s="2453"/>
      <c r="N2235" s="2453"/>
      <c r="O2235" s="2453"/>
      <c r="P2235" s="2453"/>
      <c r="W2235" t="s">
        <v>2062</v>
      </c>
    </row>
    <row r="2236" spans="1:23" ht="13.15" customHeight="1">
      <c r="A2236" s="2" t="s">
        <v>2215</v>
      </c>
      <c r="B2236" s="2">
        <f t="shared" si="68"/>
        <v>2020</v>
      </c>
      <c r="C2236" s="2" t="str">
        <f t="shared" si="69"/>
        <v>LIM333</v>
      </c>
      <c r="D2236" s="2">
        <v>618</v>
      </c>
      <c r="F2236" s="2451"/>
      <c r="G2236" s="2451"/>
      <c r="H2236" s="2451"/>
      <c r="I2236" s="2451"/>
      <c r="J2236" s="2451"/>
      <c r="K2236" s="2451"/>
      <c r="L2236" s="2453"/>
      <c r="M2236" s="2453"/>
      <c r="N2236" s="2453"/>
      <c r="O2236" s="2453"/>
      <c r="P2236" s="2453"/>
      <c r="W2236" t="s">
        <v>2062</v>
      </c>
    </row>
    <row r="2237" spans="1:23" ht="13.15" customHeight="1">
      <c r="A2237" s="2" t="s">
        <v>2215</v>
      </c>
      <c r="B2237" s="2">
        <f t="shared" si="68"/>
        <v>2020</v>
      </c>
      <c r="C2237" s="2" t="str">
        <f t="shared" si="69"/>
        <v>LIM333</v>
      </c>
      <c r="D2237" s="2">
        <v>619</v>
      </c>
      <c r="F2237" s="2451"/>
      <c r="G2237" s="2451"/>
      <c r="H2237" s="2451"/>
      <c r="I2237" s="2451"/>
      <c r="J2237" s="2451"/>
      <c r="K2237" s="2451"/>
      <c r="L2237" s="2453"/>
      <c r="M2237" s="2453"/>
      <c r="N2237" s="2453"/>
      <c r="O2237" s="2453"/>
      <c r="P2237" s="2453"/>
      <c r="W2237" t="s">
        <v>2062</v>
      </c>
    </row>
    <row r="2238" spans="1:23" ht="13.15" customHeight="1">
      <c r="A2238" s="2" t="s">
        <v>2215</v>
      </c>
      <c r="B2238" s="2">
        <f t="shared" si="68"/>
        <v>2020</v>
      </c>
      <c r="C2238" s="2" t="str">
        <f t="shared" si="69"/>
        <v>LIM333</v>
      </c>
      <c r="D2238" s="2">
        <v>620</v>
      </c>
      <c r="F2238" s="2451"/>
      <c r="G2238" s="2451"/>
      <c r="H2238" s="2451"/>
      <c r="I2238" s="2451"/>
      <c r="J2238" s="2451"/>
      <c r="K2238" s="2451"/>
      <c r="L2238" s="2453"/>
      <c r="M2238" s="2453"/>
      <c r="N2238" s="2453"/>
      <c r="O2238" s="2453"/>
      <c r="P2238" s="2453"/>
      <c r="W2238" t="s">
        <v>2062</v>
      </c>
    </row>
    <row r="2239" spans="1:23" ht="13.15" customHeight="1">
      <c r="A2239" s="2" t="s">
        <v>2215</v>
      </c>
      <c r="B2239" s="2">
        <f t="shared" si="68"/>
        <v>2020</v>
      </c>
      <c r="C2239" s="2" t="str">
        <f t="shared" si="69"/>
        <v>LIM333</v>
      </c>
      <c r="D2239" s="2">
        <v>621</v>
      </c>
      <c r="F2239" s="2451"/>
      <c r="G2239" s="2451"/>
      <c r="H2239" s="2451"/>
      <c r="I2239" s="2451"/>
      <c r="J2239" s="2451"/>
      <c r="K2239" s="2451"/>
      <c r="L2239" s="2453"/>
      <c r="M2239" s="2453"/>
      <c r="N2239" s="2453"/>
      <c r="O2239" s="2453"/>
      <c r="P2239" s="2453"/>
      <c r="W2239" t="s">
        <v>2062</v>
      </c>
    </row>
    <row r="2240" spans="1:23" ht="13.15" customHeight="1">
      <c r="A2240" s="2" t="s">
        <v>2215</v>
      </c>
      <c r="B2240" s="2">
        <f t="shared" si="68"/>
        <v>2020</v>
      </c>
      <c r="C2240" s="2" t="str">
        <f t="shared" si="69"/>
        <v>LIM333</v>
      </c>
      <c r="D2240" s="2">
        <v>622</v>
      </c>
      <c r="F2240" s="2451"/>
      <c r="G2240" s="2451"/>
      <c r="H2240" s="2451"/>
      <c r="I2240" s="2451"/>
      <c r="J2240" s="2451"/>
      <c r="K2240" s="2451"/>
      <c r="L2240" s="2453"/>
      <c r="M2240" s="2453"/>
      <c r="N2240" s="2453"/>
      <c r="O2240" s="2453"/>
      <c r="P2240" s="2453"/>
      <c r="W2240" t="s">
        <v>2062</v>
      </c>
    </row>
    <row r="2241" spans="1:23" ht="13.15" customHeight="1">
      <c r="A2241" s="2" t="s">
        <v>2215</v>
      </c>
      <c r="B2241" s="2">
        <f t="shared" si="68"/>
        <v>2020</v>
      </c>
      <c r="C2241" s="2" t="str">
        <f t="shared" si="69"/>
        <v>LIM333</v>
      </c>
      <c r="D2241" s="2">
        <v>623</v>
      </c>
      <c r="F2241" s="2451"/>
      <c r="G2241" s="2451"/>
      <c r="H2241" s="2451"/>
      <c r="I2241" s="2451"/>
      <c r="J2241" s="2451"/>
      <c r="K2241" s="2451"/>
      <c r="L2241" s="2453"/>
      <c r="M2241" s="2453"/>
      <c r="N2241" s="2453"/>
      <c r="O2241" s="2453"/>
      <c r="P2241" s="2453"/>
      <c r="W2241" t="s">
        <v>2062</v>
      </c>
    </row>
    <row r="2242" spans="1:23" ht="13.15" customHeight="1">
      <c r="A2242" s="2" t="s">
        <v>2215</v>
      </c>
      <c r="B2242" s="2">
        <f t="shared" ref="B2242:B2305" si="70">+MTREF</f>
        <v>2020</v>
      </c>
      <c r="C2242" s="2" t="str">
        <f t="shared" ref="C2242:C2305" si="71">LEFT(muni,(FIND(" ",muni,1)-1))</f>
        <v>LIM333</v>
      </c>
      <c r="D2242" s="2">
        <v>624</v>
      </c>
      <c r="F2242" s="2451"/>
      <c r="G2242" s="2451"/>
      <c r="H2242" s="2451"/>
      <c r="I2242" s="2451"/>
      <c r="J2242" s="2451"/>
      <c r="K2242" s="2451"/>
      <c r="L2242" s="2453"/>
      <c r="M2242" s="2453"/>
      <c r="N2242" s="2453"/>
      <c r="O2242" s="2453"/>
      <c r="P2242" s="2453"/>
      <c r="W2242" t="s">
        <v>2062</v>
      </c>
    </row>
    <row r="2243" spans="1:23" ht="13.15" customHeight="1">
      <c r="A2243" s="2" t="s">
        <v>2215</v>
      </c>
      <c r="B2243" s="2">
        <f t="shared" si="70"/>
        <v>2020</v>
      </c>
      <c r="C2243" s="2" t="str">
        <f t="shared" si="71"/>
        <v>LIM333</v>
      </c>
      <c r="D2243" s="2">
        <v>625</v>
      </c>
      <c r="F2243" s="2451"/>
      <c r="G2243" s="2451"/>
      <c r="H2243" s="2451"/>
      <c r="I2243" s="2451"/>
      <c r="J2243" s="2451"/>
      <c r="K2243" s="2451"/>
      <c r="L2243" s="2453"/>
      <c r="M2243" s="2453"/>
      <c r="N2243" s="2453"/>
      <c r="O2243" s="2453"/>
      <c r="P2243" s="2453"/>
      <c r="W2243" t="s">
        <v>2062</v>
      </c>
    </row>
    <row r="2244" spans="1:23" ht="13.15" customHeight="1">
      <c r="A2244" s="2" t="s">
        <v>2215</v>
      </c>
      <c r="B2244" s="2">
        <f t="shared" si="70"/>
        <v>2020</v>
      </c>
      <c r="C2244" s="2" t="str">
        <f t="shared" si="71"/>
        <v>LIM333</v>
      </c>
      <c r="D2244" s="2">
        <v>626</v>
      </c>
      <c r="F2244" s="2451"/>
      <c r="G2244" s="2451"/>
      <c r="H2244" s="2451"/>
      <c r="I2244" s="2451"/>
      <c r="J2244" s="2451"/>
      <c r="K2244" s="2451"/>
      <c r="L2244" s="2453"/>
      <c r="M2244" s="2453"/>
      <c r="N2244" s="2453"/>
      <c r="O2244" s="2453"/>
      <c r="P2244" s="2453"/>
      <c r="W2244" t="s">
        <v>2062</v>
      </c>
    </row>
    <row r="2245" spans="1:23" ht="13.15" customHeight="1">
      <c r="A2245" s="2" t="s">
        <v>2215</v>
      </c>
      <c r="B2245" s="2">
        <f t="shared" si="70"/>
        <v>2020</v>
      </c>
      <c r="C2245" s="2" t="str">
        <f t="shared" si="71"/>
        <v>LIM333</v>
      </c>
      <c r="D2245" s="2">
        <v>627</v>
      </c>
      <c r="F2245" s="2451"/>
      <c r="G2245" s="2451"/>
      <c r="H2245" s="2451"/>
      <c r="I2245" s="2451"/>
      <c r="J2245" s="2451"/>
      <c r="K2245" s="2451"/>
      <c r="L2245" s="2453"/>
      <c r="M2245" s="2453"/>
      <c r="N2245" s="2453"/>
      <c r="O2245" s="2453"/>
      <c r="P2245" s="2453"/>
      <c r="W2245" t="s">
        <v>2062</v>
      </c>
    </row>
    <row r="2246" spans="1:23" ht="13.15" customHeight="1">
      <c r="A2246" s="2" t="s">
        <v>2215</v>
      </c>
      <c r="B2246" s="2">
        <f t="shared" si="70"/>
        <v>2020</v>
      </c>
      <c r="C2246" s="2" t="str">
        <f t="shared" si="71"/>
        <v>LIM333</v>
      </c>
      <c r="D2246" s="2">
        <v>628</v>
      </c>
      <c r="F2246" s="2451"/>
      <c r="G2246" s="2451"/>
      <c r="H2246" s="2451"/>
      <c r="I2246" s="2451"/>
      <c r="J2246" s="2451"/>
      <c r="K2246" s="2451"/>
      <c r="L2246" s="2453"/>
      <c r="M2246" s="2453"/>
      <c r="N2246" s="2453"/>
      <c r="O2246" s="2453"/>
      <c r="P2246" s="2453"/>
      <c r="W2246" t="s">
        <v>2062</v>
      </c>
    </row>
    <row r="2247" spans="1:23" ht="13.15" customHeight="1">
      <c r="A2247" s="2" t="s">
        <v>2215</v>
      </c>
      <c r="B2247" s="2">
        <f t="shared" si="70"/>
        <v>2020</v>
      </c>
      <c r="C2247" s="2" t="str">
        <f t="shared" si="71"/>
        <v>LIM333</v>
      </c>
      <c r="D2247" s="2">
        <v>629</v>
      </c>
      <c r="F2247" s="2451"/>
      <c r="G2247" s="2451"/>
      <c r="H2247" s="2451"/>
      <c r="I2247" s="2451"/>
      <c r="J2247" s="2451"/>
      <c r="K2247" s="2451"/>
      <c r="L2247" s="2453"/>
      <c r="M2247" s="2453"/>
      <c r="N2247" s="2453"/>
      <c r="O2247" s="2453"/>
      <c r="P2247" s="2453"/>
      <c r="W2247" t="s">
        <v>2062</v>
      </c>
    </row>
    <row r="2248" spans="1:23" ht="13.15" customHeight="1">
      <c r="A2248" s="2" t="s">
        <v>2215</v>
      </c>
      <c r="B2248" s="2">
        <f t="shared" si="70"/>
        <v>2020</v>
      </c>
      <c r="C2248" s="2" t="str">
        <f t="shared" si="71"/>
        <v>LIM333</v>
      </c>
      <c r="D2248" s="2">
        <v>630</v>
      </c>
      <c r="F2248" s="2451"/>
      <c r="G2248" s="2451"/>
      <c r="H2248" s="2451"/>
      <c r="I2248" s="2451"/>
      <c r="J2248" s="2451"/>
      <c r="K2248" s="2451"/>
      <c r="L2248" s="2453"/>
      <c r="M2248" s="2453"/>
      <c r="N2248" s="2453"/>
      <c r="O2248" s="2453"/>
      <c r="P2248" s="2453"/>
      <c r="W2248" t="s">
        <v>2062</v>
      </c>
    </row>
    <row r="2249" spans="1:23" ht="13.15" customHeight="1">
      <c r="A2249" s="2" t="s">
        <v>2215</v>
      </c>
      <c r="B2249" s="2">
        <f t="shared" si="70"/>
        <v>2020</v>
      </c>
      <c r="C2249" s="2" t="str">
        <f t="shared" si="71"/>
        <v>LIM333</v>
      </c>
      <c r="D2249" s="2">
        <v>631</v>
      </c>
      <c r="F2249" s="2451"/>
      <c r="G2249" s="2451"/>
      <c r="H2249" s="2451"/>
      <c r="I2249" s="2451"/>
      <c r="J2249" s="2451"/>
      <c r="K2249" s="2451"/>
      <c r="L2249" s="2453"/>
      <c r="M2249" s="2453"/>
      <c r="N2249" s="2453"/>
      <c r="O2249" s="2453"/>
      <c r="P2249" s="2453"/>
      <c r="W2249" t="s">
        <v>2062</v>
      </c>
    </row>
    <row r="2250" spans="1:23" ht="13.15" customHeight="1">
      <c r="A2250" s="2" t="s">
        <v>2215</v>
      </c>
      <c r="B2250" s="2">
        <f t="shared" si="70"/>
        <v>2020</v>
      </c>
      <c r="C2250" s="2" t="str">
        <f t="shared" si="71"/>
        <v>LIM333</v>
      </c>
      <c r="D2250" s="2">
        <v>632</v>
      </c>
      <c r="F2250" s="2451"/>
      <c r="G2250" s="2451"/>
      <c r="H2250" s="2451"/>
      <c r="I2250" s="2451"/>
      <c r="J2250" s="2451"/>
      <c r="K2250" s="2451"/>
      <c r="L2250" s="2453"/>
      <c r="M2250" s="2453"/>
      <c r="N2250" s="2453"/>
      <c r="O2250" s="2453"/>
      <c r="P2250" s="2453"/>
      <c r="W2250" t="s">
        <v>2062</v>
      </c>
    </row>
    <row r="2251" spans="1:23" ht="13.15" customHeight="1">
      <c r="A2251" s="2" t="s">
        <v>2215</v>
      </c>
      <c r="B2251" s="2">
        <f t="shared" si="70"/>
        <v>2020</v>
      </c>
      <c r="C2251" s="2" t="str">
        <f t="shared" si="71"/>
        <v>LIM333</v>
      </c>
      <c r="D2251" s="2">
        <v>633</v>
      </c>
      <c r="F2251" s="2451"/>
      <c r="G2251" s="2451"/>
      <c r="H2251" s="2451"/>
      <c r="I2251" s="2451"/>
      <c r="J2251" s="2451"/>
      <c r="K2251" s="2451"/>
      <c r="L2251" s="2453"/>
      <c r="M2251" s="2453"/>
      <c r="N2251" s="2453"/>
      <c r="O2251" s="2453"/>
      <c r="P2251" s="2453"/>
      <c r="W2251" t="s">
        <v>2062</v>
      </c>
    </row>
    <row r="2252" spans="1:23" ht="13.15" customHeight="1">
      <c r="A2252" s="2" t="s">
        <v>2215</v>
      </c>
      <c r="B2252" s="2">
        <f t="shared" si="70"/>
        <v>2020</v>
      </c>
      <c r="C2252" s="2" t="str">
        <f t="shared" si="71"/>
        <v>LIM333</v>
      </c>
      <c r="D2252" s="2">
        <v>634</v>
      </c>
      <c r="F2252" s="2451"/>
      <c r="G2252" s="2451"/>
      <c r="H2252" s="2451"/>
      <c r="I2252" s="2451"/>
      <c r="J2252" s="2451"/>
      <c r="K2252" s="2451"/>
      <c r="L2252" s="2453"/>
      <c r="M2252" s="2453"/>
      <c r="N2252" s="2453"/>
      <c r="O2252" s="2453"/>
      <c r="P2252" s="2453"/>
      <c r="W2252" t="s">
        <v>2062</v>
      </c>
    </row>
    <row r="2253" spans="1:23" ht="13.15" customHeight="1">
      <c r="A2253" s="2" t="s">
        <v>2215</v>
      </c>
      <c r="B2253" s="2">
        <f t="shared" si="70"/>
        <v>2020</v>
      </c>
      <c r="C2253" s="2" t="str">
        <f t="shared" si="71"/>
        <v>LIM333</v>
      </c>
      <c r="D2253" s="2">
        <v>635</v>
      </c>
      <c r="F2253" s="2451"/>
      <c r="G2253" s="2451"/>
      <c r="H2253" s="2451"/>
      <c r="I2253" s="2451"/>
      <c r="J2253" s="2451"/>
      <c r="K2253" s="2451"/>
      <c r="L2253" s="2453"/>
      <c r="M2253" s="2453"/>
      <c r="N2253" s="2453"/>
      <c r="O2253" s="2453"/>
      <c r="P2253" s="2453"/>
      <c r="W2253" t="s">
        <v>2062</v>
      </c>
    </row>
    <row r="2254" spans="1:23" ht="13.15" customHeight="1">
      <c r="A2254" s="2" t="s">
        <v>2215</v>
      </c>
      <c r="B2254" s="2">
        <f t="shared" si="70"/>
        <v>2020</v>
      </c>
      <c r="C2254" s="2" t="str">
        <f t="shared" si="71"/>
        <v>LIM333</v>
      </c>
      <c r="D2254" s="2">
        <v>636</v>
      </c>
      <c r="F2254" s="2451"/>
      <c r="G2254" s="2451"/>
      <c r="H2254" s="2451"/>
      <c r="I2254" s="2451"/>
      <c r="J2254" s="2451"/>
      <c r="K2254" s="2451"/>
      <c r="L2254" s="2453"/>
      <c r="M2254" s="2453"/>
      <c r="N2254" s="2453"/>
      <c r="O2254" s="2453"/>
      <c r="P2254" s="2453"/>
      <c r="W2254" t="s">
        <v>2062</v>
      </c>
    </row>
    <row r="2255" spans="1:23" ht="13.15" customHeight="1">
      <c r="A2255" s="2" t="s">
        <v>2215</v>
      </c>
      <c r="B2255" s="2">
        <f t="shared" si="70"/>
        <v>2020</v>
      </c>
      <c r="C2255" s="2" t="str">
        <f t="shared" si="71"/>
        <v>LIM333</v>
      </c>
      <c r="D2255" s="2">
        <v>637</v>
      </c>
      <c r="F2255" s="2451"/>
      <c r="G2255" s="2451"/>
      <c r="H2255" s="2451"/>
      <c r="I2255" s="2451"/>
      <c r="J2255" s="2451"/>
      <c r="K2255" s="2451"/>
      <c r="L2255" s="2453"/>
      <c r="M2255" s="2453"/>
      <c r="N2255" s="2453"/>
      <c r="O2255" s="2453"/>
      <c r="P2255" s="2453"/>
      <c r="W2255" t="s">
        <v>2062</v>
      </c>
    </row>
    <row r="2256" spans="1:23" ht="13.15" customHeight="1">
      <c r="A2256" s="2" t="s">
        <v>2215</v>
      </c>
      <c r="B2256" s="2">
        <f t="shared" si="70"/>
        <v>2020</v>
      </c>
      <c r="C2256" s="2" t="str">
        <f t="shared" si="71"/>
        <v>LIM333</v>
      </c>
      <c r="D2256" s="2">
        <v>638</v>
      </c>
      <c r="F2256" s="2451"/>
      <c r="G2256" s="2451"/>
      <c r="H2256" s="2451"/>
      <c r="I2256" s="2451"/>
      <c r="J2256" s="2451"/>
      <c r="K2256" s="2451"/>
      <c r="L2256" s="2453"/>
      <c r="M2256" s="2453"/>
      <c r="N2256" s="2453"/>
      <c r="O2256" s="2453"/>
      <c r="P2256" s="2453"/>
      <c r="W2256" t="s">
        <v>2062</v>
      </c>
    </row>
    <row r="2257" spans="1:23" ht="13.15" customHeight="1">
      <c r="A2257" s="2" t="s">
        <v>2215</v>
      </c>
      <c r="B2257" s="2">
        <f t="shared" si="70"/>
        <v>2020</v>
      </c>
      <c r="C2257" s="2" t="str">
        <f t="shared" si="71"/>
        <v>LIM333</v>
      </c>
      <c r="D2257" s="2">
        <v>639</v>
      </c>
      <c r="F2257" s="2451"/>
      <c r="G2257" s="2451"/>
      <c r="H2257" s="2451"/>
      <c r="I2257" s="2451"/>
      <c r="J2257" s="2451"/>
      <c r="K2257" s="2451"/>
      <c r="L2257" s="2453"/>
      <c r="M2257" s="2453"/>
      <c r="N2257" s="2453"/>
      <c r="O2257" s="2453"/>
      <c r="P2257" s="2453"/>
      <c r="W2257" t="s">
        <v>2062</v>
      </c>
    </row>
    <row r="2258" spans="1:23" ht="13.15" customHeight="1">
      <c r="A2258" s="2" t="s">
        <v>2215</v>
      </c>
      <c r="B2258" s="2">
        <f t="shared" si="70"/>
        <v>2020</v>
      </c>
      <c r="C2258" s="2" t="str">
        <f t="shared" si="71"/>
        <v>LIM333</v>
      </c>
      <c r="D2258" s="2">
        <v>640</v>
      </c>
      <c r="F2258" s="2451"/>
      <c r="G2258" s="2451"/>
      <c r="H2258" s="2451"/>
      <c r="I2258" s="2451"/>
      <c r="J2258" s="2451"/>
      <c r="K2258" s="2451"/>
      <c r="L2258" s="2453"/>
      <c r="M2258" s="2453"/>
      <c r="N2258" s="2453"/>
      <c r="O2258" s="2453"/>
      <c r="P2258" s="2453"/>
      <c r="W2258" t="s">
        <v>2062</v>
      </c>
    </row>
    <row r="2259" spans="1:23" ht="13.15" customHeight="1">
      <c r="A2259" s="2" t="s">
        <v>2215</v>
      </c>
      <c r="B2259" s="2">
        <f t="shared" si="70"/>
        <v>2020</v>
      </c>
      <c r="C2259" s="2" t="str">
        <f t="shared" si="71"/>
        <v>LIM333</v>
      </c>
      <c r="D2259" s="2">
        <v>641</v>
      </c>
      <c r="F2259" s="2451"/>
      <c r="G2259" s="2451"/>
      <c r="H2259" s="2451"/>
      <c r="I2259" s="2451"/>
      <c r="J2259" s="2451"/>
      <c r="K2259" s="2451"/>
      <c r="L2259" s="2453"/>
      <c r="M2259" s="2453"/>
      <c r="N2259" s="2453"/>
      <c r="O2259" s="2453"/>
      <c r="P2259" s="2453"/>
      <c r="W2259" t="s">
        <v>2062</v>
      </c>
    </row>
    <row r="2260" spans="1:23" ht="13.15" customHeight="1">
      <c r="A2260" s="2" t="s">
        <v>2215</v>
      </c>
      <c r="B2260" s="2">
        <f t="shared" si="70"/>
        <v>2020</v>
      </c>
      <c r="C2260" s="2" t="str">
        <f t="shared" si="71"/>
        <v>LIM333</v>
      </c>
      <c r="D2260" s="2">
        <v>642</v>
      </c>
      <c r="F2260" s="2451"/>
      <c r="G2260" s="2451"/>
      <c r="H2260" s="2451"/>
      <c r="I2260" s="2451"/>
      <c r="J2260" s="2451"/>
      <c r="K2260" s="2451"/>
      <c r="L2260" s="2453"/>
      <c r="M2260" s="2453"/>
      <c r="N2260" s="2453"/>
      <c r="O2260" s="2453"/>
      <c r="P2260" s="2453"/>
      <c r="W2260" t="s">
        <v>2062</v>
      </c>
    </row>
    <row r="2261" spans="1:23" ht="13.15" customHeight="1">
      <c r="A2261" s="2" t="s">
        <v>2215</v>
      </c>
      <c r="B2261" s="2">
        <f t="shared" si="70"/>
        <v>2020</v>
      </c>
      <c r="C2261" s="2" t="str">
        <f t="shared" si="71"/>
        <v>LIM333</v>
      </c>
      <c r="D2261" s="2">
        <v>643</v>
      </c>
      <c r="F2261" s="2451"/>
      <c r="G2261" s="2451"/>
      <c r="H2261" s="2451"/>
      <c r="I2261" s="2451"/>
      <c r="J2261" s="2451"/>
      <c r="K2261" s="2451"/>
      <c r="L2261" s="2453"/>
      <c r="M2261" s="2453"/>
      <c r="N2261" s="2453"/>
      <c r="O2261" s="2453"/>
      <c r="P2261" s="2453"/>
      <c r="W2261" t="s">
        <v>2062</v>
      </c>
    </row>
    <row r="2262" spans="1:23" ht="13.15" customHeight="1">
      <c r="A2262" s="2" t="s">
        <v>2215</v>
      </c>
      <c r="B2262" s="2">
        <f t="shared" si="70"/>
        <v>2020</v>
      </c>
      <c r="C2262" s="2" t="str">
        <f t="shared" si="71"/>
        <v>LIM333</v>
      </c>
      <c r="D2262" s="2">
        <v>644</v>
      </c>
      <c r="F2262" s="2451"/>
      <c r="G2262" s="2451"/>
      <c r="H2262" s="2451"/>
      <c r="I2262" s="2451"/>
      <c r="J2262" s="2451"/>
      <c r="K2262" s="2451"/>
      <c r="L2262" s="2453"/>
      <c r="M2262" s="2453"/>
      <c r="N2262" s="2453"/>
      <c r="O2262" s="2453"/>
      <c r="P2262" s="2453"/>
      <c r="W2262" t="s">
        <v>2062</v>
      </c>
    </row>
    <row r="2263" spans="1:23" ht="13.15" customHeight="1">
      <c r="A2263" s="2" t="s">
        <v>2215</v>
      </c>
      <c r="B2263" s="2">
        <f t="shared" si="70"/>
        <v>2020</v>
      </c>
      <c r="C2263" s="2" t="str">
        <f t="shared" si="71"/>
        <v>LIM333</v>
      </c>
      <c r="D2263" s="2">
        <v>645</v>
      </c>
      <c r="F2263" s="2451"/>
      <c r="G2263" s="2451"/>
      <c r="H2263" s="2451"/>
      <c r="I2263" s="2451"/>
      <c r="J2263" s="2451"/>
      <c r="K2263" s="2451"/>
      <c r="L2263" s="2453"/>
      <c r="M2263" s="2453"/>
      <c r="N2263" s="2453"/>
      <c r="O2263" s="2453"/>
      <c r="P2263" s="2453"/>
      <c r="W2263" t="s">
        <v>2062</v>
      </c>
    </row>
    <row r="2264" spans="1:23" ht="13.15" customHeight="1">
      <c r="A2264" s="2" t="s">
        <v>2215</v>
      </c>
      <c r="B2264" s="2">
        <f t="shared" si="70"/>
        <v>2020</v>
      </c>
      <c r="C2264" s="2" t="str">
        <f t="shared" si="71"/>
        <v>LIM333</v>
      </c>
      <c r="D2264" s="2">
        <v>646</v>
      </c>
      <c r="F2264" s="2451"/>
      <c r="G2264" s="2451"/>
      <c r="H2264" s="2451"/>
      <c r="I2264" s="2451"/>
      <c r="J2264" s="2451"/>
      <c r="K2264" s="2451"/>
      <c r="L2264" s="2453"/>
      <c r="M2264" s="2453"/>
      <c r="N2264" s="2453"/>
      <c r="O2264" s="2453"/>
      <c r="P2264" s="2453"/>
      <c r="W2264" t="s">
        <v>2062</v>
      </c>
    </row>
    <row r="2265" spans="1:23" ht="13.15" customHeight="1">
      <c r="A2265" s="2" t="s">
        <v>2215</v>
      </c>
      <c r="B2265" s="2">
        <f t="shared" si="70"/>
        <v>2020</v>
      </c>
      <c r="C2265" s="2" t="str">
        <f t="shared" si="71"/>
        <v>LIM333</v>
      </c>
      <c r="D2265" s="2">
        <v>647</v>
      </c>
      <c r="F2265" s="2451"/>
      <c r="G2265" s="2451"/>
      <c r="H2265" s="2451"/>
      <c r="I2265" s="2451"/>
      <c r="J2265" s="2451"/>
      <c r="K2265" s="2451"/>
      <c r="L2265" s="2453"/>
      <c r="M2265" s="2453"/>
      <c r="N2265" s="2453"/>
      <c r="O2265" s="2453"/>
      <c r="P2265" s="2453"/>
      <c r="W2265" t="s">
        <v>2062</v>
      </c>
    </row>
    <row r="2266" spans="1:23" ht="13.15" customHeight="1">
      <c r="A2266" s="2" t="s">
        <v>2215</v>
      </c>
      <c r="B2266" s="2">
        <f t="shared" si="70"/>
        <v>2020</v>
      </c>
      <c r="C2266" s="2" t="str">
        <f t="shared" si="71"/>
        <v>LIM333</v>
      </c>
      <c r="D2266" s="2">
        <v>648</v>
      </c>
      <c r="F2266" s="2451"/>
      <c r="G2266" s="2451"/>
      <c r="H2266" s="2451"/>
      <c r="I2266" s="2451"/>
      <c r="J2266" s="2451"/>
      <c r="K2266" s="2451"/>
      <c r="L2266" s="2453"/>
      <c r="M2266" s="2453"/>
      <c r="N2266" s="2453"/>
      <c r="O2266" s="2453"/>
      <c r="P2266" s="2453"/>
      <c r="W2266" t="s">
        <v>2062</v>
      </c>
    </row>
    <row r="2267" spans="1:23" ht="13.15" customHeight="1">
      <c r="A2267" s="2" t="s">
        <v>2215</v>
      </c>
      <c r="B2267" s="2">
        <f t="shared" si="70"/>
        <v>2020</v>
      </c>
      <c r="C2267" s="2" t="str">
        <f t="shared" si="71"/>
        <v>LIM333</v>
      </c>
      <c r="D2267" s="2">
        <v>649</v>
      </c>
      <c r="F2267" s="2451"/>
      <c r="G2267" s="2451"/>
      <c r="H2267" s="2451"/>
      <c r="I2267" s="2451"/>
      <c r="J2267" s="2451"/>
      <c r="K2267" s="2451"/>
      <c r="L2267" s="2453"/>
      <c r="M2267" s="2453"/>
      <c r="N2267" s="2453"/>
      <c r="O2267" s="2453"/>
      <c r="P2267" s="2453"/>
      <c r="W2267" t="s">
        <v>2062</v>
      </c>
    </row>
    <row r="2268" spans="1:23" ht="13.15" customHeight="1">
      <c r="A2268" s="2" t="s">
        <v>2215</v>
      </c>
      <c r="B2268" s="2">
        <f t="shared" si="70"/>
        <v>2020</v>
      </c>
      <c r="C2268" s="2" t="str">
        <f t="shared" si="71"/>
        <v>LIM333</v>
      </c>
      <c r="D2268" s="2">
        <v>650</v>
      </c>
      <c r="F2268" s="2451"/>
      <c r="G2268" s="2451"/>
      <c r="H2268" s="2451"/>
      <c r="I2268" s="2451"/>
      <c r="J2268" s="2451"/>
      <c r="K2268" s="2451"/>
      <c r="L2268" s="2453"/>
      <c r="M2268" s="2453"/>
      <c r="N2268" s="2453"/>
      <c r="O2268" s="2453"/>
      <c r="P2268" s="2453"/>
      <c r="W2268" t="s">
        <v>2062</v>
      </c>
    </row>
    <row r="2269" spans="1:23" ht="13.15" customHeight="1">
      <c r="A2269" s="2" t="s">
        <v>2215</v>
      </c>
      <c r="B2269" s="2">
        <f t="shared" si="70"/>
        <v>2020</v>
      </c>
      <c r="C2269" s="2" t="str">
        <f t="shared" si="71"/>
        <v>LIM333</v>
      </c>
      <c r="D2269" s="2">
        <v>651</v>
      </c>
      <c r="F2269" s="2451"/>
      <c r="G2269" s="2451"/>
      <c r="H2269" s="2451"/>
      <c r="I2269" s="2451"/>
      <c r="J2269" s="2451"/>
      <c r="K2269" s="2451"/>
      <c r="L2269" s="2453"/>
      <c r="M2269" s="2453"/>
      <c r="N2269" s="2453"/>
      <c r="O2269" s="2453"/>
      <c r="P2269" s="2453"/>
      <c r="W2269" t="s">
        <v>2062</v>
      </c>
    </row>
    <row r="2270" spans="1:23" ht="13.15" customHeight="1">
      <c r="A2270" s="2" t="s">
        <v>2215</v>
      </c>
      <c r="B2270" s="2">
        <f t="shared" si="70"/>
        <v>2020</v>
      </c>
      <c r="C2270" s="2" t="str">
        <f t="shared" si="71"/>
        <v>LIM333</v>
      </c>
      <c r="D2270" s="2">
        <v>652</v>
      </c>
      <c r="F2270" s="2451"/>
      <c r="G2270" s="2451"/>
      <c r="H2270" s="2451"/>
      <c r="I2270" s="2451"/>
      <c r="J2270" s="2451"/>
      <c r="K2270" s="2451"/>
      <c r="L2270" s="2453"/>
      <c r="M2270" s="2453"/>
      <c r="N2270" s="2453"/>
      <c r="O2270" s="2453"/>
      <c r="P2270" s="2453"/>
      <c r="W2270" t="s">
        <v>2062</v>
      </c>
    </row>
    <row r="2271" spans="1:23" ht="13.15" customHeight="1">
      <c r="A2271" s="2" t="s">
        <v>2215</v>
      </c>
      <c r="B2271" s="2">
        <f t="shared" si="70"/>
        <v>2020</v>
      </c>
      <c r="C2271" s="2" t="str">
        <f t="shared" si="71"/>
        <v>LIM333</v>
      </c>
      <c r="D2271" s="2">
        <v>653</v>
      </c>
      <c r="F2271" s="2451"/>
      <c r="G2271" s="2451"/>
      <c r="H2271" s="2451"/>
      <c r="I2271" s="2451"/>
      <c r="J2271" s="2451"/>
      <c r="K2271" s="2451"/>
      <c r="L2271" s="2453"/>
      <c r="M2271" s="2453"/>
      <c r="N2271" s="2453"/>
      <c r="O2271" s="2453"/>
      <c r="P2271" s="2453"/>
      <c r="W2271" t="s">
        <v>2062</v>
      </c>
    </row>
    <row r="2272" spans="1:23" ht="13.15" customHeight="1">
      <c r="A2272" s="2" t="s">
        <v>2215</v>
      </c>
      <c r="B2272" s="2">
        <f t="shared" si="70"/>
        <v>2020</v>
      </c>
      <c r="C2272" s="2" t="str">
        <f t="shared" si="71"/>
        <v>LIM333</v>
      </c>
      <c r="D2272" s="2">
        <v>654</v>
      </c>
      <c r="F2272" s="2451"/>
      <c r="G2272" s="2451"/>
      <c r="H2272" s="2451"/>
      <c r="I2272" s="2451"/>
      <c r="J2272" s="2451"/>
      <c r="K2272" s="2451"/>
      <c r="L2272" s="2453"/>
      <c r="M2272" s="2453"/>
      <c r="N2272" s="2453"/>
      <c r="O2272" s="2453"/>
      <c r="P2272" s="2453"/>
      <c r="W2272" t="s">
        <v>2062</v>
      </c>
    </row>
    <row r="2273" spans="1:23" ht="13.15" customHeight="1">
      <c r="A2273" s="2" t="s">
        <v>2215</v>
      </c>
      <c r="B2273" s="2">
        <f t="shared" si="70"/>
        <v>2020</v>
      </c>
      <c r="C2273" s="2" t="str">
        <f t="shared" si="71"/>
        <v>LIM333</v>
      </c>
      <c r="D2273" s="2">
        <v>655</v>
      </c>
      <c r="F2273" s="2451"/>
      <c r="G2273" s="2451"/>
      <c r="H2273" s="2451"/>
      <c r="I2273" s="2451"/>
      <c r="J2273" s="2451"/>
      <c r="K2273" s="2451"/>
      <c r="L2273" s="2453"/>
      <c r="M2273" s="2453"/>
      <c r="N2273" s="2453"/>
      <c r="O2273" s="2453"/>
      <c r="P2273" s="2453"/>
      <c r="W2273" t="s">
        <v>2062</v>
      </c>
    </row>
    <row r="2274" spans="1:23" ht="13.15" customHeight="1">
      <c r="A2274" s="2" t="s">
        <v>2215</v>
      </c>
      <c r="B2274" s="2">
        <f t="shared" si="70"/>
        <v>2020</v>
      </c>
      <c r="C2274" s="2" t="str">
        <f t="shared" si="71"/>
        <v>LIM333</v>
      </c>
      <c r="D2274" s="2">
        <v>656</v>
      </c>
      <c r="F2274" s="2451"/>
      <c r="G2274" s="2451"/>
      <c r="H2274" s="2451"/>
      <c r="I2274" s="2451"/>
      <c r="J2274" s="2451"/>
      <c r="K2274" s="2451"/>
      <c r="L2274" s="2453"/>
      <c r="M2274" s="2453"/>
      <c r="N2274" s="2453"/>
      <c r="O2274" s="2453"/>
      <c r="P2274" s="2453"/>
      <c r="W2274" t="s">
        <v>2062</v>
      </c>
    </row>
    <row r="2275" spans="1:23" ht="13.15" customHeight="1">
      <c r="A2275" s="2" t="s">
        <v>2215</v>
      </c>
      <c r="B2275" s="2">
        <f t="shared" si="70"/>
        <v>2020</v>
      </c>
      <c r="C2275" s="2" t="str">
        <f t="shared" si="71"/>
        <v>LIM333</v>
      </c>
      <c r="D2275" s="2">
        <v>657</v>
      </c>
      <c r="F2275" s="2451"/>
      <c r="G2275" s="2451"/>
      <c r="H2275" s="2451"/>
      <c r="I2275" s="2451"/>
      <c r="J2275" s="2451"/>
      <c r="K2275" s="2451"/>
      <c r="L2275" s="2453"/>
      <c r="M2275" s="2453"/>
      <c r="N2275" s="2453"/>
      <c r="O2275" s="2453"/>
      <c r="P2275" s="2453"/>
      <c r="W2275" t="s">
        <v>2062</v>
      </c>
    </row>
    <row r="2276" spans="1:23" ht="13.15" customHeight="1">
      <c r="A2276" s="2" t="s">
        <v>2215</v>
      </c>
      <c r="B2276" s="2">
        <f t="shared" si="70"/>
        <v>2020</v>
      </c>
      <c r="C2276" s="2" t="str">
        <f t="shared" si="71"/>
        <v>LIM333</v>
      </c>
      <c r="D2276" s="2">
        <v>658</v>
      </c>
      <c r="F2276" s="2451"/>
      <c r="G2276" s="2451"/>
      <c r="H2276" s="2451"/>
      <c r="I2276" s="2451"/>
      <c r="J2276" s="2451"/>
      <c r="K2276" s="2451"/>
      <c r="L2276" s="2453"/>
      <c r="M2276" s="2453"/>
      <c r="N2276" s="2453"/>
      <c r="O2276" s="2453"/>
      <c r="P2276" s="2453"/>
      <c r="W2276" t="s">
        <v>2062</v>
      </c>
    </row>
    <row r="2277" spans="1:23" ht="13.15" customHeight="1">
      <c r="A2277" s="2" t="s">
        <v>2215</v>
      </c>
      <c r="B2277" s="2">
        <f t="shared" si="70"/>
        <v>2020</v>
      </c>
      <c r="C2277" s="2" t="str">
        <f t="shared" si="71"/>
        <v>LIM333</v>
      </c>
      <c r="D2277" s="2">
        <v>659</v>
      </c>
      <c r="F2277" s="2451"/>
      <c r="G2277" s="2451"/>
      <c r="H2277" s="2451"/>
      <c r="I2277" s="2451"/>
      <c r="J2277" s="2451"/>
      <c r="K2277" s="2451"/>
      <c r="L2277" s="2453"/>
      <c r="M2277" s="2453"/>
      <c r="N2277" s="2453"/>
      <c r="O2277" s="2453"/>
      <c r="P2277" s="2453"/>
      <c r="W2277" t="s">
        <v>2062</v>
      </c>
    </row>
    <row r="2278" spans="1:23" ht="13.15" customHeight="1">
      <c r="A2278" s="2" t="s">
        <v>2215</v>
      </c>
      <c r="B2278" s="2">
        <f t="shared" si="70"/>
        <v>2020</v>
      </c>
      <c r="C2278" s="2" t="str">
        <f t="shared" si="71"/>
        <v>LIM333</v>
      </c>
      <c r="D2278" s="2">
        <v>660</v>
      </c>
      <c r="F2278" s="2451"/>
      <c r="G2278" s="2451"/>
      <c r="H2278" s="2451"/>
      <c r="I2278" s="2451"/>
      <c r="J2278" s="2451"/>
      <c r="K2278" s="2451"/>
      <c r="L2278" s="2453"/>
      <c r="M2278" s="2453"/>
      <c r="N2278" s="2453"/>
      <c r="O2278" s="2453"/>
      <c r="P2278" s="2453"/>
      <c r="W2278" t="s">
        <v>2062</v>
      </c>
    </row>
    <row r="2279" spans="1:23" ht="13.15" customHeight="1">
      <c r="A2279" s="2" t="s">
        <v>2215</v>
      </c>
      <c r="B2279" s="2">
        <f t="shared" si="70"/>
        <v>2020</v>
      </c>
      <c r="C2279" s="2" t="str">
        <f t="shared" si="71"/>
        <v>LIM333</v>
      </c>
      <c r="D2279" s="2">
        <v>661</v>
      </c>
      <c r="F2279" s="2451"/>
      <c r="G2279" s="2451"/>
      <c r="H2279" s="2451"/>
      <c r="I2279" s="2451"/>
      <c r="J2279" s="2451"/>
      <c r="K2279" s="2451"/>
      <c r="L2279" s="2453"/>
      <c r="M2279" s="2453"/>
      <c r="N2279" s="2453"/>
      <c r="O2279" s="2453"/>
      <c r="P2279" s="2453"/>
      <c r="W2279" t="s">
        <v>2062</v>
      </c>
    </row>
    <row r="2280" spans="1:23" ht="13.15" customHeight="1">
      <c r="A2280" s="2" t="s">
        <v>2215</v>
      </c>
      <c r="B2280" s="2">
        <f t="shared" si="70"/>
        <v>2020</v>
      </c>
      <c r="C2280" s="2" t="str">
        <f t="shared" si="71"/>
        <v>LIM333</v>
      </c>
      <c r="D2280" s="2">
        <v>662</v>
      </c>
      <c r="F2280" s="2451"/>
      <c r="G2280" s="2451"/>
      <c r="H2280" s="2451"/>
      <c r="I2280" s="2451"/>
      <c r="J2280" s="2451"/>
      <c r="K2280" s="2451"/>
      <c r="L2280" s="2453"/>
      <c r="M2280" s="2453"/>
      <c r="N2280" s="2453"/>
      <c r="O2280" s="2453"/>
      <c r="P2280" s="2453"/>
      <c r="W2280" t="s">
        <v>2062</v>
      </c>
    </row>
    <row r="2281" spans="1:23" ht="13.15" customHeight="1">
      <c r="A2281" s="2" t="s">
        <v>2215</v>
      </c>
      <c r="B2281" s="2">
        <f t="shared" si="70"/>
        <v>2020</v>
      </c>
      <c r="C2281" s="2" t="str">
        <f t="shared" si="71"/>
        <v>LIM333</v>
      </c>
      <c r="D2281" s="2">
        <v>663</v>
      </c>
      <c r="F2281" s="2451"/>
      <c r="G2281" s="2451"/>
      <c r="H2281" s="2451"/>
      <c r="I2281" s="2451"/>
      <c r="J2281" s="2451"/>
      <c r="K2281" s="2451"/>
      <c r="L2281" s="2453"/>
      <c r="M2281" s="2453"/>
      <c r="N2281" s="2453"/>
      <c r="O2281" s="2453"/>
      <c r="P2281" s="2453"/>
      <c r="W2281" t="s">
        <v>2062</v>
      </c>
    </row>
    <row r="2282" spans="1:23" ht="13.15" customHeight="1">
      <c r="A2282" s="2" t="s">
        <v>2215</v>
      </c>
      <c r="B2282" s="2">
        <f t="shared" si="70"/>
        <v>2020</v>
      </c>
      <c r="C2282" s="2" t="str">
        <f t="shared" si="71"/>
        <v>LIM333</v>
      </c>
      <c r="D2282" s="2">
        <v>664</v>
      </c>
      <c r="F2282" s="2451"/>
      <c r="G2282" s="2451"/>
      <c r="H2282" s="2451"/>
      <c r="I2282" s="2451"/>
      <c r="J2282" s="2451"/>
      <c r="K2282" s="2451"/>
      <c r="L2282" s="2453"/>
      <c r="M2282" s="2453"/>
      <c r="N2282" s="2453"/>
      <c r="O2282" s="2453"/>
      <c r="P2282" s="2453"/>
      <c r="W2282" t="s">
        <v>2062</v>
      </c>
    </row>
    <row r="2283" spans="1:23" ht="13.15" customHeight="1">
      <c r="A2283" s="2" t="s">
        <v>2215</v>
      </c>
      <c r="B2283" s="2">
        <f t="shared" si="70"/>
        <v>2020</v>
      </c>
      <c r="C2283" s="2" t="str">
        <f t="shared" si="71"/>
        <v>LIM333</v>
      </c>
      <c r="D2283" s="2">
        <v>665</v>
      </c>
      <c r="F2283" s="2451"/>
      <c r="G2283" s="2451"/>
      <c r="H2283" s="2451"/>
      <c r="I2283" s="2451"/>
      <c r="J2283" s="2451"/>
      <c r="K2283" s="2451"/>
      <c r="L2283" s="2453"/>
      <c r="M2283" s="2453"/>
      <c r="N2283" s="2453"/>
      <c r="O2283" s="2453"/>
      <c r="P2283" s="2453"/>
      <c r="W2283" t="s">
        <v>2062</v>
      </c>
    </row>
    <row r="2284" spans="1:23" ht="13.15" customHeight="1">
      <c r="A2284" s="2" t="s">
        <v>2215</v>
      </c>
      <c r="B2284" s="2">
        <f t="shared" si="70"/>
        <v>2020</v>
      </c>
      <c r="C2284" s="2" t="str">
        <f t="shared" si="71"/>
        <v>LIM333</v>
      </c>
      <c r="D2284" s="2">
        <v>666</v>
      </c>
      <c r="F2284" s="2451"/>
      <c r="G2284" s="2451"/>
      <c r="H2284" s="2451"/>
      <c r="I2284" s="2451"/>
      <c r="J2284" s="2451"/>
      <c r="K2284" s="2451"/>
      <c r="L2284" s="2453"/>
      <c r="M2284" s="2453"/>
      <c r="N2284" s="2453"/>
      <c r="O2284" s="2453"/>
      <c r="P2284" s="2453"/>
      <c r="W2284" t="s">
        <v>2062</v>
      </c>
    </row>
    <row r="2285" spans="1:23" ht="13.15" customHeight="1">
      <c r="A2285" s="2" t="s">
        <v>2215</v>
      </c>
      <c r="B2285" s="2">
        <f t="shared" si="70"/>
        <v>2020</v>
      </c>
      <c r="C2285" s="2" t="str">
        <f t="shared" si="71"/>
        <v>LIM333</v>
      </c>
      <c r="D2285" s="2">
        <v>667</v>
      </c>
      <c r="F2285" s="2451"/>
      <c r="G2285" s="2451"/>
      <c r="H2285" s="2451"/>
      <c r="I2285" s="2451"/>
      <c r="J2285" s="2451"/>
      <c r="K2285" s="2451"/>
      <c r="L2285" s="2453"/>
      <c r="M2285" s="2453"/>
      <c r="N2285" s="2453"/>
      <c r="O2285" s="2453"/>
      <c r="P2285" s="2453"/>
      <c r="W2285" t="s">
        <v>2062</v>
      </c>
    </row>
    <row r="2286" spans="1:23" ht="13.15" customHeight="1">
      <c r="A2286" s="2" t="s">
        <v>2215</v>
      </c>
      <c r="B2286" s="2">
        <f t="shared" si="70"/>
        <v>2020</v>
      </c>
      <c r="C2286" s="2" t="str">
        <f t="shared" si="71"/>
        <v>LIM333</v>
      </c>
      <c r="D2286" s="2">
        <v>668</v>
      </c>
      <c r="F2286" s="2451"/>
      <c r="G2286" s="2451"/>
      <c r="H2286" s="2451"/>
      <c r="I2286" s="2451"/>
      <c r="J2286" s="2451"/>
      <c r="K2286" s="2451"/>
      <c r="L2286" s="2453"/>
      <c r="M2286" s="2453"/>
      <c r="N2286" s="2453"/>
      <c r="O2286" s="2453"/>
      <c r="P2286" s="2453"/>
      <c r="W2286" t="s">
        <v>2062</v>
      </c>
    </row>
    <row r="2287" spans="1:23" ht="13.15" customHeight="1">
      <c r="A2287" s="2" t="s">
        <v>2215</v>
      </c>
      <c r="B2287" s="2">
        <f t="shared" si="70"/>
        <v>2020</v>
      </c>
      <c r="C2287" s="2" t="str">
        <f t="shared" si="71"/>
        <v>LIM333</v>
      </c>
      <c r="D2287" s="2">
        <v>669</v>
      </c>
      <c r="F2287" s="2451"/>
      <c r="G2287" s="2451"/>
      <c r="H2287" s="2451"/>
      <c r="I2287" s="2451"/>
      <c r="J2287" s="2451"/>
      <c r="K2287" s="2451"/>
      <c r="L2287" s="2453"/>
      <c r="M2287" s="2453"/>
      <c r="N2287" s="2453"/>
      <c r="O2287" s="2453"/>
      <c r="P2287" s="2453"/>
      <c r="W2287" t="s">
        <v>2062</v>
      </c>
    </row>
    <row r="2288" spans="1:23" ht="13.15" customHeight="1">
      <c r="A2288" s="2" t="s">
        <v>2215</v>
      </c>
      <c r="B2288" s="2">
        <f t="shared" si="70"/>
        <v>2020</v>
      </c>
      <c r="C2288" s="2" t="str">
        <f t="shared" si="71"/>
        <v>LIM333</v>
      </c>
      <c r="D2288" s="2">
        <v>670</v>
      </c>
      <c r="F2288" s="2451"/>
      <c r="G2288" s="2451"/>
      <c r="H2288" s="2451"/>
      <c r="I2288" s="2451"/>
      <c r="J2288" s="2451"/>
      <c r="K2288" s="2451"/>
      <c r="L2288" s="2453"/>
      <c r="M2288" s="2453"/>
      <c r="N2288" s="2453"/>
      <c r="O2288" s="2453"/>
      <c r="P2288" s="2453"/>
      <c r="W2288" t="s">
        <v>2062</v>
      </c>
    </row>
    <row r="2289" spans="1:23" ht="13.15" customHeight="1">
      <c r="A2289" s="2" t="s">
        <v>2215</v>
      </c>
      <c r="B2289" s="2">
        <f t="shared" si="70"/>
        <v>2020</v>
      </c>
      <c r="C2289" s="2" t="str">
        <f t="shared" si="71"/>
        <v>LIM333</v>
      </c>
      <c r="D2289" s="2">
        <v>671</v>
      </c>
      <c r="F2289" s="2451"/>
      <c r="G2289" s="2451"/>
      <c r="H2289" s="2451"/>
      <c r="I2289" s="2451"/>
      <c r="J2289" s="2451"/>
      <c r="K2289" s="2451"/>
      <c r="L2289" s="2453"/>
      <c r="M2289" s="2453"/>
      <c r="N2289" s="2453"/>
      <c r="O2289" s="2453"/>
      <c r="P2289" s="2453"/>
      <c r="W2289" t="s">
        <v>2062</v>
      </c>
    </row>
    <row r="2290" spans="1:23" ht="13.15" customHeight="1">
      <c r="A2290" s="2" t="s">
        <v>2215</v>
      </c>
      <c r="B2290" s="2">
        <f t="shared" si="70"/>
        <v>2020</v>
      </c>
      <c r="C2290" s="2" t="str">
        <f t="shared" si="71"/>
        <v>LIM333</v>
      </c>
      <c r="D2290" s="2">
        <v>672</v>
      </c>
      <c r="F2290" s="2451"/>
      <c r="G2290" s="2451"/>
      <c r="H2290" s="2451"/>
      <c r="I2290" s="2451"/>
      <c r="J2290" s="2451"/>
      <c r="K2290" s="2451"/>
      <c r="L2290" s="2453"/>
      <c r="M2290" s="2453"/>
      <c r="N2290" s="2453"/>
      <c r="O2290" s="2453"/>
      <c r="P2290" s="2453"/>
      <c r="W2290" t="s">
        <v>2062</v>
      </c>
    </row>
    <row r="2291" spans="1:23" ht="13.15" customHeight="1">
      <c r="A2291" s="2" t="s">
        <v>2215</v>
      </c>
      <c r="B2291" s="2">
        <f t="shared" si="70"/>
        <v>2020</v>
      </c>
      <c r="C2291" s="2" t="str">
        <f t="shared" si="71"/>
        <v>LIM333</v>
      </c>
      <c r="D2291" s="2">
        <v>673</v>
      </c>
      <c r="F2291" s="2451"/>
      <c r="G2291" s="2451"/>
      <c r="H2291" s="2451"/>
      <c r="I2291" s="2451"/>
      <c r="J2291" s="2451"/>
      <c r="K2291" s="2451"/>
      <c r="L2291" s="2453"/>
      <c r="M2291" s="2453"/>
      <c r="N2291" s="2453"/>
      <c r="O2291" s="2453"/>
      <c r="P2291" s="2453"/>
      <c r="W2291" t="s">
        <v>2062</v>
      </c>
    </row>
    <row r="2292" spans="1:23" ht="13.15" customHeight="1">
      <c r="A2292" s="2" t="s">
        <v>2215</v>
      </c>
      <c r="B2292" s="2">
        <f t="shared" si="70"/>
        <v>2020</v>
      </c>
      <c r="C2292" s="2" t="str">
        <f t="shared" si="71"/>
        <v>LIM333</v>
      </c>
      <c r="D2292" s="2">
        <v>674</v>
      </c>
      <c r="F2292" s="2451"/>
      <c r="G2292" s="2451"/>
      <c r="H2292" s="2451"/>
      <c r="I2292" s="2451"/>
      <c r="J2292" s="2451"/>
      <c r="K2292" s="2451"/>
      <c r="L2292" s="2453"/>
      <c r="M2292" s="2453"/>
      <c r="N2292" s="2453"/>
      <c r="O2292" s="2453"/>
      <c r="P2292" s="2453"/>
      <c r="W2292" t="s">
        <v>2062</v>
      </c>
    </row>
    <row r="2293" spans="1:23" ht="13.15" customHeight="1">
      <c r="A2293" s="2" t="s">
        <v>2215</v>
      </c>
      <c r="B2293" s="2">
        <f t="shared" si="70"/>
        <v>2020</v>
      </c>
      <c r="C2293" s="2" t="str">
        <f t="shared" si="71"/>
        <v>LIM333</v>
      </c>
      <c r="D2293" s="2">
        <v>675</v>
      </c>
      <c r="F2293" s="2451"/>
      <c r="G2293" s="2451"/>
      <c r="H2293" s="2451"/>
      <c r="I2293" s="2451"/>
      <c r="J2293" s="2451"/>
      <c r="K2293" s="2451"/>
      <c r="L2293" s="2453"/>
      <c r="M2293" s="2453"/>
      <c r="N2293" s="2453"/>
      <c r="O2293" s="2453"/>
      <c r="P2293" s="2453"/>
      <c r="W2293" t="s">
        <v>2062</v>
      </c>
    </row>
    <row r="2294" spans="1:23" ht="13.15" customHeight="1">
      <c r="A2294" s="2" t="s">
        <v>2215</v>
      </c>
      <c r="B2294" s="2">
        <f t="shared" si="70"/>
        <v>2020</v>
      </c>
      <c r="C2294" s="2" t="str">
        <f t="shared" si="71"/>
        <v>LIM333</v>
      </c>
      <c r="D2294" s="2">
        <v>676</v>
      </c>
      <c r="F2294" s="2451"/>
      <c r="G2294" s="2451"/>
      <c r="H2294" s="2451"/>
      <c r="I2294" s="2451"/>
      <c r="J2294" s="2451"/>
      <c r="K2294" s="2451"/>
      <c r="L2294" s="2453"/>
      <c r="M2294" s="2453"/>
      <c r="N2294" s="2453"/>
      <c r="O2294" s="2453"/>
      <c r="P2294" s="2453"/>
      <c r="W2294" t="s">
        <v>2062</v>
      </c>
    </row>
    <row r="2295" spans="1:23" ht="13.15" customHeight="1">
      <c r="A2295" s="2" t="s">
        <v>2215</v>
      </c>
      <c r="B2295" s="2">
        <f t="shared" si="70"/>
        <v>2020</v>
      </c>
      <c r="C2295" s="2" t="str">
        <f t="shared" si="71"/>
        <v>LIM333</v>
      </c>
      <c r="D2295" s="2">
        <v>677</v>
      </c>
      <c r="F2295" s="2451"/>
      <c r="G2295" s="2451"/>
      <c r="H2295" s="2451"/>
      <c r="I2295" s="2451"/>
      <c r="J2295" s="2451"/>
      <c r="K2295" s="2451"/>
      <c r="L2295" s="2453"/>
      <c r="M2295" s="2453"/>
      <c r="N2295" s="2453"/>
      <c r="O2295" s="2453"/>
      <c r="P2295" s="2453"/>
      <c r="W2295" t="s">
        <v>2062</v>
      </c>
    </row>
    <row r="2296" spans="1:23" ht="13.15" customHeight="1">
      <c r="A2296" s="2" t="s">
        <v>2215</v>
      </c>
      <c r="B2296" s="2">
        <f t="shared" si="70"/>
        <v>2020</v>
      </c>
      <c r="C2296" s="2" t="str">
        <f t="shared" si="71"/>
        <v>LIM333</v>
      </c>
      <c r="D2296" s="2">
        <v>678</v>
      </c>
      <c r="F2296" s="2451"/>
      <c r="G2296" s="2451"/>
      <c r="H2296" s="2451"/>
      <c r="I2296" s="2451"/>
      <c r="J2296" s="2451"/>
      <c r="K2296" s="2451"/>
      <c r="L2296" s="2453"/>
      <c r="M2296" s="2453"/>
      <c r="N2296" s="2453"/>
      <c r="O2296" s="2453"/>
      <c r="P2296" s="2453"/>
      <c r="W2296" t="s">
        <v>2062</v>
      </c>
    </row>
    <row r="2297" spans="1:23" ht="13.15" customHeight="1">
      <c r="A2297" s="2" t="s">
        <v>2215</v>
      </c>
      <c r="B2297" s="2">
        <f t="shared" si="70"/>
        <v>2020</v>
      </c>
      <c r="C2297" s="2" t="str">
        <f t="shared" si="71"/>
        <v>LIM333</v>
      </c>
      <c r="D2297" s="2">
        <v>679</v>
      </c>
      <c r="F2297" s="2451"/>
      <c r="G2297" s="2451"/>
      <c r="H2297" s="2451"/>
      <c r="I2297" s="2451"/>
      <c r="J2297" s="2451"/>
      <c r="K2297" s="2451"/>
      <c r="L2297" s="2453"/>
      <c r="M2297" s="2453"/>
      <c r="N2297" s="2453"/>
      <c r="O2297" s="2453"/>
      <c r="P2297" s="2453"/>
      <c r="W2297" t="s">
        <v>2062</v>
      </c>
    </row>
    <row r="2298" spans="1:23" ht="13.15" customHeight="1">
      <c r="A2298" s="2" t="s">
        <v>2215</v>
      </c>
      <c r="B2298" s="2">
        <f t="shared" si="70"/>
        <v>2020</v>
      </c>
      <c r="C2298" s="2" t="str">
        <f t="shared" si="71"/>
        <v>LIM333</v>
      </c>
      <c r="D2298" s="2">
        <v>680</v>
      </c>
      <c r="F2298" s="2451"/>
      <c r="G2298" s="2451"/>
      <c r="H2298" s="2451"/>
      <c r="I2298" s="2451"/>
      <c r="J2298" s="2451"/>
      <c r="K2298" s="2451"/>
      <c r="L2298" s="2453"/>
      <c r="M2298" s="2453"/>
      <c r="N2298" s="2453"/>
      <c r="O2298" s="2453"/>
      <c r="P2298" s="2453"/>
      <c r="W2298" t="s">
        <v>2062</v>
      </c>
    </row>
    <row r="2299" spans="1:23" ht="13.15" customHeight="1">
      <c r="A2299" s="2" t="s">
        <v>2215</v>
      </c>
      <c r="B2299" s="2">
        <f t="shared" si="70"/>
        <v>2020</v>
      </c>
      <c r="C2299" s="2" t="str">
        <f t="shared" si="71"/>
        <v>LIM333</v>
      </c>
      <c r="D2299" s="2">
        <v>681</v>
      </c>
      <c r="F2299" s="2451"/>
      <c r="G2299" s="2451"/>
      <c r="H2299" s="2451"/>
      <c r="I2299" s="2451"/>
      <c r="J2299" s="2451"/>
      <c r="K2299" s="2451"/>
      <c r="L2299" s="2453"/>
      <c r="M2299" s="2453"/>
      <c r="N2299" s="2453"/>
      <c r="O2299" s="2453"/>
      <c r="P2299" s="2453"/>
      <c r="W2299" t="s">
        <v>2062</v>
      </c>
    </row>
    <row r="2300" spans="1:23" ht="13.15" customHeight="1">
      <c r="A2300" s="2" t="s">
        <v>2215</v>
      </c>
      <c r="B2300" s="2">
        <f t="shared" si="70"/>
        <v>2020</v>
      </c>
      <c r="C2300" s="2" t="str">
        <f t="shared" si="71"/>
        <v>LIM333</v>
      </c>
      <c r="D2300" s="2">
        <v>682</v>
      </c>
      <c r="F2300" s="2451"/>
      <c r="G2300" s="2451"/>
      <c r="H2300" s="2451"/>
      <c r="I2300" s="2451"/>
      <c r="J2300" s="2451"/>
      <c r="K2300" s="2451"/>
      <c r="L2300" s="2453"/>
      <c r="M2300" s="2453"/>
      <c r="N2300" s="2453"/>
      <c r="O2300" s="2453"/>
      <c r="P2300" s="2453"/>
      <c r="W2300" t="s">
        <v>2062</v>
      </c>
    </row>
    <row r="2301" spans="1:23" ht="13.15" customHeight="1">
      <c r="A2301" s="2" t="s">
        <v>2215</v>
      </c>
      <c r="B2301" s="2">
        <f t="shared" si="70"/>
        <v>2020</v>
      </c>
      <c r="C2301" s="2" t="str">
        <f t="shared" si="71"/>
        <v>LIM333</v>
      </c>
      <c r="D2301" s="2">
        <v>683</v>
      </c>
      <c r="F2301" s="2451"/>
      <c r="G2301" s="2451"/>
      <c r="H2301" s="2451"/>
      <c r="I2301" s="2451"/>
      <c r="J2301" s="2451"/>
      <c r="K2301" s="2451"/>
      <c r="L2301" s="2453"/>
      <c r="M2301" s="2453"/>
      <c r="N2301" s="2453"/>
      <c r="O2301" s="2453"/>
      <c r="P2301" s="2453"/>
      <c r="W2301" t="s">
        <v>2062</v>
      </c>
    </row>
    <row r="2302" spans="1:23" ht="13.15" customHeight="1">
      <c r="A2302" s="2" t="s">
        <v>2215</v>
      </c>
      <c r="B2302" s="2">
        <f t="shared" si="70"/>
        <v>2020</v>
      </c>
      <c r="C2302" s="2" t="str">
        <f t="shared" si="71"/>
        <v>LIM333</v>
      </c>
      <c r="D2302" s="2">
        <v>684</v>
      </c>
      <c r="F2302" s="2451"/>
      <c r="G2302" s="2451"/>
      <c r="H2302" s="2451"/>
      <c r="I2302" s="2451"/>
      <c r="J2302" s="2451"/>
      <c r="K2302" s="2451"/>
      <c r="L2302" s="2453"/>
      <c r="M2302" s="2453"/>
      <c r="N2302" s="2453"/>
      <c r="O2302" s="2453"/>
      <c r="P2302" s="2453"/>
      <c r="W2302" t="s">
        <v>2062</v>
      </c>
    </row>
    <row r="2303" spans="1:23" ht="13.15" customHeight="1">
      <c r="A2303" s="2" t="s">
        <v>2215</v>
      </c>
      <c r="B2303" s="2">
        <f t="shared" si="70"/>
        <v>2020</v>
      </c>
      <c r="C2303" s="2" t="str">
        <f t="shared" si="71"/>
        <v>LIM333</v>
      </c>
      <c r="D2303" s="2">
        <v>685</v>
      </c>
      <c r="F2303" s="2451"/>
      <c r="G2303" s="2451"/>
      <c r="H2303" s="2451"/>
      <c r="I2303" s="2451"/>
      <c r="J2303" s="2451"/>
      <c r="K2303" s="2451"/>
      <c r="L2303" s="2453"/>
      <c r="M2303" s="2453"/>
      <c r="N2303" s="2453"/>
      <c r="O2303" s="2453"/>
      <c r="P2303" s="2453"/>
      <c r="W2303" t="s">
        <v>2062</v>
      </c>
    </row>
    <row r="2304" spans="1:23" ht="13.15" customHeight="1">
      <c r="A2304" s="2" t="s">
        <v>2215</v>
      </c>
      <c r="B2304" s="2">
        <f t="shared" si="70"/>
        <v>2020</v>
      </c>
      <c r="C2304" s="2" t="str">
        <f t="shared" si="71"/>
        <v>LIM333</v>
      </c>
      <c r="D2304" s="2">
        <v>686</v>
      </c>
      <c r="F2304" s="2451"/>
      <c r="G2304" s="2451"/>
      <c r="H2304" s="2451"/>
      <c r="I2304" s="2451"/>
      <c r="J2304" s="2451"/>
      <c r="K2304" s="2451"/>
      <c r="L2304" s="2453"/>
      <c r="M2304" s="2453"/>
      <c r="N2304" s="2453"/>
      <c r="O2304" s="2453"/>
      <c r="P2304" s="2453"/>
      <c r="W2304" t="s">
        <v>2062</v>
      </c>
    </row>
    <row r="2305" spans="1:23" ht="13.15" customHeight="1">
      <c r="A2305" s="2" t="s">
        <v>2215</v>
      </c>
      <c r="B2305" s="2">
        <f t="shared" si="70"/>
        <v>2020</v>
      </c>
      <c r="C2305" s="2" t="str">
        <f t="shared" si="71"/>
        <v>LIM333</v>
      </c>
      <c r="D2305" s="2">
        <v>687</v>
      </c>
      <c r="F2305" s="2451"/>
      <c r="G2305" s="2451"/>
      <c r="H2305" s="2451"/>
      <c r="I2305" s="2451"/>
      <c r="J2305" s="2451"/>
      <c r="K2305" s="2451"/>
      <c r="L2305" s="2453"/>
      <c r="M2305" s="2453"/>
      <c r="N2305" s="2453"/>
      <c r="O2305" s="2453"/>
      <c r="P2305" s="2453"/>
      <c r="W2305" t="s">
        <v>2062</v>
      </c>
    </row>
    <row r="2306" spans="1:23" ht="13.15" customHeight="1">
      <c r="A2306" s="2" t="s">
        <v>2215</v>
      </c>
      <c r="B2306" s="2">
        <f t="shared" ref="B2306:B2369" si="72">+MTREF</f>
        <v>2020</v>
      </c>
      <c r="C2306" s="2" t="str">
        <f t="shared" ref="C2306:C2369" si="73">LEFT(muni,(FIND(" ",muni,1)-1))</f>
        <v>LIM333</v>
      </c>
      <c r="D2306" s="2">
        <v>688</v>
      </c>
      <c r="F2306" s="2451"/>
      <c r="G2306" s="2451"/>
      <c r="H2306" s="2451"/>
      <c r="I2306" s="2451"/>
      <c r="J2306" s="2451"/>
      <c r="K2306" s="2451"/>
      <c r="L2306" s="2453"/>
      <c r="M2306" s="2453"/>
      <c r="N2306" s="2453"/>
      <c r="O2306" s="2453"/>
      <c r="P2306" s="2453"/>
      <c r="W2306" t="s">
        <v>2062</v>
      </c>
    </row>
    <row r="2307" spans="1:23" ht="13.15" customHeight="1">
      <c r="A2307" s="2" t="s">
        <v>2215</v>
      </c>
      <c r="B2307" s="2">
        <f t="shared" si="72"/>
        <v>2020</v>
      </c>
      <c r="C2307" s="2" t="str">
        <f t="shared" si="73"/>
        <v>LIM333</v>
      </c>
      <c r="D2307" s="2">
        <v>689</v>
      </c>
      <c r="F2307" s="2451"/>
      <c r="G2307" s="2451"/>
      <c r="H2307" s="2451"/>
      <c r="I2307" s="2451"/>
      <c r="J2307" s="2451"/>
      <c r="K2307" s="2451"/>
      <c r="L2307" s="2453"/>
      <c r="M2307" s="2453"/>
      <c r="N2307" s="2453"/>
      <c r="O2307" s="2453"/>
      <c r="P2307" s="2453"/>
      <c r="W2307" t="s">
        <v>2062</v>
      </c>
    </row>
    <row r="2308" spans="1:23" ht="13.15" customHeight="1">
      <c r="A2308" s="2" t="s">
        <v>2215</v>
      </c>
      <c r="B2308" s="2">
        <f t="shared" si="72"/>
        <v>2020</v>
      </c>
      <c r="C2308" s="2" t="str">
        <f t="shared" si="73"/>
        <v>LIM333</v>
      </c>
      <c r="D2308" s="2">
        <v>690</v>
      </c>
      <c r="F2308" s="2451"/>
      <c r="G2308" s="2451"/>
      <c r="H2308" s="2451"/>
      <c r="I2308" s="2451"/>
      <c r="J2308" s="2451"/>
      <c r="K2308" s="2451"/>
      <c r="L2308" s="2453"/>
      <c r="M2308" s="2453"/>
      <c r="N2308" s="2453"/>
      <c r="O2308" s="2453"/>
      <c r="P2308" s="2453"/>
      <c r="W2308" t="s">
        <v>2062</v>
      </c>
    </row>
    <row r="2309" spans="1:23" ht="13.15" customHeight="1">
      <c r="A2309" s="2" t="s">
        <v>2215</v>
      </c>
      <c r="B2309" s="2">
        <f t="shared" si="72"/>
        <v>2020</v>
      </c>
      <c r="C2309" s="2" t="str">
        <f t="shared" si="73"/>
        <v>LIM333</v>
      </c>
      <c r="D2309" s="2">
        <v>691</v>
      </c>
      <c r="F2309" s="2451"/>
      <c r="G2309" s="2451"/>
      <c r="H2309" s="2451"/>
      <c r="I2309" s="2451"/>
      <c r="J2309" s="2451"/>
      <c r="K2309" s="2451"/>
      <c r="L2309" s="2453"/>
      <c r="M2309" s="2453"/>
      <c r="N2309" s="2453"/>
      <c r="O2309" s="2453"/>
      <c r="P2309" s="2453"/>
      <c r="W2309" t="s">
        <v>2062</v>
      </c>
    </row>
    <row r="2310" spans="1:23" ht="13.15" customHeight="1">
      <c r="A2310" s="2" t="s">
        <v>2215</v>
      </c>
      <c r="B2310" s="2">
        <f t="shared" si="72"/>
        <v>2020</v>
      </c>
      <c r="C2310" s="2" t="str">
        <f t="shared" si="73"/>
        <v>LIM333</v>
      </c>
      <c r="D2310" s="2">
        <v>692</v>
      </c>
      <c r="F2310" s="2451"/>
      <c r="G2310" s="2451"/>
      <c r="H2310" s="2451"/>
      <c r="I2310" s="2451"/>
      <c r="J2310" s="2451"/>
      <c r="K2310" s="2451"/>
      <c r="L2310" s="2453"/>
      <c r="M2310" s="2453"/>
      <c r="N2310" s="2453"/>
      <c r="O2310" s="2453"/>
      <c r="P2310" s="2453"/>
      <c r="W2310" t="s">
        <v>2062</v>
      </c>
    </row>
    <row r="2311" spans="1:23" ht="13.15" customHeight="1">
      <c r="A2311" s="2" t="s">
        <v>2215</v>
      </c>
      <c r="B2311" s="2">
        <f t="shared" si="72"/>
        <v>2020</v>
      </c>
      <c r="C2311" s="2" t="str">
        <f t="shared" si="73"/>
        <v>LIM333</v>
      </c>
      <c r="D2311" s="2">
        <v>693</v>
      </c>
      <c r="F2311" s="2451"/>
      <c r="G2311" s="2451"/>
      <c r="H2311" s="2451"/>
      <c r="I2311" s="2451"/>
      <c r="J2311" s="2451"/>
      <c r="K2311" s="2451"/>
      <c r="L2311" s="2453"/>
      <c r="M2311" s="2453"/>
      <c r="N2311" s="2453"/>
      <c r="O2311" s="2453"/>
      <c r="P2311" s="2453"/>
      <c r="W2311" t="s">
        <v>2062</v>
      </c>
    </row>
    <row r="2312" spans="1:23" ht="13.15" customHeight="1">
      <c r="A2312" s="2" t="s">
        <v>2215</v>
      </c>
      <c r="B2312" s="2">
        <f t="shared" si="72"/>
        <v>2020</v>
      </c>
      <c r="C2312" s="2" t="str">
        <f t="shared" si="73"/>
        <v>LIM333</v>
      </c>
      <c r="D2312" s="2">
        <v>694</v>
      </c>
      <c r="F2312" s="2451"/>
      <c r="G2312" s="2451"/>
      <c r="H2312" s="2451"/>
      <c r="I2312" s="2451"/>
      <c r="J2312" s="2451"/>
      <c r="K2312" s="2451"/>
      <c r="L2312" s="2453"/>
      <c r="M2312" s="2453"/>
      <c r="N2312" s="2453"/>
      <c r="O2312" s="2453"/>
      <c r="P2312" s="2453"/>
      <c r="W2312" t="s">
        <v>2062</v>
      </c>
    </row>
    <row r="2313" spans="1:23" ht="13.15" customHeight="1">
      <c r="A2313" s="2" t="s">
        <v>2215</v>
      </c>
      <c r="B2313" s="2">
        <f t="shared" si="72"/>
        <v>2020</v>
      </c>
      <c r="C2313" s="2" t="str">
        <f t="shared" si="73"/>
        <v>LIM333</v>
      </c>
      <c r="D2313" s="2">
        <v>695</v>
      </c>
      <c r="F2313" s="2451"/>
      <c r="G2313" s="2451"/>
      <c r="H2313" s="2451"/>
      <c r="I2313" s="2451"/>
      <c r="J2313" s="2451"/>
      <c r="K2313" s="2451"/>
      <c r="L2313" s="2453"/>
      <c r="M2313" s="2453"/>
      <c r="N2313" s="2453"/>
      <c r="O2313" s="2453"/>
      <c r="P2313" s="2453"/>
      <c r="W2313" t="s">
        <v>2062</v>
      </c>
    </row>
    <row r="2314" spans="1:23" ht="13.15" customHeight="1">
      <c r="A2314" s="2" t="s">
        <v>2215</v>
      </c>
      <c r="B2314" s="2">
        <f t="shared" si="72"/>
        <v>2020</v>
      </c>
      <c r="C2314" s="2" t="str">
        <f t="shared" si="73"/>
        <v>LIM333</v>
      </c>
      <c r="D2314" s="2">
        <v>696</v>
      </c>
      <c r="F2314" s="2451"/>
      <c r="G2314" s="2451"/>
      <c r="H2314" s="2451"/>
      <c r="I2314" s="2451"/>
      <c r="J2314" s="2451"/>
      <c r="K2314" s="2451"/>
      <c r="L2314" s="2453"/>
      <c r="M2314" s="2453"/>
      <c r="N2314" s="2453"/>
      <c r="O2314" s="2453"/>
      <c r="P2314" s="2453"/>
      <c r="W2314" t="s">
        <v>2062</v>
      </c>
    </row>
    <row r="2315" spans="1:23" ht="13.15" customHeight="1">
      <c r="A2315" s="2" t="s">
        <v>2215</v>
      </c>
      <c r="B2315" s="2">
        <f t="shared" si="72"/>
        <v>2020</v>
      </c>
      <c r="C2315" s="2" t="str">
        <f t="shared" si="73"/>
        <v>LIM333</v>
      </c>
      <c r="D2315" s="2">
        <v>697</v>
      </c>
      <c r="F2315" s="2451"/>
      <c r="G2315" s="2451"/>
      <c r="H2315" s="2451"/>
      <c r="I2315" s="2451"/>
      <c r="J2315" s="2451"/>
      <c r="K2315" s="2451"/>
      <c r="L2315" s="2453"/>
      <c r="M2315" s="2453"/>
      <c r="N2315" s="2453"/>
      <c r="O2315" s="2453"/>
      <c r="P2315" s="2453"/>
      <c r="W2315" t="s">
        <v>2062</v>
      </c>
    </row>
    <row r="2316" spans="1:23" ht="13.15" customHeight="1">
      <c r="A2316" s="2" t="s">
        <v>2215</v>
      </c>
      <c r="B2316" s="2">
        <f t="shared" si="72"/>
        <v>2020</v>
      </c>
      <c r="C2316" s="2" t="str">
        <f t="shared" si="73"/>
        <v>LIM333</v>
      </c>
      <c r="D2316" s="2">
        <v>698</v>
      </c>
      <c r="F2316" s="2451"/>
      <c r="G2316" s="2451"/>
      <c r="H2316" s="2451"/>
      <c r="I2316" s="2451"/>
      <c r="J2316" s="2451"/>
      <c r="K2316" s="2451"/>
      <c r="L2316" s="2453"/>
      <c r="M2316" s="2453"/>
      <c r="N2316" s="2453"/>
      <c r="O2316" s="2453"/>
      <c r="P2316" s="2453"/>
      <c r="W2316" t="s">
        <v>2062</v>
      </c>
    </row>
    <row r="2317" spans="1:23" ht="13.15" customHeight="1">
      <c r="A2317" s="2" t="s">
        <v>2215</v>
      </c>
      <c r="B2317" s="2">
        <f t="shared" si="72"/>
        <v>2020</v>
      </c>
      <c r="C2317" s="2" t="str">
        <f t="shared" si="73"/>
        <v>LIM333</v>
      </c>
      <c r="D2317" s="2">
        <v>699</v>
      </c>
      <c r="F2317" s="2451"/>
      <c r="G2317" s="2451"/>
      <c r="H2317" s="2451"/>
      <c r="I2317" s="2451"/>
      <c r="J2317" s="2451"/>
      <c r="K2317" s="2451"/>
      <c r="L2317" s="2453"/>
      <c r="M2317" s="2453"/>
      <c r="N2317" s="2453"/>
      <c r="O2317" s="2453"/>
      <c r="P2317" s="2453"/>
      <c r="W2317" t="s">
        <v>2062</v>
      </c>
    </row>
    <row r="2318" spans="1:23" ht="13.15" customHeight="1">
      <c r="A2318" s="2" t="s">
        <v>2215</v>
      </c>
      <c r="B2318" s="2">
        <f t="shared" si="72"/>
        <v>2020</v>
      </c>
      <c r="C2318" s="2" t="str">
        <f t="shared" si="73"/>
        <v>LIM333</v>
      </c>
      <c r="D2318" s="2">
        <v>700</v>
      </c>
      <c r="F2318" s="2451"/>
      <c r="G2318" s="2451"/>
      <c r="H2318" s="2451"/>
      <c r="I2318" s="2451"/>
      <c r="J2318" s="2451"/>
      <c r="K2318" s="2451"/>
      <c r="L2318" s="2453"/>
      <c r="M2318" s="2453"/>
      <c r="N2318" s="2453"/>
      <c r="O2318" s="2453"/>
      <c r="P2318" s="2453"/>
      <c r="W2318" t="s">
        <v>2062</v>
      </c>
    </row>
    <row r="2319" spans="1:23" ht="13.15" customHeight="1">
      <c r="A2319" s="2" t="s">
        <v>2215</v>
      </c>
      <c r="B2319" s="2">
        <f t="shared" si="72"/>
        <v>2020</v>
      </c>
      <c r="C2319" s="2" t="str">
        <f t="shared" si="73"/>
        <v>LIM333</v>
      </c>
      <c r="D2319" s="2">
        <v>701</v>
      </c>
      <c r="F2319" s="2451"/>
      <c r="G2319" s="2451"/>
      <c r="H2319" s="2451"/>
      <c r="I2319" s="2451"/>
      <c r="J2319" s="2451"/>
      <c r="K2319" s="2451"/>
      <c r="L2319" s="2453"/>
      <c r="M2319" s="2453"/>
      <c r="N2319" s="2453"/>
      <c r="O2319" s="2453"/>
      <c r="P2319" s="2453"/>
      <c r="W2319" t="s">
        <v>2062</v>
      </c>
    </row>
    <row r="2320" spans="1:23" ht="13.15" customHeight="1">
      <c r="A2320" s="2" t="s">
        <v>2215</v>
      </c>
      <c r="B2320" s="2">
        <f t="shared" si="72"/>
        <v>2020</v>
      </c>
      <c r="C2320" s="2" t="str">
        <f t="shared" si="73"/>
        <v>LIM333</v>
      </c>
      <c r="D2320" s="2">
        <v>702</v>
      </c>
      <c r="F2320" s="2451"/>
      <c r="G2320" s="2451"/>
      <c r="H2320" s="2451"/>
      <c r="I2320" s="2451"/>
      <c r="J2320" s="2451"/>
      <c r="K2320" s="2451"/>
      <c r="L2320" s="2453"/>
      <c r="M2320" s="2453"/>
      <c r="N2320" s="2453"/>
      <c r="O2320" s="2453"/>
      <c r="P2320" s="2453"/>
      <c r="W2320" t="s">
        <v>2062</v>
      </c>
    </row>
    <row r="2321" spans="1:23" ht="13.15" customHeight="1">
      <c r="A2321" s="2" t="s">
        <v>2215</v>
      </c>
      <c r="B2321" s="2">
        <f t="shared" si="72"/>
        <v>2020</v>
      </c>
      <c r="C2321" s="2" t="str">
        <f t="shared" si="73"/>
        <v>LIM333</v>
      </c>
      <c r="D2321" s="2">
        <v>703</v>
      </c>
      <c r="F2321" s="2451"/>
      <c r="G2321" s="2451"/>
      <c r="H2321" s="2451"/>
      <c r="I2321" s="2451"/>
      <c r="J2321" s="2451"/>
      <c r="K2321" s="2451"/>
      <c r="L2321" s="2453"/>
      <c r="M2321" s="2453"/>
      <c r="N2321" s="2453"/>
      <c r="O2321" s="2453"/>
      <c r="P2321" s="2453"/>
      <c r="W2321" t="s">
        <v>2062</v>
      </c>
    </row>
    <row r="2322" spans="1:23" ht="13.15" customHeight="1">
      <c r="A2322" s="2" t="s">
        <v>2215</v>
      </c>
      <c r="B2322" s="2">
        <f t="shared" si="72"/>
        <v>2020</v>
      </c>
      <c r="C2322" s="2" t="str">
        <f t="shared" si="73"/>
        <v>LIM333</v>
      </c>
      <c r="D2322" s="2">
        <v>704</v>
      </c>
      <c r="F2322" s="2451"/>
      <c r="G2322" s="2451"/>
      <c r="H2322" s="2451"/>
      <c r="I2322" s="2451"/>
      <c r="J2322" s="2451"/>
      <c r="K2322" s="2451"/>
      <c r="L2322" s="2453"/>
      <c r="M2322" s="2453"/>
      <c r="N2322" s="2453"/>
      <c r="O2322" s="2453"/>
      <c r="P2322" s="2453"/>
      <c r="W2322" t="s">
        <v>2062</v>
      </c>
    </row>
    <row r="2323" spans="1:23" ht="13.15" customHeight="1">
      <c r="A2323" s="2" t="s">
        <v>2215</v>
      </c>
      <c r="B2323" s="2">
        <f t="shared" si="72"/>
        <v>2020</v>
      </c>
      <c r="C2323" s="2" t="str">
        <f t="shared" si="73"/>
        <v>LIM333</v>
      </c>
      <c r="D2323" s="2">
        <v>705</v>
      </c>
      <c r="F2323" s="2451"/>
      <c r="G2323" s="2451"/>
      <c r="H2323" s="2451"/>
      <c r="I2323" s="2451"/>
      <c r="J2323" s="2451"/>
      <c r="K2323" s="2451"/>
      <c r="L2323" s="2453"/>
      <c r="M2323" s="2453"/>
      <c r="N2323" s="2453"/>
      <c r="O2323" s="2453"/>
      <c r="P2323" s="2453"/>
      <c r="W2323" t="s">
        <v>2062</v>
      </c>
    </row>
    <row r="2324" spans="1:23" ht="13.15" customHeight="1">
      <c r="A2324" s="2" t="s">
        <v>2215</v>
      </c>
      <c r="B2324" s="2">
        <f t="shared" si="72"/>
        <v>2020</v>
      </c>
      <c r="C2324" s="2" t="str">
        <f t="shared" si="73"/>
        <v>LIM333</v>
      </c>
      <c r="D2324" s="2">
        <v>706</v>
      </c>
      <c r="F2324" s="2451"/>
      <c r="G2324" s="2451"/>
      <c r="H2324" s="2451"/>
      <c r="I2324" s="2451"/>
      <c r="J2324" s="2451"/>
      <c r="K2324" s="2451"/>
      <c r="L2324" s="2453"/>
      <c r="M2324" s="2453"/>
      <c r="N2324" s="2453"/>
      <c r="O2324" s="2453"/>
      <c r="P2324" s="2453"/>
      <c r="W2324" t="s">
        <v>2062</v>
      </c>
    </row>
    <row r="2325" spans="1:23" ht="13.15" customHeight="1">
      <c r="A2325" s="2" t="s">
        <v>2215</v>
      </c>
      <c r="B2325" s="2">
        <f t="shared" si="72"/>
        <v>2020</v>
      </c>
      <c r="C2325" s="2" t="str">
        <f t="shared" si="73"/>
        <v>LIM333</v>
      </c>
      <c r="D2325" s="2">
        <v>707</v>
      </c>
      <c r="F2325" s="2451"/>
      <c r="G2325" s="2451"/>
      <c r="H2325" s="2451"/>
      <c r="I2325" s="2451"/>
      <c r="J2325" s="2451"/>
      <c r="K2325" s="2451"/>
      <c r="L2325" s="2453"/>
      <c r="M2325" s="2453"/>
      <c r="N2325" s="2453"/>
      <c r="O2325" s="2453"/>
      <c r="P2325" s="2453"/>
      <c r="W2325" t="s">
        <v>2062</v>
      </c>
    </row>
    <row r="2326" spans="1:23" ht="13.15" customHeight="1">
      <c r="A2326" s="2" t="s">
        <v>2215</v>
      </c>
      <c r="B2326" s="2">
        <f t="shared" si="72"/>
        <v>2020</v>
      </c>
      <c r="C2326" s="2" t="str">
        <f t="shared" si="73"/>
        <v>LIM333</v>
      </c>
      <c r="D2326" s="2">
        <v>708</v>
      </c>
      <c r="F2326" s="2451"/>
      <c r="G2326" s="2451"/>
      <c r="H2326" s="2451"/>
      <c r="I2326" s="2451"/>
      <c r="J2326" s="2451"/>
      <c r="K2326" s="2451"/>
      <c r="L2326" s="2453"/>
      <c r="M2326" s="2453"/>
      <c r="N2326" s="2453"/>
      <c r="O2326" s="2453"/>
      <c r="P2326" s="2453"/>
      <c r="W2326" t="s">
        <v>2062</v>
      </c>
    </row>
    <row r="2327" spans="1:23" ht="13.15" customHeight="1">
      <c r="A2327" s="2" t="s">
        <v>2215</v>
      </c>
      <c r="B2327" s="2">
        <f t="shared" si="72"/>
        <v>2020</v>
      </c>
      <c r="C2327" s="2" t="str">
        <f t="shared" si="73"/>
        <v>LIM333</v>
      </c>
      <c r="D2327" s="2">
        <v>709</v>
      </c>
      <c r="F2327" s="2451"/>
      <c r="G2327" s="2451"/>
      <c r="H2327" s="2451"/>
      <c r="I2327" s="2451"/>
      <c r="J2327" s="2451"/>
      <c r="K2327" s="2451"/>
      <c r="L2327" s="2453"/>
      <c r="M2327" s="2453"/>
      <c r="N2327" s="2453"/>
      <c r="O2327" s="2453"/>
      <c r="P2327" s="2453"/>
      <c r="W2327" t="s">
        <v>2062</v>
      </c>
    </row>
    <row r="2328" spans="1:23" ht="13.15" customHeight="1">
      <c r="A2328" s="2" t="s">
        <v>2215</v>
      </c>
      <c r="B2328" s="2">
        <f t="shared" si="72"/>
        <v>2020</v>
      </c>
      <c r="C2328" s="2" t="str">
        <f t="shared" si="73"/>
        <v>LIM333</v>
      </c>
      <c r="D2328" s="2">
        <v>710</v>
      </c>
      <c r="F2328" s="2451"/>
      <c r="G2328" s="2451"/>
      <c r="H2328" s="2451"/>
      <c r="I2328" s="2451"/>
      <c r="J2328" s="2451"/>
      <c r="K2328" s="2451"/>
      <c r="L2328" s="2453"/>
      <c r="M2328" s="2453"/>
      <c r="N2328" s="2453"/>
      <c r="O2328" s="2453"/>
      <c r="P2328" s="2453"/>
      <c r="W2328" t="s">
        <v>2062</v>
      </c>
    </row>
    <row r="2329" spans="1:23" ht="13.15" customHeight="1">
      <c r="A2329" s="2" t="s">
        <v>2215</v>
      </c>
      <c r="B2329" s="2">
        <f t="shared" si="72"/>
        <v>2020</v>
      </c>
      <c r="C2329" s="2" t="str">
        <f t="shared" si="73"/>
        <v>LIM333</v>
      </c>
      <c r="D2329" s="2">
        <v>711</v>
      </c>
      <c r="F2329" s="2451"/>
      <c r="G2329" s="2451"/>
      <c r="H2329" s="2451"/>
      <c r="I2329" s="2451"/>
      <c r="J2329" s="2451"/>
      <c r="K2329" s="2451"/>
      <c r="L2329" s="2453"/>
      <c r="M2329" s="2453"/>
      <c r="N2329" s="2453"/>
      <c r="O2329" s="2453"/>
      <c r="P2329" s="2453"/>
      <c r="W2329" t="s">
        <v>2062</v>
      </c>
    </row>
    <row r="2330" spans="1:23" ht="13.15" customHeight="1">
      <c r="A2330" s="2" t="s">
        <v>2215</v>
      </c>
      <c r="B2330" s="2">
        <f t="shared" si="72"/>
        <v>2020</v>
      </c>
      <c r="C2330" s="2" t="str">
        <f t="shared" si="73"/>
        <v>LIM333</v>
      </c>
      <c r="D2330" s="2">
        <v>712</v>
      </c>
      <c r="F2330" s="2451"/>
      <c r="G2330" s="2451"/>
      <c r="H2330" s="2451"/>
      <c r="I2330" s="2451"/>
      <c r="J2330" s="2451"/>
      <c r="K2330" s="2451"/>
      <c r="L2330" s="2453"/>
      <c r="M2330" s="2453"/>
      <c r="N2330" s="2453"/>
      <c r="O2330" s="2453"/>
      <c r="P2330" s="2453"/>
      <c r="W2330" t="s">
        <v>2062</v>
      </c>
    </row>
    <row r="2331" spans="1:23" ht="13.15" customHeight="1">
      <c r="A2331" s="2" t="s">
        <v>2215</v>
      </c>
      <c r="B2331" s="2">
        <f t="shared" si="72"/>
        <v>2020</v>
      </c>
      <c r="C2331" s="2" t="str">
        <f t="shared" si="73"/>
        <v>LIM333</v>
      </c>
      <c r="D2331" s="2">
        <v>713</v>
      </c>
      <c r="F2331" s="2451"/>
      <c r="G2331" s="2451"/>
      <c r="H2331" s="2451"/>
      <c r="I2331" s="2451"/>
      <c r="J2331" s="2451"/>
      <c r="K2331" s="2451"/>
      <c r="L2331" s="2453"/>
      <c r="M2331" s="2453"/>
      <c r="N2331" s="2453"/>
      <c r="O2331" s="2453"/>
      <c r="P2331" s="2453"/>
      <c r="W2331" t="s">
        <v>2062</v>
      </c>
    </row>
    <row r="2332" spans="1:23" ht="13.15" customHeight="1">
      <c r="A2332" s="2" t="s">
        <v>2215</v>
      </c>
      <c r="B2332" s="2">
        <f t="shared" si="72"/>
        <v>2020</v>
      </c>
      <c r="C2332" s="2" t="str">
        <f t="shared" si="73"/>
        <v>LIM333</v>
      </c>
      <c r="D2332" s="2">
        <v>714</v>
      </c>
      <c r="F2332" s="2451"/>
      <c r="G2332" s="2451"/>
      <c r="H2332" s="2451"/>
      <c r="I2332" s="2451"/>
      <c r="J2332" s="2451"/>
      <c r="K2332" s="2451"/>
      <c r="L2332" s="2453"/>
      <c r="M2332" s="2453"/>
      <c r="N2332" s="2453"/>
      <c r="O2332" s="2453"/>
      <c r="P2332" s="2453"/>
      <c r="W2332" t="s">
        <v>2062</v>
      </c>
    </row>
    <row r="2333" spans="1:23" ht="13.15" customHeight="1">
      <c r="A2333" s="2" t="s">
        <v>2215</v>
      </c>
      <c r="B2333" s="2">
        <f t="shared" si="72"/>
        <v>2020</v>
      </c>
      <c r="C2333" s="2" t="str">
        <f t="shared" si="73"/>
        <v>LIM333</v>
      </c>
      <c r="D2333" s="2">
        <v>715</v>
      </c>
      <c r="F2333" s="2451"/>
      <c r="G2333" s="2451"/>
      <c r="H2333" s="2451"/>
      <c r="I2333" s="2451"/>
      <c r="J2333" s="2451"/>
      <c r="K2333" s="2451"/>
      <c r="L2333" s="2453"/>
      <c r="M2333" s="2453"/>
      <c r="N2333" s="2453"/>
      <c r="O2333" s="2453"/>
      <c r="P2333" s="2453"/>
      <c r="W2333" t="s">
        <v>2062</v>
      </c>
    </row>
    <row r="2334" spans="1:23" ht="13.15" customHeight="1">
      <c r="A2334" s="2" t="s">
        <v>2215</v>
      </c>
      <c r="B2334" s="2">
        <f t="shared" si="72"/>
        <v>2020</v>
      </c>
      <c r="C2334" s="2" t="str">
        <f t="shared" si="73"/>
        <v>LIM333</v>
      </c>
      <c r="D2334" s="2">
        <v>716</v>
      </c>
      <c r="F2334" s="2451"/>
      <c r="G2334" s="2451"/>
      <c r="H2334" s="2451"/>
      <c r="I2334" s="2451"/>
      <c r="J2334" s="2451"/>
      <c r="K2334" s="2451"/>
      <c r="L2334" s="2453"/>
      <c r="M2334" s="2453"/>
      <c r="N2334" s="2453"/>
      <c r="O2334" s="2453"/>
      <c r="P2334" s="2453"/>
      <c r="W2334" t="s">
        <v>2062</v>
      </c>
    </row>
    <row r="2335" spans="1:23" ht="13.15" customHeight="1">
      <c r="A2335" s="2" t="s">
        <v>2215</v>
      </c>
      <c r="B2335" s="2">
        <f t="shared" si="72"/>
        <v>2020</v>
      </c>
      <c r="C2335" s="2" t="str">
        <f t="shared" si="73"/>
        <v>LIM333</v>
      </c>
      <c r="D2335" s="2">
        <v>717</v>
      </c>
      <c r="F2335" s="2451"/>
      <c r="G2335" s="2451"/>
      <c r="H2335" s="2451"/>
      <c r="I2335" s="2451"/>
      <c r="J2335" s="2451"/>
      <c r="K2335" s="2451"/>
      <c r="L2335" s="2453"/>
      <c r="M2335" s="2453"/>
      <c r="N2335" s="2453"/>
      <c r="O2335" s="2453"/>
      <c r="P2335" s="2453"/>
      <c r="W2335" t="s">
        <v>2062</v>
      </c>
    </row>
    <row r="2336" spans="1:23" ht="13.15" customHeight="1">
      <c r="A2336" s="2" t="s">
        <v>2215</v>
      </c>
      <c r="B2336" s="2">
        <f t="shared" si="72"/>
        <v>2020</v>
      </c>
      <c r="C2336" s="2" t="str">
        <f t="shared" si="73"/>
        <v>LIM333</v>
      </c>
      <c r="D2336" s="2">
        <v>718</v>
      </c>
      <c r="F2336" s="2451"/>
      <c r="G2336" s="2451"/>
      <c r="H2336" s="2451"/>
      <c r="I2336" s="2451"/>
      <c r="J2336" s="2451"/>
      <c r="K2336" s="2451"/>
      <c r="L2336" s="2453"/>
      <c r="M2336" s="2453"/>
      <c r="N2336" s="2453"/>
      <c r="O2336" s="2453"/>
      <c r="P2336" s="2453"/>
      <c r="W2336" t="s">
        <v>2062</v>
      </c>
    </row>
    <row r="2337" spans="1:23" ht="13.15" customHeight="1">
      <c r="A2337" s="2" t="s">
        <v>2215</v>
      </c>
      <c r="B2337" s="2">
        <f t="shared" si="72"/>
        <v>2020</v>
      </c>
      <c r="C2337" s="2" t="str">
        <f t="shared" si="73"/>
        <v>LIM333</v>
      </c>
      <c r="D2337" s="2">
        <v>719</v>
      </c>
      <c r="F2337" s="2451"/>
      <c r="G2337" s="2451"/>
      <c r="H2337" s="2451"/>
      <c r="I2337" s="2451"/>
      <c r="J2337" s="2451"/>
      <c r="K2337" s="2451"/>
      <c r="L2337" s="2453"/>
      <c r="M2337" s="2453"/>
      <c r="N2337" s="2453"/>
      <c r="O2337" s="2453"/>
      <c r="P2337" s="2453"/>
      <c r="W2337" t="s">
        <v>2062</v>
      </c>
    </row>
    <row r="2338" spans="1:23" ht="13.15" customHeight="1">
      <c r="A2338" s="2" t="s">
        <v>2215</v>
      </c>
      <c r="B2338" s="2">
        <f t="shared" si="72"/>
        <v>2020</v>
      </c>
      <c r="C2338" s="2" t="str">
        <f t="shared" si="73"/>
        <v>LIM333</v>
      </c>
      <c r="D2338" s="2">
        <v>720</v>
      </c>
      <c r="F2338" s="2451"/>
      <c r="G2338" s="2451"/>
      <c r="H2338" s="2451"/>
      <c r="I2338" s="2451"/>
      <c r="J2338" s="2451"/>
      <c r="K2338" s="2451"/>
      <c r="L2338" s="2453"/>
      <c r="M2338" s="2453"/>
      <c r="N2338" s="2453"/>
      <c r="O2338" s="2453"/>
      <c r="P2338" s="2453"/>
      <c r="W2338" t="s">
        <v>2062</v>
      </c>
    </row>
    <row r="2339" spans="1:23" ht="13.15" customHeight="1">
      <c r="A2339" s="2" t="s">
        <v>2215</v>
      </c>
      <c r="B2339" s="2">
        <f t="shared" si="72"/>
        <v>2020</v>
      </c>
      <c r="C2339" s="2" t="str">
        <f t="shared" si="73"/>
        <v>LIM333</v>
      </c>
      <c r="D2339" s="2">
        <v>721</v>
      </c>
      <c r="F2339" s="2451"/>
      <c r="G2339" s="2451"/>
      <c r="H2339" s="2451"/>
      <c r="I2339" s="2451"/>
      <c r="J2339" s="2451"/>
      <c r="K2339" s="2451"/>
      <c r="L2339" s="2453"/>
      <c r="M2339" s="2453"/>
      <c r="N2339" s="2453"/>
      <c r="O2339" s="2453"/>
      <c r="P2339" s="2453"/>
      <c r="W2339" t="s">
        <v>2062</v>
      </c>
    </row>
    <row r="2340" spans="1:23" ht="13.15" customHeight="1">
      <c r="A2340" s="2" t="s">
        <v>2215</v>
      </c>
      <c r="B2340" s="2">
        <f t="shared" si="72"/>
        <v>2020</v>
      </c>
      <c r="C2340" s="2" t="str">
        <f t="shared" si="73"/>
        <v>LIM333</v>
      </c>
      <c r="D2340" s="2">
        <v>722</v>
      </c>
      <c r="F2340" s="2451"/>
      <c r="G2340" s="2451"/>
      <c r="H2340" s="2451"/>
      <c r="I2340" s="2451"/>
      <c r="J2340" s="2451"/>
      <c r="K2340" s="2451"/>
      <c r="L2340" s="2453"/>
      <c r="M2340" s="2453"/>
      <c r="N2340" s="2453"/>
      <c r="O2340" s="2453"/>
      <c r="P2340" s="2453"/>
      <c r="W2340" t="s">
        <v>2062</v>
      </c>
    </row>
    <row r="2341" spans="1:23" ht="13.15" customHeight="1">
      <c r="A2341" s="2" t="s">
        <v>2215</v>
      </c>
      <c r="B2341" s="2">
        <f t="shared" si="72"/>
        <v>2020</v>
      </c>
      <c r="C2341" s="2" t="str">
        <f t="shared" si="73"/>
        <v>LIM333</v>
      </c>
      <c r="D2341" s="2">
        <v>723</v>
      </c>
      <c r="F2341" s="2451"/>
      <c r="G2341" s="2451"/>
      <c r="H2341" s="2451"/>
      <c r="I2341" s="2451"/>
      <c r="J2341" s="2451"/>
      <c r="K2341" s="2451"/>
      <c r="L2341" s="2453"/>
      <c r="M2341" s="2453"/>
      <c r="N2341" s="2453"/>
      <c r="O2341" s="2453"/>
      <c r="P2341" s="2453"/>
      <c r="W2341" t="s">
        <v>2062</v>
      </c>
    </row>
    <row r="2342" spans="1:23" ht="13.15" customHeight="1">
      <c r="A2342" s="2" t="s">
        <v>2215</v>
      </c>
      <c r="B2342" s="2">
        <f t="shared" si="72"/>
        <v>2020</v>
      </c>
      <c r="C2342" s="2" t="str">
        <f t="shared" si="73"/>
        <v>LIM333</v>
      </c>
      <c r="D2342" s="2">
        <v>724</v>
      </c>
      <c r="F2342" s="2451"/>
      <c r="G2342" s="2451"/>
      <c r="H2342" s="2451"/>
      <c r="I2342" s="2451"/>
      <c r="J2342" s="2451"/>
      <c r="K2342" s="2451"/>
      <c r="L2342" s="2453"/>
      <c r="M2342" s="2453"/>
      <c r="N2342" s="2453"/>
      <c r="O2342" s="2453"/>
      <c r="P2342" s="2453"/>
      <c r="W2342" t="s">
        <v>2062</v>
      </c>
    </row>
    <row r="2343" spans="1:23" ht="13.15" customHeight="1">
      <c r="A2343" s="2" t="s">
        <v>2215</v>
      </c>
      <c r="B2343" s="2">
        <f t="shared" si="72"/>
        <v>2020</v>
      </c>
      <c r="C2343" s="2" t="str">
        <f t="shared" si="73"/>
        <v>LIM333</v>
      </c>
      <c r="D2343" s="2">
        <v>725</v>
      </c>
      <c r="F2343" s="2451"/>
      <c r="G2343" s="2451"/>
      <c r="H2343" s="2451"/>
      <c r="I2343" s="2451"/>
      <c r="J2343" s="2451"/>
      <c r="K2343" s="2451"/>
      <c r="L2343" s="2453"/>
      <c r="M2343" s="2453"/>
      <c r="N2343" s="2453"/>
      <c r="O2343" s="2453"/>
      <c r="P2343" s="2453"/>
      <c r="W2343" t="s">
        <v>2062</v>
      </c>
    </row>
    <row r="2344" spans="1:23" ht="13.15" customHeight="1">
      <c r="A2344" s="2" t="s">
        <v>2215</v>
      </c>
      <c r="B2344" s="2">
        <f t="shared" si="72"/>
        <v>2020</v>
      </c>
      <c r="C2344" s="2" t="str">
        <f t="shared" si="73"/>
        <v>LIM333</v>
      </c>
      <c r="D2344" s="2">
        <v>726</v>
      </c>
      <c r="F2344" s="2451"/>
      <c r="G2344" s="2451"/>
      <c r="H2344" s="2451"/>
      <c r="I2344" s="2451"/>
      <c r="J2344" s="2451"/>
      <c r="K2344" s="2451"/>
      <c r="L2344" s="2453"/>
      <c r="M2344" s="2453"/>
      <c r="N2344" s="2453"/>
      <c r="O2344" s="2453"/>
      <c r="P2344" s="2453"/>
      <c r="W2344" t="s">
        <v>2062</v>
      </c>
    </row>
    <row r="2345" spans="1:23" ht="13.15" customHeight="1">
      <c r="A2345" s="2" t="s">
        <v>2215</v>
      </c>
      <c r="B2345" s="2">
        <f t="shared" si="72"/>
        <v>2020</v>
      </c>
      <c r="C2345" s="2" t="str">
        <f t="shared" si="73"/>
        <v>LIM333</v>
      </c>
      <c r="D2345" s="2">
        <v>727</v>
      </c>
      <c r="F2345" s="2451"/>
      <c r="G2345" s="2451"/>
      <c r="H2345" s="2451"/>
      <c r="I2345" s="2451"/>
      <c r="J2345" s="2451"/>
      <c r="K2345" s="2451"/>
      <c r="L2345" s="2453"/>
      <c r="M2345" s="2453"/>
      <c r="N2345" s="2453"/>
      <c r="O2345" s="2453"/>
      <c r="P2345" s="2453"/>
      <c r="W2345" t="s">
        <v>2062</v>
      </c>
    </row>
    <row r="2346" spans="1:23" ht="13.15" customHeight="1">
      <c r="A2346" s="2" t="s">
        <v>2215</v>
      </c>
      <c r="B2346" s="2">
        <f t="shared" si="72"/>
        <v>2020</v>
      </c>
      <c r="C2346" s="2" t="str">
        <f t="shared" si="73"/>
        <v>LIM333</v>
      </c>
      <c r="D2346" s="2">
        <v>728</v>
      </c>
      <c r="F2346" s="2451"/>
      <c r="G2346" s="2451"/>
      <c r="H2346" s="2451"/>
      <c r="I2346" s="2451"/>
      <c r="J2346" s="2451"/>
      <c r="K2346" s="2451"/>
      <c r="L2346" s="2453"/>
      <c r="M2346" s="2453"/>
      <c r="N2346" s="2453"/>
      <c r="O2346" s="2453"/>
      <c r="P2346" s="2453"/>
      <c r="W2346" t="s">
        <v>2062</v>
      </c>
    </row>
    <row r="2347" spans="1:23" ht="13.15" customHeight="1">
      <c r="A2347" s="2" t="s">
        <v>2215</v>
      </c>
      <c r="B2347" s="2">
        <f t="shared" si="72"/>
        <v>2020</v>
      </c>
      <c r="C2347" s="2" t="str">
        <f t="shared" si="73"/>
        <v>LIM333</v>
      </c>
      <c r="D2347" s="2">
        <v>729</v>
      </c>
      <c r="F2347" s="2451"/>
      <c r="G2347" s="2451"/>
      <c r="H2347" s="2451"/>
      <c r="I2347" s="2451"/>
      <c r="J2347" s="2451"/>
      <c r="K2347" s="2451"/>
      <c r="L2347" s="2453"/>
      <c r="M2347" s="2453"/>
      <c r="N2347" s="2453"/>
      <c r="O2347" s="2453"/>
      <c r="P2347" s="2453"/>
      <c r="W2347" t="s">
        <v>2062</v>
      </c>
    </row>
    <row r="2348" spans="1:23" ht="13.15" customHeight="1">
      <c r="A2348" s="2" t="s">
        <v>2215</v>
      </c>
      <c r="B2348" s="2">
        <f t="shared" si="72"/>
        <v>2020</v>
      </c>
      <c r="C2348" s="2" t="str">
        <f t="shared" si="73"/>
        <v>LIM333</v>
      </c>
      <c r="D2348" s="2">
        <v>730</v>
      </c>
      <c r="F2348" s="2451"/>
      <c r="G2348" s="2451"/>
      <c r="H2348" s="2451"/>
      <c r="I2348" s="2451"/>
      <c r="J2348" s="2451"/>
      <c r="K2348" s="2451"/>
      <c r="L2348" s="2453"/>
      <c r="M2348" s="2453"/>
      <c r="N2348" s="2453"/>
      <c r="O2348" s="2453"/>
      <c r="P2348" s="2453"/>
      <c r="W2348" t="s">
        <v>2062</v>
      </c>
    </row>
    <row r="2349" spans="1:23" ht="13.15" customHeight="1">
      <c r="A2349" s="2" t="s">
        <v>2215</v>
      </c>
      <c r="B2349" s="2">
        <f t="shared" si="72"/>
        <v>2020</v>
      </c>
      <c r="C2349" s="2" t="str">
        <f t="shared" si="73"/>
        <v>LIM333</v>
      </c>
      <c r="D2349" s="2">
        <v>731</v>
      </c>
      <c r="F2349" s="2451"/>
      <c r="G2349" s="2451"/>
      <c r="H2349" s="2451"/>
      <c r="I2349" s="2451"/>
      <c r="J2349" s="2451"/>
      <c r="K2349" s="2451"/>
      <c r="L2349" s="2453"/>
      <c r="M2349" s="2453"/>
      <c r="N2349" s="2453"/>
      <c r="O2349" s="2453"/>
      <c r="P2349" s="2453"/>
      <c r="W2349" t="s">
        <v>2062</v>
      </c>
    </row>
    <row r="2350" spans="1:23" ht="13.15" customHeight="1">
      <c r="A2350" s="2" t="s">
        <v>2215</v>
      </c>
      <c r="B2350" s="2">
        <f t="shared" si="72"/>
        <v>2020</v>
      </c>
      <c r="C2350" s="2" t="str">
        <f t="shared" si="73"/>
        <v>LIM333</v>
      </c>
      <c r="D2350" s="2">
        <v>732</v>
      </c>
      <c r="F2350" s="2451"/>
      <c r="G2350" s="2451"/>
      <c r="H2350" s="2451"/>
      <c r="I2350" s="2451"/>
      <c r="J2350" s="2451"/>
      <c r="K2350" s="2451"/>
      <c r="L2350" s="2453"/>
      <c r="M2350" s="2453"/>
      <c r="N2350" s="2453"/>
      <c r="O2350" s="2453"/>
      <c r="P2350" s="2453"/>
      <c r="W2350" t="s">
        <v>2062</v>
      </c>
    </row>
    <row r="2351" spans="1:23" ht="13.15" customHeight="1">
      <c r="A2351" s="2" t="s">
        <v>2215</v>
      </c>
      <c r="B2351" s="2">
        <f t="shared" si="72"/>
        <v>2020</v>
      </c>
      <c r="C2351" s="2" t="str">
        <f t="shared" si="73"/>
        <v>LIM333</v>
      </c>
      <c r="D2351" s="2">
        <v>733</v>
      </c>
      <c r="F2351" s="2451"/>
      <c r="G2351" s="2451"/>
      <c r="H2351" s="2451"/>
      <c r="I2351" s="2451"/>
      <c r="J2351" s="2451"/>
      <c r="K2351" s="2451"/>
      <c r="L2351" s="2453"/>
      <c r="M2351" s="2453"/>
      <c r="N2351" s="2453"/>
      <c r="O2351" s="2453"/>
      <c r="P2351" s="2453"/>
      <c r="W2351" t="s">
        <v>2062</v>
      </c>
    </row>
    <row r="2352" spans="1:23" ht="13.15" customHeight="1">
      <c r="A2352" s="2" t="s">
        <v>2215</v>
      </c>
      <c r="B2352" s="2">
        <f t="shared" si="72"/>
        <v>2020</v>
      </c>
      <c r="C2352" s="2" t="str">
        <f t="shared" si="73"/>
        <v>LIM333</v>
      </c>
      <c r="D2352" s="2">
        <v>734</v>
      </c>
      <c r="F2352" s="2451"/>
      <c r="G2352" s="2451"/>
      <c r="H2352" s="2451"/>
      <c r="I2352" s="2451"/>
      <c r="J2352" s="2451"/>
      <c r="K2352" s="2451"/>
      <c r="L2352" s="2453"/>
      <c r="M2352" s="2453"/>
      <c r="N2352" s="2453"/>
      <c r="O2352" s="2453"/>
      <c r="P2352" s="2453"/>
      <c r="W2352" t="s">
        <v>2062</v>
      </c>
    </row>
    <row r="2353" spans="1:23" ht="13.15" customHeight="1">
      <c r="A2353" s="2" t="s">
        <v>2215</v>
      </c>
      <c r="B2353" s="2">
        <f t="shared" si="72"/>
        <v>2020</v>
      </c>
      <c r="C2353" s="2" t="str">
        <f t="shared" si="73"/>
        <v>LIM333</v>
      </c>
      <c r="D2353" s="2">
        <v>735</v>
      </c>
      <c r="F2353" s="2451"/>
      <c r="G2353" s="2451"/>
      <c r="H2353" s="2451"/>
      <c r="I2353" s="2451"/>
      <c r="J2353" s="2451"/>
      <c r="K2353" s="2451"/>
      <c r="L2353" s="2453"/>
      <c r="M2353" s="2453"/>
      <c r="N2353" s="2453"/>
      <c r="O2353" s="2453"/>
      <c r="P2353" s="2453"/>
      <c r="W2353" t="s">
        <v>2062</v>
      </c>
    </row>
    <row r="2354" spans="1:23" ht="13.15" customHeight="1">
      <c r="A2354" s="2" t="s">
        <v>2215</v>
      </c>
      <c r="B2354" s="2">
        <f t="shared" si="72"/>
        <v>2020</v>
      </c>
      <c r="C2354" s="2" t="str">
        <f t="shared" si="73"/>
        <v>LIM333</v>
      </c>
      <c r="D2354" s="2">
        <v>736</v>
      </c>
      <c r="F2354" s="2451"/>
      <c r="G2354" s="2451"/>
      <c r="H2354" s="2451"/>
      <c r="I2354" s="2451"/>
      <c r="J2354" s="2451"/>
      <c r="K2354" s="2451"/>
      <c r="L2354" s="2453"/>
      <c r="M2354" s="2453"/>
      <c r="N2354" s="2453"/>
      <c r="O2354" s="2453"/>
      <c r="P2354" s="2453"/>
      <c r="W2354" t="s">
        <v>2062</v>
      </c>
    </row>
    <row r="2355" spans="1:23" ht="13.15" customHeight="1">
      <c r="A2355" s="2" t="s">
        <v>2215</v>
      </c>
      <c r="B2355" s="2">
        <f t="shared" si="72"/>
        <v>2020</v>
      </c>
      <c r="C2355" s="2" t="str">
        <f t="shared" si="73"/>
        <v>LIM333</v>
      </c>
      <c r="D2355" s="2">
        <v>737</v>
      </c>
      <c r="F2355" s="2451"/>
      <c r="G2355" s="2451"/>
      <c r="H2355" s="2451"/>
      <c r="I2355" s="2451"/>
      <c r="J2355" s="2451"/>
      <c r="K2355" s="2451"/>
      <c r="L2355" s="2453"/>
      <c r="M2355" s="2453"/>
      <c r="N2355" s="2453"/>
      <c r="O2355" s="2453"/>
      <c r="P2355" s="2453"/>
      <c r="W2355" t="s">
        <v>2062</v>
      </c>
    </row>
    <row r="2356" spans="1:23" ht="13.15" customHeight="1">
      <c r="A2356" s="2" t="s">
        <v>2215</v>
      </c>
      <c r="B2356" s="2">
        <f t="shared" si="72"/>
        <v>2020</v>
      </c>
      <c r="C2356" s="2" t="str">
        <f t="shared" si="73"/>
        <v>LIM333</v>
      </c>
      <c r="D2356" s="2">
        <v>738</v>
      </c>
      <c r="F2356" s="2451"/>
      <c r="G2356" s="2451"/>
      <c r="H2356" s="2451"/>
      <c r="I2356" s="2451"/>
      <c r="J2356" s="2451"/>
      <c r="K2356" s="2451"/>
      <c r="L2356" s="2453"/>
      <c r="M2356" s="2453"/>
      <c r="N2356" s="2453"/>
      <c r="O2356" s="2453"/>
      <c r="P2356" s="2453"/>
      <c r="W2356" t="s">
        <v>2062</v>
      </c>
    </row>
    <row r="2357" spans="1:23" ht="13.15" customHeight="1">
      <c r="A2357" s="2" t="s">
        <v>2215</v>
      </c>
      <c r="B2357" s="2">
        <f t="shared" si="72"/>
        <v>2020</v>
      </c>
      <c r="C2357" s="2" t="str">
        <f t="shared" si="73"/>
        <v>LIM333</v>
      </c>
      <c r="D2357" s="2">
        <v>739</v>
      </c>
      <c r="F2357" s="2451"/>
      <c r="G2357" s="2451"/>
      <c r="H2357" s="2451"/>
      <c r="I2357" s="2451"/>
      <c r="J2357" s="2451"/>
      <c r="K2357" s="2451"/>
      <c r="L2357" s="2453"/>
      <c r="M2357" s="2453"/>
      <c r="N2357" s="2453"/>
      <c r="O2357" s="2453"/>
      <c r="P2357" s="2453"/>
      <c r="W2357" t="s">
        <v>2062</v>
      </c>
    </row>
    <row r="2358" spans="1:23" ht="13.15" customHeight="1">
      <c r="A2358" s="2" t="s">
        <v>2215</v>
      </c>
      <c r="B2358" s="2">
        <f t="shared" si="72"/>
        <v>2020</v>
      </c>
      <c r="C2358" s="2" t="str">
        <f t="shared" si="73"/>
        <v>LIM333</v>
      </c>
      <c r="D2358" s="2">
        <v>740</v>
      </c>
      <c r="F2358" s="2451"/>
      <c r="G2358" s="2451"/>
      <c r="H2358" s="2451"/>
      <c r="I2358" s="2451"/>
      <c r="J2358" s="2451"/>
      <c r="K2358" s="2451"/>
      <c r="L2358" s="2453"/>
      <c r="M2358" s="2453"/>
      <c r="N2358" s="2453"/>
      <c r="O2358" s="2453"/>
      <c r="P2358" s="2453"/>
      <c r="W2358" t="s">
        <v>2062</v>
      </c>
    </row>
    <row r="2359" spans="1:23" ht="13.15" customHeight="1">
      <c r="A2359" s="2" t="s">
        <v>2215</v>
      </c>
      <c r="B2359" s="2">
        <f t="shared" si="72"/>
        <v>2020</v>
      </c>
      <c r="C2359" s="2" t="str">
        <f t="shared" si="73"/>
        <v>LIM333</v>
      </c>
      <c r="D2359" s="2">
        <v>741</v>
      </c>
      <c r="F2359" s="2451"/>
      <c r="G2359" s="2451"/>
      <c r="H2359" s="2451"/>
      <c r="I2359" s="2451"/>
      <c r="J2359" s="2451"/>
      <c r="K2359" s="2451"/>
      <c r="L2359" s="2453"/>
      <c r="M2359" s="2453"/>
      <c r="N2359" s="2453"/>
      <c r="O2359" s="2453"/>
      <c r="P2359" s="2453"/>
      <c r="W2359" t="s">
        <v>2062</v>
      </c>
    </row>
    <row r="2360" spans="1:23" ht="13.15" customHeight="1">
      <c r="A2360" s="2" t="s">
        <v>2215</v>
      </c>
      <c r="B2360" s="2">
        <f t="shared" si="72"/>
        <v>2020</v>
      </c>
      <c r="C2360" s="2" t="str">
        <f t="shared" si="73"/>
        <v>LIM333</v>
      </c>
      <c r="D2360" s="2">
        <v>742</v>
      </c>
      <c r="F2360" s="2451"/>
      <c r="G2360" s="2451"/>
      <c r="H2360" s="2451"/>
      <c r="I2360" s="2451"/>
      <c r="J2360" s="2451"/>
      <c r="K2360" s="2451"/>
      <c r="L2360" s="2453"/>
      <c r="M2360" s="2453"/>
      <c r="N2360" s="2453"/>
      <c r="O2360" s="2453"/>
      <c r="P2360" s="2453"/>
      <c r="W2360" t="s">
        <v>2062</v>
      </c>
    </row>
    <row r="2361" spans="1:23" ht="13.15" customHeight="1">
      <c r="A2361" s="2" t="s">
        <v>2215</v>
      </c>
      <c r="B2361" s="2">
        <f t="shared" si="72"/>
        <v>2020</v>
      </c>
      <c r="C2361" s="2" t="str">
        <f t="shared" si="73"/>
        <v>LIM333</v>
      </c>
      <c r="D2361" s="2">
        <v>743</v>
      </c>
      <c r="F2361" s="2451"/>
      <c r="G2361" s="2451"/>
      <c r="H2361" s="2451"/>
      <c r="I2361" s="2451"/>
      <c r="J2361" s="2451"/>
      <c r="K2361" s="2451"/>
      <c r="L2361" s="2453"/>
      <c r="M2361" s="2453"/>
      <c r="N2361" s="2453"/>
      <c r="O2361" s="2453"/>
      <c r="P2361" s="2453"/>
      <c r="W2361" t="s">
        <v>2062</v>
      </c>
    </row>
    <row r="2362" spans="1:23" ht="13.15" customHeight="1">
      <c r="A2362" s="2" t="s">
        <v>2215</v>
      </c>
      <c r="B2362" s="2">
        <f t="shared" si="72"/>
        <v>2020</v>
      </c>
      <c r="C2362" s="2" t="str">
        <f t="shared" si="73"/>
        <v>LIM333</v>
      </c>
      <c r="D2362" s="2">
        <v>744</v>
      </c>
      <c r="F2362" s="2451"/>
      <c r="G2362" s="2451"/>
      <c r="H2362" s="2451"/>
      <c r="I2362" s="2451"/>
      <c r="J2362" s="2451"/>
      <c r="K2362" s="2451"/>
      <c r="L2362" s="2453"/>
      <c r="M2362" s="2453"/>
      <c r="N2362" s="2453"/>
      <c r="O2362" s="2453"/>
      <c r="P2362" s="2453"/>
      <c r="W2362" t="s">
        <v>2062</v>
      </c>
    </row>
    <row r="2363" spans="1:23" ht="13.15" customHeight="1">
      <c r="A2363" s="2" t="s">
        <v>2215</v>
      </c>
      <c r="B2363" s="2">
        <f t="shared" si="72"/>
        <v>2020</v>
      </c>
      <c r="C2363" s="2" t="str">
        <f t="shared" si="73"/>
        <v>LIM333</v>
      </c>
      <c r="D2363" s="2">
        <v>745</v>
      </c>
      <c r="F2363" s="2451"/>
      <c r="G2363" s="2451"/>
      <c r="H2363" s="2451"/>
      <c r="I2363" s="2451"/>
      <c r="J2363" s="2451"/>
      <c r="K2363" s="2451"/>
      <c r="L2363" s="2453"/>
      <c r="M2363" s="2453"/>
      <c r="N2363" s="2453"/>
      <c r="O2363" s="2453"/>
      <c r="P2363" s="2453"/>
      <c r="W2363" t="s">
        <v>2062</v>
      </c>
    </row>
    <row r="2364" spans="1:23" ht="13.15" customHeight="1">
      <c r="A2364" s="2" t="s">
        <v>2215</v>
      </c>
      <c r="B2364" s="2">
        <f t="shared" si="72"/>
        <v>2020</v>
      </c>
      <c r="C2364" s="2" t="str">
        <f t="shared" si="73"/>
        <v>LIM333</v>
      </c>
      <c r="D2364" s="2">
        <v>746</v>
      </c>
      <c r="F2364" s="2451"/>
      <c r="G2364" s="2451"/>
      <c r="H2364" s="2451"/>
      <c r="I2364" s="2451"/>
      <c r="J2364" s="2451"/>
      <c r="K2364" s="2451"/>
      <c r="L2364" s="2453"/>
      <c r="M2364" s="2453"/>
      <c r="N2364" s="2453"/>
      <c r="O2364" s="2453"/>
      <c r="P2364" s="2453"/>
      <c r="W2364" t="s">
        <v>2062</v>
      </c>
    </row>
    <row r="2365" spans="1:23" ht="13.15" customHeight="1">
      <c r="A2365" s="2" t="s">
        <v>2215</v>
      </c>
      <c r="B2365" s="2">
        <f t="shared" si="72"/>
        <v>2020</v>
      </c>
      <c r="C2365" s="2" t="str">
        <f t="shared" si="73"/>
        <v>LIM333</v>
      </c>
      <c r="D2365" s="2">
        <v>747</v>
      </c>
      <c r="F2365" s="2451"/>
      <c r="G2365" s="2451"/>
      <c r="H2365" s="2451"/>
      <c r="I2365" s="2451"/>
      <c r="J2365" s="2451"/>
      <c r="K2365" s="2451"/>
      <c r="L2365" s="2453"/>
      <c r="M2365" s="2453"/>
      <c r="N2365" s="2453"/>
      <c r="O2365" s="2453"/>
      <c r="P2365" s="2453"/>
      <c r="W2365" t="s">
        <v>2062</v>
      </c>
    </row>
    <row r="2366" spans="1:23" ht="13.15" customHeight="1">
      <c r="A2366" s="2" t="s">
        <v>2215</v>
      </c>
      <c r="B2366" s="2">
        <f t="shared" si="72"/>
        <v>2020</v>
      </c>
      <c r="C2366" s="2" t="str">
        <f t="shared" si="73"/>
        <v>LIM333</v>
      </c>
      <c r="D2366" s="2">
        <v>748</v>
      </c>
      <c r="F2366" s="2451"/>
      <c r="G2366" s="2451"/>
      <c r="H2366" s="2451"/>
      <c r="I2366" s="2451"/>
      <c r="J2366" s="2451"/>
      <c r="K2366" s="2451"/>
      <c r="L2366" s="2453"/>
      <c r="M2366" s="2453"/>
      <c r="N2366" s="2453"/>
      <c r="O2366" s="2453"/>
      <c r="P2366" s="2453"/>
      <c r="W2366" t="s">
        <v>2062</v>
      </c>
    </row>
    <row r="2367" spans="1:23" ht="13.15" customHeight="1">
      <c r="A2367" s="2" t="s">
        <v>2215</v>
      </c>
      <c r="B2367" s="2">
        <f t="shared" si="72"/>
        <v>2020</v>
      </c>
      <c r="C2367" s="2" t="str">
        <f t="shared" si="73"/>
        <v>LIM333</v>
      </c>
      <c r="D2367" s="2">
        <v>749</v>
      </c>
      <c r="F2367" s="2451"/>
      <c r="G2367" s="2451"/>
      <c r="H2367" s="2451"/>
      <c r="I2367" s="2451"/>
      <c r="J2367" s="2451"/>
      <c r="K2367" s="2451"/>
      <c r="L2367" s="2453"/>
      <c r="M2367" s="2453"/>
      <c r="N2367" s="2453"/>
      <c r="O2367" s="2453"/>
      <c r="P2367" s="2453"/>
      <c r="W2367" t="s">
        <v>2062</v>
      </c>
    </row>
    <row r="2368" spans="1:23" ht="13.15" customHeight="1">
      <c r="A2368" s="2" t="s">
        <v>2215</v>
      </c>
      <c r="B2368" s="2">
        <f t="shared" si="72"/>
        <v>2020</v>
      </c>
      <c r="C2368" s="2" t="str">
        <f t="shared" si="73"/>
        <v>LIM333</v>
      </c>
      <c r="D2368" s="2">
        <v>750</v>
      </c>
      <c r="F2368" s="2451"/>
      <c r="G2368" s="2451"/>
      <c r="H2368" s="2451"/>
      <c r="I2368" s="2451"/>
      <c r="J2368" s="2451"/>
      <c r="K2368" s="2451"/>
      <c r="L2368" s="2453"/>
      <c r="M2368" s="2453"/>
      <c r="N2368" s="2453"/>
      <c r="O2368" s="2453"/>
      <c r="P2368" s="2453"/>
      <c r="W2368" t="s">
        <v>2062</v>
      </c>
    </row>
    <row r="2369" spans="1:23" ht="13.15" customHeight="1">
      <c r="A2369" s="2" t="s">
        <v>2215</v>
      </c>
      <c r="B2369" s="2">
        <f t="shared" si="72"/>
        <v>2020</v>
      </c>
      <c r="C2369" s="2" t="str">
        <f t="shared" si="73"/>
        <v>LIM333</v>
      </c>
      <c r="D2369" s="2">
        <v>751</v>
      </c>
      <c r="F2369" s="2451"/>
      <c r="G2369" s="2451"/>
      <c r="H2369" s="2451"/>
      <c r="I2369" s="2451"/>
      <c r="J2369" s="2451"/>
      <c r="K2369" s="2451"/>
      <c r="L2369" s="2453"/>
      <c r="M2369" s="2453"/>
      <c r="N2369" s="2453"/>
      <c r="O2369" s="2453"/>
      <c r="P2369" s="2453"/>
      <c r="W2369" t="s">
        <v>2062</v>
      </c>
    </row>
    <row r="2370" spans="1:23" ht="13.15" customHeight="1">
      <c r="A2370" s="2" t="s">
        <v>2215</v>
      </c>
      <c r="B2370" s="2">
        <f t="shared" ref="B2370:B2433" si="74">+MTREF</f>
        <v>2020</v>
      </c>
      <c r="C2370" s="2" t="str">
        <f t="shared" ref="C2370:C2433" si="75">LEFT(muni,(FIND(" ",muni,1)-1))</f>
        <v>LIM333</v>
      </c>
      <c r="D2370" s="2">
        <v>752</v>
      </c>
      <c r="F2370" s="2451"/>
      <c r="G2370" s="2451"/>
      <c r="H2370" s="2451"/>
      <c r="I2370" s="2451"/>
      <c r="J2370" s="2451"/>
      <c r="K2370" s="2451"/>
      <c r="L2370" s="2453"/>
      <c r="M2370" s="2453"/>
      <c r="N2370" s="2453"/>
      <c r="O2370" s="2453"/>
      <c r="P2370" s="2453"/>
      <c r="W2370" t="s">
        <v>2062</v>
      </c>
    </row>
    <row r="2371" spans="1:23" ht="13.15" customHeight="1">
      <c r="A2371" s="2" t="s">
        <v>2215</v>
      </c>
      <c r="B2371" s="2">
        <f t="shared" si="74"/>
        <v>2020</v>
      </c>
      <c r="C2371" s="2" t="str">
        <f t="shared" si="75"/>
        <v>LIM333</v>
      </c>
      <c r="D2371" s="2">
        <v>753</v>
      </c>
      <c r="F2371" s="2451"/>
      <c r="G2371" s="2451"/>
      <c r="H2371" s="2451"/>
      <c r="I2371" s="2451"/>
      <c r="J2371" s="2451"/>
      <c r="K2371" s="2451"/>
      <c r="L2371" s="2453"/>
      <c r="M2371" s="2453"/>
      <c r="N2371" s="2453"/>
      <c r="O2371" s="2453"/>
      <c r="P2371" s="2453"/>
      <c r="W2371" t="s">
        <v>2062</v>
      </c>
    </row>
    <row r="2372" spans="1:23" ht="13.15" customHeight="1">
      <c r="A2372" s="2" t="s">
        <v>2215</v>
      </c>
      <c r="B2372" s="2">
        <f t="shared" si="74"/>
        <v>2020</v>
      </c>
      <c r="C2372" s="2" t="str">
        <f t="shared" si="75"/>
        <v>LIM333</v>
      </c>
      <c r="D2372" s="2">
        <v>754</v>
      </c>
      <c r="F2372" s="2451"/>
      <c r="G2372" s="2451"/>
      <c r="H2372" s="2451"/>
      <c r="I2372" s="2451"/>
      <c r="J2372" s="2451"/>
      <c r="K2372" s="2451"/>
      <c r="L2372" s="2453"/>
      <c r="M2372" s="2453"/>
      <c r="N2372" s="2453"/>
      <c r="O2372" s="2453"/>
      <c r="P2372" s="2453"/>
      <c r="W2372" t="s">
        <v>2062</v>
      </c>
    </row>
    <row r="2373" spans="1:23" ht="13.15" customHeight="1">
      <c r="A2373" s="2" t="s">
        <v>2215</v>
      </c>
      <c r="B2373" s="2">
        <f t="shared" si="74"/>
        <v>2020</v>
      </c>
      <c r="C2373" s="2" t="str">
        <f t="shared" si="75"/>
        <v>LIM333</v>
      </c>
      <c r="D2373" s="2">
        <v>755</v>
      </c>
      <c r="F2373" s="2451"/>
      <c r="G2373" s="2451"/>
      <c r="H2373" s="2451"/>
      <c r="I2373" s="2451"/>
      <c r="J2373" s="2451"/>
      <c r="K2373" s="2451"/>
      <c r="L2373" s="2453"/>
      <c r="M2373" s="2453"/>
      <c r="N2373" s="2453"/>
      <c r="O2373" s="2453"/>
      <c r="P2373" s="2453"/>
      <c r="W2373" t="s">
        <v>2062</v>
      </c>
    </row>
    <row r="2374" spans="1:23" ht="13.15" customHeight="1">
      <c r="A2374" s="2" t="s">
        <v>2215</v>
      </c>
      <c r="B2374" s="2">
        <f t="shared" si="74"/>
        <v>2020</v>
      </c>
      <c r="C2374" s="2" t="str">
        <f t="shared" si="75"/>
        <v>LIM333</v>
      </c>
      <c r="D2374" s="2">
        <v>756</v>
      </c>
      <c r="F2374" s="2451"/>
      <c r="G2374" s="2451"/>
      <c r="H2374" s="2451"/>
      <c r="I2374" s="2451"/>
      <c r="J2374" s="2451"/>
      <c r="K2374" s="2451"/>
      <c r="L2374" s="2453"/>
      <c r="M2374" s="2453"/>
      <c r="N2374" s="2453"/>
      <c r="O2374" s="2453"/>
      <c r="P2374" s="2453"/>
      <c r="W2374" t="s">
        <v>2062</v>
      </c>
    </row>
    <row r="2375" spans="1:23" ht="13.15" customHeight="1">
      <c r="A2375" s="2" t="s">
        <v>2215</v>
      </c>
      <c r="B2375" s="2">
        <f t="shared" si="74"/>
        <v>2020</v>
      </c>
      <c r="C2375" s="2" t="str">
        <f t="shared" si="75"/>
        <v>LIM333</v>
      </c>
      <c r="D2375" s="2">
        <v>757</v>
      </c>
      <c r="F2375" s="2451"/>
      <c r="G2375" s="2451"/>
      <c r="H2375" s="2451"/>
      <c r="I2375" s="2451"/>
      <c r="J2375" s="2451"/>
      <c r="K2375" s="2451"/>
      <c r="L2375" s="2453"/>
      <c r="M2375" s="2453"/>
      <c r="N2375" s="2453"/>
      <c r="O2375" s="2453"/>
      <c r="P2375" s="2453"/>
      <c r="W2375" t="s">
        <v>2062</v>
      </c>
    </row>
    <row r="2376" spans="1:23" ht="13.15" customHeight="1">
      <c r="A2376" s="2" t="s">
        <v>2215</v>
      </c>
      <c r="B2376" s="2">
        <f t="shared" si="74"/>
        <v>2020</v>
      </c>
      <c r="C2376" s="2" t="str">
        <f t="shared" si="75"/>
        <v>LIM333</v>
      </c>
      <c r="D2376" s="2">
        <v>758</v>
      </c>
      <c r="F2376" s="2451"/>
      <c r="G2376" s="2451"/>
      <c r="H2376" s="2451"/>
      <c r="I2376" s="2451"/>
      <c r="J2376" s="2451"/>
      <c r="K2376" s="2451"/>
      <c r="L2376" s="2453"/>
      <c r="M2376" s="2453"/>
      <c r="N2376" s="2453"/>
      <c r="O2376" s="2453"/>
      <c r="P2376" s="2453"/>
      <c r="W2376" t="s">
        <v>2062</v>
      </c>
    </row>
    <row r="2377" spans="1:23" ht="13.15" customHeight="1">
      <c r="A2377" s="2" t="s">
        <v>2215</v>
      </c>
      <c r="B2377" s="2">
        <f t="shared" si="74"/>
        <v>2020</v>
      </c>
      <c r="C2377" s="2" t="str">
        <f t="shared" si="75"/>
        <v>LIM333</v>
      </c>
      <c r="D2377" s="2">
        <v>759</v>
      </c>
      <c r="F2377" s="2451"/>
      <c r="G2377" s="2451"/>
      <c r="H2377" s="2451"/>
      <c r="I2377" s="2451"/>
      <c r="J2377" s="2451"/>
      <c r="K2377" s="2451"/>
      <c r="L2377" s="2453"/>
      <c r="M2377" s="2453"/>
      <c r="N2377" s="2453"/>
      <c r="O2377" s="2453"/>
      <c r="P2377" s="2453"/>
      <c r="W2377" t="s">
        <v>2062</v>
      </c>
    </row>
    <row r="2378" spans="1:23" ht="13.15" customHeight="1">
      <c r="A2378" s="2" t="s">
        <v>2215</v>
      </c>
      <c r="B2378" s="2">
        <f t="shared" si="74"/>
        <v>2020</v>
      </c>
      <c r="C2378" s="2" t="str">
        <f t="shared" si="75"/>
        <v>LIM333</v>
      </c>
      <c r="D2378" s="2">
        <v>760</v>
      </c>
      <c r="F2378" s="2451"/>
      <c r="G2378" s="2451"/>
      <c r="H2378" s="2451"/>
      <c r="I2378" s="2451"/>
      <c r="J2378" s="2451"/>
      <c r="K2378" s="2451"/>
      <c r="L2378" s="2453"/>
      <c r="M2378" s="2453"/>
      <c r="N2378" s="2453"/>
      <c r="O2378" s="2453"/>
      <c r="P2378" s="2453"/>
      <c r="W2378" t="s">
        <v>2062</v>
      </c>
    </row>
    <row r="2379" spans="1:23" ht="13.15" customHeight="1">
      <c r="A2379" s="2" t="s">
        <v>2215</v>
      </c>
      <c r="B2379" s="2">
        <f t="shared" si="74"/>
        <v>2020</v>
      </c>
      <c r="C2379" s="2" t="str">
        <f t="shared" si="75"/>
        <v>LIM333</v>
      </c>
      <c r="D2379" s="2">
        <v>761</v>
      </c>
      <c r="F2379" s="2451"/>
      <c r="G2379" s="2451"/>
      <c r="H2379" s="2451"/>
      <c r="I2379" s="2451"/>
      <c r="J2379" s="2451"/>
      <c r="K2379" s="2451"/>
      <c r="L2379" s="2453"/>
      <c r="M2379" s="2453"/>
      <c r="N2379" s="2453"/>
      <c r="O2379" s="2453"/>
      <c r="P2379" s="2453"/>
      <c r="W2379" t="s">
        <v>2062</v>
      </c>
    </row>
    <row r="2380" spans="1:23" ht="13.15" customHeight="1">
      <c r="A2380" s="2" t="s">
        <v>2215</v>
      </c>
      <c r="B2380" s="2">
        <f t="shared" si="74"/>
        <v>2020</v>
      </c>
      <c r="C2380" s="2" t="str">
        <f t="shared" si="75"/>
        <v>LIM333</v>
      </c>
      <c r="D2380" s="2">
        <v>762</v>
      </c>
      <c r="F2380" s="2451"/>
      <c r="G2380" s="2451"/>
      <c r="H2380" s="2451"/>
      <c r="I2380" s="2451"/>
      <c r="J2380" s="2451"/>
      <c r="K2380" s="2451"/>
      <c r="L2380" s="2453"/>
      <c r="M2380" s="2453"/>
      <c r="N2380" s="2453"/>
      <c r="O2380" s="2453"/>
      <c r="P2380" s="2453"/>
      <c r="W2380" t="s">
        <v>2062</v>
      </c>
    </row>
    <row r="2381" spans="1:23" ht="13.15" customHeight="1">
      <c r="A2381" s="2" t="s">
        <v>2215</v>
      </c>
      <c r="B2381" s="2">
        <f t="shared" si="74"/>
        <v>2020</v>
      </c>
      <c r="C2381" s="2" t="str">
        <f t="shared" si="75"/>
        <v>LIM333</v>
      </c>
      <c r="D2381" s="2">
        <v>763</v>
      </c>
      <c r="F2381" s="2451"/>
      <c r="G2381" s="2451"/>
      <c r="H2381" s="2451"/>
      <c r="I2381" s="2451"/>
      <c r="J2381" s="2451"/>
      <c r="K2381" s="2451"/>
      <c r="L2381" s="2453"/>
      <c r="M2381" s="2453"/>
      <c r="N2381" s="2453"/>
      <c r="O2381" s="2453"/>
      <c r="P2381" s="2453"/>
      <c r="W2381" t="s">
        <v>2062</v>
      </c>
    </row>
    <row r="2382" spans="1:23" ht="13.15" customHeight="1">
      <c r="A2382" s="2" t="s">
        <v>2215</v>
      </c>
      <c r="B2382" s="2">
        <f t="shared" si="74"/>
        <v>2020</v>
      </c>
      <c r="C2382" s="2" t="str">
        <f t="shared" si="75"/>
        <v>LIM333</v>
      </c>
      <c r="D2382" s="2">
        <v>764</v>
      </c>
      <c r="F2382" s="2451"/>
      <c r="G2382" s="2451"/>
      <c r="H2382" s="2451"/>
      <c r="I2382" s="2451"/>
      <c r="J2382" s="2451"/>
      <c r="K2382" s="2451"/>
      <c r="L2382" s="2453"/>
      <c r="M2382" s="2453"/>
      <c r="N2382" s="2453"/>
      <c r="O2382" s="2453"/>
      <c r="P2382" s="2453"/>
      <c r="W2382" t="s">
        <v>2062</v>
      </c>
    </row>
    <row r="2383" spans="1:23" ht="13.15" customHeight="1">
      <c r="A2383" s="2" t="s">
        <v>2215</v>
      </c>
      <c r="B2383" s="2">
        <f t="shared" si="74"/>
        <v>2020</v>
      </c>
      <c r="C2383" s="2" t="str">
        <f t="shared" si="75"/>
        <v>LIM333</v>
      </c>
      <c r="D2383" s="2">
        <v>765</v>
      </c>
      <c r="F2383" s="2451"/>
      <c r="G2383" s="2451"/>
      <c r="H2383" s="2451"/>
      <c r="I2383" s="2451"/>
      <c r="J2383" s="2451"/>
      <c r="K2383" s="2451"/>
      <c r="L2383" s="2453"/>
      <c r="M2383" s="2453"/>
      <c r="N2383" s="2453"/>
      <c r="O2383" s="2453"/>
      <c r="P2383" s="2453"/>
      <c r="W2383" t="s">
        <v>2062</v>
      </c>
    </row>
    <row r="2384" spans="1:23" ht="13.15" customHeight="1">
      <c r="A2384" s="2" t="s">
        <v>2215</v>
      </c>
      <c r="B2384" s="2">
        <f t="shared" si="74"/>
        <v>2020</v>
      </c>
      <c r="C2384" s="2" t="str">
        <f t="shared" si="75"/>
        <v>LIM333</v>
      </c>
      <c r="D2384" s="2">
        <v>766</v>
      </c>
      <c r="F2384" s="2451"/>
      <c r="G2384" s="2451"/>
      <c r="H2384" s="2451"/>
      <c r="I2384" s="2451"/>
      <c r="J2384" s="2451"/>
      <c r="K2384" s="2451"/>
      <c r="L2384" s="2453"/>
      <c r="M2384" s="2453"/>
      <c r="N2384" s="2453"/>
      <c r="O2384" s="2453"/>
      <c r="P2384" s="2453"/>
      <c r="W2384" t="s">
        <v>2062</v>
      </c>
    </row>
    <row r="2385" spans="1:23" ht="13.15" customHeight="1">
      <c r="A2385" s="2" t="s">
        <v>2215</v>
      </c>
      <c r="B2385" s="2">
        <f t="shared" si="74"/>
        <v>2020</v>
      </c>
      <c r="C2385" s="2" t="str">
        <f t="shared" si="75"/>
        <v>LIM333</v>
      </c>
      <c r="D2385" s="2">
        <v>767</v>
      </c>
      <c r="F2385" s="2451"/>
      <c r="G2385" s="2451"/>
      <c r="H2385" s="2451"/>
      <c r="I2385" s="2451"/>
      <c r="J2385" s="2451"/>
      <c r="K2385" s="2451"/>
      <c r="L2385" s="2453"/>
      <c r="M2385" s="2453"/>
      <c r="N2385" s="2453"/>
      <c r="O2385" s="2453"/>
      <c r="P2385" s="2453"/>
      <c r="W2385" t="s">
        <v>2062</v>
      </c>
    </row>
    <row r="2386" spans="1:23" ht="13.15" customHeight="1">
      <c r="A2386" s="2" t="s">
        <v>2215</v>
      </c>
      <c r="B2386" s="2">
        <f t="shared" si="74"/>
        <v>2020</v>
      </c>
      <c r="C2386" s="2" t="str">
        <f t="shared" si="75"/>
        <v>LIM333</v>
      </c>
      <c r="D2386" s="2">
        <v>768</v>
      </c>
      <c r="F2386" s="2451"/>
      <c r="G2386" s="2451"/>
      <c r="H2386" s="2451"/>
      <c r="I2386" s="2451"/>
      <c r="J2386" s="2451"/>
      <c r="K2386" s="2451"/>
      <c r="L2386" s="2453"/>
      <c r="M2386" s="2453"/>
      <c r="N2386" s="2453"/>
      <c r="O2386" s="2453"/>
      <c r="P2386" s="2453"/>
      <c r="W2386" t="s">
        <v>2062</v>
      </c>
    </row>
    <row r="2387" spans="1:23" ht="13.15" customHeight="1">
      <c r="A2387" s="2" t="s">
        <v>2215</v>
      </c>
      <c r="B2387" s="2">
        <f t="shared" si="74"/>
        <v>2020</v>
      </c>
      <c r="C2387" s="2" t="str">
        <f t="shared" si="75"/>
        <v>LIM333</v>
      </c>
      <c r="D2387" s="2">
        <v>769</v>
      </c>
      <c r="F2387" s="2451"/>
      <c r="G2387" s="2451"/>
      <c r="H2387" s="2451"/>
      <c r="I2387" s="2451"/>
      <c r="J2387" s="2451"/>
      <c r="K2387" s="2451"/>
      <c r="L2387" s="2453"/>
      <c r="M2387" s="2453"/>
      <c r="N2387" s="2453"/>
      <c r="O2387" s="2453"/>
      <c r="P2387" s="2453"/>
      <c r="W2387" t="s">
        <v>2062</v>
      </c>
    </row>
    <row r="2388" spans="1:23" ht="13.15" customHeight="1">
      <c r="A2388" s="2" t="s">
        <v>2215</v>
      </c>
      <c r="B2388" s="2">
        <f t="shared" si="74"/>
        <v>2020</v>
      </c>
      <c r="C2388" s="2" t="str">
        <f t="shared" si="75"/>
        <v>LIM333</v>
      </c>
      <c r="D2388" s="2">
        <v>770</v>
      </c>
      <c r="F2388" s="2451"/>
      <c r="G2388" s="2451"/>
      <c r="H2388" s="2451"/>
      <c r="I2388" s="2451"/>
      <c r="J2388" s="2451"/>
      <c r="K2388" s="2451"/>
      <c r="L2388" s="2453"/>
      <c r="M2388" s="2453"/>
      <c r="N2388" s="2453"/>
      <c r="O2388" s="2453"/>
      <c r="P2388" s="2453"/>
      <c r="W2388" t="s">
        <v>2062</v>
      </c>
    </row>
    <row r="2389" spans="1:23" ht="13.15" customHeight="1">
      <c r="A2389" s="2" t="s">
        <v>2215</v>
      </c>
      <c r="B2389" s="2">
        <f t="shared" si="74"/>
        <v>2020</v>
      </c>
      <c r="C2389" s="2" t="str">
        <f t="shared" si="75"/>
        <v>LIM333</v>
      </c>
      <c r="D2389" s="2">
        <v>771</v>
      </c>
      <c r="F2389" s="2451"/>
      <c r="G2389" s="2451"/>
      <c r="H2389" s="2451"/>
      <c r="I2389" s="2451"/>
      <c r="J2389" s="2451"/>
      <c r="K2389" s="2451"/>
      <c r="L2389" s="2453"/>
      <c r="M2389" s="2453"/>
      <c r="N2389" s="2453"/>
      <c r="O2389" s="2453"/>
      <c r="P2389" s="2453"/>
      <c r="W2389" t="s">
        <v>2062</v>
      </c>
    </row>
    <row r="2390" spans="1:23" ht="13.15" customHeight="1">
      <c r="A2390" s="2" t="s">
        <v>2215</v>
      </c>
      <c r="B2390" s="2">
        <f t="shared" si="74"/>
        <v>2020</v>
      </c>
      <c r="C2390" s="2" t="str">
        <f t="shared" si="75"/>
        <v>LIM333</v>
      </c>
      <c r="D2390" s="2">
        <v>772</v>
      </c>
      <c r="F2390" s="2451"/>
      <c r="G2390" s="2451"/>
      <c r="H2390" s="2451"/>
      <c r="I2390" s="2451"/>
      <c r="J2390" s="2451"/>
      <c r="K2390" s="2451"/>
      <c r="L2390" s="2453"/>
      <c r="M2390" s="2453"/>
      <c r="N2390" s="2453"/>
      <c r="O2390" s="2453"/>
      <c r="P2390" s="2453"/>
      <c r="W2390" t="s">
        <v>2062</v>
      </c>
    </row>
    <row r="2391" spans="1:23" ht="13.15" customHeight="1">
      <c r="A2391" s="2" t="s">
        <v>2215</v>
      </c>
      <c r="B2391" s="2">
        <f t="shared" si="74"/>
        <v>2020</v>
      </c>
      <c r="C2391" s="2" t="str">
        <f t="shared" si="75"/>
        <v>LIM333</v>
      </c>
      <c r="D2391" s="2">
        <v>773</v>
      </c>
      <c r="F2391" s="2451"/>
      <c r="G2391" s="2451"/>
      <c r="H2391" s="2451"/>
      <c r="I2391" s="2451"/>
      <c r="J2391" s="2451"/>
      <c r="K2391" s="2451"/>
      <c r="L2391" s="2453"/>
      <c r="M2391" s="2453"/>
      <c r="N2391" s="2453"/>
      <c r="O2391" s="2453"/>
      <c r="P2391" s="2453"/>
      <c r="W2391" t="s">
        <v>2062</v>
      </c>
    </row>
    <row r="2392" spans="1:23" ht="13.15" customHeight="1">
      <c r="A2392" s="2" t="s">
        <v>2215</v>
      </c>
      <c r="B2392" s="2">
        <f t="shared" si="74"/>
        <v>2020</v>
      </c>
      <c r="C2392" s="2" t="str">
        <f t="shared" si="75"/>
        <v>LIM333</v>
      </c>
      <c r="D2392" s="2">
        <v>774</v>
      </c>
      <c r="F2392" s="2451"/>
      <c r="G2392" s="2451"/>
      <c r="H2392" s="2451"/>
      <c r="I2392" s="2451"/>
      <c r="J2392" s="2451"/>
      <c r="K2392" s="2451"/>
      <c r="L2392" s="2453"/>
      <c r="M2392" s="2453"/>
      <c r="N2392" s="2453"/>
      <c r="O2392" s="2453"/>
      <c r="P2392" s="2453"/>
      <c r="W2392" t="s">
        <v>2062</v>
      </c>
    </row>
    <row r="2393" spans="1:23" ht="13.15" customHeight="1">
      <c r="A2393" s="2" t="s">
        <v>2215</v>
      </c>
      <c r="B2393" s="2">
        <f t="shared" si="74"/>
        <v>2020</v>
      </c>
      <c r="C2393" s="2" t="str">
        <f t="shared" si="75"/>
        <v>LIM333</v>
      </c>
      <c r="D2393" s="2">
        <v>775</v>
      </c>
      <c r="F2393" s="2451"/>
      <c r="G2393" s="2451"/>
      <c r="H2393" s="2451"/>
      <c r="I2393" s="2451"/>
      <c r="J2393" s="2451"/>
      <c r="K2393" s="2451"/>
      <c r="L2393" s="2453"/>
      <c r="M2393" s="2453"/>
      <c r="N2393" s="2453"/>
      <c r="O2393" s="2453"/>
      <c r="P2393" s="2453"/>
      <c r="W2393" t="s">
        <v>2062</v>
      </c>
    </row>
    <row r="2394" spans="1:23" ht="13.15" customHeight="1">
      <c r="A2394" s="2" t="s">
        <v>2215</v>
      </c>
      <c r="B2394" s="2">
        <f t="shared" si="74"/>
        <v>2020</v>
      </c>
      <c r="C2394" s="2" t="str">
        <f t="shared" si="75"/>
        <v>LIM333</v>
      </c>
      <c r="D2394" s="2">
        <v>776</v>
      </c>
      <c r="F2394" s="2451"/>
      <c r="G2394" s="2451"/>
      <c r="H2394" s="2451"/>
      <c r="I2394" s="2451"/>
      <c r="J2394" s="2451"/>
      <c r="K2394" s="2451"/>
      <c r="L2394" s="2453"/>
      <c r="M2394" s="2453"/>
      <c r="N2394" s="2453"/>
      <c r="O2394" s="2453"/>
      <c r="P2394" s="2453"/>
      <c r="W2394" t="s">
        <v>2062</v>
      </c>
    </row>
    <row r="2395" spans="1:23" ht="13.15" customHeight="1">
      <c r="A2395" s="2" t="s">
        <v>2215</v>
      </c>
      <c r="B2395" s="2">
        <f t="shared" si="74"/>
        <v>2020</v>
      </c>
      <c r="C2395" s="2" t="str">
        <f t="shared" si="75"/>
        <v>LIM333</v>
      </c>
      <c r="D2395" s="2">
        <v>777</v>
      </c>
      <c r="F2395" s="2451"/>
      <c r="G2395" s="2451"/>
      <c r="H2395" s="2451"/>
      <c r="I2395" s="2451"/>
      <c r="J2395" s="2451"/>
      <c r="K2395" s="2451"/>
      <c r="L2395" s="2453"/>
      <c r="M2395" s="2453"/>
      <c r="N2395" s="2453"/>
      <c r="O2395" s="2453"/>
      <c r="P2395" s="2453"/>
      <c r="W2395" t="s">
        <v>2062</v>
      </c>
    </row>
    <row r="2396" spans="1:23" ht="13.15" customHeight="1">
      <c r="A2396" s="2" t="s">
        <v>2215</v>
      </c>
      <c r="B2396" s="2">
        <f t="shared" si="74"/>
        <v>2020</v>
      </c>
      <c r="C2396" s="2" t="str">
        <f t="shared" si="75"/>
        <v>LIM333</v>
      </c>
      <c r="D2396" s="2">
        <v>778</v>
      </c>
      <c r="F2396" s="2451"/>
      <c r="G2396" s="2451"/>
      <c r="H2396" s="2451"/>
      <c r="I2396" s="2451"/>
      <c r="J2396" s="2451"/>
      <c r="K2396" s="2451"/>
      <c r="L2396" s="2453"/>
      <c r="M2396" s="2453"/>
      <c r="N2396" s="2453"/>
      <c r="O2396" s="2453"/>
      <c r="P2396" s="2453"/>
      <c r="W2396" t="s">
        <v>2062</v>
      </c>
    </row>
    <row r="2397" spans="1:23" ht="13.15" customHeight="1">
      <c r="A2397" s="2" t="s">
        <v>2215</v>
      </c>
      <c r="B2397" s="2">
        <f t="shared" si="74"/>
        <v>2020</v>
      </c>
      <c r="C2397" s="2" t="str">
        <f t="shared" si="75"/>
        <v>LIM333</v>
      </c>
      <c r="D2397" s="2">
        <v>779</v>
      </c>
      <c r="F2397" s="2451"/>
      <c r="G2397" s="2451"/>
      <c r="H2397" s="2451"/>
      <c r="I2397" s="2451"/>
      <c r="J2397" s="2451"/>
      <c r="K2397" s="2451"/>
      <c r="L2397" s="2453"/>
      <c r="M2397" s="2453"/>
      <c r="N2397" s="2453"/>
      <c r="O2397" s="2453"/>
      <c r="P2397" s="2453"/>
      <c r="W2397" t="s">
        <v>2062</v>
      </c>
    </row>
    <row r="2398" spans="1:23" ht="13.15" customHeight="1">
      <c r="A2398" s="2" t="s">
        <v>2215</v>
      </c>
      <c r="B2398" s="2">
        <f t="shared" si="74"/>
        <v>2020</v>
      </c>
      <c r="C2398" s="2" t="str">
        <f t="shared" si="75"/>
        <v>LIM333</v>
      </c>
      <c r="D2398" s="2">
        <v>780</v>
      </c>
      <c r="F2398" s="2451"/>
      <c r="G2398" s="2451"/>
      <c r="H2398" s="2451"/>
      <c r="I2398" s="2451"/>
      <c r="J2398" s="2451"/>
      <c r="K2398" s="2451"/>
      <c r="L2398" s="2453"/>
      <c r="M2398" s="2453"/>
      <c r="N2398" s="2453"/>
      <c r="O2398" s="2453"/>
      <c r="P2398" s="2453"/>
      <c r="W2398" t="s">
        <v>2062</v>
      </c>
    </row>
    <row r="2399" spans="1:23" ht="13.15" customHeight="1">
      <c r="A2399" s="2" t="s">
        <v>2215</v>
      </c>
      <c r="B2399" s="2">
        <f t="shared" si="74"/>
        <v>2020</v>
      </c>
      <c r="C2399" s="2" t="str">
        <f t="shared" si="75"/>
        <v>LIM333</v>
      </c>
      <c r="D2399" s="2">
        <v>781</v>
      </c>
      <c r="F2399" s="2451"/>
      <c r="G2399" s="2451"/>
      <c r="H2399" s="2451"/>
      <c r="I2399" s="2451"/>
      <c r="J2399" s="2451"/>
      <c r="K2399" s="2451"/>
      <c r="L2399" s="2453"/>
      <c r="M2399" s="2453"/>
      <c r="N2399" s="2453"/>
      <c r="O2399" s="2453"/>
      <c r="P2399" s="2453"/>
      <c r="W2399" t="s">
        <v>2062</v>
      </c>
    </row>
    <row r="2400" spans="1:23" ht="13.15" customHeight="1">
      <c r="A2400" s="2" t="s">
        <v>2215</v>
      </c>
      <c r="B2400" s="2">
        <f t="shared" si="74"/>
        <v>2020</v>
      </c>
      <c r="C2400" s="2" t="str">
        <f t="shared" si="75"/>
        <v>LIM333</v>
      </c>
      <c r="D2400" s="2">
        <v>782</v>
      </c>
      <c r="F2400" s="2451"/>
      <c r="G2400" s="2451"/>
      <c r="H2400" s="2451"/>
      <c r="I2400" s="2451"/>
      <c r="J2400" s="2451"/>
      <c r="K2400" s="2451"/>
      <c r="L2400" s="2453"/>
      <c r="M2400" s="2453"/>
      <c r="N2400" s="2453"/>
      <c r="O2400" s="2453"/>
      <c r="P2400" s="2453"/>
      <c r="W2400" t="s">
        <v>2062</v>
      </c>
    </row>
    <row r="2401" spans="1:23" ht="13.15" customHeight="1">
      <c r="A2401" s="2" t="s">
        <v>2215</v>
      </c>
      <c r="B2401" s="2">
        <f t="shared" si="74"/>
        <v>2020</v>
      </c>
      <c r="C2401" s="2" t="str">
        <f t="shared" si="75"/>
        <v>LIM333</v>
      </c>
      <c r="D2401" s="2">
        <v>783</v>
      </c>
      <c r="F2401" s="2451"/>
      <c r="G2401" s="2451"/>
      <c r="H2401" s="2451"/>
      <c r="I2401" s="2451"/>
      <c r="J2401" s="2451"/>
      <c r="K2401" s="2451"/>
      <c r="L2401" s="2453"/>
      <c r="M2401" s="2453"/>
      <c r="N2401" s="2453"/>
      <c r="O2401" s="2453"/>
      <c r="P2401" s="2453"/>
      <c r="W2401" t="s">
        <v>2062</v>
      </c>
    </row>
    <row r="2402" spans="1:23" ht="13.15" customHeight="1">
      <c r="A2402" s="2" t="s">
        <v>2215</v>
      </c>
      <c r="B2402" s="2">
        <f t="shared" si="74"/>
        <v>2020</v>
      </c>
      <c r="C2402" s="2" t="str">
        <f t="shared" si="75"/>
        <v>LIM333</v>
      </c>
      <c r="D2402" s="2">
        <v>784</v>
      </c>
      <c r="F2402" s="2451"/>
      <c r="G2402" s="2451"/>
      <c r="H2402" s="2451"/>
      <c r="I2402" s="2451"/>
      <c r="J2402" s="2451"/>
      <c r="K2402" s="2451"/>
      <c r="L2402" s="2453"/>
      <c r="M2402" s="2453"/>
      <c r="N2402" s="2453"/>
      <c r="O2402" s="2453"/>
      <c r="P2402" s="2453"/>
      <c r="W2402" t="s">
        <v>2062</v>
      </c>
    </row>
    <row r="2403" spans="1:23" ht="13.15" customHeight="1">
      <c r="A2403" s="2" t="s">
        <v>2215</v>
      </c>
      <c r="B2403" s="2">
        <f t="shared" si="74"/>
        <v>2020</v>
      </c>
      <c r="C2403" s="2" t="str">
        <f t="shared" si="75"/>
        <v>LIM333</v>
      </c>
      <c r="D2403" s="2">
        <v>785</v>
      </c>
      <c r="F2403" s="2451"/>
      <c r="G2403" s="2451"/>
      <c r="H2403" s="2451"/>
      <c r="I2403" s="2451"/>
      <c r="J2403" s="2451"/>
      <c r="K2403" s="2451"/>
      <c r="L2403" s="2453"/>
      <c r="M2403" s="2453"/>
      <c r="N2403" s="2453"/>
      <c r="O2403" s="2453"/>
      <c r="P2403" s="2453"/>
      <c r="W2403" t="s">
        <v>2062</v>
      </c>
    </row>
    <row r="2404" spans="1:23" ht="13.15" customHeight="1">
      <c r="A2404" s="2" t="s">
        <v>2215</v>
      </c>
      <c r="B2404" s="2">
        <f t="shared" si="74"/>
        <v>2020</v>
      </c>
      <c r="C2404" s="2" t="str">
        <f t="shared" si="75"/>
        <v>LIM333</v>
      </c>
      <c r="D2404" s="2">
        <v>786</v>
      </c>
      <c r="F2404" s="2451"/>
      <c r="G2404" s="2451"/>
      <c r="H2404" s="2451"/>
      <c r="I2404" s="2451"/>
      <c r="J2404" s="2451"/>
      <c r="K2404" s="2451"/>
      <c r="L2404" s="2453"/>
      <c r="M2404" s="2453"/>
      <c r="N2404" s="2453"/>
      <c r="O2404" s="2453"/>
      <c r="P2404" s="2453"/>
      <c r="W2404" t="s">
        <v>2062</v>
      </c>
    </row>
    <row r="2405" spans="1:23" ht="13.15" customHeight="1">
      <c r="A2405" s="2" t="s">
        <v>2215</v>
      </c>
      <c r="B2405" s="2">
        <f t="shared" si="74"/>
        <v>2020</v>
      </c>
      <c r="C2405" s="2" t="str">
        <f t="shared" si="75"/>
        <v>LIM333</v>
      </c>
      <c r="D2405" s="2">
        <v>787</v>
      </c>
      <c r="F2405" s="2451"/>
      <c r="G2405" s="2451"/>
      <c r="H2405" s="2451"/>
      <c r="I2405" s="2451"/>
      <c r="J2405" s="2451"/>
      <c r="K2405" s="2451"/>
      <c r="L2405" s="2453"/>
      <c r="M2405" s="2453"/>
      <c r="N2405" s="2453"/>
      <c r="O2405" s="2453"/>
      <c r="P2405" s="2453"/>
      <c r="W2405" t="s">
        <v>2062</v>
      </c>
    </row>
    <row r="2406" spans="1:23" ht="13.15" customHeight="1">
      <c r="A2406" s="2" t="s">
        <v>2215</v>
      </c>
      <c r="B2406" s="2">
        <f t="shared" si="74"/>
        <v>2020</v>
      </c>
      <c r="C2406" s="2" t="str">
        <f t="shared" si="75"/>
        <v>LIM333</v>
      </c>
      <c r="D2406" s="2">
        <v>788</v>
      </c>
      <c r="F2406" s="2451"/>
      <c r="G2406" s="2451"/>
      <c r="H2406" s="2451"/>
      <c r="I2406" s="2451"/>
      <c r="J2406" s="2451"/>
      <c r="K2406" s="2451"/>
      <c r="L2406" s="2453"/>
      <c r="M2406" s="2453"/>
      <c r="N2406" s="2453"/>
      <c r="O2406" s="2453"/>
      <c r="P2406" s="2453"/>
      <c r="W2406" t="s">
        <v>2062</v>
      </c>
    </row>
    <row r="2407" spans="1:23" ht="13.15" customHeight="1">
      <c r="A2407" s="2" t="s">
        <v>2215</v>
      </c>
      <c r="B2407" s="2">
        <f t="shared" si="74"/>
        <v>2020</v>
      </c>
      <c r="C2407" s="2" t="str">
        <f t="shared" si="75"/>
        <v>LIM333</v>
      </c>
      <c r="D2407" s="2">
        <v>789</v>
      </c>
      <c r="F2407" s="2451"/>
      <c r="G2407" s="2451"/>
      <c r="H2407" s="2451"/>
      <c r="I2407" s="2451"/>
      <c r="J2407" s="2451"/>
      <c r="K2407" s="2451"/>
      <c r="L2407" s="2453"/>
      <c r="M2407" s="2453"/>
      <c r="N2407" s="2453"/>
      <c r="O2407" s="2453"/>
      <c r="P2407" s="2453"/>
      <c r="W2407" t="s">
        <v>2062</v>
      </c>
    </row>
    <row r="2408" spans="1:23" ht="13.15" customHeight="1">
      <c r="A2408" s="2" t="s">
        <v>2215</v>
      </c>
      <c r="B2408" s="2">
        <f t="shared" si="74"/>
        <v>2020</v>
      </c>
      <c r="C2408" s="2" t="str">
        <f t="shared" si="75"/>
        <v>LIM333</v>
      </c>
      <c r="D2408" s="2">
        <v>790</v>
      </c>
      <c r="F2408" s="2451"/>
      <c r="G2408" s="2451"/>
      <c r="H2408" s="2451"/>
      <c r="I2408" s="2451"/>
      <c r="J2408" s="2451"/>
      <c r="K2408" s="2451"/>
      <c r="L2408" s="2453"/>
      <c r="M2408" s="2453"/>
      <c r="N2408" s="2453"/>
      <c r="O2408" s="2453"/>
      <c r="P2408" s="2453"/>
      <c r="W2408" t="s">
        <v>2062</v>
      </c>
    </row>
    <row r="2409" spans="1:23" ht="13.15" customHeight="1">
      <c r="A2409" s="2" t="s">
        <v>2215</v>
      </c>
      <c r="B2409" s="2">
        <f t="shared" si="74"/>
        <v>2020</v>
      </c>
      <c r="C2409" s="2" t="str">
        <f t="shared" si="75"/>
        <v>LIM333</v>
      </c>
      <c r="D2409" s="2">
        <v>791</v>
      </c>
      <c r="F2409" s="2451"/>
      <c r="G2409" s="2451"/>
      <c r="H2409" s="2451"/>
      <c r="I2409" s="2451"/>
      <c r="J2409" s="2451"/>
      <c r="K2409" s="2451"/>
      <c r="L2409" s="2453"/>
      <c r="M2409" s="2453"/>
      <c r="N2409" s="2453"/>
      <c r="O2409" s="2453"/>
      <c r="P2409" s="2453"/>
      <c r="W2409" t="s">
        <v>2062</v>
      </c>
    </row>
    <row r="2410" spans="1:23" ht="13.15" customHeight="1">
      <c r="A2410" s="2" t="s">
        <v>2215</v>
      </c>
      <c r="B2410" s="2">
        <f t="shared" si="74"/>
        <v>2020</v>
      </c>
      <c r="C2410" s="2" t="str">
        <f t="shared" si="75"/>
        <v>LIM333</v>
      </c>
      <c r="D2410" s="2">
        <v>792</v>
      </c>
      <c r="F2410" s="2451"/>
      <c r="G2410" s="2451"/>
      <c r="H2410" s="2451"/>
      <c r="I2410" s="2451"/>
      <c r="J2410" s="2451"/>
      <c r="K2410" s="2451"/>
      <c r="L2410" s="2453"/>
      <c r="M2410" s="2453"/>
      <c r="N2410" s="2453"/>
      <c r="O2410" s="2453"/>
      <c r="P2410" s="2453"/>
      <c r="W2410" t="s">
        <v>2062</v>
      </c>
    </row>
    <row r="2411" spans="1:23" ht="13.15" customHeight="1">
      <c r="A2411" s="2" t="s">
        <v>2215</v>
      </c>
      <c r="B2411" s="2">
        <f t="shared" si="74"/>
        <v>2020</v>
      </c>
      <c r="C2411" s="2" t="str">
        <f t="shared" si="75"/>
        <v>LIM333</v>
      </c>
      <c r="D2411" s="2">
        <v>793</v>
      </c>
      <c r="F2411" s="2451"/>
      <c r="G2411" s="2451"/>
      <c r="H2411" s="2451"/>
      <c r="I2411" s="2451"/>
      <c r="J2411" s="2451"/>
      <c r="K2411" s="2451"/>
      <c r="L2411" s="2453"/>
      <c r="M2411" s="2453"/>
      <c r="N2411" s="2453"/>
      <c r="O2411" s="2453"/>
      <c r="P2411" s="2453"/>
      <c r="W2411" t="s">
        <v>2062</v>
      </c>
    </row>
    <row r="2412" spans="1:23" ht="13.15" customHeight="1">
      <c r="A2412" s="2" t="s">
        <v>2215</v>
      </c>
      <c r="B2412" s="2">
        <f t="shared" si="74"/>
        <v>2020</v>
      </c>
      <c r="C2412" s="2" t="str">
        <f t="shared" si="75"/>
        <v>LIM333</v>
      </c>
      <c r="D2412" s="2">
        <v>794</v>
      </c>
      <c r="F2412" s="2451"/>
      <c r="G2412" s="2451"/>
      <c r="H2412" s="2451"/>
      <c r="I2412" s="2451"/>
      <c r="J2412" s="2451"/>
      <c r="K2412" s="2451"/>
      <c r="L2412" s="2453"/>
      <c r="M2412" s="2453"/>
      <c r="N2412" s="2453"/>
      <c r="O2412" s="2453"/>
      <c r="P2412" s="2453"/>
      <c r="W2412" t="s">
        <v>2062</v>
      </c>
    </row>
    <row r="2413" spans="1:23" ht="13.15" customHeight="1">
      <c r="A2413" s="2" t="s">
        <v>2215</v>
      </c>
      <c r="B2413" s="2">
        <f t="shared" si="74"/>
        <v>2020</v>
      </c>
      <c r="C2413" s="2" t="str">
        <f t="shared" si="75"/>
        <v>LIM333</v>
      </c>
      <c r="D2413" s="2">
        <v>795</v>
      </c>
      <c r="F2413" s="2451"/>
      <c r="G2413" s="2451"/>
      <c r="H2413" s="2451"/>
      <c r="I2413" s="2451"/>
      <c r="J2413" s="2451"/>
      <c r="K2413" s="2451"/>
      <c r="L2413" s="2453"/>
      <c r="M2413" s="2453"/>
      <c r="N2413" s="2453"/>
      <c r="O2413" s="2453"/>
      <c r="P2413" s="2453"/>
      <c r="W2413" t="s">
        <v>2062</v>
      </c>
    </row>
    <row r="2414" spans="1:23" ht="13.15" customHeight="1">
      <c r="A2414" s="2" t="s">
        <v>2215</v>
      </c>
      <c r="B2414" s="2">
        <f t="shared" si="74"/>
        <v>2020</v>
      </c>
      <c r="C2414" s="2" t="str">
        <f t="shared" si="75"/>
        <v>LIM333</v>
      </c>
      <c r="D2414" s="2">
        <v>796</v>
      </c>
      <c r="F2414" s="2451"/>
      <c r="G2414" s="2451"/>
      <c r="H2414" s="2451"/>
      <c r="I2414" s="2451"/>
      <c r="J2414" s="2451"/>
      <c r="K2414" s="2451"/>
      <c r="L2414" s="2453"/>
      <c r="M2414" s="2453"/>
      <c r="N2414" s="2453"/>
      <c r="O2414" s="2453"/>
      <c r="P2414" s="2453"/>
      <c r="W2414" t="s">
        <v>2062</v>
      </c>
    </row>
    <row r="2415" spans="1:23" ht="13.15" customHeight="1">
      <c r="A2415" s="2" t="s">
        <v>2215</v>
      </c>
      <c r="B2415" s="2">
        <f t="shared" si="74"/>
        <v>2020</v>
      </c>
      <c r="C2415" s="2" t="str">
        <f t="shared" si="75"/>
        <v>LIM333</v>
      </c>
      <c r="D2415" s="2">
        <v>797</v>
      </c>
      <c r="F2415" s="2451"/>
      <c r="G2415" s="2451"/>
      <c r="H2415" s="2451"/>
      <c r="I2415" s="2451"/>
      <c r="J2415" s="2451"/>
      <c r="K2415" s="2451"/>
      <c r="L2415" s="2453"/>
      <c r="M2415" s="2453"/>
      <c r="N2415" s="2453"/>
      <c r="O2415" s="2453"/>
      <c r="P2415" s="2453"/>
      <c r="W2415" t="s">
        <v>2062</v>
      </c>
    </row>
    <row r="2416" spans="1:23" ht="13.15" customHeight="1">
      <c r="A2416" s="2" t="s">
        <v>2215</v>
      </c>
      <c r="B2416" s="2">
        <f t="shared" si="74"/>
        <v>2020</v>
      </c>
      <c r="C2416" s="2" t="str">
        <f t="shared" si="75"/>
        <v>LIM333</v>
      </c>
      <c r="D2416" s="2">
        <v>798</v>
      </c>
      <c r="F2416" s="2451"/>
      <c r="G2416" s="2451"/>
      <c r="H2416" s="2451"/>
      <c r="I2416" s="2451"/>
      <c r="J2416" s="2451"/>
      <c r="K2416" s="2451"/>
      <c r="L2416" s="2453"/>
      <c r="M2416" s="2453"/>
      <c r="N2416" s="2453"/>
      <c r="O2416" s="2453"/>
      <c r="P2416" s="2453"/>
      <c r="W2416" t="s">
        <v>2062</v>
      </c>
    </row>
    <row r="2417" spans="1:23" ht="13.15" customHeight="1">
      <c r="A2417" s="2" t="s">
        <v>2215</v>
      </c>
      <c r="B2417" s="2">
        <f t="shared" si="74"/>
        <v>2020</v>
      </c>
      <c r="C2417" s="2" t="str">
        <f t="shared" si="75"/>
        <v>LIM333</v>
      </c>
      <c r="D2417" s="2">
        <v>799</v>
      </c>
      <c r="F2417" s="2451"/>
      <c r="G2417" s="2451"/>
      <c r="H2417" s="2451"/>
      <c r="I2417" s="2451"/>
      <c r="J2417" s="2451"/>
      <c r="K2417" s="2451"/>
      <c r="L2417" s="2453"/>
      <c r="M2417" s="2453"/>
      <c r="N2417" s="2453"/>
      <c r="O2417" s="2453"/>
      <c r="P2417" s="2453"/>
      <c r="W2417" t="s">
        <v>2062</v>
      </c>
    </row>
    <row r="2418" spans="1:23" ht="13.15" customHeight="1">
      <c r="A2418" s="2" t="s">
        <v>2215</v>
      </c>
      <c r="B2418" s="2">
        <f t="shared" si="74"/>
        <v>2020</v>
      </c>
      <c r="C2418" s="2" t="str">
        <f t="shared" si="75"/>
        <v>LIM333</v>
      </c>
      <c r="D2418" s="2">
        <v>800</v>
      </c>
      <c r="F2418" s="2451"/>
      <c r="G2418" s="2451"/>
      <c r="H2418" s="2451"/>
      <c r="I2418" s="2451"/>
      <c r="J2418" s="2451"/>
      <c r="K2418" s="2451"/>
      <c r="L2418" s="2453"/>
      <c r="M2418" s="2453"/>
      <c r="N2418" s="2453"/>
      <c r="O2418" s="2453"/>
      <c r="P2418" s="2453"/>
      <c r="W2418" t="s">
        <v>2062</v>
      </c>
    </row>
    <row r="2419" spans="1:23" ht="13.15" customHeight="1">
      <c r="A2419" s="2" t="s">
        <v>2215</v>
      </c>
      <c r="B2419" s="2">
        <f t="shared" si="74"/>
        <v>2020</v>
      </c>
      <c r="C2419" s="2" t="str">
        <f t="shared" si="75"/>
        <v>LIM333</v>
      </c>
      <c r="D2419" s="2">
        <v>801</v>
      </c>
      <c r="F2419" s="2451"/>
      <c r="G2419" s="2451"/>
      <c r="H2419" s="2451"/>
      <c r="I2419" s="2451"/>
      <c r="J2419" s="2451"/>
      <c r="K2419" s="2451"/>
      <c r="L2419" s="2453"/>
      <c r="M2419" s="2453"/>
      <c r="N2419" s="2453"/>
      <c r="O2419" s="2453"/>
      <c r="P2419" s="2453"/>
      <c r="W2419" t="s">
        <v>2062</v>
      </c>
    </row>
    <row r="2420" spans="1:23" ht="13.15" customHeight="1">
      <c r="A2420" s="2" t="s">
        <v>2215</v>
      </c>
      <c r="B2420" s="2">
        <f t="shared" si="74"/>
        <v>2020</v>
      </c>
      <c r="C2420" s="2" t="str">
        <f t="shared" si="75"/>
        <v>LIM333</v>
      </c>
      <c r="D2420" s="2">
        <v>802</v>
      </c>
      <c r="F2420" s="2451"/>
      <c r="G2420" s="2451"/>
      <c r="H2420" s="2451"/>
      <c r="I2420" s="2451"/>
      <c r="J2420" s="2451"/>
      <c r="K2420" s="2451"/>
      <c r="L2420" s="2453"/>
      <c r="M2420" s="2453"/>
      <c r="N2420" s="2453"/>
      <c r="O2420" s="2453"/>
      <c r="P2420" s="2453"/>
      <c r="W2420" t="s">
        <v>2062</v>
      </c>
    </row>
    <row r="2421" spans="1:23" ht="13.15" customHeight="1">
      <c r="A2421" s="2" t="s">
        <v>2215</v>
      </c>
      <c r="B2421" s="2">
        <f t="shared" si="74"/>
        <v>2020</v>
      </c>
      <c r="C2421" s="2" t="str">
        <f t="shared" si="75"/>
        <v>LIM333</v>
      </c>
      <c r="D2421" s="2">
        <v>803</v>
      </c>
      <c r="F2421" s="2451"/>
      <c r="G2421" s="2451"/>
      <c r="H2421" s="2451"/>
      <c r="I2421" s="2451"/>
      <c r="J2421" s="2451"/>
      <c r="K2421" s="2451"/>
      <c r="L2421" s="2453"/>
      <c r="M2421" s="2453"/>
      <c r="N2421" s="2453"/>
      <c r="O2421" s="2453"/>
      <c r="P2421" s="2453"/>
      <c r="W2421" t="s">
        <v>2062</v>
      </c>
    </row>
    <row r="2422" spans="1:23" ht="13.15" customHeight="1">
      <c r="A2422" s="2" t="s">
        <v>2215</v>
      </c>
      <c r="B2422" s="2">
        <f t="shared" si="74"/>
        <v>2020</v>
      </c>
      <c r="C2422" s="2" t="str">
        <f t="shared" si="75"/>
        <v>LIM333</v>
      </c>
      <c r="D2422" s="2">
        <v>804</v>
      </c>
      <c r="F2422" s="2451"/>
      <c r="G2422" s="2451"/>
      <c r="H2422" s="2451"/>
      <c r="I2422" s="2451"/>
      <c r="J2422" s="2451"/>
      <c r="K2422" s="2451"/>
      <c r="L2422" s="2453"/>
      <c r="M2422" s="2453"/>
      <c r="N2422" s="2453"/>
      <c r="O2422" s="2453"/>
      <c r="P2422" s="2453"/>
      <c r="W2422" t="s">
        <v>2062</v>
      </c>
    </row>
    <row r="2423" spans="1:23" ht="13.15" customHeight="1">
      <c r="A2423" s="2" t="s">
        <v>2215</v>
      </c>
      <c r="B2423" s="2">
        <f t="shared" si="74"/>
        <v>2020</v>
      </c>
      <c r="C2423" s="2" t="str">
        <f t="shared" si="75"/>
        <v>LIM333</v>
      </c>
      <c r="D2423" s="2">
        <v>805</v>
      </c>
      <c r="F2423" s="2451"/>
      <c r="G2423" s="2451"/>
      <c r="H2423" s="2451"/>
      <c r="I2423" s="2451"/>
      <c r="J2423" s="2451"/>
      <c r="K2423" s="2451"/>
      <c r="L2423" s="2453"/>
      <c r="M2423" s="2453"/>
      <c r="N2423" s="2453"/>
      <c r="O2423" s="2453"/>
      <c r="P2423" s="2453"/>
      <c r="W2423" t="s">
        <v>2062</v>
      </c>
    </row>
    <row r="2424" spans="1:23" ht="13.15" customHeight="1">
      <c r="A2424" s="2" t="s">
        <v>2215</v>
      </c>
      <c r="B2424" s="2">
        <f t="shared" si="74"/>
        <v>2020</v>
      </c>
      <c r="C2424" s="2" t="str">
        <f t="shared" si="75"/>
        <v>LIM333</v>
      </c>
      <c r="D2424" s="2">
        <v>806</v>
      </c>
      <c r="F2424" s="2451"/>
      <c r="G2424" s="2451"/>
      <c r="H2424" s="2451"/>
      <c r="I2424" s="2451"/>
      <c r="J2424" s="2451"/>
      <c r="K2424" s="2451"/>
      <c r="L2424" s="2453"/>
      <c r="M2424" s="2453"/>
      <c r="N2424" s="2453"/>
      <c r="O2424" s="2453"/>
      <c r="P2424" s="2453"/>
      <c r="W2424" t="s">
        <v>2062</v>
      </c>
    </row>
    <row r="2425" spans="1:23" ht="13.15" customHeight="1">
      <c r="A2425" s="2" t="s">
        <v>2215</v>
      </c>
      <c r="B2425" s="2">
        <f t="shared" si="74"/>
        <v>2020</v>
      </c>
      <c r="C2425" s="2" t="str">
        <f t="shared" si="75"/>
        <v>LIM333</v>
      </c>
      <c r="D2425" s="2">
        <v>807</v>
      </c>
      <c r="F2425" s="2451"/>
      <c r="G2425" s="2451"/>
      <c r="H2425" s="2451"/>
      <c r="I2425" s="2451"/>
      <c r="J2425" s="2451"/>
      <c r="K2425" s="2451"/>
      <c r="L2425" s="2453"/>
      <c r="M2425" s="2453"/>
      <c r="N2425" s="2453"/>
      <c r="O2425" s="2453"/>
      <c r="P2425" s="2453"/>
      <c r="W2425" t="s">
        <v>2062</v>
      </c>
    </row>
    <row r="2426" spans="1:23" ht="13.15" customHeight="1">
      <c r="A2426" s="2" t="s">
        <v>2215</v>
      </c>
      <c r="B2426" s="2">
        <f t="shared" si="74"/>
        <v>2020</v>
      </c>
      <c r="C2426" s="2" t="str">
        <f t="shared" si="75"/>
        <v>LIM333</v>
      </c>
      <c r="D2426" s="2">
        <v>808</v>
      </c>
      <c r="F2426" s="2451"/>
      <c r="G2426" s="2451"/>
      <c r="H2426" s="2451"/>
      <c r="I2426" s="2451"/>
      <c r="J2426" s="2451"/>
      <c r="K2426" s="2451"/>
      <c r="L2426" s="2453"/>
      <c r="M2426" s="2453"/>
      <c r="N2426" s="2453"/>
      <c r="O2426" s="2453"/>
      <c r="P2426" s="2453"/>
      <c r="W2426" t="s">
        <v>2062</v>
      </c>
    </row>
    <row r="2427" spans="1:23" ht="13.15" customHeight="1">
      <c r="A2427" s="2" t="s">
        <v>2215</v>
      </c>
      <c r="B2427" s="2">
        <f t="shared" si="74"/>
        <v>2020</v>
      </c>
      <c r="C2427" s="2" t="str">
        <f t="shared" si="75"/>
        <v>LIM333</v>
      </c>
      <c r="D2427" s="2">
        <v>809</v>
      </c>
      <c r="F2427" s="2451"/>
      <c r="G2427" s="2451"/>
      <c r="H2427" s="2451"/>
      <c r="I2427" s="2451"/>
      <c r="J2427" s="2451"/>
      <c r="K2427" s="2451"/>
      <c r="L2427" s="2453"/>
      <c r="M2427" s="2453"/>
      <c r="N2427" s="2453"/>
      <c r="O2427" s="2453"/>
      <c r="P2427" s="2453"/>
      <c r="W2427" t="s">
        <v>2062</v>
      </c>
    </row>
    <row r="2428" spans="1:23" ht="13.15" customHeight="1">
      <c r="A2428" s="2" t="s">
        <v>2215</v>
      </c>
      <c r="B2428" s="2">
        <f t="shared" si="74"/>
        <v>2020</v>
      </c>
      <c r="C2428" s="2" t="str">
        <f t="shared" si="75"/>
        <v>LIM333</v>
      </c>
      <c r="D2428" s="2">
        <v>810</v>
      </c>
      <c r="F2428" s="2451"/>
      <c r="G2428" s="2451"/>
      <c r="H2428" s="2451"/>
      <c r="I2428" s="2451"/>
      <c r="J2428" s="2451"/>
      <c r="K2428" s="2451"/>
      <c r="L2428" s="2453"/>
      <c r="M2428" s="2453"/>
      <c r="N2428" s="2453"/>
      <c r="O2428" s="2453"/>
      <c r="P2428" s="2453"/>
      <c r="W2428" t="s">
        <v>2062</v>
      </c>
    </row>
    <row r="2429" spans="1:23" ht="13.15" customHeight="1">
      <c r="A2429" s="2" t="s">
        <v>2215</v>
      </c>
      <c r="B2429" s="2">
        <f t="shared" si="74"/>
        <v>2020</v>
      </c>
      <c r="C2429" s="2" t="str">
        <f t="shared" si="75"/>
        <v>LIM333</v>
      </c>
      <c r="D2429" s="2">
        <v>811</v>
      </c>
      <c r="F2429" s="2451"/>
      <c r="G2429" s="2451"/>
      <c r="H2429" s="2451"/>
      <c r="I2429" s="2451"/>
      <c r="J2429" s="2451"/>
      <c r="K2429" s="2451"/>
      <c r="L2429" s="2453"/>
      <c r="M2429" s="2453"/>
      <c r="N2429" s="2453"/>
      <c r="O2429" s="2453"/>
      <c r="P2429" s="2453"/>
      <c r="W2429" t="s">
        <v>2062</v>
      </c>
    </row>
    <row r="2430" spans="1:23" ht="13.15" customHeight="1">
      <c r="A2430" s="2" t="s">
        <v>2215</v>
      </c>
      <c r="B2430" s="2">
        <f t="shared" si="74"/>
        <v>2020</v>
      </c>
      <c r="C2430" s="2" t="str">
        <f t="shared" si="75"/>
        <v>LIM333</v>
      </c>
      <c r="D2430" s="2">
        <v>812</v>
      </c>
      <c r="F2430" s="2451"/>
      <c r="G2430" s="2451"/>
      <c r="H2430" s="2451"/>
      <c r="I2430" s="2451"/>
      <c r="J2430" s="2451"/>
      <c r="K2430" s="2451"/>
      <c r="L2430" s="2453"/>
      <c r="M2430" s="2453"/>
      <c r="N2430" s="2453"/>
      <c r="O2430" s="2453"/>
      <c r="P2430" s="2453"/>
      <c r="W2430" t="s">
        <v>2062</v>
      </c>
    </row>
    <row r="2431" spans="1:23" ht="13.15" customHeight="1">
      <c r="A2431" s="2" t="s">
        <v>2215</v>
      </c>
      <c r="B2431" s="2">
        <f t="shared" si="74"/>
        <v>2020</v>
      </c>
      <c r="C2431" s="2" t="str">
        <f t="shared" si="75"/>
        <v>LIM333</v>
      </c>
      <c r="D2431" s="2">
        <v>813</v>
      </c>
      <c r="F2431" s="2451"/>
      <c r="G2431" s="2451"/>
      <c r="H2431" s="2451"/>
      <c r="I2431" s="2451"/>
      <c r="J2431" s="2451"/>
      <c r="K2431" s="2451"/>
      <c r="L2431" s="2453"/>
      <c r="M2431" s="2453"/>
      <c r="N2431" s="2453"/>
      <c r="O2431" s="2453"/>
      <c r="P2431" s="2453"/>
      <c r="W2431" t="s">
        <v>2062</v>
      </c>
    </row>
    <row r="2432" spans="1:23" ht="13.15" customHeight="1">
      <c r="A2432" s="2" t="s">
        <v>2215</v>
      </c>
      <c r="B2432" s="2">
        <f t="shared" si="74"/>
        <v>2020</v>
      </c>
      <c r="C2432" s="2" t="str">
        <f t="shared" si="75"/>
        <v>LIM333</v>
      </c>
      <c r="D2432" s="2">
        <v>814</v>
      </c>
      <c r="F2432" s="2451"/>
      <c r="G2432" s="2451"/>
      <c r="H2432" s="2451"/>
      <c r="I2432" s="2451"/>
      <c r="J2432" s="2451"/>
      <c r="K2432" s="2451"/>
      <c r="L2432" s="2453"/>
      <c r="M2432" s="2453"/>
      <c r="N2432" s="2453"/>
      <c r="O2432" s="2453"/>
      <c r="P2432" s="2453"/>
      <c r="W2432" t="s">
        <v>2062</v>
      </c>
    </row>
    <row r="2433" spans="1:23" ht="13.15" customHeight="1">
      <c r="A2433" s="2" t="s">
        <v>2215</v>
      </c>
      <c r="B2433" s="2">
        <f t="shared" si="74"/>
        <v>2020</v>
      </c>
      <c r="C2433" s="2" t="str">
        <f t="shared" si="75"/>
        <v>LIM333</v>
      </c>
      <c r="D2433" s="2">
        <v>815</v>
      </c>
      <c r="F2433" s="2451"/>
      <c r="G2433" s="2451"/>
      <c r="H2433" s="2451"/>
      <c r="I2433" s="2451"/>
      <c r="J2433" s="2451"/>
      <c r="K2433" s="2451"/>
      <c r="L2433" s="2453"/>
      <c r="M2433" s="2453"/>
      <c r="N2433" s="2453"/>
      <c r="O2433" s="2453"/>
      <c r="P2433" s="2453"/>
      <c r="W2433" t="s">
        <v>2062</v>
      </c>
    </row>
    <row r="2434" spans="1:23" ht="13.15" customHeight="1">
      <c r="A2434" s="2" t="s">
        <v>2215</v>
      </c>
      <c r="B2434" s="2">
        <f t="shared" ref="B2434:B2497" si="76">+MTREF</f>
        <v>2020</v>
      </c>
      <c r="C2434" s="2" t="str">
        <f t="shared" ref="C2434:C2497" si="77">LEFT(muni,(FIND(" ",muni,1)-1))</f>
        <v>LIM333</v>
      </c>
      <c r="D2434" s="2">
        <v>816</v>
      </c>
      <c r="F2434" s="2451"/>
      <c r="G2434" s="2451"/>
      <c r="H2434" s="2451"/>
      <c r="I2434" s="2451"/>
      <c r="J2434" s="2451"/>
      <c r="K2434" s="2451"/>
      <c r="L2434" s="2453"/>
      <c r="M2434" s="2453"/>
      <c r="N2434" s="2453"/>
      <c r="O2434" s="2453"/>
      <c r="P2434" s="2453"/>
      <c r="W2434" t="s">
        <v>2062</v>
      </c>
    </row>
    <row r="2435" spans="1:23" ht="13.15" customHeight="1">
      <c r="A2435" s="2" t="s">
        <v>2215</v>
      </c>
      <c r="B2435" s="2">
        <f t="shared" si="76"/>
        <v>2020</v>
      </c>
      <c r="C2435" s="2" t="str">
        <f t="shared" si="77"/>
        <v>LIM333</v>
      </c>
      <c r="D2435" s="2">
        <v>817</v>
      </c>
      <c r="F2435" s="2451"/>
      <c r="G2435" s="2451"/>
      <c r="H2435" s="2451"/>
      <c r="I2435" s="2451"/>
      <c r="J2435" s="2451"/>
      <c r="K2435" s="2451"/>
      <c r="L2435" s="2453"/>
      <c r="M2435" s="2453"/>
      <c r="N2435" s="2453"/>
      <c r="O2435" s="2453"/>
      <c r="P2435" s="2453"/>
      <c r="W2435" t="s">
        <v>2062</v>
      </c>
    </row>
    <row r="2436" spans="1:23" ht="13.15" customHeight="1">
      <c r="A2436" s="2" t="s">
        <v>2215</v>
      </c>
      <c r="B2436" s="2">
        <f t="shared" si="76"/>
        <v>2020</v>
      </c>
      <c r="C2436" s="2" t="str">
        <f t="shared" si="77"/>
        <v>LIM333</v>
      </c>
      <c r="D2436" s="2">
        <v>818</v>
      </c>
      <c r="F2436" s="2451"/>
      <c r="G2436" s="2451"/>
      <c r="H2436" s="2451"/>
      <c r="I2436" s="2451"/>
      <c r="J2436" s="2451"/>
      <c r="K2436" s="2451"/>
      <c r="L2436" s="2453"/>
      <c r="M2436" s="2453"/>
      <c r="N2436" s="2453"/>
      <c r="O2436" s="2453"/>
      <c r="P2436" s="2453"/>
      <c r="W2436" t="s">
        <v>2062</v>
      </c>
    </row>
    <row r="2437" spans="1:23" ht="13.15" customHeight="1">
      <c r="A2437" s="2" t="s">
        <v>2215</v>
      </c>
      <c r="B2437" s="2">
        <f t="shared" si="76"/>
        <v>2020</v>
      </c>
      <c r="C2437" s="2" t="str">
        <f t="shared" si="77"/>
        <v>LIM333</v>
      </c>
      <c r="D2437" s="2">
        <v>819</v>
      </c>
      <c r="F2437" s="2451"/>
      <c r="G2437" s="2451"/>
      <c r="H2437" s="2451"/>
      <c r="I2437" s="2451"/>
      <c r="J2437" s="2451"/>
      <c r="K2437" s="2451"/>
      <c r="L2437" s="2453"/>
      <c r="M2437" s="2453"/>
      <c r="N2437" s="2453"/>
      <c r="O2437" s="2453"/>
      <c r="P2437" s="2453"/>
      <c r="W2437" t="s">
        <v>2062</v>
      </c>
    </row>
    <row r="2438" spans="1:23" ht="13.15" customHeight="1">
      <c r="A2438" s="2" t="s">
        <v>2215</v>
      </c>
      <c r="B2438" s="2">
        <f t="shared" si="76"/>
        <v>2020</v>
      </c>
      <c r="C2438" s="2" t="str">
        <f t="shared" si="77"/>
        <v>LIM333</v>
      </c>
      <c r="D2438" s="2">
        <v>820</v>
      </c>
      <c r="F2438" s="2451"/>
      <c r="G2438" s="2451"/>
      <c r="H2438" s="2451"/>
      <c r="I2438" s="2451"/>
      <c r="J2438" s="2451"/>
      <c r="K2438" s="2451"/>
      <c r="L2438" s="2453"/>
      <c r="M2438" s="2453"/>
      <c r="N2438" s="2453"/>
      <c r="O2438" s="2453"/>
      <c r="P2438" s="2453"/>
      <c r="W2438" t="s">
        <v>2062</v>
      </c>
    </row>
    <row r="2439" spans="1:23" ht="13.15" customHeight="1">
      <c r="A2439" s="2" t="s">
        <v>2215</v>
      </c>
      <c r="B2439" s="2">
        <f t="shared" si="76"/>
        <v>2020</v>
      </c>
      <c r="C2439" s="2" t="str">
        <f t="shared" si="77"/>
        <v>LIM333</v>
      </c>
      <c r="D2439" s="2">
        <v>821</v>
      </c>
      <c r="F2439" s="2451"/>
      <c r="G2439" s="2451"/>
      <c r="H2439" s="2451"/>
      <c r="I2439" s="2451"/>
      <c r="J2439" s="2451"/>
      <c r="K2439" s="2451"/>
      <c r="L2439" s="2453"/>
      <c r="M2439" s="2453"/>
      <c r="N2439" s="2453"/>
      <c r="O2439" s="2453"/>
      <c r="P2439" s="2453"/>
      <c r="W2439" t="s">
        <v>2062</v>
      </c>
    </row>
    <row r="2440" spans="1:23" ht="13.15" customHeight="1">
      <c r="A2440" s="2" t="s">
        <v>2215</v>
      </c>
      <c r="B2440" s="2">
        <f t="shared" si="76"/>
        <v>2020</v>
      </c>
      <c r="C2440" s="2" t="str">
        <f t="shared" si="77"/>
        <v>LIM333</v>
      </c>
      <c r="D2440" s="2">
        <v>822</v>
      </c>
      <c r="F2440" s="2451"/>
      <c r="G2440" s="2451"/>
      <c r="H2440" s="2451"/>
      <c r="I2440" s="2451"/>
      <c r="J2440" s="2451"/>
      <c r="K2440" s="2451"/>
      <c r="L2440" s="2453"/>
      <c r="M2440" s="2453"/>
      <c r="N2440" s="2453"/>
      <c r="O2440" s="2453"/>
      <c r="P2440" s="2453"/>
      <c r="W2440" t="s">
        <v>2062</v>
      </c>
    </row>
    <row r="2441" spans="1:23" ht="13.15" customHeight="1">
      <c r="A2441" s="2" t="s">
        <v>2215</v>
      </c>
      <c r="B2441" s="2">
        <f t="shared" si="76"/>
        <v>2020</v>
      </c>
      <c r="C2441" s="2" t="str">
        <f t="shared" si="77"/>
        <v>LIM333</v>
      </c>
      <c r="D2441" s="2">
        <v>823</v>
      </c>
      <c r="F2441" s="2451"/>
      <c r="G2441" s="2451"/>
      <c r="H2441" s="2451"/>
      <c r="I2441" s="2451"/>
      <c r="J2441" s="2451"/>
      <c r="K2441" s="2451"/>
      <c r="L2441" s="2453"/>
      <c r="M2441" s="2453"/>
      <c r="N2441" s="2453"/>
      <c r="O2441" s="2453"/>
      <c r="P2441" s="2453"/>
      <c r="W2441" t="s">
        <v>2062</v>
      </c>
    </row>
    <row r="2442" spans="1:23" ht="13.15" customHeight="1">
      <c r="A2442" s="2" t="s">
        <v>2215</v>
      </c>
      <c r="B2442" s="2">
        <f t="shared" si="76"/>
        <v>2020</v>
      </c>
      <c r="C2442" s="2" t="str">
        <f t="shared" si="77"/>
        <v>LIM333</v>
      </c>
      <c r="D2442" s="2">
        <v>824</v>
      </c>
      <c r="F2442" s="2451"/>
      <c r="G2442" s="2451"/>
      <c r="H2442" s="2451"/>
      <c r="I2442" s="2451"/>
      <c r="J2442" s="2451"/>
      <c r="K2442" s="2451"/>
      <c r="L2442" s="2453"/>
      <c r="M2442" s="2453"/>
      <c r="N2442" s="2453"/>
      <c r="O2442" s="2453"/>
      <c r="P2442" s="2453"/>
      <c r="W2442" t="s">
        <v>2062</v>
      </c>
    </row>
    <row r="2443" spans="1:23" ht="13.15" customHeight="1">
      <c r="A2443" s="2" t="s">
        <v>2215</v>
      </c>
      <c r="B2443" s="2">
        <f t="shared" si="76"/>
        <v>2020</v>
      </c>
      <c r="C2443" s="2" t="str">
        <f t="shared" si="77"/>
        <v>LIM333</v>
      </c>
      <c r="D2443" s="2">
        <v>825</v>
      </c>
      <c r="F2443" s="2451"/>
      <c r="G2443" s="2451"/>
      <c r="H2443" s="2451"/>
      <c r="I2443" s="2451"/>
      <c r="J2443" s="2451"/>
      <c r="K2443" s="2451"/>
      <c r="L2443" s="2453"/>
      <c r="M2443" s="2453"/>
      <c r="N2443" s="2453"/>
      <c r="O2443" s="2453"/>
      <c r="P2443" s="2453"/>
      <c r="W2443" t="s">
        <v>2062</v>
      </c>
    </row>
    <row r="2444" spans="1:23" ht="13.15" customHeight="1">
      <c r="A2444" s="2" t="s">
        <v>2215</v>
      </c>
      <c r="B2444" s="2">
        <f t="shared" si="76"/>
        <v>2020</v>
      </c>
      <c r="C2444" s="2" t="str">
        <f t="shared" si="77"/>
        <v>LIM333</v>
      </c>
      <c r="D2444" s="2">
        <v>826</v>
      </c>
      <c r="F2444" s="2451"/>
      <c r="G2444" s="2451"/>
      <c r="H2444" s="2451"/>
      <c r="I2444" s="2451"/>
      <c r="J2444" s="2451"/>
      <c r="K2444" s="2451"/>
      <c r="L2444" s="2453"/>
      <c r="M2444" s="2453"/>
      <c r="N2444" s="2453"/>
      <c r="O2444" s="2453"/>
      <c r="P2444" s="2453"/>
      <c r="W2444" t="s">
        <v>2062</v>
      </c>
    </row>
    <row r="2445" spans="1:23" ht="13.15" customHeight="1">
      <c r="A2445" s="2" t="s">
        <v>2215</v>
      </c>
      <c r="B2445" s="2">
        <f t="shared" si="76"/>
        <v>2020</v>
      </c>
      <c r="C2445" s="2" t="str">
        <f t="shared" si="77"/>
        <v>LIM333</v>
      </c>
      <c r="D2445" s="2">
        <v>827</v>
      </c>
      <c r="F2445" s="2451"/>
      <c r="G2445" s="2451"/>
      <c r="H2445" s="2451"/>
      <c r="I2445" s="2451"/>
      <c r="J2445" s="2451"/>
      <c r="K2445" s="2451"/>
      <c r="L2445" s="2453"/>
      <c r="M2445" s="2453"/>
      <c r="N2445" s="2453"/>
      <c r="O2445" s="2453"/>
      <c r="P2445" s="2453"/>
      <c r="W2445" t="s">
        <v>2062</v>
      </c>
    </row>
    <row r="2446" spans="1:23" ht="13.15" customHeight="1">
      <c r="A2446" s="2" t="s">
        <v>2215</v>
      </c>
      <c r="B2446" s="2">
        <f t="shared" si="76"/>
        <v>2020</v>
      </c>
      <c r="C2446" s="2" t="str">
        <f t="shared" si="77"/>
        <v>LIM333</v>
      </c>
      <c r="D2446" s="2">
        <v>828</v>
      </c>
      <c r="F2446" s="2451"/>
      <c r="G2446" s="2451"/>
      <c r="H2446" s="2451"/>
      <c r="I2446" s="2451"/>
      <c r="J2446" s="2451"/>
      <c r="K2446" s="2451"/>
      <c r="L2446" s="2453"/>
      <c r="M2446" s="2453"/>
      <c r="N2446" s="2453"/>
      <c r="O2446" s="2453"/>
      <c r="P2446" s="2453"/>
      <c r="W2446" t="s">
        <v>2062</v>
      </c>
    </row>
    <row r="2447" spans="1:23" ht="13.15" customHeight="1">
      <c r="A2447" s="2" t="s">
        <v>2215</v>
      </c>
      <c r="B2447" s="2">
        <f t="shared" si="76"/>
        <v>2020</v>
      </c>
      <c r="C2447" s="2" t="str">
        <f t="shared" si="77"/>
        <v>LIM333</v>
      </c>
      <c r="D2447" s="2">
        <v>829</v>
      </c>
      <c r="F2447" s="2451"/>
      <c r="G2447" s="2451"/>
      <c r="H2447" s="2451"/>
      <c r="I2447" s="2451"/>
      <c r="J2447" s="2451"/>
      <c r="K2447" s="2451"/>
      <c r="L2447" s="2453"/>
      <c r="M2447" s="2453"/>
      <c r="N2447" s="2453"/>
      <c r="O2447" s="2453"/>
      <c r="P2447" s="2453"/>
      <c r="W2447" t="s">
        <v>2062</v>
      </c>
    </row>
    <row r="2448" spans="1:23" ht="13.15" customHeight="1">
      <c r="A2448" s="2" t="s">
        <v>2215</v>
      </c>
      <c r="B2448" s="2">
        <f t="shared" si="76"/>
        <v>2020</v>
      </c>
      <c r="C2448" s="2" t="str">
        <f t="shared" si="77"/>
        <v>LIM333</v>
      </c>
      <c r="D2448" s="2">
        <v>830</v>
      </c>
      <c r="F2448" s="2451"/>
      <c r="G2448" s="2451"/>
      <c r="H2448" s="2451"/>
      <c r="I2448" s="2451"/>
      <c r="J2448" s="2451"/>
      <c r="K2448" s="2451"/>
      <c r="L2448" s="2453"/>
      <c r="M2448" s="2453"/>
      <c r="N2448" s="2453"/>
      <c r="O2448" s="2453"/>
      <c r="P2448" s="2453"/>
      <c r="W2448" t="s">
        <v>2062</v>
      </c>
    </row>
    <row r="2449" spans="1:23" ht="13.15" customHeight="1">
      <c r="A2449" s="2" t="s">
        <v>2215</v>
      </c>
      <c r="B2449" s="2">
        <f t="shared" si="76"/>
        <v>2020</v>
      </c>
      <c r="C2449" s="2" t="str">
        <f t="shared" si="77"/>
        <v>LIM333</v>
      </c>
      <c r="D2449" s="2">
        <v>831</v>
      </c>
      <c r="F2449" s="2451"/>
      <c r="G2449" s="2451"/>
      <c r="H2449" s="2451"/>
      <c r="I2449" s="2451"/>
      <c r="J2449" s="2451"/>
      <c r="K2449" s="2451"/>
      <c r="L2449" s="2453"/>
      <c r="M2449" s="2453"/>
      <c r="N2449" s="2453"/>
      <c r="O2449" s="2453"/>
      <c r="P2449" s="2453"/>
      <c r="W2449" t="s">
        <v>2062</v>
      </c>
    </row>
    <row r="2450" spans="1:23" ht="13.15" customHeight="1">
      <c r="A2450" s="2" t="s">
        <v>2215</v>
      </c>
      <c r="B2450" s="2">
        <f t="shared" si="76"/>
        <v>2020</v>
      </c>
      <c r="C2450" s="2" t="str">
        <f t="shared" si="77"/>
        <v>LIM333</v>
      </c>
      <c r="D2450" s="2">
        <v>832</v>
      </c>
      <c r="F2450" s="2451"/>
      <c r="G2450" s="2451"/>
      <c r="H2450" s="2451"/>
      <c r="I2450" s="2451"/>
      <c r="J2450" s="2451"/>
      <c r="K2450" s="2451"/>
      <c r="L2450" s="2453"/>
      <c r="M2450" s="2453"/>
      <c r="N2450" s="2453"/>
      <c r="O2450" s="2453"/>
      <c r="P2450" s="2453"/>
      <c r="W2450" t="s">
        <v>2062</v>
      </c>
    </row>
    <row r="2451" spans="1:23" ht="13.15" customHeight="1">
      <c r="A2451" s="2" t="s">
        <v>2215</v>
      </c>
      <c r="B2451" s="2">
        <f t="shared" si="76"/>
        <v>2020</v>
      </c>
      <c r="C2451" s="2" t="str">
        <f t="shared" si="77"/>
        <v>LIM333</v>
      </c>
      <c r="D2451" s="2">
        <v>833</v>
      </c>
      <c r="F2451" s="2451"/>
      <c r="G2451" s="2451"/>
      <c r="H2451" s="2451"/>
      <c r="I2451" s="2451"/>
      <c r="J2451" s="2451"/>
      <c r="K2451" s="2451"/>
      <c r="L2451" s="2453"/>
      <c r="M2451" s="2453"/>
      <c r="N2451" s="2453"/>
      <c r="O2451" s="2453"/>
      <c r="P2451" s="2453"/>
      <c r="W2451" t="s">
        <v>2062</v>
      </c>
    </row>
    <row r="2452" spans="1:23" ht="13.15" customHeight="1">
      <c r="A2452" s="2" t="s">
        <v>2215</v>
      </c>
      <c r="B2452" s="2">
        <f t="shared" si="76"/>
        <v>2020</v>
      </c>
      <c r="C2452" s="2" t="str">
        <f t="shared" si="77"/>
        <v>LIM333</v>
      </c>
      <c r="D2452" s="2">
        <v>834</v>
      </c>
      <c r="F2452" s="2451"/>
      <c r="G2452" s="2451"/>
      <c r="H2452" s="2451"/>
      <c r="I2452" s="2451"/>
      <c r="J2452" s="2451"/>
      <c r="K2452" s="2451"/>
      <c r="L2452" s="2453"/>
      <c r="M2452" s="2453"/>
      <c r="N2452" s="2453"/>
      <c r="O2452" s="2453"/>
      <c r="P2452" s="2453"/>
      <c r="W2452" t="s">
        <v>2062</v>
      </c>
    </row>
    <row r="2453" spans="1:23" ht="13.15" customHeight="1">
      <c r="A2453" s="2" t="s">
        <v>2215</v>
      </c>
      <c r="B2453" s="2">
        <f t="shared" si="76"/>
        <v>2020</v>
      </c>
      <c r="C2453" s="2" t="str">
        <f t="shared" si="77"/>
        <v>LIM333</v>
      </c>
      <c r="D2453" s="2">
        <v>835</v>
      </c>
      <c r="F2453" s="2451"/>
      <c r="G2453" s="2451"/>
      <c r="H2453" s="2451"/>
      <c r="I2453" s="2451"/>
      <c r="J2453" s="2451"/>
      <c r="K2453" s="2451"/>
      <c r="L2453" s="2453"/>
      <c r="M2453" s="2453"/>
      <c r="N2453" s="2453"/>
      <c r="O2453" s="2453"/>
      <c r="P2453" s="2453"/>
      <c r="W2453" t="s">
        <v>2062</v>
      </c>
    </row>
    <row r="2454" spans="1:23" ht="13.15" customHeight="1">
      <c r="A2454" s="2" t="s">
        <v>2215</v>
      </c>
      <c r="B2454" s="2">
        <f t="shared" si="76"/>
        <v>2020</v>
      </c>
      <c r="C2454" s="2" t="str">
        <f t="shared" si="77"/>
        <v>LIM333</v>
      </c>
      <c r="D2454" s="2">
        <v>836</v>
      </c>
      <c r="F2454" s="2451"/>
      <c r="G2454" s="2451"/>
      <c r="H2454" s="2451"/>
      <c r="I2454" s="2451"/>
      <c r="J2454" s="2451"/>
      <c r="K2454" s="2451"/>
      <c r="L2454" s="2453"/>
      <c r="M2454" s="2453"/>
      <c r="N2454" s="2453"/>
      <c r="O2454" s="2453"/>
      <c r="P2454" s="2453"/>
      <c r="W2454" t="s">
        <v>2062</v>
      </c>
    </row>
    <row r="2455" spans="1:23" ht="13.15" customHeight="1">
      <c r="A2455" s="2" t="s">
        <v>2215</v>
      </c>
      <c r="B2455" s="2">
        <f t="shared" si="76"/>
        <v>2020</v>
      </c>
      <c r="C2455" s="2" t="str">
        <f t="shared" si="77"/>
        <v>LIM333</v>
      </c>
      <c r="D2455" s="2">
        <v>837</v>
      </c>
      <c r="F2455" s="2451"/>
      <c r="G2455" s="2451"/>
      <c r="H2455" s="2451"/>
      <c r="I2455" s="2451"/>
      <c r="J2455" s="2451"/>
      <c r="K2455" s="2451"/>
      <c r="L2455" s="2453"/>
      <c r="M2455" s="2453"/>
      <c r="N2455" s="2453"/>
      <c r="O2455" s="2453"/>
      <c r="P2455" s="2453"/>
      <c r="W2455" t="s">
        <v>2062</v>
      </c>
    </row>
    <row r="2456" spans="1:23" ht="13.15" customHeight="1">
      <c r="A2456" s="2" t="s">
        <v>2215</v>
      </c>
      <c r="B2456" s="2">
        <f t="shared" si="76"/>
        <v>2020</v>
      </c>
      <c r="C2456" s="2" t="str">
        <f t="shared" si="77"/>
        <v>LIM333</v>
      </c>
      <c r="D2456" s="2">
        <v>838</v>
      </c>
      <c r="F2456" s="2451"/>
      <c r="G2456" s="2451"/>
      <c r="H2456" s="2451"/>
      <c r="I2456" s="2451"/>
      <c r="J2456" s="2451"/>
      <c r="K2456" s="2451"/>
      <c r="L2456" s="2453"/>
      <c r="M2456" s="2453"/>
      <c r="N2456" s="2453"/>
      <c r="O2456" s="2453"/>
      <c r="P2456" s="2453"/>
      <c r="W2456" t="s">
        <v>2062</v>
      </c>
    </row>
    <row r="2457" spans="1:23" ht="13.15" customHeight="1">
      <c r="A2457" s="2" t="s">
        <v>2215</v>
      </c>
      <c r="B2457" s="2">
        <f t="shared" si="76"/>
        <v>2020</v>
      </c>
      <c r="C2457" s="2" t="str">
        <f t="shared" si="77"/>
        <v>LIM333</v>
      </c>
      <c r="D2457" s="2">
        <v>839</v>
      </c>
      <c r="F2457" s="2451"/>
      <c r="G2457" s="2451"/>
      <c r="H2457" s="2451"/>
      <c r="I2457" s="2451"/>
      <c r="J2457" s="2451"/>
      <c r="K2457" s="2451"/>
      <c r="L2457" s="2453"/>
      <c r="M2457" s="2453"/>
      <c r="N2457" s="2453"/>
      <c r="O2457" s="2453"/>
      <c r="P2457" s="2453"/>
      <c r="W2457" t="s">
        <v>2062</v>
      </c>
    </row>
    <row r="2458" spans="1:23" ht="13.15" customHeight="1">
      <c r="A2458" s="2" t="s">
        <v>2215</v>
      </c>
      <c r="B2458" s="2">
        <f t="shared" si="76"/>
        <v>2020</v>
      </c>
      <c r="C2458" s="2" t="str">
        <f t="shared" si="77"/>
        <v>LIM333</v>
      </c>
      <c r="D2458" s="2">
        <v>840</v>
      </c>
      <c r="F2458" s="2451"/>
      <c r="G2458" s="2451"/>
      <c r="H2458" s="2451"/>
      <c r="I2458" s="2451"/>
      <c r="J2458" s="2451"/>
      <c r="K2458" s="2451"/>
      <c r="L2458" s="2453"/>
      <c r="M2458" s="2453"/>
      <c r="N2458" s="2453"/>
      <c r="O2458" s="2453"/>
      <c r="P2458" s="2453"/>
      <c r="W2458" t="s">
        <v>2062</v>
      </c>
    </row>
    <row r="2459" spans="1:23" ht="13.15" customHeight="1">
      <c r="A2459" s="2" t="s">
        <v>2215</v>
      </c>
      <c r="B2459" s="2">
        <f t="shared" si="76"/>
        <v>2020</v>
      </c>
      <c r="C2459" s="2" t="str">
        <f t="shared" si="77"/>
        <v>LIM333</v>
      </c>
      <c r="D2459" s="2">
        <v>841</v>
      </c>
      <c r="F2459" s="2451"/>
      <c r="G2459" s="2451"/>
      <c r="H2459" s="2451"/>
      <c r="I2459" s="2451"/>
      <c r="J2459" s="2451"/>
      <c r="K2459" s="2451"/>
      <c r="L2459" s="2453"/>
      <c r="M2459" s="2453"/>
      <c r="N2459" s="2453"/>
      <c r="O2459" s="2453"/>
      <c r="P2459" s="2453"/>
      <c r="W2459" t="s">
        <v>2062</v>
      </c>
    </row>
    <row r="2460" spans="1:23" ht="13.15" customHeight="1">
      <c r="A2460" s="2" t="s">
        <v>2215</v>
      </c>
      <c r="B2460" s="2">
        <f t="shared" si="76"/>
        <v>2020</v>
      </c>
      <c r="C2460" s="2" t="str">
        <f t="shared" si="77"/>
        <v>LIM333</v>
      </c>
      <c r="D2460" s="2">
        <v>842</v>
      </c>
      <c r="F2460" s="2451"/>
      <c r="G2460" s="2451"/>
      <c r="H2460" s="2451"/>
      <c r="I2460" s="2451"/>
      <c r="J2460" s="2451"/>
      <c r="K2460" s="2451"/>
      <c r="L2460" s="2453"/>
      <c r="M2460" s="2453"/>
      <c r="N2460" s="2453"/>
      <c r="O2460" s="2453"/>
      <c r="P2460" s="2453"/>
      <c r="W2460" t="s">
        <v>2062</v>
      </c>
    </row>
    <row r="2461" spans="1:23" ht="13.15" customHeight="1">
      <c r="A2461" s="2" t="s">
        <v>2215</v>
      </c>
      <c r="B2461" s="2">
        <f t="shared" si="76"/>
        <v>2020</v>
      </c>
      <c r="C2461" s="2" t="str">
        <f t="shared" si="77"/>
        <v>LIM333</v>
      </c>
      <c r="D2461" s="2">
        <v>843</v>
      </c>
      <c r="F2461" s="2451"/>
      <c r="G2461" s="2451"/>
      <c r="H2461" s="2451"/>
      <c r="I2461" s="2451"/>
      <c r="J2461" s="2451"/>
      <c r="K2461" s="2451"/>
      <c r="L2461" s="2453"/>
      <c r="M2461" s="2453"/>
      <c r="N2461" s="2453"/>
      <c r="O2461" s="2453"/>
      <c r="P2461" s="2453"/>
      <c r="W2461" t="s">
        <v>2062</v>
      </c>
    </row>
    <row r="2462" spans="1:23" ht="13.15" customHeight="1">
      <c r="A2462" s="2" t="s">
        <v>2215</v>
      </c>
      <c r="B2462" s="2">
        <f t="shared" si="76"/>
        <v>2020</v>
      </c>
      <c r="C2462" s="2" t="str">
        <f t="shared" si="77"/>
        <v>LIM333</v>
      </c>
      <c r="D2462" s="2">
        <v>844</v>
      </c>
      <c r="F2462" s="2451"/>
      <c r="G2462" s="2451"/>
      <c r="H2462" s="2451"/>
      <c r="I2462" s="2451"/>
      <c r="J2462" s="2451"/>
      <c r="K2462" s="2451"/>
      <c r="L2462" s="2453"/>
      <c r="M2462" s="2453"/>
      <c r="N2462" s="2453"/>
      <c r="O2462" s="2453"/>
      <c r="P2462" s="2453"/>
      <c r="W2462" t="s">
        <v>2062</v>
      </c>
    </row>
    <row r="2463" spans="1:23" ht="13.15" customHeight="1">
      <c r="A2463" s="2" t="s">
        <v>2215</v>
      </c>
      <c r="B2463" s="2">
        <f t="shared" si="76"/>
        <v>2020</v>
      </c>
      <c r="C2463" s="2" t="str">
        <f t="shared" si="77"/>
        <v>LIM333</v>
      </c>
      <c r="D2463" s="2">
        <v>845</v>
      </c>
      <c r="F2463" s="2451"/>
      <c r="G2463" s="2451"/>
      <c r="H2463" s="2451"/>
      <c r="I2463" s="2451"/>
      <c r="J2463" s="2451"/>
      <c r="K2463" s="2451"/>
      <c r="L2463" s="2453"/>
      <c r="M2463" s="2453"/>
      <c r="N2463" s="2453"/>
      <c r="O2463" s="2453"/>
      <c r="P2463" s="2453"/>
      <c r="W2463" t="s">
        <v>2062</v>
      </c>
    </row>
    <row r="2464" spans="1:23" ht="13.15" customHeight="1">
      <c r="A2464" s="2" t="s">
        <v>2215</v>
      </c>
      <c r="B2464" s="2">
        <f t="shared" si="76"/>
        <v>2020</v>
      </c>
      <c r="C2464" s="2" t="str">
        <f t="shared" si="77"/>
        <v>LIM333</v>
      </c>
      <c r="D2464" s="2">
        <v>846</v>
      </c>
      <c r="F2464" s="2451"/>
      <c r="G2464" s="2451"/>
      <c r="H2464" s="2451"/>
      <c r="I2464" s="2451"/>
      <c r="J2464" s="2451"/>
      <c r="K2464" s="2451"/>
      <c r="L2464" s="2453"/>
      <c r="M2464" s="2453"/>
      <c r="N2464" s="2453"/>
      <c r="O2464" s="2453"/>
      <c r="P2464" s="2453"/>
      <c r="W2464" t="s">
        <v>2062</v>
      </c>
    </row>
    <row r="2465" spans="1:23" ht="13.15" customHeight="1">
      <c r="A2465" s="2" t="s">
        <v>2215</v>
      </c>
      <c r="B2465" s="2">
        <f t="shared" si="76"/>
        <v>2020</v>
      </c>
      <c r="C2465" s="2" t="str">
        <f t="shared" si="77"/>
        <v>LIM333</v>
      </c>
      <c r="D2465" s="2">
        <v>847</v>
      </c>
      <c r="F2465" s="2451"/>
      <c r="G2465" s="2451"/>
      <c r="H2465" s="2451"/>
      <c r="I2465" s="2451"/>
      <c r="J2465" s="2451"/>
      <c r="K2465" s="2451"/>
      <c r="L2465" s="2453"/>
      <c r="M2465" s="2453"/>
      <c r="N2465" s="2453"/>
      <c r="O2465" s="2453"/>
      <c r="P2465" s="2453"/>
      <c r="W2465" t="s">
        <v>2062</v>
      </c>
    </row>
    <row r="2466" spans="1:23" ht="13.15" customHeight="1">
      <c r="A2466" s="2" t="s">
        <v>2215</v>
      </c>
      <c r="B2466" s="2">
        <f t="shared" si="76"/>
        <v>2020</v>
      </c>
      <c r="C2466" s="2" t="str">
        <f t="shared" si="77"/>
        <v>LIM333</v>
      </c>
      <c r="D2466" s="2">
        <v>848</v>
      </c>
      <c r="F2466" s="2451"/>
      <c r="G2466" s="2451"/>
      <c r="H2466" s="2451"/>
      <c r="I2466" s="2451"/>
      <c r="J2466" s="2451"/>
      <c r="K2466" s="2451"/>
      <c r="L2466" s="2453"/>
      <c r="M2466" s="2453"/>
      <c r="N2466" s="2453"/>
      <c r="O2466" s="2453"/>
      <c r="P2466" s="2453"/>
      <c r="W2466" t="s">
        <v>2062</v>
      </c>
    </row>
    <row r="2467" spans="1:23" ht="13.15" customHeight="1">
      <c r="A2467" s="2" t="s">
        <v>2215</v>
      </c>
      <c r="B2467" s="2">
        <f t="shared" si="76"/>
        <v>2020</v>
      </c>
      <c r="C2467" s="2" t="str">
        <f t="shared" si="77"/>
        <v>LIM333</v>
      </c>
      <c r="D2467" s="2">
        <v>849</v>
      </c>
      <c r="F2467" s="2451"/>
      <c r="G2467" s="2451"/>
      <c r="H2467" s="2451"/>
      <c r="I2467" s="2451"/>
      <c r="J2467" s="2451"/>
      <c r="K2467" s="2451"/>
      <c r="L2467" s="2453"/>
      <c r="M2467" s="2453"/>
      <c r="N2467" s="2453"/>
      <c r="O2467" s="2453"/>
      <c r="P2467" s="2453"/>
      <c r="W2467" t="s">
        <v>2062</v>
      </c>
    </row>
    <row r="2468" spans="1:23" ht="13.15" customHeight="1">
      <c r="A2468" s="2" t="s">
        <v>2215</v>
      </c>
      <c r="B2468" s="2">
        <f t="shared" si="76"/>
        <v>2020</v>
      </c>
      <c r="C2468" s="2" t="str">
        <f t="shared" si="77"/>
        <v>LIM333</v>
      </c>
      <c r="D2468" s="2">
        <v>850</v>
      </c>
      <c r="F2468" s="2451"/>
      <c r="G2468" s="2451"/>
      <c r="H2468" s="2451"/>
      <c r="I2468" s="2451"/>
      <c r="J2468" s="2451"/>
      <c r="K2468" s="2451"/>
      <c r="L2468" s="2453"/>
      <c r="M2468" s="2453"/>
      <c r="N2468" s="2453"/>
      <c r="O2468" s="2453"/>
      <c r="P2468" s="2453"/>
      <c r="W2468" t="s">
        <v>2062</v>
      </c>
    </row>
    <row r="2469" spans="1:23" ht="13.15" customHeight="1">
      <c r="A2469" s="2" t="s">
        <v>2215</v>
      </c>
      <c r="B2469" s="2">
        <f t="shared" si="76"/>
        <v>2020</v>
      </c>
      <c r="C2469" s="2" t="str">
        <f t="shared" si="77"/>
        <v>LIM333</v>
      </c>
      <c r="D2469" s="2">
        <v>851</v>
      </c>
      <c r="F2469" s="2451"/>
      <c r="G2469" s="2451"/>
      <c r="H2469" s="2451"/>
      <c r="I2469" s="2451"/>
      <c r="J2469" s="2451"/>
      <c r="K2469" s="2451"/>
      <c r="L2469" s="2453"/>
      <c r="M2469" s="2453"/>
      <c r="N2469" s="2453"/>
      <c r="O2469" s="2453"/>
      <c r="P2469" s="2453"/>
      <c r="W2469" t="s">
        <v>2062</v>
      </c>
    </row>
    <row r="2470" spans="1:23" ht="13.15" customHeight="1">
      <c r="A2470" s="2" t="s">
        <v>2215</v>
      </c>
      <c r="B2470" s="2">
        <f t="shared" si="76"/>
        <v>2020</v>
      </c>
      <c r="C2470" s="2" t="str">
        <f t="shared" si="77"/>
        <v>LIM333</v>
      </c>
      <c r="D2470" s="2">
        <v>852</v>
      </c>
      <c r="F2470" s="2451"/>
      <c r="G2470" s="2451"/>
      <c r="H2470" s="2451"/>
      <c r="I2470" s="2451"/>
      <c r="J2470" s="2451"/>
      <c r="K2470" s="2451"/>
      <c r="L2470" s="2453"/>
      <c r="M2470" s="2453"/>
      <c r="N2470" s="2453"/>
      <c r="O2470" s="2453"/>
      <c r="P2470" s="2453"/>
      <c r="W2470" t="s">
        <v>2062</v>
      </c>
    </row>
    <row r="2471" spans="1:23" ht="13.15" customHeight="1">
      <c r="A2471" s="2" t="s">
        <v>2215</v>
      </c>
      <c r="B2471" s="2">
        <f t="shared" si="76"/>
        <v>2020</v>
      </c>
      <c r="C2471" s="2" t="str">
        <f t="shared" si="77"/>
        <v>LIM333</v>
      </c>
      <c r="D2471" s="2">
        <v>853</v>
      </c>
      <c r="F2471" s="2451"/>
      <c r="G2471" s="2451"/>
      <c r="H2471" s="2451"/>
      <c r="I2471" s="2451"/>
      <c r="J2471" s="2451"/>
      <c r="K2471" s="2451"/>
      <c r="L2471" s="2453"/>
      <c r="M2471" s="2453"/>
      <c r="N2471" s="2453"/>
      <c r="O2471" s="2453"/>
      <c r="P2471" s="2453"/>
      <c r="W2471" t="s">
        <v>2062</v>
      </c>
    </row>
    <row r="2472" spans="1:23" ht="13.15" customHeight="1">
      <c r="A2472" s="2" t="s">
        <v>2215</v>
      </c>
      <c r="B2472" s="2">
        <f t="shared" si="76"/>
        <v>2020</v>
      </c>
      <c r="C2472" s="2" t="str">
        <f t="shared" si="77"/>
        <v>LIM333</v>
      </c>
      <c r="D2472" s="2">
        <v>854</v>
      </c>
      <c r="F2472" s="2451"/>
      <c r="G2472" s="2451"/>
      <c r="H2472" s="2451"/>
      <c r="I2472" s="2451"/>
      <c r="J2472" s="2451"/>
      <c r="K2472" s="2451"/>
      <c r="L2472" s="2453"/>
      <c r="M2472" s="2453"/>
      <c r="N2472" s="2453"/>
      <c r="O2472" s="2453"/>
      <c r="P2472" s="2453"/>
      <c r="W2472" t="s">
        <v>2062</v>
      </c>
    </row>
    <row r="2473" spans="1:23" ht="13.15" customHeight="1">
      <c r="A2473" s="2" t="s">
        <v>2215</v>
      </c>
      <c r="B2473" s="2">
        <f t="shared" si="76"/>
        <v>2020</v>
      </c>
      <c r="C2473" s="2" t="str">
        <f t="shared" si="77"/>
        <v>LIM333</v>
      </c>
      <c r="D2473" s="2">
        <v>855</v>
      </c>
      <c r="F2473" s="2451"/>
      <c r="G2473" s="2451"/>
      <c r="H2473" s="2451"/>
      <c r="I2473" s="2451"/>
      <c r="J2473" s="2451"/>
      <c r="K2473" s="2451"/>
      <c r="L2473" s="2453"/>
      <c r="M2473" s="2453"/>
      <c r="N2473" s="2453"/>
      <c r="O2473" s="2453"/>
      <c r="P2473" s="2453"/>
      <c r="W2473" t="s">
        <v>2062</v>
      </c>
    </row>
    <row r="2474" spans="1:23" ht="13.15" customHeight="1">
      <c r="A2474" s="2" t="s">
        <v>2215</v>
      </c>
      <c r="B2474" s="2">
        <f t="shared" si="76"/>
        <v>2020</v>
      </c>
      <c r="C2474" s="2" t="str">
        <f t="shared" si="77"/>
        <v>LIM333</v>
      </c>
      <c r="D2474" s="2">
        <v>856</v>
      </c>
      <c r="F2474" s="2451"/>
      <c r="G2474" s="2451"/>
      <c r="H2474" s="2451"/>
      <c r="I2474" s="2451"/>
      <c r="J2474" s="2451"/>
      <c r="K2474" s="2451"/>
      <c r="L2474" s="2453"/>
      <c r="M2474" s="2453"/>
      <c r="N2474" s="2453"/>
      <c r="O2474" s="2453"/>
      <c r="P2474" s="2453"/>
      <c r="W2474" t="s">
        <v>2062</v>
      </c>
    </row>
    <row r="2475" spans="1:23" ht="13.15" customHeight="1">
      <c r="A2475" s="2" t="s">
        <v>2215</v>
      </c>
      <c r="B2475" s="2">
        <f t="shared" si="76"/>
        <v>2020</v>
      </c>
      <c r="C2475" s="2" t="str">
        <f t="shared" si="77"/>
        <v>LIM333</v>
      </c>
      <c r="D2475" s="2">
        <v>857</v>
      </c>
      <c r="F2475" s="2451"/>
      <c r="G2475" s="2451"/>
      <c r="H2475" s="2451"/>
      <c r="I2475" s="2451"/>
      <c r="J2475" s="2451"/>
      <c r="K2475" s="2451"/>
      <c r="L2475" s="2453"/>
      <c r="M2475" s="2453"/>
      <c r="N2475" s="2453"/>
      <c r="O2475" s="2453"/>
      <c r="P2475" s="2453"/>
      <c r="W2475" t="s">
        <v>2062</v>
      </c>
    </row>
    <row r="2476" spans="1:23" ht="13.15" customHeight="1">
      <c r="A2476" s="2" t="s">
        <v>2215</v>
      </c>
      <c r="B2476" s="2">
        <f t="shared" si="76"/>
        <v>2020</v>
      </c>
      <c r="C2476" s="2" t="str">
        <f t="shared" si="77"/>
        <v>LIM333</v>
      </c>
      <c r="D2476" s="2">
        <v>858</v>
      </c>
      <c r="F2476" s="2451"/>
      <c r="G2476" s="2451"/>
      <c r="H2476" s="2451"/>
      <c r="I2476" s="2451"/>
      <c r="J2476" s="2451"/>
      <c r="K2476" s="2451"/>
      <c r="L2476" s="2453"/>
      <c r="M2476" s="2453"/>
      <c r="N2476" s="2453"/>
      <c r="O2476" s="2453"/>
      <c r="P2476" s="2453"/>
      <c r="W2476" t="s">
        <v>2062</v>
      </c>
    </row>
    <row r="2477" spans="1:23" ht="13.15" customHeight="1">
      <c r="A2477" s="2" t="s">
        <v>2215</v>
      </c>
      <c r="B2477" s="2">
        <f t="shared" si="76"/>
        <v>2020</v>
      </c>
      <c r="C2477" s="2" t="str">
        <f t="shared" si="77"/>
        <v>LIM333</v>
      </c>
      <c r="D2477" s="2">
        <v>859</v>
      </c>
      <c r="F2477" s="2451"/>
      <c r="G2477" s="2451"/>
      <c r="H2477" s="2451"/>
      <c r="I2477" s="2451"/>
      <c r="J2477" s="2451"/>
      <c r="K2477" s="2451"/>
      <c r="L2477" s="2453"/>
      <c r="M2477" s="2453"/>
      <c r="N2477" s="2453"/>
      <c r="O2477" s="2453"/>
      <c r="P2477" s="2453"/>
      <c r="W2477" t="s">
        <v>2062</v>
      </c>
    </row>
    <row r="2478" spans="1:23" ht="13.15" customHeight="1">
      <c r="A2478" s="2" t="s">
        <v>2215</v>
      </c>
      <c r="B2478" s="2">
        <f t="shared" si="76"/>
        <v>2020</v>
      </c>
      <c r="C2478" s="2" t="str">
        <f t="shared" si="77"/>
        <v>LIM333</v>
      </c>
      <c r="D2478" s="2">
        <v>860</v>
      </c>
      <c r="F2478" s="2451"/>
      <c r="G2478" s="2451"/>
      <c r="H2478" s="2451"/>
      <c r="I2478" s="2451"/>
      <c r="J2478" s="2451"/>
      <c r="K2478" s="2451"/>
      <c r="L2478" s="2453"/>
      <c r="M2478" s="2453"/>
      <c r="N2478" s="2453"/>
      <c r="O2478" s="2453"/>
      <c r="P2478" s="2453"/>
      <c r="W2478" t="s">
        <v>2062</v>
      </c>
    </row>
    <row r="2479" spans="1:23" ht="13.15" customHeight="1">
      <c r="A2479" s="2" t="s">
        <v>2215</v>
      </c>
      <c r="B2479" s="2">
        <f t="shared" si="76"/>
        <v>2020</v>
      </c>
      <c r="C2479" s="2" t="str">
        <f t="shared" si="77"/>
        <v>LIM333</v>
      </c>
      <c r="D2479" s="2">
        <v>861</v>
      </c>
      <c r="F2479" s="2451"/>
      <c r="G2479" s="2451"/>
      <c r="H2479" s="2451"/>
      <c r="I2479" s="2451"/>
      <c r="J2479" s="2451"/>
      <c r="K2479" s="2451"/>
      <c r="L2479" s="2453"/>
      <c r="M2479" s="2453"/>
      <c r="N2479" s="2453"/>
      <c r="O2479" s="2453"/>
      <c r="P2479" s="2453"/>
      <c r="W2479" t="s">
        <v>2062</v>
      </c>
    </row>
    <row r="2480" spans="1:23" ht="13.15" customHeight="1">
      <c r="A2480" s="2" t="s">
        <v>2215</v>
      </c>
      <c r="B2480" s="2">
        <f t="shared" si="76"/>
        <v>2020</v>
      </c>
      <c r="C2480" s="2" t="str">
        <f t="shared" si="77"/>
        <v>LIM333</v>
      </c>
      <c r="D2480" s="2">
        <v>862</v>
      </c>
      <c r="F2480" s="2451"/>
      <c r="G2480" s="2451"/>
      <c r="H2480" s="2451"/>
      <c r="I2480" s="2451"/>
      <c r="J2480" s="2451"/>
      <c r="K2480" s="2451"/>
      <c r="L2480" s="2453"/>
      <c r="M2480" s="2453"/>
      <c r="N2480" s="2453"/>
      <c r="O2480" s="2453"/>
      <c r="P2480" s="2453"/>
      <c r="W2480" t="s">
        <v>2062</v>
      </c>
    </row>
    <row r="2481" spans="1:23" ht="13.15" customHeight="1">
      <c r="A2481" s="2" t="s">
        <v>2215</v>
      </c>
      <c r="B2481" s="2">
        <f t="shared" si="76"/>
        <v>2020</v>
      </c>
      <c r="C2481" s="2" t="str">
        <f t="shared" si="77"/>
        <v>LIM333</v>
      </c>
      <c r="D2481" s="2">
        <v>863</v>
      </c>
      <c r="F2481" s="2451"/>
      <c r="G2481" s="2451"/>
      <c r="H2481" s="2451"/>
      <c r="I2481" s="2451"/>
      <c r="J2481" s="2451"/>
      <c r="K2481" s="2451"/>
      <c r="L2481" s="2453"/>
      <c r="M2481" s="2453"/>
      <c r="N2481" s="2453"/>
      <c r="O2481" s="2453"/>
      <c r="P2481" s="2453"/>
      <c r="W2481" t="s">
        <v>2062</v>
      </c>
    </row>
    <row r="2482" spans="1:23" ht="13.15" customHeight="1">
      <c r="A2482" s="2" t="s">
        <v>2215</v>
      </c>
      <c r="B2482" s="2">
        <f t="shared" si="76"/>
        <v>2020</v>
      </c>
      <c r="C2482" s="2" t="str">
        <f t="shared" si="77"/>
        <v>LIM333</v>
      </c>
      <c r="D2482" s="2">
        <v>864</v>
      </c>
      <c r="F2482" s="2451"/>
      <c r="G2482" s="2451"/>
      <c r="H2482" s="2451"/>
      <c r="I2482" s="2451"/>
      <c r="J2482" s="2451"/>
      <c r="K2482" s="2451"/>
      <c r="L2482" s="2453"/>
      <c r="M2482" s="2453"/>
      <c r="N2482" s="2453"/>
      <c r="O2482" s="2453"/>
      <c r="P2482" s="2453"/>
      <c r="W2482" t="s">
        <v>2062</v>
      </c>
    </row>
    <row r="2483" spans="1:23" ht="13.15" customHeight="1">
      <c r="A2483" s="2" t="s">
        <v>2215</v>
      </c>
      <c r="B2483" s="2">
        <f t="shared" si="76"/>
        <v>2020</v>
      </c>
      <c r="C2483" s="2" t="str">
        <f t="shared" si="77"/>
        <v>LIM333</v>
      </c>
      <c r="D2483" s="2">
        <v>865</v>
      </c>
      <c r="F2483" s="2451"/>
      <c r="G2483" s="2451"/>
      <c r="H2483" s="2451"/>
      <c r="I2483" s="2451"/>
      <c r="J2483" s="2451"/>
      <c r="K2483" s="2451"/>
      <c r="L2483" s="2453"/>
      <c r="M2483" s="2453"/>
      <c r="N2483" s="2453"/>
      <c r="O2483" s="2453"/>
      <c r="P2483" s="2453"/>
      <c r="W2483" t="s">
        <v>2062</v>
      </c>
    </row>
    <row r="2484" spans="1:23" ht="13.15" customHeight="1">
      <c r="A2484" s="2" t="s">
        <v>2215</v>
      </c>
      <c r="B2484" s="2">
        <f t="shared" si="76"/>
        <v>2020</v>
      </c>
      <c r="C2484" s="2" t="str">
        <f t="shared" si="77"/>
        <v>LIM333</v>
      </c>
      <c r="D2484" s="2">
        <v>866</v>
      </c>
      <c r="F2484" s="2451"/>
      <c r="G2484" s="2451"/>
      <c r="H2484" s="2451"/>
      <c r="I2484" s="2451"/>
      <c r="J2484" s="2451"/>
      <c r="K2484" s="2451"/>
      <c r="L2484" s="2453"/>
      <c r="M2484" s="2453"/>
      <c r="N2484" s="2453"/>
      <c r="O2484" s="2453"/>
      <c r="P2484" s="2453"/>
      <c r="W2484" t="s">
        <v>2062</v>
      </c>
    </row>
    <row r="2485" spans="1:23" ht="13.15" customHeight="1">
      <c r="A2485" s="2" t="s">
        <v>2215</v>
      </c>
      <c r="B2485" s="2">
        <f t="shared" si="76"/>
        <v>2020</v>
      </c>
      <c r="C2485" s="2" t="str">
        <f t="shared" si="77"/>
        <v>LIM333</v>
      </c>
      <c r="D2485" s="2">
        <v>867</v>
      </c>
      <c r="F2485" s="2451"/>
      <c r="G2485" s="2451"/>
      <c r="H2485" s="2451"/>
      <c r="I2485" s="2451"/>
      <c r="J2485" s="2451"/>
      <c r="K2485" s="2451"/>
      <c r="L2485" s="2453"/>
      <c r="M2485" s="2453"/>
      <c r="N2485" s="2453"/>
      <c r="O2485" s="2453"/>
      <c r="P2485" s="2453"/>
      <c r="W2485" t="s">
        <v>2062</v>
      </c>
    </row>
    <row r="2486" spans="1:23" ht="13.15" customHeight="1">
      <c r="A2486" s="2" t="s">
        <v>2215</v>
      </c>
      <c r="B2486" s="2">
        <f t="shared" si="76"/>
        <v>2020</v>
      </c>
      <c r="C2486" s="2" t="str">
        <f t="shared" si="77"/>
        <v>LIM333</v>
      </c>
      <c r="D2486" s="2">
        <v>868</v>
      </c>
      <c r="F2486" s="2451"/>
      <c r="G2486" s="2451"/>
      <c r="H2486" s="2451"/>
      <c r="I2486" s="2451"/>
      <c r="J2486" s="2451"/>
      <c r="K2486" s="2451"/>
      <c r="L2486" s="2453"/>
      <c r="M2486" s="2453"/>
      <c r="N2486" s="2453"/>
      <c r="O2486" s="2453"/>
      <c r="P2486" s="2453"/>
      <c r="W2486" t="s">
        <v>2062</v>
      </c>
    </row>
    <row r="2487" spans="1:23" ht="13.15" customHeight="1">
      <c r="A2487" s="2" t="s">
        <v>2215</v>
      </c>
      <c r="B2487" s="2">
        <f t="shared" si="76"/>
        <v>2020</v>
      </c>
      <c r="C2487" s="2" t="str">
        <f t="shared" si="77"/>
        <v>LIM333</v>
      </c>
      <c r="D2487" s="2">
        <v>869</v>
      </c>
      <c r="F2487" s="2451"/>
      <c r="G2487" s="2451"/>
      <c r="H2487" s="2451"/>
      <c r="I2487" s="2451"/>
      <c r="J2487" s="2451"/>
      <c r="K2487" s="2451"/>
      <c r="L2487" s="2453"/>
      <c r="M2487" s="2453"/>
      <c r="N2487" s="2453"/>
      <c r="O2487" s="2453"/>
      <c r="P2487" s="2453"/>
      <c r="W2487" t="s">
        <v>2062</v>
      </c>
    </row>
    <row r="2488" spans="1:23" ht="13.15" customHeight="1">
      <c r="A2488" s="2" t="s">
        <v>2215</v>
      </c>
      <c r="B2488" s="2">
        <f t="shared" si="76"/>
        <v>2020</v>
      </c>
      <c r="C2488" s="2" t="str">
        <f t="shared" si="77"/>
        <v>LIM333</v>
      </c>
      <c r="D2488" s="2">
        <v>870</v>
      </c>
      <c r="F2488" s="2451"/>
      <c r="G2488" s="2451"/>
      <c r="H2488" s="2451"/>
      <c r="I2488" s="2451"/>
      <c r="J2488" s="2451"/>
      <c r="K2488" s="2451"/>
      <c r="L2488" s="2453"/>
      <c r="M2488" s="2453"/>
      <c r="N2488" s="2453"/>
      <c r="O2488" s="2453"/>
      <c r="P2488" s="2453"/>
      <c r="W2488" t="s">
        <v>2062</v>
      </c>
    </row>
    <row r="2489" spans="1:23" ht="13.15" customHeight="1">
      <c r="A2489" s="2" t="s">
        <v>2215</v>
      </c>
      <c r="B2489" s="2">
        <f t="shared" si="76"/>
        <v>2020</v>
      </c>
      <c r="C2489" s="2" t="str">
        <f t="shared" si="77"/>
        <v>LIM333</v>
      </c>
      <c r="D2489" s="2">
        <v>871</v>
      </c>
      <c r="F2489" s="2451"/>
      <c r="G2489" s="2451"/>
      <c r="H2489" s="2451"/>
      <c r="I2489" s="2451"/>
      <c r="J2489" s="2451"/>
      <c r="K2489" s="2451"/>
      <c r="L2489" s="2453"/>
      <c r="M2489" s="2453"/>
      <c r="N2489" s="2453"/>
      <c r="O2489" s="2453"/>
      <c r="P2489" s="2453"/>
      <c r="W2489" t="s">
        <v>2062</v>
      </c>
    </row>
    <row r="2490" spans="1:23" ht="13.15" customHeight="1">
      <c r="A2490" s="2" t="s">
        <v>2215</v>
      </c>
      <c r="B2490" s="2">
        <f t="shared" si="76"/>
        <v>2020</v>
      </c>
      <c r="C2490" s="2" t="str">
        <f t="shared" si="77"/>
        <v>LIM333</v>
      </c>
      <c r="D2490" s="2">
        <v>872</v>
      </c>
      <c r="F2490" s="2451"/>
      <c r="G2490" s="2451"/>
      <c r="H2490" s="2451"/>
      <c r="I2490" s="2451"/>
      <c r="J2490" s="2451"/>
      <c r="K2490" s="2451"/>
      <c r="L2490" s="2453"/>
      <c r="M2490" s="2453"/>
      <c r="N2490" s="2453"/>
      <c r="O2490" s="2453"/>
      <c r="P2490" s="2453"/>
      <c r="W2490" t="s">
        <v>2062</v>
      </c>
    </row>
    <row r="2491" spans="1:23" ht="13.15" customHeight="1">
      <c r="A2491" s="2" t="s">
        <v>2215</v>
      </c>
      <c r="B2491" s="2">
        <f t="shared" si="76"/>
        <v>2020</v>
      </c>
      <c r="C2491" s="2" t="str">
        <f t="shared" si="77"/>
        <v>LIM333</v>
      </c>
      <c r="D2491" s="2">
        <v>873</v>
      </c>
      <c r="F2491" s="2451"/>
      <c r="G2491" s="2451"/>
      <c r="H2491" s="2451"/>
      <c r="I2491" s="2451"/>
      <c r="J2491" s="2451"/>
      <c r="K2491" s="2451"/>
      <c r="L2491" s="2453"/>
      <c r="M2491" s="2453"/>
      <c r="N2491" s="2453"/>
      <c r="O2491" s="2453"/>
      <c r="P2491" s="2453"/>
      <c r="W2491" t="s">
        <v>2062</v>
      </c>
    </row>
    <row r="2492" spans="1:23" ht="13.15" customHeight="1">
      <c r="A2492" s="2" t="s">
        <v>2215</v>
      </c>
      <c r="B2492" s="2">
        <f t="shared" si="76"/>
        <v>2020</v>
      </c>
      <c r="C2492" s="2" t="str">
        <f t="shared" si="77"/>
        <v>LIM333</v>
      </c>
      <c r="D2492" s="2">
        <v>874</v>
      </c>
      <c r="F2492" s="2451"/>
      <c r="G2492" s="2451"/>
      <c r="H2492" s="2451"/>
      <c r="I2492" s="2451"/>
      <c r="J2492" s="2451"/>
      <c r="K2492" s="2451"/>
      <c r="L2492" s="2453"/>
      <c r="M2492" s="2453"/>
      <c r="N2492" s="2453"/>
      <c r="O2492" s="2453"/>
      <c r="P2492" s="2453"/>
      <c r="W2492" t="s">
        <v>2062</v>
      </c>
    </row>
    <row r="2493" spans="1:23" ht="13.15" customHeight="1">
      <c r="A2493" s="2" t="s">
        <v>2215</v>
      </c>
      <c r="B2493" s="2">
        <f t="shared" si="76"/>
        <v>2020</v>
      </c>
      <c r="C2493" s="2" t="str">
        <f t="shared" si="77"/>
        <v>LIM333</v>
      </c>
      <c r="D2493" s="2">
        <v>875</v>
      </c>
      <c r="F2493" s="2451"/>
      <c r="G2493" s="2451"/>
      <c r="H2493" s="2451"/>
      <c r="I2493" s="2451"/>
      <c r="J2493" s="2451"/>
      <c r="K2493" s="2451"/>
      <c r="L2493" s="2453"/>
      <c r="M2493" s="2453"/>
      <c r="N2493" s="2453"/>
      <c r="O2493" s="2453"/>
      <c r="P2493" s="2453"/>
      <c r="W2493" t="s">
        <v>2062</v>
      </c>
    </row>
    <row r="2494" spans="1:23" ht="13.15" customHeight="1">
      <c r="A2494" s="2" t="s">
        <v>2215</v>
      </c>
      <c r="B2494" s="2">
        <f t="shared" si="76"/>
        <v>2020</v>
      </c>
      <c r="C2494" s="2" t="str">
        <f t="shared" si="77"/>
        <v>LIM333</v>
      </c>
      <c r="D2494" s="2">
        <v>876</v>
      </c>
      <c r="F2494" s="2451"/>
      <c r="G2494" s="2451"/>
      <c r="H2494" s="2451"/>
      <c r="I2494" s="2451"/>
      <c r="J2494" s="2451"/>
      <c r="K2494" s="2451"/>
      <c r="L2494" s="2453"/>
      <c r="M2494" s="2453"/>
      <c r="N2494" s="2453"/>
      <c r="O2494" s="2453"/>
      <c r="P2494" s="2453"/>
      <c r="W2494" t="s">
        <v>2062</v>
      </c>
    </row>
    <row r="2495" spans="1:23" ht="13.15" customHeight="1">
      <c r="A2495" s="2" t="s">
        <v>2215</v>
      </c>
      <c r="B2495" s="2">
        <f t="shared" si="76"/>
        <v>2020</v>
      </c>
      <c r="C2495" s="2" t="str">
        <f t="shared" si="77"/>
        <v>LIM333</v>
      </c>
      <c r="D2495" s="2">
        <v>877</v>
      </c>
      <c r="F2495" s="2451"/>
      <c r="G2495" s="2451"/>
      <c r="H2495" s="2451"/>
      <c r="I2495" s="2451"/>
      <c r="J2495" s="2451"/>
      <c r="K2495" s="2451"/>
      <c r="L2495" s="2453"/>
      <c r="M2495" s="2453"/>
      <c r="N2495" s="2453"/>
      <c r="O2495" s="2453"/>
      <c r="P2495" s="2453"/>
      <c r="W2495" t="s">
        <v>2062</v>
      </c>
    </row>
    <row r="2496" spans="1:23" ht="13.15" customHeight="1">
      <c r="A2496" s="2" t="s">
        <v>2215</v>
      </c>
      <c r="B2496" s="2">
        <f t="shared" si="76"/>
        <v>2020</v>
      </c>
      <c r="C2496" s="2" t="str">
        <f t="shared" si="77"/>
        <v>LIM333</v>
      </c>
      <c r="D2496" s="2">
        <v>878</v>
      </c>
      <c r="F2496" s="2451"/>
      <c r="G2496" s="2451"/>
      <c r="H2496" s="2451"/>
      <c r="I2496" s="2451"/>
      <c r="J2496" s="2451"/>
      <c r="K2496" s="2451"/>
      <c r="L2496" s="2453"/>
      <c r="M2496" s="2453"/>
      <c r="N2496" s="2453"/>
      <c r="O2496" s="2453"/>
      <c r="P2496" s="2453"/>
      <c r="W2496" t="s">
        <v>2062</v>
      </c>
    </row>
    <row r="2497" spans="1:23" ht="13.15" customHeight="1">
      <c r="A2497" s="2" t="s">
        <v>2215</v>
      </c>
      <c r="B2497" s="2">
        <f t="shared" si="76"/>
        <v>2020</v>
      </c>
      <c r="C2497" s="2" t="str">
        <f t="shared" si="77"/>
        <v>LIM333</v>
      </c>
      <c r="D2497" s="2">
        <v>879</v>
      </c>
      <c r="F2497" s="2451"/>
      <c r="G2497" s="2451"/>
      <c r="H2497" s="2451"/>
      <c r="I2497" s="2451"/>
      <c r="J2497" s="2451"/>
      <c r="K2497" s="2451"/>
      <c r="L2497" s="2453"/>
      <c r="M2497" s="2453"/>
      <c r="N2497" s="2453"/>
      <c r="O2497" s="2453"/>
      <c r="P2497" s="2453"/>
      <c r="W2497" t="s">
        <v>2062</v>
      </c>
    </row>
    <row r="2498" spans="1:23" ht="13.15" customHeight="1">
      <c r="A2498" s="2" t="s">
        <v>2215</v>
      </c>
      <c r="B2498" s="2">
        <f t="shared" ref="B2498:B2561" si="78">+MTREF</f>
        <v>2020</v>
      </c>
      <c r="C2498" s="2" t="str">
        <f t="shared" ref="C2498:C2561" si="79">LEFT(muni,(FIND(" ",muni,1)-1))</f>
        <v>LIM333</v>
      </c>
      <c r="D2498" s="2">
        <v>880</v>
      </c>
      <c r="F2498" s="2451"/>
      <c r="G2498" s="2451"/>
      <c r="H2498" s="2451"/>
      <c r="I2498" s="2451"/>
      <c r="J2498" s="2451"/>
      <c r="K2498" s="2451"/>
      <c r="L2498" s="2453"/>
      <c r="M2498" s="2453"/>
      <c r="N2498" s="2453"/>
      <c r="O2498" s="2453"/>
      <c r="P2498" s="2453"/>
      <c r="W2498" t="s">
        <v>2062</v>
      </c>
    </row>
    <row r="2499" spans="1:23" ht="13.15" customHeight="1">
      <c r="A2499" s="2" t="s">
        <v>2215</v>
      </c>
      <c r="B2499" s="2">
        <f t="shared" si="78"/>
        <v>2020</v>
      </c>
      <c r="C2499" s="2" t="str">
        <f t="shared" si="79"/>
        <v>LIM333</v>
      </c>
      <c r="D2499" s="2">
        <v>881</v>
      </c>
      <c r="F2499" s="2451"/>
      <c r="G2499" s="2451"/>
      <c r="H2499" s="2451"/>
      <c r="I2499" s="2451"/>
      <c r="J2499" s="2451"/>
      <c r="K2499" s="2451"/>
      <c r="L2499" s="2453"/>
      <c r="M2499" s="2453"/>
      <c r="N2499" s="2453"/>
      <c r="O2499" s="2453"/>
      <c r="P2499" s="2453"/>
      <c r="W2499" t="s">
        <v>2062</v>
      </c>
    </row>
    <row r="2500" spans="1:23" ht="13.15" customHeight="1">
      <c r="A2500" s="2" t="s">
        <v>2215</v>
      </c>
      <c r="B2500" s="2">
        <f t="shared" si="78"/>
        <v>2020</v>
      </c>
      <c r="C2500" s="2" t="str">
        <f t="shared" si="79"/>
        <v>LIM333</v>
      </c>
      <c r="D2500" s="2">
        <v>882</v>
      </c>
      <c r="F2500" s="2451"/>
      <c r="G2500" s="2451"/>
      <c r="H2500" s="2451"/>
      <c r="I2500" s="2451"/>
      <c r="J2500" s="2451"/>
      <c r="K2500" s="2451"/>
      <c r="L2500" s="2453"/>
      <c r="M2500" s="2453"/>
      <c r="N2500" s="2453"/>
      <c r="O2500" s="2453"/>
      <c r="P2500" s="2453"/>
      <c r="W2500" t="s">
        <v>2062</v>
      </c>
    </row>
    <row r="2501" spans="1:23" ht="13.15" customHeight="1">
      <c r="A2501" s="2" t="s">
        <v>2215</v>
      </c>
      <c r="B2501" s="2">
        <f t="shared" si="78"/>
        <v>2020</v>
      </c>
      <c r="C2501" s="2" t="str">
        <f t="shared" si="79"/>
        <v>LIM333</v>
      </c>
      <c r="D2501" s="2">
        <v>883</v>
      </c>
      <c r="F2501" s="2451"/>
      <c r="G2501" s="2451"/>
      <c r="H2501" s="2451"/>
      <c r="I2501" s="2451"/>
      <c r="J2501" s="2451"/>
      <c r="K2501" s="2451"/>
      <c r="L2501" s="2453"/>
      <c r="M2501" s="2453"/>
      <c r="N2501" s="2453"/>
      <c r="O2501" s="2453"/>
      <c r="P2501" s="2453"/>
      <c r="W2501" t="s">
        <v>2062</v>
      </c>
    </row>
    <row r="2502" spans="1:23" ht="13.15" customHeight="1">
      <c r="A2502" s="2" t="s">
        <v>2215</v>
      </c>
      <c r="B2502" s="2">
        <f t="shared" si="78"/>
        <v>2020</v>
      </c>
      <c r="C2502" s="2" t="str">
        <f t="shared" si="79"/>
        <v>LIM333</v>
      </c>
      <c r="D2502" s="2">
        <v>884</v>
      </c>
      <c r="F2502" s="2451"/>
      <c r="G2502" s="2451"/>
      <c r="H2502" s="2451"/>
      <c r="I2502" s="2451"/>
      <c r="J2502" s="2451"/>
      <c r="K2502" s="2451"/>
      <c r="L2502" s="2453"/>
      <c r="M2502" s="2453"/>
      <c r="N2502" s="2453"/>
      <c r="O2502" s="2453"/>
      <c r="P2502" s="2453"/>
      <c r="W2502" t="s">
        <v>2062</v>
      </c>
    </row>
    <row r="2503" spans="1:23" ht="13.15" customHeight="1">
      <c r="A2503" s="2" t="s">
        <v>2215</v>
      </c>
      <c r="B2503" s="2">
        <f t="shared" si="78"/>
        <v>2020</v>
      </c>
      <c r="C2503" s="2" t="str">
        <f t="shared" si="79"/>
        <v>LIM333</v>
      </c>
      <c r="D2503" s="2">
        <v>885</v>
      </c>
      <c r="F2503" s="2451"/>
      <c r="G2503" s="2451"/>
      <c r="H2503" s="2451"/>
      <c r="I2503" s="2451"/>
      <c r="J2503" s="2451"/>
      <c r="K2503" s="2451"/>
      <c r="L2503" s="2453"/>
      <c r="M2503" s="2453"/>
      <c r="N2503" s="2453"/>
      <c r="O2503" s="2453"/>
      <c r="P2503" s="2453"/>
      <c r="W2503" t="s">
        <v>2062</v>
      </c>
    </row>
    <row r="2504" spans="1:23" ht="13.15" customHeight="1">
      <c r="A2504" s="2" t="s">
        <v>2215</v>
      </c>
      <c r="B2504" s="2">
        <f t="shared" si="78"/>
        <v>2020</v>
      </c>
      <c r="C2504" s="2" t="str">
        <f t="shared" si="79"/>
        <v>LIM333</v>
      </c>
      <c r="D2504" s="2">
        <v>886</v>
      </c>
      <c r="F2504" s="2451"/>
      <c r="G2504" s="2451"/>
      <c r="H2504" s="2451"/>
      <c r="I2504" s="2451"/>
      <c r="J2504" s="2451"/>
      <c r="K2504" s="2451"/>
      <c r="L2504" s="2453"/>
      <c r="M2504" s="2453"/>
      <c r="N2504" s="2453"/>
      <c r="O2504" s="2453"/>
      <c r="P2504" s="2453"/>
      <c r="W2504" t="s">
        <v>2062</v>
      </c>
    </row>
    <row r="2505" spans="1:23" ht="13.15" customHeight="1">
      <c r="A2505" s="2" t="s">
        <v>2215</v>
      </c>
      <c r="B2505" s="2">
        <f t="shared" si="78"/>
        <v>2020</v>
      </c>
      <c r="C2505" s="2" t="str">
        <f t="shared" si="79"/>
        <v>LIM333</v>
      </c>
      <c r="D2505" s="2">
        <v>887</v>
      </c>
      <c r="F2505" s="2451"/>
      <c r="G2505" s="2451"/>
      <c r="H2505" s="2451"/>
      <c r="I2505" s="2451"/>
      <c r="J2505" s="2451"/>
      <c r="K2505" s="2451"/>
      <c r="L2505" s="2453"/>
      <c r="M2505" s="2453"/>
      <c r="N2505" s="2453"/>
      <c r="O2505" s="2453"/>
      <c r="P2505" s="2453"/>
      <c r="W2505" t="s">
        <v>2062</v>
      </c>
    </row>
    <row r="2506" spans="1:23" ht="13.15" customHeight="1">
      <c r="A2506" s="2" t="s">
        <v>2215</v>
      </c>
      <c r="B2506" s="2">
        <f t="shared" si="78"/>
        <v>2020</v>
      </c>
      <c r="C2506" s="2" t="str">
        <f t="shared" si="79"/>
        <v>LIM333</v>
      </c>
      <c r="D2506" s="2">
        <v>888</v>
      </c>
      <c r="F2506" s="2451"/>
      <c r="G2506" s="2451"/>
      <c r="H2506" s="2451"/>
      <c r="I2506" s="2451"/>
      <c r="J2506" s="2451"/>
      <c r="K2506" s="2451"/>
      <c r="L2506" s="2453"/>
      <c r="M2506" s="2453"/>
      <c r="N2506" s="2453"/>
      <c r="O2506" s="2453"/>
      <c r="P2506" s="2453"/>
      <c r="W2506" t="s">
        <v>2062</v>
      </c>
    </row>
    <row r="2507" spans="1:23" ht="13.15" customHeight="1">
      <c r="A2507" s="2" t="s">
        <v>2215</v>
      </c>
      <c r="B2507" s="2">
        <f t="shared" si="78"/>
        <v>2020</v>
      </c>
      <c r="C2507" s="2" t="str">
        <f t="shared" si="79"/>
        <v>LIM333</v>
      </c>
      <c r="D2507" s="2">
        <v>889</v>
      </c>
      <c r="F2507" s="2451"/>
      <c r="G2507" s="2451"/>
      <c r="H2507" s="2451"/>
      <c r="I2507" s="2451"/>
      <c r="J2507" s="2451"/>
      <c r="K2507" s="2451"/>
      <c r="L2507" s="2453"/>
      <c r="M2507" s="2453"/>
      <c r="N2507" s="2453"/>
      <c r="O2507" s="2453"/>
      <c r="P2507" s="2453"/>
      <c r="W2507" t="s">
        <v>2062</v>
      </c>
    </row>
    <row r="2508" spans="1:23" ht="13.15" customHeight="1">
      <c r="A2508" s="2" t="s">
        <v>2215</v>
      </c>
      <c r="B2508" s="2">
        <f t="shared" si="78"/>
        <v>2020</v>
      </c>
      <c r="C2508" s="2" t="str">
        <f t="shared" si="79"/>
        <v>LIM333</v>
      </c>
      <c r="D2508" s="2">
        <v>890</v>
      </c>
      <c r="F2508" s="2451"/>
      <c r="G2508" s="2451"/>
      <c r="H2508" s="2451"/>
      <c r="I2508" s="2451"/>
      <c r="J2508" s="2451"/>
      <c r="K2508" s="2451"/>
      <c r="L2508" s="2453"/>
      <c r="M2508" s="2453"/>
      <c r="N2508" s="2453"/>
      <c r="O2508" s="2453"/>
      <c r="P2508" s="2453"/>
      <c r="W2508" t="s">
        <v>2062</v>
      </c>
    </row>
    <row r="2509" spans="1:23" ht="13.15" customHeight="1">
      <c r="A2509" s="2" t="s">
        <v>2215</v>
      </c>
      <c r="B2509" s="2">
        <f t="shared" si="78"/>
        <v>2020</v>
      </c>
      <c r="C2509" s="2" t="str">
        <f t="shared" si="79"/>
        <v>LIM333</v>
      </c>
      <c r="D2509" s="2">
        <v>891</v>
      </c>
      <c r="F2509" s="2451"/>
      <c r="G2509" s="2451"/>
      <c r="H2509" s="2451"/>
      <c r="I2509" s="2451"/>
      <c r="J2509" s="2451"/>
      <c r="K2509" s="2451"/>
      <c r="L2509" s="2453"/>
      <c r="M2509" s="2453"/>
      <c r="N2509" s="2453"/>
      <c r="O2509" s="2453"/>
      <c r="P2509" s="2453"/>
      <c r="W2509" t="s">
        <v>2062</v>
      </c>
    </row>
    <row r="2510" spans="1:23" ht="13.15" customHeight="1">
      <c r="A2510" s="2" t="s">
        <v>2215</v>
      </c>
      <c r="B2510" s="2">
        <f t="shared" si="78"/>
        <v>2020</v>
      </c>
      <c r="C2510" s="2" t="str">
        <f t="shared" si="79"/>
        <v>LIM333</v>
      </c>
      <c r="D2510" s="2">
        <v>892</v>
      </c>
      <c r="F2510" s="2451"/>
      <c r="G2510" s="2451"/>
      <c r="H2510" s="2451"/>
      <c r="I2510" s="2451"/>
      <c r="J2510" s="2451"/>
      <c r="K2510" s="2451"/>
      <c r="L2510" s="2453"/>
      <c r="M2510" s="2453"/>
      <c r="N2510" s="2453"/>
      <c r="O2510" s="2453"/>
      <c r="P2510" s="2453"/>
      <c r="W2510" t="s">
        <v>2062</v>
      </c>
    </row>
    <row r="2511" spans="1:23" ht="13.15" customHeight="1">
      <c r="A2511" s="2" t="s">
        <v>2215</v>
      </c>
      <c r="B2511" s="2">
        <f t="shared" si="78"/>
        <v>2020</v>
      </c>
      <c r="C2511" s="2" t="str">
        <f t="shared" si="79"/>
        <v>LIM333</v>
      </c>
      <c r="D2511" s="2">
        <v>893</v>
      </c>
      <c r="F2511" s="2451"/>
      <c r="G2511" s="2451"/>
      <c r="H2511" s="2451"/>
      <c r="I2511" s="2451"/>
      <c r="J2511" s="2451"/>
      <c r="K2511" s="2451"/>
      <c r="L2511" s="2453"/>
      <c r="M2511" s="2453"/>
      <c r="N2511" s="2453"/>
      <c r="O2511" s="2453"/>
      <c r="P2511" s="2453"/>
      <c r="W2511" t="s">
        <v>2062</v>
      </c>
    </row>
    <row r="2512" spans="1:23" ht="13.15" customHeight="1">
      <c r="A2512" s="2" t="s">
        <v>2215</v>
      </c>
      <c r="B2512" s="2">
        <f t="shared" si="78"/>
        <v>2020</v>
      </c>
      <c r="C2512" s="2" t="str">
        <f t="shared" si="79"/>
        <v>LIM333</v>
      </c>
      <c r="D2512" s="2">
        <v>894</v>
      </c>
      <c r="F2512" s="2451"/>
      <c r="G2512" s="2451"/>
      <c r="H2512" s="2451"/>
      <c r="I2512" s="2451"/>
      <c r="J2512" s="2451"/>
      <c r="K2512" s="2451"/>
      <c r="L2512" s="2453"/>
      <c r="M2512" s="2453"/>
      <c r="N2512" s="2453"/>
      <c r="O2512" s="2453"/>
      <c r="P2512" s="2453"/>
      <c r="W2512" t="s">
        <v>2062</v>
      </c>
    </row>
    <row r="2513" spans="1:23" ht="13.15" customHeight="1">
      <c r="A2513" s="2" t="s">
        <v>2215</v>
      </c>
      <c r="B2513" s="2">
        <f t="shared" si="78"/>
        <v>2020</v>
      </c>
      <c r="C2513" s="2" t="str">
        <f t="shared" si="79"/>
        <v>LIM333</v>
      </c>
      <c r="D2513" s="2">
        <v>895</v>
      </c>
      <c r="F2513" s="2451"/>
      <c r="G2513" s="2451"/>
      <c r="H2513" s="2451"/>
      <c r="I2513" s="2451"/>
      <c r="J2513" s="2451"/>
      <c r="K2513" s="2451"/>
      <c r="L2513" s="2453"/>
      <c r="M2513" s="2453"/>
      <c r="N2513" s="2453"/>
      <c r="O2513" s="2453"/>
      <c r="P2513" s="2453"/>
      <c r="W2513" t="s">
        <v>2062</v>
      </c>
    </row>
    <row r="2514" spans="1:23" ht="13.15" customHeight="1">
      <c r="A2514" s="2" t="s">
        <v>2215</v>
      </c>
      <c r="B2514" s="2">
        <f t="shared" si="78"/>
        <v>2020</v>
      </c>
      <c r="C2514" s="2" t="str">
        <f t="shared" si="79"/>
        <v>LIM333</v>
      </c>
      <c r="D2514" s="2">
        <v>896</v>
      </c>
      <c r="F2514" s="2451"/>
      <c r="G2514" s="2451"/>
      <c r="H2514" s="2451"/>
      <c r="I2514" s="2451"/>
      <c r="J2514" s="2451"/>
      <c r="K2514" s="2451"/>
      <c r="L2514" s="2453"/>
      <c r="M2514" s="2453"/>
      <c r="N2514" s="2453"/>
      <c r="O2514" s="2453"/>
      <c r="P2514" s="2453"/>
      <c r="W2514" t="s">
        <v>2062</v>
      </c>
    </row>
    <row r="2515" spans="1:23" ht="13.15" customHeight="1">
      <c r="A2515" s="2" t="s">
        <v>2215</v>
      </c>
      <c r="B2515" s="2">
        <f t="shared" si="78"/>
        <v>2020</v>
      </c>
      <c r="C2515" s="2" t="str">
        <f t="shared" si="79"/>
        <v>LIM333</v>
      </c>
      <c r="D2515" s="2">
        <v>897</v>
      </c>
      <c r="F2515" s="2451"/>
      <c r="G2515" s="2451"/>
      <c r="H2515" s="2451"/>
      <c r="I2515" s="2451"/>
      <c r="J2515" s="2451"/>
      <c r="K2515" s="2451"/>
      <c r="L2515" s="2453"/>
      <c r="M2515" s="2453"/>
      <c r="N2515" s="2453"/>
      <c r="O2515" s="2453"/>
      <c r="P2515" s="2453"/>
      <c r="W2515" t="s">
        <v>2062</v>
      </c>
    </row>
    <row r="2516" spans="1:23" ht="13.15" customHeight="1">
      <c r="A2516" s="2" t="s">
        <v>2215</v>
      </c>
      <c r="B2516" s="2">
        <f t="shared" si="78"/>
        <v>2020</v>
      </c>
      <c r="C2516" s="2" t="str">
        <f t="shared" si="79"/>
        <v>LIM333</v>
      </c>
      <c r="D2516" s="2">
        <v>898</v>
      </c>
      <c r="F2516" s="2451"/>
      <c r="G2516" s="2451"/>
      <c r="H2516" s="2451"/>
      <c r="I2516" s="2451"/>
      <c r="J2516" s="2451"/>
      <c r="K2516" s="2451"/>
      <c r="L2516" s="2453"/>
      <c r="M2516" s="2453"/>
      <c r="N2516" s="2453"/>
      <c r="O2516" s="2453"/>
      <c r="P2516" s="2453"/>
      <c r="W2516" t="s">
        <v>2062</v>
      </c>
    </row>
    <row r="2517" spans="1:23" ht="13.15" customHeight="1">
      <c r="A2517" s="2" t="s">
        <v>2215</v>
      </c>
      <c r="B2517" s="2">
        <f t="shared" si="78"/>
        <v>2020</v>
      </c>
      <c r="C2517" s="2" t="str">
        <f t="shared" si="79"/>
        <v>LIM333</v>
      </c>
      <c r="D2517" s="2">
        <v>899</v>
      </c>
      <c r="F2517" s="2451"/>
      <c r="G2517" s="2451"/>
      <c r="H2517" s="2451"/>
      <c r="I2517" s="2451"/>
      <c r="J2517" s="2451"/>
      <c r="K2517" s="2451"/>
      <c r="L2517" s="2453"/>
      <c r="M2517" s="2453"/>
      <c r="N2517" s="2453"/>
      <c r="O2517" s="2453"/>
      <c r="P2517" s="2453"/>
      <c r="W2517" t="s">
        <v>2062</v>
      </c>
    </row>
    <row r="2518" spans="1:23" ht="13.15" customHeight="1">
      <c r="A2518" s="2" t="s">
        <v>2215</v>
      </c>
      <c r="B2518" s="2">
        <f t="shared" si="78"/>
        <v>2020</v>
      </c>
      <c r="C2518" s="2" t="str">
        <f t="shared" si="79"/>
        <v>LIM333</v>
      </c>
      <c r="D2518" s="2">
        <v>900</v>
      </c>
      <c r="F2518" s="2451"/>
      <c r="G2518" s="2451"/>
      <c r="H2518" s="2451"/>
      <c r="I2518" s="2451"/>
      <c r="J2518" s="2451"/>
      <c r="K2518" s="2451"/>
      <c r="L2518" s="2453"/>
      <c r="M2518" s="2453"/>
      <c r="N2518" s="2453"/>
      <c r="O2518" s="2453"/>
      <c r="P2518" s="2453"/>
      <c r="W2518" t="s">
        <v>2062</v>
      </c>
    </row>
    <row r="2519" spans="1:23" ht="13.15" customHeight="1">
      <c r="A2519" s="2" t="s">
        <v>2215</v>
      </c>
      <c r="B2519" s="2">
        <f t="shared" si="78"/>
        <v>2020</v>
      </c>
      <c r="C2519" s="2" t="str">
        <f t="shared" si="79"/>
        <v>LIM333</v>
      </c>
      <c r="D2519" s="2">
        <v>901</v>
      </c>
      <c r="F2519" s="2451"/>
      <c r="G2519" s="2451"/>
      <c r="H2519" s="2451"/>
      <c r="I2519" s="2451"/>
      <c r="J2519" s="2451"/>
      <c r="K2519" s="2451"/>
      <c r="L2519" s="2453"/>
      <c r="M2519" s="2453"/>
      <c r="N2519" s="2453"/>
      <c r="O2519" s="2453"/>
      <c r="P2519" s="2453"/>
      <c r="W2519" t="s">
        <v>2062</v>
      </c>
    </row>
    <row r="2520" spans="1:23" ht="13.15" customHeight="1">
      <c r="A2520" s="2" t="s">
        <v>2215</v>
      </c>
      <c r="B2520" s="2">
        <f t="shared" si="78"/>
        <v>2020</v>
      </c>
      <c r="C2520" s="2" t="str">
        <f t="shared" si="79"/>
        <v>LIM333</v>
      </c>
      <c r="D2520" s="2">
        <v>902</v>
      </c>
      <c r="F2520" s="2451"/>
      <c r="G2520" s="2451"/>
      <c r="H2520" s="2451"/>
      <c r="I2520" s="2451"/>
      <c r="J2520" s="2451"/>
      <c r="K2520" s="2451"/>
      <c r="L2520" s="2453"/>
      <c r="M2520" s="2453"/>
      <c r="N2520" s="2453"/>
      <c r="O2520" s="2453"/>
      <c r="P2520" s="2453"/>
      <c r="W2520" t="s">
        <v>2062</v>
      </c>
    </row>
    <row r="2521" spans="1:23" ht="13.15" customHeight="1">
      <c r="A2521" s="2" t="s">
        <v>2215</v>
      </c>
      <c r="B2521" s="2">
        <f t="shared" si="78"/>
        <v>2020</v>
      </c>
      <c r="C2521" s="2" t="str">
        <f t="shared" si="79"/>
        <v>LIM333</v>
      </c>
      <c r="D2521" s="2">
        <v>903</v>
      </c>
      <c r="F2521" s="2451"/>
      <c r="G2521" s="2451"/>
      <c r="H2521" s="2451"/>
      <c r="I2521" s="2451"/>
      <c r="J2521" s="2451"/>
      <c r="K2521" s="2451"/>
      <c r="L2521" s="2453"/>
      <c r="M2521" s="2453"/>
      <c r="N2521" s="2453"/>
      <c r="O2521" s="2453"/>
      <c r="P2521" s="2453"/>
      <c r="W2521" t="s">
        <v>2062</v>
      </c>
    </row>
    <row r="2522" spans="1:23" ht="13.15" customHeight="1">
      <c r="A2522" s="2" t="s">
        <v>2215</v>
      </c>
      <c r="B2522" s="2">
        <f t="shared" si="78"/>
        <v>2020</v>
      </c>
      <c r="C2522" s="2" t="str">
        <f t="shared" si="79"/>
        <v>LIM333</v>
      </c>
      <c r="D2522" s="2">
        <v>904</v>
      </c>
      <c r="F2522" s="2451"/>
      <c r="G2522" s="2451"/>
      <c r="H2522" s="2451"/>
      <c r="I2522" s="2451"/>
      <c r="J2522" s="2451"/>
      <c r="K2522" s="2451"/>
      <c r="L2522" s="2453"/>
      <c r="M2522" s="2453"/>
      <c r="N2522" s="2453"/>
      <c r="O2522" s="2453"/>
      <c r="P2522" s="2453"/>
      <c r="W2522" t="s">
        <v>2062</v>
      </c>
    </row>
    <row r="2523" spans="1:23" ht="13.15" customHeight="1">
      <c r="A2523" s="2" t="s">
        <v>2215</v>
      </c>
      <c r="B2523" s="2">
        <f t="shared" si="78"/>
        <v>2020</v>
      </c>
      <c r="C2523" s="2" t="str">
        <f t="shared" si="79"/>
        <v>LIM333</v>
      </c>
      <c r="D2523" s="2">
        <v>905</v>
      </c>
      <c r="F2523" s="2451"/>
      <c r="G2523" s="2451"/>
      <c r="H2523" s="2451"/>
      <c r="I2523" s="2451"/>
      <c r="J2523" s="2451"/>
      <c r="K2523" s="2451"/>
      <c r="L2523" s="2453"/>
      <c r="M2523" s="2453"/>
      <c r="N2523" s="2453"/>
      <c r="O2523" s="2453"/>
      <c r="P2523" s="2453"/>
      <c r="W2523" t="s">
        <v>2062</v>
      </c>
    </row>
    <row r="2524" spans="1:23" ht="13.15" customHeight="1">
      <c r="A2524" s="2" t="s">
        <v>2215</v>
      </c>
      <c r="B2524" s="2">
        <f t="shared" si="78"/>
        <v>2020</v>
      </c>
      <c r="C2524" s="2" t="str">
        <f t="shared" si="79"/>
        <v>LIM333</v>
      </c>
      <c r="D2524" s="2">
        <v>906</v>
      </c>
      <c r="F2524" s="2451"/>
      <c r="G2524" s="2451"/>
      <c r="H2524" s="2451"/>
      <c r="I2524" s="2451"/>
      <c r="J2524" s="2451"/>
      <c r="K2524" s="2451"/>
      <c r="L2524" s="2453"/>
      <c r="M2524" s="2453"/>
      <c r="N2524" s="2453"/>
      <c r="O2524" s="2453"/>
      <c r="P2524" s="2453"/>
      <c r="W2524" t="s">
        <v>2062</v>
      </c>
    </row>
    <row r="2525" spans="1:23" ht="13.15" customHeight="1">
      <c r="A2525" s="2" t="s">
        <v>2215</v>
      </c>
      <c r="B2525" s="2">
        <f t="shared" si="78"/>
        <v>2020</v>
      </c>
      <c r="C2525" s="2" t="str">
        <f t="shared" si="79"/>
        <v>LIM333</v>
      </c>
      <c r="D2525" s="2">
        <v>907</v>
      </c>
      <c r="F2525" s="2451"/>
      <c r="G2525" s="2451"/>
      <c r="H2525" s="2451"/>
      <c r="I2525" s="2451"/>
      <c r="J2525" s="2451"/>
      <c r="K2525" s="2451"/>
      <c r="L2525" s="2453"/>
      <c r="M2525" s="2453"/>
      <c r="N2525" s="2453"/>
      <c r="O2525" s="2453"/>
      <c r="P2525" s="2453"/>
      <c r="W2525" t="s">
        <v>2062</v>
      </c>
    </row>
    <row r="2526" spans="1:23" ht="13.15" customHeight="1">
      <c r="A2526" s="2" t="s">
        <v>2215</v>
      </c>
      <c r="B2526" s="2">
        <f t="shared" si="78"/>
        <v>2020</v>
      </c>
      <c r="C2526" s="2" t="str">
        <f t="shared" si="79"/>
        <v>LIM333</v>
      </c>
      <c r="D2526" s="2">
        <v>908</v>
      </c>
      <c r="F2526" s="2451"/>
      <c r="G2526" s="2451"/>
      <c r="H2526" s="2451"/>
      <c r="I2526" s="2451"/>
      <c r="J2526" s="2451"/>
      <c r="K2526" s="2451"/>
      <c r="L2526" s="2453"/>
      <c r="M2526" s="2453"/>
      <c r="N2526" s="2453"/>
      <c r="O2526" s="2453"/>
      <c r="P2526" s="2453"/>
      <c r="W2526" t="s">
        <v>2062</v>
      </c>
    </row>
    <row r="2527" spans="1:23" ht="13.15" customHeight="1">
      <c r="A2527" s="2" t="s">
        <v>2215</v>
      </c>
      <c r="B2527" s="2">
        <f t="shared" si="78"/>
        <v>2020</v>
      </c>
      <c r="C2527" s="2" t="str">
        <f t="shared" si="79"/>
        <v>LIM333</v>
      </c>
      <c r="D2527" s="2">
        <v>909</v>
      </c>
      <c r="F2527" s="2451"/>
      <c r="G2527" s="2451"/>
      <c r="H2527" s="2451"/>
      <c r="I2527" s="2451"/>
      <c r="J2527" s="2451"/>
      <c r="K2527" s="2451"/>
      <c r="L2527" s="2453"/>
      <c r="M2527" s="2453"/>
      <c r="N2527" s="2453"/>
      <c r="O2527" s="2453"/>
      <c r="P2527" s="2453"/>
      <c r="W2527" t="s">
        <v>2062</v>
      </c>
    </row>
    <row r="2528" spans="1:23" ht="13.15" customHeight="1">
      <c r="A2528" s="2" t="s">
        <v>2215</v>
      </c>
      <c r="B2528" s="2">
        <f t="shared" si="78"/>
        <v>2020</v>
      </c>
      <c r="C2528" s="2" t="str">
        <f t="shared" si="79"/>
        <v>LIM333</v>
      </c>
      <c r="D2528" s="2">
        <v>910</v>
      </c>
      <c r="F2528" s="2451"/>
      <c r="G2528" s="2451"/>
      <c r="H2528" s="2451"/>
      <c r="I2528" s="2451"/>
      <c r="J2528" s="2451"/>
      <c r="K2528" s="2451"/>
      <c r="L2528" s="2453"/>
      <c r="M2528" s="2453"/>
      <c r="N2528" s="2453"/>
      <c r="O2528" s="2453"/>
      <c r="P2528" s="2453"/>
      <c r="W2528" t="s">
        <v>2062</v>
      </c>
    </row>
    <row r="2529" spans="1:23" ht="13.15" customHeight="1">
      <c r="A2529" s="2" t="s">
        <v>2215</v>
      </c>
      <c r="B2529" s="2">
        <f t="shared" si="78"/>
        <v>2020</v>
      </c>
      <c r="C2529" s="2" t="str">
        <f t="shared" si="79"/>
        <v>LIM333</v>
      </c>
      <c r="D2529" s="2">
        <v>911</v>
      </c>
      <c r="F2529" s="2451"/>
      <c r="G2529" s="2451"/>
      <c r="H2529" s="2451"/>
      <c r="I2529" s="2451"/>
      <c r="J2529" s="2451"/>
      <c r="K2529" s="2451"/>
      <c r="L2529" s="2453"/>
      <c r="M2529" s="2453"/>
      <c r="N2529" s="2453"/>
      <c r="O2529" s="2453"/>
      <c r="P2529" s="2453"/>
      <c r="W2529" t="s">
        <v>2062</v>
      </c>
    </row>
    <row r="2530" spans="1:23" ht="13.15" customHeight="1">
      <c r="A2530" s="2" t="s">
        <v>2215</v>
      </c>
      <c r="B2530" s="2">
        <f t="shared" si="78"/>
        <v>2020</v>
      </c>
      <c r="C2530" s="2" t="str">
        <f t="shared" si="79"/>
        <v>LIM333</v>
      </c>
      <c r="D2530" s="2">
        <v>912</v>
      </c>
      <c r="F2530" s="2451"/>
      <c r="G2530" s="2451"/>
      <c r="H2530" s="2451"/>
      <c r="I2530" s="2451"/>
      <c r="J2530" s="2451"/>
      <c r="K2530" s="2451"/>
      <c r="L2530" s="2453"/>
      <c r="M2530" s="2453"/>
      <c r="N2530" s="2453"/>
      <c r="O2530" s="2453"/>
      <c r="P2530" s="2453"/>
      <c r="W2530" t="s">
        <v>2062</v>
      </c>
    </row>
    <row r="2531" spans="1:23" ht="13.15" customHeight="1">
      <c r="A2531" s="2" t="s">
        <v>2215</v>
      </c>
      <c r="B2531" s="2">
        <f t="shared" si="78"/>
        <v>2020</v>
      </c>
      <c r="C2531" s="2" t="str">
        <f t="shared" si="79"/>
        <v>LIM333</v>
      </c>
      <c r="D2531" s="2">
        <v>913</v>
      </c>
      <c r="F2531" s="2451"/>
      <c r="G2531" s="2451"/>
      <c r="H2531" s="2451"/>
      <c r="I2531" s="2451"/>
      <c r="J2531" s="2451"/>
      <c r="K2531" s="2451"/>
      <c r="L2531" s="2453"/>
      <c r="M2531" s="2453"/>
      <c r="N2531" s="2453"/>
      <c r="O2531" s="2453"/>
      <c r="P2531" s="2453"/>
      <c r="W2531" t="s">
        <v>2062</v>
      </c>
    </row>
    <row r="2532" spans="1:23" ht="13.15" customHeight="1">
      <c r="A2532" s="2" t="s">
        <v>2215</v>
      </c>
      <c r="B2532" s="2">
        <f t="shared" si="78"/>
        <v>2020</v>
      </c>
      <c r="C2532" s="2" t="str">
        <f t="shared" si="79"/>
        <v>LIM333</v>
      </c>
      <c r="D2532" s="2">
        <v>914</v>
      </c>
      <c r="F2532" s="2451"/>
      <c r="G2532" s="2451"/>
      <c r="H2532" s="2451"/>
      <c r="I2532" s="2451"/>
      <c r="J2532" s="2451"/>
      <c r="K2532" s="2451"/>
      <c r="L2532" s="2453"/>
      <c r="M2532" s="2453"/>
      <c r="N2532" s="2453"/>
      <c r="O2532" s="2453"/>
      <c r="P2532" s="2453"/>
      <c r="W2532" t="s">
        <v>2062</v>
      </c>
    </row>
    <row r="2533" spans="1:23" ht="13.15" customHeight="1">
      <c r="A2533" s="2" t="s">
        <v>2215</v>
      </c>
      <c r="B2533" s="2">
        <f t="shared" si="78"/>
        <v>2020</v>
      </c>
      <c r="C2533" s="2" t="str">
        <f t="shared" si="79"/>
        <v>LIM333</v>
      </c>
      <c r="D2533" s="2">
        <v>915</v>
      </c>
      <c r="F2533" s="2451"/>
      <c r="G2533" s="2451"/>
      <c r="H2533" s="2451"/>
      <c r="I2533" s="2451"/>
      <c r="J2533" s="2451"/>
      <c r="K2533" s="2451"/>
      <c r="L2533" s="2453"/>
      <c r="M2533" s="2453"/>
      <c r="N2533" s="2453"/>
      <c r="O2533" s="2453"/>
      <c r="P2533" s="2453"/>
      <c r="W2533" t="s">
        <v>2062</v>
      </c>
    </row>
    <row r="2534" spans="1:23" ht="13.15" customHeight="1">
      <c r="A2534" s="2" t="s">
        <v>2215</v>
      </c>
      <c r="B2534" s="2">
        <f t="shared" si="78"/>
        <v>2020</v>
      </c>
      <c r="C2534" s="2" t="str">
        <f t="shared" si="79"/>
        <v>LIM333</v>
      </c>
      <c r="D2534" s="2">
        <v>916</v>
      </c>
      <c r="F2534" s="2451"/>
      <c r="G2534" s="2451"/>
      <c r="H2534" s="2451"/>
      <c r="I2534" s="2451"/>
      <c r="J2534" s="2451"/>
      <c r="K2534" s="2451"/>
      <c r="L2534" s="2453"/>
      <c r="M2534" s="2453"/>
      <c r="N2534" s="2453"/>
      <c r="O2534" s="2453"/>
      <c r="P2534" s="2453"/>
      <c r="W2534" t="s">
        <v>2062</v>
      </c>
    </row>
    <row r="2535" spans="1:23" ht="13.15" customHeight="1">
      <c r="A2535" s="2" t="s">
        <v>2215</v>
      </c>
      <c r="B2535" s="2">
        <f t="shared" si="78"/>
        <v>2020</v>
      </c>
      <c r="C2535" s="2" t="str">
        <f t="shared" si="79"/>
        <v>LIM333</v>
      </c>
      <c r="D2535" s="2">
        <v>917</v>
      </c>
      <c r="F2535" s="2451"/>
      <c r="G2535" s="2451"/>
      <c r="H2535" s="2451"/>
      <c r="I2535" s="2451"/>
      <c r="J2535" s="2451"/>
      <c r="K2535" s="2451"/>
      <c r="L2535" s="2453"/>
      <c r="M2535" s="2453"/>
      <c r="N2535" s="2453"/>
      <c r="O2535" s="2453"/>
      <c r="P2535" s="2453"/>
      <c r="W2535" t="s">
        <v>2062</v>
      </c>
    </row>
    <row r="2536" spans="1:23" ht="13.15" customHeight="1">
      <c r="A2536" s="2" t="s">
        <v>2215</v>
      </c>
      <c r="B2536" s="2">
        <f t="shared" si="78"/>
        <v>2020</v>
      </c>
      <c r="C2536" s="2" t="str">
        <f t="shared" si="79"/>
        <v>LIM333</v>
      </c>
      <c r="D2536" s="2">
        <v>918</v>
      </c>
      <c r="F2536" s="2451"/>
      <c r="G2536" s="2451"/>
      <c r="H2536" s="2451"/>
      <c r="I2536" s="2451"/>
      <c r="J2536" s="2451"/>
      <c r="K2536" s="2451"/>
      <c r="L2536" s="2453"/>
      <c r="M2536" s="2453"/>
      <c r="N2536" s="2453"/>
      <c r="O2536" s="2453"/>
      <c r="P2536" s="2453"/>
      <c r="W2536" t="s">
        <v>2062</v>
      </c>
    </row>
    <row r="2537" spans="1:23" ht="13.15" customHeight="1">
      <c r="A2537" s="2" t="s">
        <v>2215</v>
      </c>
      <c r="B2537" s="2">
        <f t="shared" si="78"/>
        <v>2020</v>
      </c>
      <c r="C2537" s="2" t="str">
        <f t="shared" si="79"/>
        <v>LIM333</v>
      </c>
      <c r="D2537" s="2">
        <v>919</v>
      </c>
      <c r="F2537" s="2451"/>
      <c r="G2537" s="2451"/>
      <c r="H2537" s="2451"/>
      <c r="I2537" s="2451"/>
      <c r="J2537" s="2451"/>
      <c r="K2537" s="2451"/>
      <c r="L2537" s="2453"/>
      <c r="M2537" s="2453"/>
      <c r="N2537" s="2453"/>
      <c r="O2537" s="2453"/>
      <c r="P2537" s="2453"/>
      <c r="W2537" t="s">
        <v>2062</v>
      </c>
    </row>
    <row r="2538" spans="1:23" ht="13.15" customHeight="1">
      <c r="A2538" s="2" t="s">
        <v>2215</v>
      </c>
      <c r="B2538" s="2">
        <f t="shared" si="78"/>
        <v>2020</v>
      </c>
      <c r="C2538" s="2" t="str">
        <f t="shared" si="79"/>
        <v>LIM333</v>
      </c>
      <c r="D2538" s="2">
        <v>920</v>
      </c>
      <c r="F2538" s="2451"/>
      <c r="G2538" s="2451"/>
      <c r="H2538" s="2451"/>
      <c r="I2538" s="2451"/>
      <c r="J2538" s="2451"/>
      <c r="K2538" s="2451"/>
      <c r="L2538" s="2453"/>
      <c r="M2538" s="2453"/>
      <c r="N2538" s="2453"/>
      <c r="O2538" s="2453"/>
      <c r="P2538" s="2453"/>
      <c r="W2538" t="s">
        <v>2062</v>
      </c>
    </row>
    <row r="2539" spans="1:23" ht="13.15" customHeight="1">
      <c r="A2539" s="2" t="s">
        <v>2215</v>
      </c>
      <c r="B2539" s="2">
        <f t="shared" si="78"/>
        <v>2020</v>
      </c>
      <c r="C2539" s="2" t="str">
        <f t="shared" si="79"/>
        <v>LIM333</v>
      </c>
      <c r="D2539" s="2">
        <v>921</v>
      </c>
      <c r="F2539" s="2451"/>
      <c r="G2539" s="2451"/>
      <c r="H2539" s="2451"/>
      <c r="I2539" s="2451"/>
      <c r="J2539" s="2451"/>
      <c r="K2539" s="2451"/>
      <c r="L2539" s="2453"/>
      <c r="M2539" s="2453"/>
      <c r="N2539" s="2453"/>
      <c r="O2539" s="2453"/>
      <c r="P2539" s="2453"/>
      <c r="W2539" t="s">
        <v>2062</v>
      </c>
    </row>
    <row r="2540" spans="1:23" ht="13.15" customHeight="1">
      <c r="A2540" s="2" t="s">
        <v>2215</v>
      </c>
      <c r="B2540" s="2">
        <f t="shared" si="78"/>
        <v>2020</v>
      </c>
      <c r="C2540" s="2" t="str">
        <f t="shared" si="79"/>
        <v>LIM333</v>
      </c>
      <c r="D2540" s="2">
        <v>922</v>
      </c>
      <c r="F2540" s="2451"/>
      <c r="G2540" s="2451"/>
      <c r="H2540" s="2451"/>
      <c r="I2540" s="2451"/>
      <c r="J2540" s="2451"/>
      <c r="K2540" s="2451"/>
      <c r="L2540" s="2453"/>
      <c r="M2540" s="2453"/>
      <c r="N2540" s="2453"/>
      <c r="O2540" s="2453"/>
      <c r="P2540" s="2453"/>
      <c r="W2540" t="s">
        <v>2062</v>
      </c>
    </row>
    <row r="2541" spans="1:23" ht="13.15" customHeight="1">
      <c r="A2541" s="2" t="s">
        <v>2215</v>
      </c>
      <c r="B2541" s="2">
        <f t="shared" si="78"/>
        <v>2020</v>
      </c>
      <c r="C2541" s="2" t="str">
        <f t="shared" si="79"/>
        <v>LIM333</v>
      </c>
      <c r="D2541" s="2">
        <v>923</v>
      </c>
      <c r="F2541" s="2451"/>
      <c r="G2541" s="2451"/>
      <c r="H2541" s="2451"/>
      <c r="I2541" s="2451"/>
      <c r="J2541" s="2451"/>
      <c r="K2541" s="2451"/>
      <c r="L2541" s="2453"/>
      <c r="M2541" s="2453"/>
      <c r="N2541" s="2453"/>
      <c r="O2541" s="2453"/>
      <c r="P2541" s="2453"/>
      <c r="W2541" t="s">
        <v>2062</v>
      </c>
    </row>
    <row r="2542" spans="1:23" ht="13.15" customHeight="1">
      <c r="A2542" s="2" t="s">
        <v>2215</v>
      </c>
      <c r="B2542" s="2">
        <f t="shared" si="78"/>
        <v>2020</v>
      </c>
      <c r="C2542" s="2" t="str">
        <f t="shared" si="79"/>
        <v>LIM333</v>
      </c>
      <c r="D2542" s="2">
        <v>924</v>
      </c>
      <c r="F2542" s="2451"/>
      <c r="G2542" s="2451"/>
      <c r="H2542" s="2451"/>
      <c r="I2542" s="2451"/>
      <c r="J2542" s="2451"/>
      <c r="K2542" s="2451"/>
      <c r="L2542" s="2453"/>
      <c r="M2542" s="2453"/>
      <c r="N2542" s="2453"/>
      <c r="O2542" s="2453"/>
      <c r="P2542" s="2453"/>
      <c r="W2542" t="s">
        <v>2062</v>
      </c>
    </row>
    <row r="2543" spans="1:23" ht="13.15" customHeight="1">
      <c r="A2543" s="2" t="s">
        <v>2215</v>
      </c>
      <c r="B2543" s="2">
        <f t="shared" si="78"/>
        <v>2020</v>
      </c>
      <c r="C2543" s="2" t="str">
        <f t="shared" si="79"/>
        <v>LIM333</v>
      </c>
      <c r="D2543" s="2">
        <v>925</v>
      </c>
      <c r="F2543" s="2451"/>
      <c r="G2543" s="2451"/>
      <c r="H2543" s="2451"/>
      <c r="I2543" s="2451"/>
      <c r="J2543" s="2451"/>
      <c r="K2543" s="2451"/>
      <c r="L2543" s="2453"/>
      <c r="M2543" s="2453"/>
      <c r="N2543" s="2453"/>
      <c r="O2543" s="2453"/>
      <c r="P2543" s="2453"/>
      <c r="W2543" t="s">
        <v>2062</v>
      </c>
    </row>
    <row r="2544" spans="1:23" ht="13.15" customHeight="1">
      <c r="A2544" s="2" t="s">
        <v>2215</v>
      </c>
      <c r="B2544" s="2">
        <f t="shared" si="78"/>
        <v>2020</v>
      </c>
      <c r="C2544" s="2" t="str">
        <f t="shared" si="79"/>
        <v>LIM333</v>
      </c>
      <c r="D2544" s="2">
        <v>926</v>
      </c>
      <c r="F2544" s="2451"/>
      <c r="G2544" s="2451"/>
      <c r="H2544" s="2451"/>
      <c r="I2544" s="2451"/>
      <c r="J2544" s="2451"/>
      <c r="K2544" s="2451"/>
      <c r="L2544" s="2453"/>
      <c r="M2544" s="2453"/>
      <c r="N2544" s="2453"/>
      <c r="O2544" s="2453"/>
      <c r="P2544" s="2453"/>
      <c r="W2544" t="s">
        <v>2062</v>
      </c>
    </row>
    <row r="2545" spans="1:23" ht="13.15" customHeight="1">
      <c r="A2545" s="2" t="s">
        <v>2215</v>
      </c>
      <c r="B2545" s="2">
        <f t="shared" si="78"/>
        <v>2020</v>
      </c>
      <c r="C2545" s="2" t="str">
        <f t="shared" si="79"/>
        <v>LIM333</v>
      </c>
      <c r="D2545" s="2">
        <v>927</v>
      </c>
      <c r="F2545" s="2451"/>
      <c r="G2545" s="2451"/>
      <c r="H2545" s="2451"/>
      <c r="I2545" s="2451"/>
      <c r="J2545" s="2451"/>
      <c r="K2545" s="2451"/>
      <c r="L2545" s="2453"/>
      <c r="M2545" s="2453"/>
      <c r="N2545" s="2453"/>
      <c r="O2545" s="2453"/>
      <c r="P2545" s="2453"/>
      <c r="W2545" t="s">
        <v>2062</v>
      </c>
    </row>
    <row r="2546" spans="1:23" ht="13.15" customHeight="1">
      <c r="A2546" s="2" t="s">
        <v>2215</v>
      </c>
      <c r="B2546" s="2">
        <f t="shared" si="78"/>
        <v>2020</v>
      </c>
      <c r="C2546" s="2" t="str">
        <f t="shared" si="79"/>
        <v>LIM333</v>
      </c>
      <c r="D2546" s="2">
        <v>928</v>
      </c>
      <c r="F2546" s="2451"/>
      <c r="G2546" s="2451"/>
      <c r="H2546" s="2451"/>
      <c r="I2546" s="2451"/>
      <c r="J2546" s="2451"/>
      <c r="K2546" s="2451"/>
      <c r="L2546" s="2453"/>
      <c r="M2546" s="2453"/>
      <c r="N2546" s="2453"/>
      <c r="O2546" s="2453"/>
      <c r="P2546" s="2453"/>
      <c r="W2546" t="s">
        <v>2062</v>
      </c>
    </row>
    <row r="2547" spans="1:23" ht="13.15" customHeight="1">
      <c r="A2547" s="2" t="s">
        <v>2215</v>
      </c>
      <c r="B2547" s="2">
        <f t="shared" si="78"/>
        <v>2020</v>
      </c>
      <c r="C2547" s="2" t="str">
        <f t="shared" si="79"/>
        <v>LIM333</v>
      </c>
      <c r="D2547" s="2">
        <v>929</v>
      </c>
      <c r="F2547" s="2451"/>
      <c r="G2547" s="2451"/>
      <c r="H2547" s="2451"/>
      <c r="I2547" s="2451"/>
      <c r="J2547" s="2451"/>
      <c r="K2547" s="2451"/>
      <c r="L2547" s="2453"/>
      <c r="M2547" s="2453"/>
      <c r="N2547" s="2453"/>
      <c r="O2547" s="2453"/>
      <c r="P2547" s="2453"/>
      <c r="W2547" t="s">
        <v>2062</v>
      </c>
    </row>
    <row r="2548" spans="1:23" ht="13.15" customHeight="1">
      <c r="A2548" s="2" t="s">
        <v>2215</v>
      </c>
      <c r="B2548" s="2">
        <f t="shared" si="78"/>
        <v>2020</v>
      </c>
      <c r="C2548" s="2" t="str">
        <f t="shared" si="79"/>
        <v>LIM333</v>
      </c>
      <c r="D2548" s="2">
        <v>930</v>
      </c>
      <c r="F2548" s="2451"/>
      <c r="G2548" s="2451"/>
      <c r="H2548" s="2451"/>
      <c r="I2548" s="2451"/>
      <c r="J2548" s="2451"/>
      <c r="K2548" s="2451"/>
      <c r="L2548" s="2453"/>
      <c r="M2548" s="2453"/>
      <c r="N2548" s="2453"/>
      <c r="O2548" s="2453"/>
      <c r="P2548" s="2453"/>
      <c r="W2548" t="s">
        <v>2062</v>
      </c>
    </row>
    <row r="2549" spans="1:23" ht="13.15" customHeight="1">
      <c r="A2549" s="2" t="s">
        <v>2215</v>
      </c>
      <c r="B2549" s="2">
        <f t="shared" si="78"/>
        <v>2020</v>
      </c>
      <c r="C2549" s="2" t="str">
        <f t="shared" si="79"/>
        <v>LIM333</v>
      </c>
      <c r="D2549" s="2">
        <v>931</v>
      </c>
      <c r="F2549" s="2451"/>
      <c r="G2549" s="2451"/>
      <c r="H2549" s="2451"/>
      <c r="I2549" s="2451"/>
      <c r="J2549" s="2451"/>
      <c r="K2549" s="2451"/>
      <c r="L2549" s="2453"/>
      <c r="M2549" s="2453"/>
      <c r="N2549" s="2453"/>
      <c r="O2549" s="2453"/>
      <c r="P2549" s="2453"/>
      <c r="W2549" t="s">
        <v>2062</v>
      </c>
    </row>
    <row r="2550" spans="1:23" ht="13.15" customHeight="1">
      <c r="A2550" s="2" t="s">
        <v>2215</v>
      </c>
      <c r="B2550" s="2">
        <f t="shared" si="78"/>
        <v>2020</v>
      </c>
      <c r="C2550" s="2" t="str">
        <f t="shared" si="79"/>
        <v>LIM333</v>
      </c>
      <c r="D2550" s="2">
        <v>932</v>
      </c>
      <c r="F2550" s="2451"/>
      <c r="G2550" s="2451"/>
      <c r="H2550" s="2451"/>
      <c r="I2550" s="2451"/>
      <c r="J2550" s="2451"/>
      <c r="K2550" s="2451"/>
      <c r="L2550" s="2453"/>
      <c r="M2550" s="2453"/>
      <c r="N2550" s="2453"/>
      <c r="O2550" s="2453"/>
      <c r="P2550" s="2453"/>
      <c r="W2550" t="s">
        <v>2062</v>
      </c>
    </row>
    <row r="2551" spans="1:23" ht="13.15" customHeight="1">
      <c r="A2551" s="2" t="s">
        <v>2215</v>
      </c>
      <c r="B2551" s="2">
        <f t="shared" si="78"/>
        <v>2020</v>
      </c>
      <c r="C2551" s="2" t="str">
        <f t="shared" si="79"/>
        <v>LIM333</v>
      </c>
      <c r="D2551" s="2">
        <v>933</v>
      </c>
      <c r="F2551" s="2451"/>
      <c r="G2551" s="2451"/>
      <c r="H2551" s="2451"/>
      <c r="I2551" s="2451"/>
      <c r="J2551" s="2451"/>
      <c r="K2551" s="2451"/>
      <c r="L2551" s="2453"/>
      <c r="M2551" s="2453"/>
      <c r="N2551" s="2453"/>
      <c r="O2551" s="2453"/>
      <c r="P2551" s="2453"/>
      <c r="W2551" t="s">
        <v>2062</v>
      </c>
    </row>
    <row r="2552" spans="1:23" ht="13.15" customHeight="1">
      <c r="A2552" s="2" t="s">
        <v>2215</v>
      </c>
      <c r="B2552" s="2">
        <f t="shared" si="78"/>
        <v>2020</v>
      </c>
      <c r="C2552" s="2" t="str">
        <f t="shared" si="79"/>
        <v>LIM333</v>
      </c>
      <c r="D2552" s="2">
        <v>934</v>
      </c>
      <c r="F2552" s="2451"/>
      <c r="G2552" s="2451"/>
      <c r="H2552" s="2451"/>
      <c r="I2552" s="2451"/>
      <c r="J2552" s="2451"/>
      <c r="K2552" s="2451"/>
      <c r="L2552" s="2453"/>
      <c r="M2552" s="2453"/>
      <c r="N2552" s="2453"/>
      <c r="O2552" s="2453"/>
      <c r="P2552" s="2453"/>
      <c r="W2552" t="s">
        <v>2062</v>
      </c>
    </row>
    <row r="2553" spans="1:23" ht="13.15" customHeight="1">
      <c r="A2553" s="2" t="s">
        <v>2215</v>
      </c>
      <c r="B2553" s="2">
        <f t="shared" si="78"/>
        <v>2020</v>
      </c>
      <c r="C2553" s="2" t="str">
        <f t="shared" si="79"/>
        <v>LIM333</v>
      </c>
      <c r="D2553" s="2">
        <v>935</v>
      </c>
      <c r="F2553" s="2451"/>
      <c r="G2553" s="2451"/>
      <c r="H2553" s="2451"/>
      <c r="I2553" s="2451"/>
      <c r="J2553" s="2451"/>
      <c r="K2553" s="2451"/>
      <c r="L2553" s="2453"/>
      <c r="M2553" s="2453"/>
      <c r="N2553" s="2453"/>
      <c r="O2553" s="2453"/>
      <c r="P2553" s="2453"/>
      <c r="W2553" t="s">
        <v>2062</v>
      </c>
    </row>
    <row r="2554" spans="1:23" ht="13.15" customHeight="1">
      <c r="A2554" s="2" t="s">
        <v>2215</v>
      </c>
      <c r="B2554" s="2">
        <f t="shared" si="78"/>
        <v>2020</v>
      </c>
      <c r="C2554" s="2" t="str">
        <f t="shared" si="79"/>
        <v>LIM333</v>
      </c>
      <c r="D2554" s="2">
        <v>936</v>
      </c>
      <c r="F2554" s="2451"/>
      <c r="G2554" s="2451"/>
      <c r="H2554" s="2451"/>
      <c r="I2554" s="2451"/>
      <c r="J2554" s="2451"/>
      <c r="K2554" s="2451"/>
      <c r="L2554" s="2453"/>
      <c r="M2554" s="2453"/>
      <c r="N2554" s="2453"/>
      <c r="O2554" s="2453"/>
      <c r="P2554" s="2453"/>
      <c r="W2554" t="s">
        <v>2062</v>
      </c>
    </row>
    <row r="2555" spans="1:23" ht="13.15" customHeight="1">
      <c r="A2555" s="2" t="s">
        <v>2215</v>
      </c>
      <c r="B2555" s="2">
        <f t="shared" si="78"/>
        <v>2020</v>
      </c>
      <c r="C2555" s="2" t="str">
        <f t="shared" si="79"/>
        <v>LIM333</v>
      </c>
      <c r="D2555" s="2">
        <v>937</v>
      </c>
      <c r="F2555" s="2451"/>
      <c r="G2555" s="2451"/>
      <c r="H2555" s="2451"/>
      <c r="I2555" s="2451"/>
      <c r="J2555" s="2451"/>
      <c r="K2555" s="2451"/>
      <c r="L2555" s="2453"/>
      <c r="M2555" s="2453"/>
      <c r="N2555" s="2453"/>
      <c r="O2555" s="2453"/>
      <c r="P2555" s="2453"/>
      <c r="W2555" t="s">
        <v>2062</v>
      </c>
    </row>
    <row r="2556" spans="1:23" ht="13.15" customHeight="1">
      <c r="A2556" s="2" t="s">
        <v>2215</v>
      </c>
      <c r="B2556" s="2">
        <f t="shared" si="78"/>
        <v>2020</v>
      </c>
      <c r="C2556" s="2" t="str">
        <f t="shared" si="79"/>
        <v>LIM333</v>
      </c>
      <c r="D2556" s="2">
        <v>938</v>
      </c>
      <c r="F2556" s="2451"/>
      <c r="G2556" s="2451"/>
      <c r="H2556" s="2451"/>
      <c r="I2556" s="2451"/>
      <c r="J2556" s="2451"/>
      <c r="K2556" s="2451"/>
      <c r="L2556" s="2453"/>
      <c r="M2556" s="2453"/>
      <c r="N2556" s="2453"/>
      <c r="O2556" s="2453"/>
      <c r="P2556" s="2453"/>
      <c r="W2556" t="s">
        <v>2062</v>
      </c>
    </row>
    <row r="2557" spans="1:23" ht="13.15" customHeight="1">
      <c r="A2557" s="2" t="s">
        <v>2215</v>
      </c>
      <c r="B2557" s="2">
        <f t="shared" si="78"/>
        <v>2020</v>
      </c>
      <c r="C2557" s="2" t="str">
        <f t="shared" si="79"/>
        <v>LIM333</v>
      </c>
      <c r="D2557" s="2">
        <v>939</v>
      </c>
      <c r="F2557" s="2451"/>
      <c r="G2557" s="2451"/>
      <c r="H2557" s="2451"/>
      <c r="I2557" s="2451"/>
      <c r="J2557" s="2451"/>
      <c r="K2557" s="2451"/>
      <c r="L2557" s="2453"/>
      <c r="M2557" s="2453"/>
      <c r="N2557" s="2453"/>
      <c r="O2557" s="2453"/>
      <c r="P2557" s="2453"/>
      <c r="W2557" t="s">
        <v>2062</v>
      </c>
    </row>
    <row r="2558" spans="1:23" ht="13.15" customHeight="1">
      <c r="A2558" s="2" t="s">
        <v>2215</v>
      </c>
      <c r="B2558" s="2">
        <f t="shared" si="78"/>
        <v>2020</v>
      </c>
      <c r="C2558" s="2" t="str">
        <f t="shared" si="79"/>
        <v>LIM333</v>
      </c>
      <c r="D2558" s="2">
        <v>940</v>
      </c>
      <c r="F2558" s="2451"/>
      <c r="G2558" s="2451"/>
      <c r="H2558" s="2451"/>
      <c r="I2558" s="2451"/>
      <c r="J2558" s="2451"/>
      <c r="K2558" s="2451"/>
      <c r="L2558" s="2453"/>
      <c r="M2558" s="2453"/>
      <c r="N2558" s="2453"/>
      <c r="O2558" s="2453"/>
      <c r="P2558" s="2453"/>
      <c r="W2558" t="s">
        <v>2062</v>
      </c>
    </row>
    <row r="2559" spans="1:23" ht="13.15" customHeight="1">
      <c r="A2559" s="2" t="s">
        <v>2215</v>
      </c>
      <c r="B2559" s="2">
        <f t="shared" si="78"/>
        <v>2020</v>
      </c>
      <c r="C2559" s="2" t="str">
        <f t="shared" si="79"/>
        <v>LIM333</v>
      </c>
      <c r="D2559" s="2">
        <v>941</v>
      </c>
      <c r="F2559" s="2451"/>
      <c r="G2559" s="2451"/>
      <c r="H2559" s="2451"/>
      <c r="I2559" s="2451"/>
      <c r="J2559" s="2451"/>
      <c r="K2559" s="2451"/>
      <c r="L2559" s="2453"/>
      <c r="M2559" s="2453"/>
      <c r="N2559" s="2453"/>
      <c r="O2559" s="2453"/>
      <c r="P2559" s="2453"/>
      <c r="W2559" t="s">
        <v>2062</v>
      </c>
    </row>
    <row r="2560" spans="1:23" ht="13.15" customHeight="1">
      <c r="A2560" s="2" t="s">
        <v>2215</v>
      </c>
      <c r="B2560" s="2">
        <f t="shared" si="78"/>
        <v>2020</v>
      </c>
      <c r="C2560" s="2" t="str">
        <f t="shared" si="79"/>
        <v>LIM333</v>
      </c>
      <c r="D2560" s="2">
        <v>942</v>
      </c>
      <c r="F2560" s="2451"/>
      <c r="G2560" s="2451"/>
      <c r="H2560" s="2451"/>
      <c r="I2560" s="2451"/>
      <c r="J2560" s="2451"/>
      <c r="K2560" s="2451"/>
      <c r="L2560" s="2453"/>
      <c r="M2560" s="2453"/>
      <c r="N2560" s="2453"/>
      <c r="O2560" s="2453"/>
      <c r="P2560" s="2453"/>
      <c r="W2560" t="s">
        <v>2062</v>
      </c>
    </row>
    <row r="2561" spans="1:23" ht="13.15" customHeight="1">
      <c r="A2561" s="2" t="s">
        <v>2215</v>
      </c>
      <c r="B2561" s="2">
        <f t="shared" si="78"/>
        <v>2020</v>
      </c>
      <c r="C2561" s="2" t="str">
        <f t="shared" si="79"/>
        <v>LIM333</v>
      </c>
      <c r="D2561" s="2">
        <v>943</v>
      </c>
      <c r="F2561" s="2451"/>
      <c r="G2561" s="2451"/>
      <c r="H2561" s="2451"/>
      <c r="I2561" s="2451"/>
      <c r="J2561" s="2451"/>
      <c r="K2561" s="2451"/>
      <c r="L2561" s="2453"/>
      <c r="M2561" s="2453"/>
      <c r="N2561" s="2453"/>
      <c r="O2561" s="2453"/>
      <c r="P2561" s="2453"/>
      <c r="W2561" t="s">
        <v>2062</v>
      </c>
    </row>
    <row r="2562" spans="1:23" ht="13.15" customHeight="1">
      <c r="A2562" s="2" t="s">
        <v>2215</v>
      </c>
      <c r="B2562" s="2">
        <f t="shared" ref="B2562:B2625" si="80">+MTREF</f>
        <v>2020</v>
      </c>
      <c r="C2562" s="2" t="str">
        <f t="shared" ref="C2562:C2625" si="81">LEFT(muni,(FIND(" ",muni,1)-1))</f>
        <v>LIM333</v>
      </c>
      <c r="D2562" s="2">
        <v>944</v>
      </c>
      <c r="F2562" s="2451"/>
      <c r="G2562" s="2451"/>
      <c r="H2562" s="2451"/>
      <c r="I2562" s="2451"/>
      <c r="J2562" s="2451"/>
      <c r="K2562" s="2451"/>
      <c r="L2562" s="2453"/>
      <c r="M2562" s="2453"/>
      <c r="N2562" s="2453"/>
      <c r="O2562" s="2453"/>
      <c r="P2562" s="2453"/>
      <c r="W2562" t="s">
        <v>2062</v>
      </c>
    </row>
    <row r="2563" spans="1:23" ht="13.15" customHeight="1">
      <c r="A2563" s="2" t="s">
        <v>2215</v>
      </c>
      <c r="B2563" s="2">
        <f t="shared" si="80"/>
        <v>2020</v>
      </c>
      <c r="C2563" s="2" t="str">
        <f t="shared" si="81"/>
        <v>LIM333</v>
      </c>
      <c r="D2563" s="2">
        <v>945</v>
      </c>
      <c r="F2563" s="2451"/>
      <c r="G2563" s="2451"/>
      <c r="H2563" s="2451"/>
      <c r="I2563" s="2451"/>
      <c r="J2563" s="2451"/>
      <c r="K2563" s="2451"/>
      <c r="L2563" s="2453"/>
      <c r="M2563" s="2453"/>
      <c r="N2563" s="2453"/>
      <c r="O2563" s="2453"/>
      <c r="P2563" s="2453"/>
      <c r="W2563" t="s">
        <v>2062</v>
      </c>
    </row>
    <row r="2564" spans="1:23" ht="13.15" customHeight="1">
      <c r="A2564" s="2" t="s">
        <v>2215</v>
      </c>
      <c r="B2564" s="2">
        <f t="shared" si="80"/>
        <v>2020</v>
      </c>
      <c r="C2564" s="2" t="str">
        <f t="shared" si="81"/>
        <v>LIM333</v>
      </c>
      <c r="D2564" s="2">
        <v>946</v>
      </c>
      <c r="F2564" s="2451"/>
      <c r="G2564" s="2451"/>
      <c r="H2564" s="2451"/>
      <c r="I2564" s="2451"/>
      <c r="J2564" s="2451"/>
      <c r="K2564" s="2451"/>
      <c r="L2564" s="2453"/>
      <c r="M2564" s="2453"/>
      <c r="N2564" s="2453"/>
      <c r="O2564" s="2453"/>
      <c r="P2564" s="2453"/>
      <c r="W2564" t="s">
        <v>2062</v>
      </c>
    </row>
    <row r="2565" spans="1:23" ht="13.15" customHeight="1">
      <c r="A2565" s="2" t="s">
        <v>2215</v>
      </c>
      <c r="B2565" s="2">
        <f t="shared" si="80"/>
        <v>2020</v>
      </c>
      <c r="C2565" s="2" t="str">
        <f t="shared" si="81"/>
        <v>LIM333</v>
      </c>
      <c r="D2565" s="2">
        <v>947</v>
      </c>
      <c r="F2565" s="2451"/>
      <c r="G2565" s="2451"/>
      <c r="H2565" s="2451"/>
      <c r="I2565" s="2451"/>
      <c r="J2565" s="2451"/>
      <c r="K2565" s="2451"/>
      <c r="L2565" s="2453"/>
      <c r="M2565" s="2453"/>
      <c r="N2565" s="2453"/>
      <c r="O2565" s="2453"/>
      <c r="P2565" s="2453"/>
      <c r="W2565" t="s">
        <v>2062</v>
      </c>
    </row>
    <row r="2566" spans="1:23" ht="13.15" customHeight="1">
      <c r="A2566" s="2" t="s">
        <v>2215</v>
      </c>
      <c r="B2566" s="2">
        <f t="shared" si="80"/>
        <v>2020</v>
      </c>
      <c r="C2566" s="2" t="str">
        <f t="shared" si="81"/>
        <v>LIM333</v>
      </c>
      <c r="D2566" s="2">
        <v>948</v>
      </c>
      <c r="F2566" s="2451"/>
      <c r="G2566" s="2451"/>
      <c r="H2566" s="2451"/>
      <c r="I2566" s="2451"/>
      <c r="J2566" s="2451"/>
      <c r="K2566" s="2451"/>
      <c r="L2566" s="2453"/>
      <c r="M2566" s="2453"/>
      <c r="N2566" s="2453"/>
      <c r="O2566" s="2453"/>
      <c r="P2566" s="2453"/>
      <c r="W2566" t="s">
        <v>2062</v>
      </c>
    </row>
    <row r="2567" spans="1:23" ht="13.15" customHeight="1">
      <c r="A2567" s="2" t="s">
        <v>2215</v>
      </c>
      <c r="B2567" s="2">
        <f t="shared" si="80"/>
        <v>2020</v>
      </c>
      <c r="C2567" s="2" t="str">
        <f t="shared" si="81"/>
        <v>LIM333</v>
      </c>
      <c r="D2567" s="2">
        <v>949</v>
      </c>
      <c r="F2567" s="2451"/>
      <c r="G2567" s="2451"/>
      <c r="H2567" s="2451"/>
      <c r="I2567" s="2451"/>
      <c r="J2567" s="2451"/>
      <c r="K2567" s="2451"/>
      <c r="L2567" s="2453"/>
      <c r="M2567" s="2453"/>
      <c r="N2567" s="2453"/>
      <c r="O2567" s="2453"/>
      <c r="P2567" s="2453"/>
      <c r="W2567" t="s">
        <v>2062</v>
      </c>
    </row>
    <row r="2568" spans="1:23" ht="13.15" customHeight="1">
      <c r="A2568" s="2" t="s">
        <v>2215</v>
      </c>
      <c r="B2568" s="2">
        <f t="shared" si="80"/>
        <v>2020</v>
      </c>
      <c r="C2568" s="2" t="str">
        <f t="shared" si="81"/>
        <v>LIM333</v>
      </c>
      <c r="D2568" s="2">
        <v>950</v>
      </c>
      <c r="F2568" s="2451"/>
      <c r="G2568" s="2451"/>
      <c r="H2568" s="2451"/>
      <c r="I2568" s="2451"/>
      <c r="J2568" s="2451"/>
      <c r="K2568" s="2451"/>
      <c r="L2568" s="2453"/>
      <c r="M2568" s="2453"/>
      <c r="N2568" s="2453"/>
      <c r="O2568" s="2453"/>
      <c r="P2568" s="2453"/>
      <c r="W2568" t="s">
        <v>2062</v>
      </c>
    </row>
    <row r="2569" spans="1:23" ht="13.15" customHeight="1">
      <c r="A2569" s="2" t="s">
        <v>2215</v>
      </c>
      <c r="B2569" s="2">
        <f t="shared" si="80"/>
        <v>2020</v>
      </c>
      <c r="C2569" s="2" t="str">
        <f t="shared" si="81"/>
        <v>LIM333</v>
      </c>
      <c r="D2569" s="2">
        <v>951</v>
      </c>
      <c r="F2569" s="2451"/>
      <c r="G2569" s="2451"/>
      <c r="H2569" s="2451"/>
      <c r="I2569" s="2451"/>
      <c r="J2569" s="2451"/>
      <c r="K2569" s="2451"/>
      <c r="L2569" s="2453"/>
      <c r="M2569" s="2453"/>
      <c r="N2569" s="2453"/>
      <c r="O2569" s="2453"/>
      <c r="P2569" s="2453"/>
      <c r="W2569" t="s">
        <v>2062</v>
      </c>
    </row>
    <row r="2570" spans="1:23" ht="13.15" customHeight="1">
      <c r="A2570" s="2" t="s">
        <v>2215</v>
      </c>
      <c r="B2570" s="2">
        <f t="shared" si="80"/>
        <v>2020</v>
      </c>
      <c r="C2570" s="2" t="str">
        <f t="shared" si="81"/>
        <v>LIM333</v>
      </c>
      <c r="D2570" s="2">
        <v>952</v>
      </c>
      <c r="F2570" s="2451"/>
      <c r="G2570" s="2451"/>
      <c r="H2570" s="2451"/>
      <c r="I2570" s="2451"/>
      <c r="J2570" s="2451"/>
      <c r="K2570" s="2451"/>
      <c r="L2570" s="2453"/>
      <c r="M2570" s="2453"/>
      <c r="N2570" s="2453"/>
      <c r="O2570" s="2453"/>
      <c r="P2570" s="2453"/>
      <c r="W2570" t="s">
        <v>2062</v>
      </c>
    </row>
    <row r="2571" spans="1:23" ht="13.15" customHeight="1">
      <c r="A2571" s="2" t="s">
        <v>2215</v>
      </c>
      <c r="B2571" s="2">
        <f t="shared" si="80"/>
        <v>2020</v>
      </c>
      <c r="C2571" s="2" t="str">
        <f t="shared" si="81"/>
        <v>LIM333</v>
      </c>
      <c r="D2571" s="2">
        <v>953</v>
      </c>
      <c r="F2571" s="2451"/>
      <c r="G2571" s="2451"/>
      <c r="H2571" s="2451"/>
      <c r="I2571" s="2451"/>
      <c r="J2571" s="2451"/>
      <c r="K2571" s="2451"/>
      <c r="L2571" s="2453"/>
      <c r="M2571" s="2453"/>
      <c r="N2571" s="2453"/>
      <c r="O2571" s="2453"/>
      <c r="P2571" s="2453"/>
      <c r="W2571" t="s">
        <v>2062</v>
      </c>
    </row>
    <row r="2572" spans="1:23" ht="13.15" customHeight="1">
      <c r="A2572" s="2" t="s">
        <v>2215</v>
      </c>
      <c r="B2572" s="2">
        <f t="shared" si="80"/>
        <v>2020</v>
      </c>
      <c r="C2572" s="2" t="str">
        <f t="shared" si="81"/>
        <v>LIM333</v>
      </c>
      <c r="D2572" s="2">
        <v>954</v>
      </c>
      <c r="F2572" s="2451"/>
      <c r="G2572" s="2451"/>
      <c r="H2572" s="2451"/>
      <c r="I2572" s="2451"/>
      <c r="J2572" s="2451"/>
      <c r="K2572" s="2451"/>
      <c r="L2572" s="2453"/>
      <c r="M2572" s="2453"/>
      <c r="N2572" s="2453"/>
      <c r="O2572" s="2453"/>
      <c r="P2572" s="2453"/>
      <c r="W2572" t="s">
        <v>2062</v>
      </c>
    </row>
    <row r="2573" spans="1:23" ht="13.15" customHeight="1">
      <c r="A2573" s="2" t="s">
        <v>2215</v>
      </c>
      <c r="B2573" s="2">
        <f t="shared" si="80"/>
        <v>2020</v>
      </c>
      <c r="C2573" s="2" t="str">
        <f t="shared" si="81"/>
        <v>LIM333</v>
      </c>
      <c r="D2573" s="2">
        <v>955</v>
      </c>
      <c r="F2573" s="2451"/>
      <c r="G2573" s="2451"/>
      <c r="H2573" s="2451"/>
      <c r="I2573" s="2451"/>
      <c r="J2573" s="2451"/>
      <c r="K2573" s="2451"/>
      <c r="L2573" s="2453"/>
      <c r="M2573" s="2453"/>
      <c r="N2573" s="2453"/>
      <c r="O2573" s="2453"/>
      <c r="P2573" s="2453"/>
      <c r="W2573" t="s">
        <v>2062</v>
      </c>
    </row>
    <row r="2574" spans="1:23" ht="13.15" customHeight="1">
      <c r="A2574" s="2" t="s">
        <v>2215</v>
      </c>
      <c r="B2574" s="2">
        <f t="shared" si="80"/>
        <v>2020</v>
      </c>
      <c r="C2574" s="2" t="str">
        <f t="shared" si="81"/>
        <v>LIM333</v>
      </c>
      <c r="D2574" s="2">
        <v>956</v>
      </c>
      <c r="F2574" s="2451"/>
      <c r="G2574" s="2451"/>
      <c r="H2574" s="2451"/>
      <c r="I2574" s="2451"/>
      <c r="J2574" s="2451"/>
      <c r="K2574" s="2451"/>
      <c r="L2574" s="2453"/>
      <c r="M2574" s="2453"/>
      <c r="N2574" s="2453"/>
      <c r="O2574" s="2453"/>
      <c r="P2574" s="2453"/>
      <c r="W2574" t="s">
        <v>2062</v>
      </c>
    </row>
    <row r="2575" spans="1:23" ht="13.15" customHeight="1">
      <c r="A2575" s="2" t="s">
        <v>2215</v>
      </c>
      <c r="B2575" s="2">
        <f t="shared" si="80"/>
        <v>2020</v>
      </c>
      <c r="C2575" s="2" t="str">
        <f t="shared" si="81"/>
        <v>LIM333</v>
      </c>
      <c r="D2575" s="2">
        <v>957</v>
      </c>
      <c r="F2575" s="2451"/>
      <c r="G2575" s="2451"/>
      <c r="H2575" s="2451"/>
      <c r="I2575" s="2451"/>
      <c r="J2575" s="2451"/>
      <c r="K2575" s="2451"/>
      <c r="L2575" s="2453"/>
      <c r="M2575" s="2453"/>
      <c r="N2575" s="2453"/>
      <c r="O2575" s="2453"/>
      <c r="P2575" s="2453"/>
      <c r="W2575" t="s">
        <v>2062</v>
      </c>
    </row>
    <row r="2576" spans="1:23" ht="13.15" customHeight="1">
      <c r="A2576" s="2" t="s">
        <v>2215</v>
      </c>
      <c r="B2576" s="2">
        <f t="shared" si="80"/>
        <v>2020</v>
      </c>
      <c r="C2576" s="2" t="str">
        <f t="shared" si="81"/>
        <v>LIM333</v>
      </c>
      <c r="D2576" s="2">
        <v>958</v>
      </c>
      <c r="F2576" s="2451"/>
      <c r="G2576" s="2451"/>
      <c r="H2576" s="2451"/>
      <c r="I2576" s="2451"/>
      <c r="J2576" s="2451"/>
      <c r="K2576" s="2451"/>
      <c r="L2576" s="2453"/>
      <c r="M2576" s="2453"/>
      <c r="N2576" s="2453"/>
      <c r="O2576" s="2453"/>
      <c r="P2576" s="2453"/>
      <c r="W2576" t="s">
        <v>2062</v>
      </c>
    </row>
    <row r="2577" spans="1:23" ht="13.15" customHeight="1">
      <c r="A2577" s="2" t="s">
        <v>2215</v>
      </c>
      <c r="B2577" s="2">
        <f t="shared" si="80"/>
        <v>2020</v>
      </c>
      <c r="C2577" s="2" t="str">
        <f t="shared" si="81"/>
        <v>LIM333</v>
      </c>
      <c r="D2577" s="2">
        <v>959</v>
      </c>
      <c r="F2577" s="2451"/>
      <c r="G2577" s="2451"/>
      <c r="H2577" s="2451"/>
      <c r="I2577" s="2451"/>
      <c r="J2577" s="2451"/>
      <c r="K2577" s="2451"/>
      <c r="L2577" s="2453"/>
      <c r="M2577" s="2453"/>
      <c r="N2577" s="2453"/>
      <c r="O2577" s="2453"/>
      <c r="P2577" s="2453"/>
      <c r="W2577" t="s">
        <v>2062</v>
      </c>
    </row>
    <row r="2578" spans="1:23" ht="13.15" customHeight="1">
      <c r="A2578" s="2" t="s">
        <v>2215</v>
      </c>
      <c r="B2578" s="2">
        <f t="shared" si="80"/>
        <v>2020</v>
      </c>
      <c r="C2578" s="2" t="str">
        <f t="shared" si="81"/>
        <v>LIM333</v>
      </c>
      <c r="D2578" s="2">
        <v>960</v>
      </c>
      <c r="F2578" s="2451"/>
      <c r="G2578" s="2451"/>
      <c r="H2578" s="2451"/>
      <c r="I2578" s="2451"/>
      <c r="J2578" s="2451"/>
      <c r="K2578" s="2451"/>
      <c r="L2578" s="2453"/>
      <c r="M2578" s="2453"/>
      <c r="N2578" s="2453"/>
      <c r="O2578" s="2453"/>
      <c r="P2578" s="2453"/>
      <c r="W2578" t="s">
        <v>2062</v>
      </c>
    </row>
    <row r="2579" spans="1:23" ht="13.15" customHeight="1">
      <c r="A2579" s="2" t="s">
        <v>2215</v>
      </c>
      <c r="B2579" s="2">
        <f t="shared" si="80"/>
        <v>2020</v>
      </c>
      <c r="C2579" s="2" t="str">
        <f t="shared" si="81"/>
        <v>LIM333</v>
      </c>
      <c r="D2579" s="2">
        <v>961</v>
      </c>
      <c r="F2579" s="2451"/>
      <c r="G2579" s="2451"/>
      <c r="H2579" s="2451"/>
      <c r="I2579" s="2451"/>
      <c r="J2579" s="2451"/>
      <c r="K2579" s="2451"/>
      <c r="L2579" s="2453"/>
      <c r="M2579" s="2453"/>
      <c r="N2579" s="2453"/>
      <c r="O2579" s="2453"/>
      <c r="P2579" s="2453"/>
      <c r="W2579" t="s">
        <v>2062</v>
      </c>
    </row>
    <row r="2580" spans="1:23" ht="13.15" customHeight="1">
      <c r="A2580" s="2" t="s">
        <v>2215</v>
      </c>
      <c r="B2580" s="2">
        <f t="shared" si="80"/>
        <v>2020</v>
      </c>
      <c r="C2580" s="2" t="str">
        <f t="shared" si="81"/>
        <v>LIM333</v>
      </c>
      <c r="D2580" s="2">
        <v>962</v>
      </c>
      <c r="F2580" s="2451"/>
      <c r="G2580" s="2451"/>
      <c r="H2580" s="2451"/>
      <c r="I2580" s="2451"/>
      <c r="J2580" s="2451"/>
      <c r="K2580" s="2451"/>
      <c r="L2580" s="2453"/>
      <c r="M2580" s="2453"/>
      <c r="N2580" s="2453"/>
      <c r="O2580" s="2453"/>
      <c r="P2580" s="2453"/>
      <c r="W2580" t="s">
        <v>2062</v>
      </c>
    </row>
    <row r="2581" spans="1:23" ht="13.15" customHeight="1">
      <c r="A2581" s="2" t="s">
        <v>2215</v>
      </c>
      <c r="B2581" s="2">
        <f t="shared" si="80"/>
        <v>2020</v>
      </c>
      <c r="C2581" s="2" t="str">
        <f t="shared" si="81"/>
        <v>LIM333</v>
      </c>
      <c r="D2581" s="2">
        <v>963</v>
      </c>
      <c r="F2581" s="2451"/>
      <c r="G2581" s="2451"/>
      <c r="H2581" s="2451"/>
      <c r="I2581" s="2451"/>
      <c r="J2581" s="2451"/>
      <c r="K2581" s="2451"/>
      <c r="L2581" s="2453"/>
      <c r="M2581" s="2453"/>
      <c r="N2581" s="2453"/>
      <c r="O2581" s="2453"/>
      <c r="P2581" s="2453"/>
      <c r="W2581" t="s">
        <v>2062</v>
      </c>
    </row>
    <row r="2582" spans="1:23" ht="13.15" customHeight="1">
      <c r="A2582" s="2" t="s">
        <v>2215</v>
      </c>
      <c r="B2582" s="2">
        <f t="shared" si="80"/>
        <v>2020</v>
      </c>
      <c r="C2582" s="2" t="str">
        <f t="shared" si="81"/>
        <v>LIM333</v>
      </c>
      <c r="D2582" s="2">
        <v>964</v>
      </c>
      <c r="F2582" s="2451"/>
      <c r="G2582" s="2451"/>
      <c r="H2582" s="2451"/>
      <c r="I2582" s="2451"/>
      <c r="J2582" s="2451"/>
      <c r="K2582" s="2451"/>
      <c r="L2582" s="2453"/>
      <c r="M2582" s="2453"/>
      <c r="N2582" s="2453"/>
      <c r="O2582" s="2453"/>
      <c r="P2582" s="2453"/>
      <c r="W2582" t="s">
        <v>2062</v>
      </c>
    </row>
    <row r="2583" spans="1:23" ht="13.15" customHeight="1">
      <c r="A2583" s="2" t="s">
        <v>2215</v>
      </c>
      <c r="B2583" s="2">
        <f t="shared" si="80"/>
        <v>2020</v>
      </c>
      <c r="C2583" s="2" t="str">
        <f t="shared" si="81"/>
        <v>LIM333</v>
      </c>
      <c r="D2583" s="2">
        <v>965</v>
      </c>
      <c r="F2583" s="2451"/>
      <c r="G2583" s="2451"/>
      <c r="H2583" s="2451"/>
      <c r="I2583" s="2451"/>
      <c r="J2583" s="2451"/>
      <c r="K2583" s="2451"/>
      <c r="L2583" s="2453"/>
      <c r="M2583" s="2453"/>
      <c r="N2583" s="2453"/>
      <c r="O2583" s="2453"/>
      <c r="P2583" s="2453"/>
      <c r="W2583" t="s">
        <v>2062</v>
      </c>
    </row>
    <row r="2584" spans="1:23" ht="13.15" customHeight="1">
      <c r="A2584" s="2" t="s">
        <v>2215</v>
      </c>
      <c r="B2584" s="2">
        <f t="shared" si="80"/>
        <v>2020</v>
      </c>
      <c r="C2584" s="2" t="str">
        <f t="shared" si="81"/>
        <v>LIM333</v>
      </c>
      <c r="D2584" s="2">
        <v>966</v>
      </c>
      <c r="F2584" s="2451"/>
      <c r="G2584" s="2451"/>
      <c r="H2584" s="2451"/>
      <c r="I2584" s="2451"/>
      <c r="J2584" s="2451"/>
      <c r="K2584" s="2451"/>
      <c r="L2584" s="2453"/>
      <c r="M2584" s="2453"/>
      <c r="N2584" s="2453"/>
      <c r="O2584" s="2453"/>
      <c r="P2584" s="2453"/>
      <c r="W2584" t="s">
        <v>2062</v>
      </c>
    </row>
    <row r="2585" spans="1:23" ht="13.15" customHeight="1">
      <c r="A2585" s="2" t="s">
        <v>2215</v>
      </c>
      <c r="B2585" s="2">
        <f t="shared" si="80"/>
        <v>2020</v>
      </c>
      <c r="C2585" s="2" t="str">
        <f t="shared" si="81"/>
        <v>LIM333</v>
      </c>
      <c r="D2585" s="2">
        <v>967</v>
      </c>
      <c r="F2585" s="2451"/>
      <c r="G2585" s="2451"/>
      <c r="H2585" s="2451"/>
      <c r="I2585" s="2451"/>
      <c r="J2585" s="2451"/>
      <c r="K2585" s="2451"/>
      <c r="L2585" s="2453"/>
      <c r="M2585" s="2453"/>
      <c r="N2585" s="2453"/>
      <c r="O2585" s="2453"/>
      <c r="P2585" s="2453"/>
      <c r="W2585" t="s">
        <v>2062</v>
      </c>
    </row>
    <row r="2586" spans="1:23" ht="13.15" customHeight="1">
      <c r="A2586" s="2" t="s">
        <v>2215</v>
      </c>
      <c r="B2586" s="2">
        <f t="shared" si="80"/>
        <v>2020</v>
      </c>
      <c r="C2586" s="2" t="str">
        <f t="shared" si="81"/>
        <v>LIM333</v>
      </c>
      <c r="D2586" s="2">
        <v>968</v>
      </c>
      <c r="F2586" s="2451"/>
      <c r="G2586" s="2451"/>
      <c r="H2586" s="2451"/>
      <c r="I2586" s="2451"/>
      <c r="J2586" s="2451"/>
      <c r="K2586" s="2451"/>
      <c r="L2586" s="2453"/>
      <c r="M2586" s="2453"/>
      <c r="N2586" s="2453"/>
      <c r="O2586" s="2453"/>
      <c r="P2586" s="2453"/>
      <c r="W2586" t="s">
        <v>2062</v>
      </c>
    </row>
    <row r="2587" spans="1:23" ht="13.15" customHeight="1">
      <c r="A2587" s="2" t="s">
        <v>2215</v>
      </c>
      <c r="B2587" s="2">
        <f t="shared" si="80"/>
        <v>2020</v>
      </c>
      <c r="C2587" s="2" t="str">
        <f t="shared" si="81"/>
        <v>LIM333</v>
      </c>
      <c r="D2587" s="2">
        <v>969</v>
      </c>
      <c r="F2587" s="2451"/>
      <c r="G2587" s="2451"/>
      <c r="H2587" s="2451"/>
      <c r="I2587" s="2451"/>
      <c r="J2587" s="2451"/>
      <c r="K2587" s="2451"/>
      <c r="L2587" s="2453"/>
      <c r="M2587" s="2453"/>
      <c r="N2587" s="2453"/>
      <c r="O2587" s="2453"/>
      <c r="P2587" s="2453"/>
      <c r="W2587" t="s">
        <v>2062</v>
      </c>
    </row>
    <row r="2588" spans="1:23" ht="13.15" customHeight="1">
      <c r="A2588" s="2" t="s">
        <v>2215</v>
      </c>
      <c r="B2588" s="2">
        <f t="shared" si="80"/>
        <v>2020</v>
      </c>
      <c r="C2588" s="2" t="str">
        <f t="shared" si="81"/>
        <v>LIM333</v>
      </c>
      <c r="D2588" s="2">
        <v>970</v>
      </c>
      <c r="F2588" s="2451"/>
      <c r="G2588" s="2451"/>
      <c r="H2588" s="2451"/>
      <c r="I2588" s="2451"/>
      <c r="J2588" s="2451"/>
      <c r="K2588" s="2451"/>
      <c r="L2588" s="2453"/>
      <c r="M2588" s="2453"/>
      <c r="N2588" s="2453"/>
      <c r="O2588" s="2453"/>
      <c r="P2588" s="2453"/>
      <c r="W2588" t="s">
        <v>2062</v>
      </c>
    </row>
    <row r="2589" spans="1:23" ht="13.15" customHeight="1">
      <c r="A2589" s="2" t="s">
        <v>2215</v>
      </c>
      <c r="B2589" s="2">
        <f t="shared" si="80"/>
        <v>2020</v>
      </c>
      <c r="C2589" s="2" t="str">
        <f t="shared" si="81"/>
        <v>LIM333</v>
      </c>
      <c r="D2589" s="2">
        <v>971</v>
      </c>
      <c r="F2589" s="2451"/>
      <c r="G2589" s="2451"/>
      <c r="H2589" s="2451"/>
      <c r="I2589" s="2451"/>
      <c r="J2589" s="2451"/>
      <c r="K2589" s="2451"/>
      <c r="L2589" s="2453"/>
      <c r="M2589" s="2453"/>
      <c r="N2589" s="2453"/>
      <c r="O2589" s="2453"/>
      <c r="P2589" s="2453"/>
      <c r="W2589" t="s">
        <v>2062</v>
      </c>
    </row>
    <row r="2590" spans="1:23" ht="13.15" customHeight="1">
      <c r="A2590" s="2" t="s">
        <v>2215</v>
      </c>
      <c r="B2590" s="2">
        <f t="shared" si="80"/>
        <v>2020</v>
      </c>
      <c r="C2590" s="2" t="str">
        <f t="shared" si="81"/>
        <v>LIM333</v>
      </c>
      <c r="D2590" s="2">
        <v>972</v>
      </c>
      <c r="F2590" s="2451"/>
      <c r="G2590" s="2451"/>
      <c r="H2590" s="2451"/>
      <c r="I2590" s="2451"/>
      <c r="J2590" s="2451"/>
      <c r="K2590" s="2451"/>
      <c r="L2590" s="2453"/>
      <c r="M2590" s="2453"/>
      <c r="N2590" s="2453"/>
      <c r="O2590" s="2453"/>
      <c r="P2590" s="2453"/>
      <c r="W2590" t="s">
        <v>2062</v>
      </c>
    </row>
    <row r="2591" spans="1:23" ht="13.15" customHeight="1">
      <c r="A2591" s="2" t="s">
        <v>2215</v>
      </c>
      <c r="B2591" s="2">
        <f t="shared" si="80"/>
        <v>2020</v>
      </c>
      <c r="C2591" s="2" t="str">
        <f t="shared" si="81"/>
        <v>LIM333</v>
      </c>
      <c r="D2591" s="2">
        <v>973</v>
      </c>
      <c r="F2591" s="2451"/>
      <c r="G2591" s="2451"/>
      <c r="H2591" s="2451"/>
      <c r="I2591" s="2451"/>
      <c r="J2591" s="2451"/>
      <c r="K2591" s="2451"/>
      <c r="L2591" s="2453"/>
      <c r="M2591" s="2453"/>
      <c r="N2591" s="2453"/>
      <c r="O2591" s="2453"/>
      <c r="P2591" s="2453"/>
      <c r="W2591" t="s">
        <v>2062</v>
      </c>
    </row>
    <row r="2592" spans="1:23" ht="13.15" customHeight="1">
      <c r="A2592" s="2" t="s">
        <v>2215</v>
      </c>
      <c r="B2592" s="2">
        <f t="shared" si="80"/>
        <v>2020</v>
      </c>
      <c r="C2592" s="2" t="str">
        <f t="shared" si="81"/>
        <v>LIM333</v>
      </c>
      <c r="D2592" s="2">
        <v>974</v>
      </c>
      <c r="F2592" s="2451"/>
      <c r="G2592" s="2451"/>
      <c r="H2592" s="2451"/>
      <c r="I2592" s="2451"/>
      <c r="J2592" s="2451"/>
      <c r="K2592" s="2451"/>
      <c r="L2592" s="2453"/>
      <c r="M2592" s="2453"/>
      <c r="N2592" s="2453"/>
      <c r="O2592" s="2453"/>
      <c r="P2592" s="2453"/>
      <c r="W2592" t="s">
        <v>2062</v>
      </c>
    </row>
    <row r="2593" spans="1:23" ht="13.15" customHeight="1">
      <c r="A2593" s="2" t="s">
        <v>2215</v>
      </c>
      <c r="B2593" s="2">
        <f t="shared" si="80"/>
        <v>2020</v>
      </c>
      <c r="C2593" s="2" t="str">
        <f t="shared" si="81"/>
        <v>LIM333</v>
      </c>
      <c r="D2593" s="2">
        <v>975</v>
      </c>
      <c r="F2593" s="2451"/>
      <c r="G2593" s="2451"/>
      <c r="H2593" s="2451"/>
      <c r="I2593" s="2451"/>
      <c r="J2593" s="2451"/>
      <c r="K2593" s="2451"/>
      <c r="L2593" s="2453"/>
      <c r="M2593" s="2453"/>
      <c r="N2593" s="2453"/>
      <c r="O2593" s="2453"/>
      <c r="P2593" s="2453"/>
      <c r="W2593" t="s">
        <v>2062</v>
      </c>
    </row>
    <row r="2594" spans="1:23" ht="13.15" customHeight="1">
      <c r="A2594" s="2" t="s">
        <v>2215</v>
      </c>
      <c r="B2594" s="2">
        <f t="shared" si="80"/>
        <v>2020</v>
      </c>
      <c r="C2594" s="2" t="str">
        <f t="shared" si="81"/>
        <v>LIM333</v>
      </c>
      <c r="D2594" s="2">
        <v>976</v>
      </c>
      <c r="F2594" s="2451"/>
      <c r="G2594" s="2451"/>
      <c r="H2594" s="2451"/>
      <c r="I2594" s="2451"/>
      <c r="J2594" s="2451"/>
      <c r="K2594" s="2451"/>
      <c r="L2594" s="2453"/>
      <c r="M2594" s="2453"/>
      <c r="N2594" s="2453"/>
      <c r="O2594" s="2453"/>
      <c r="P2594" s="2453"/>
      <c r="W2594" t="s">
        <v>2062</v>
      </c>
    </row>
    <row r="2595" spans="1:23" ht="13.15" customHeight="1">
      <c r="A2595" s="2" t="s">
        <v>2215</v>
      </c>
      <c r="B2595" s="2">
        <f t="shared" si="80"/>
        <v>2020</v>
      </c>
      <c r="C2595" s="2" t="str">
        <f t="shared" si="81"/>
        <v>LIM333</v>
      </c>
      <c r="D2595" s="2">
        <v>977</v>
      </c>
      <c r="F2595" s="2451"/>
      <c r="G2595" s="2451"/>
      <c r="H2595" s="2451"/>
      <c r="I2595" s="2451"/>
      <c r="J2595" s="2451"/>
      <c r="K2595" s="2451"/>
      <c r="L2595" s="2453"/>
      <c r="M2595" s="2453"/>
      <c r="N2595" s="2453"/>
      <c r="O2595" s="2453"/>
      <c r="P2595" s="2453"/>
      <c r="W2595" t="s">
        <v>2062</v>
      </c>
    </row>
    <row r="2596" spans="1:23" ht="13.15" customHeight="1">
      <c r="A2596" s="2" t="s">
        <v>2215</v>
      </c>
      <c r="B2596" s="2">
        <f t="shared" si="80"/>
        <v>2020</v>
      </c>
      <c r="C2596" s="2" t="str">
        <f t="shared" si="81"/>
        <v>LIM333</v>
      </c>
      <c r="D2596" s="2">
        <v>978</v>
      </c>
      <c r="F2596" s="2451"/>
      <c r="G2596" s="2451"/>
      <c r="H2596" s="2451"/>
      <c r="I2596" s="2451"/>
      <c r="J2596" s="2451"/>
      <c r="K2596" s="2451"/>
      <c r="L2596" s="2453"/>
      <c r="M2596" s="2453"/>
      <c r="N2596" s="2453"/>
      <c r="O2596" s="2453"/>
      <c r="P2596" s="2453"/>
      <c r="W2596" t="s">
        <v>2062</v>
      </c>
    </row>
    <row r="2597" spans="1:23" ht="13.15" customHeight="1">
      <c r="A2597" s="2" t="s">
        <v>2215</v>
      </c>
      <c r="B2597" s="2">
        <f t="shared" si="80"/>
        <v>2020</v>
      </c>
      <c r="C2597" s="2" t="str">
        <f t="shared" si="81"/>
        <v>LIM333</v>
      </c>
      <c r="D2597" s="2">
        <v>979</v>
      </c>
      <c r="F2597" s="2451"/>
      <c r="G2597" s="2451"/>
      <c r="H2597" s="2451"/>
      <c r="I2597" s="2451"/>
      <c r="J2597" s="2451"/>
      <c r="K2597" s="2451"/>
      <c r="L2597" s="2453"/>
      <c r="M2597" s="2453"/>
      <c r="N2597" s="2453"/>
      <c r="O2597" s="2453"/>
      <c r="P2597" s="2453"/>
      <c r="W2597" t="s">
        <v>2062</v>
      </c>
    </row>
    <row r="2598" spans="1:23" ht="13.15" customHeight="1">
      <c r="A2598" s="2" t="s">
        <v>2215</v>
      </c>
      <c r="B2598" s="2">
        <f t="shared" si="80"/>
        <v>2020</v>
      </c>
      <c r="C2598" s="2" t="str">
        <f t="shared" si="81"/>
        <v>LIM333</v>
      </c>
      <c r="D2598" s="2">
        <v>980</v>
      </c>
      <c r="F2598" s="2451"/>
      <c r="G2598" s="2451"/>
      <c r="H2598" s="2451"/>
      <c r="I2598" s="2451"/>
      <c r="J2598" s="2451"/>
      <c r="K2598" s="2451"/>
      <c r="L2598" s="2453"/>
      <c r="M2598" s="2453"/>
      <c r="N2598" s="2453"/>
      <c r="O2598" s="2453"/>
      <c r="P2598" s="2453"/>
      <c r="W2598" t="s">
        <v>2062</v>
      </c>
    </row>
    <row r="2599" spans="1:23" ht="13.15" customHeight="1">
      <c r="A2599" s="2" t="s">
        <v>2215</v>
      </c>
      <c r="B2599" s="2">
        <f t="shared" si="80"/>
        <v>2020</v>
      </c>
      <c r="C2599" s="2" t="str">
        <f t="shared" si="81"/>
        <v>LIM333</v>
      </c>
      <c r="D2599" s="2">
        <v>981</v>
      </c>
      <c r="F2599" s="2451"/>
      <c r="G2599" s="2451"/>
      <c r="H2599" s="2451"/>
      <c r="I2599" s="2451"/>
      <c r="J2599" s="2451"/>
      <c r="K2599" s="2451"/>
      <c r="L2599" s="2453"/>
      <c r="M2599" s="2453"/>
      <c r="N2599" s="2453"/>
      <c r="O2599" s="2453"/>
      <c r="P2599" s="2453"/>
      <c r="W2599" t="s">
        <v>2062</v>
      </c>
    </row>
    <row r="2600" spans="1:23" ht="13.15" customHeight="1">
      <c r="A2600" s="2" t="s">
        <v>2215</v>
      </c>
      <c r="B2600" s="2">
        <f t="shared" si="80"/>
        <v>2020</v>
      </c>
      <c r="C2600" s="2" t="str">
        <f t="shared" si="81"/>
        <v>LIM333</v>
      </c>
      <c r="D2600" s="2">
        <v>982</v>
      </c>
      <c r="F2600" s="2451"/>
      <c r="G2600" s="2451"/>
      <c r="H2600" s="2451"/>
      <c r="I2600" s="2451"/>
      <c r="J2600" s="2451"/>
      <c r="K2600" s="2451"/>
      <c r="L2600" s="2453"/>
      <c r="M2600" s="2453"/>
      <c r="N2600" s="2453"/>
      <c r="O2600" s="2453"/>
      <c r="P2600" s="2453"/>
      <c r="W2600" t="s">
        <v>2062</v>
      </c>
    </row>
    <row r="2601" spans="1:23" ht="13.15" customHeight="1">
      <c r="A2601" s="2" t="s">
        <v>2215</v>
      </c>
      <c r="B2601" s="2">
        <f t="shared" si="80"/>
        <v>2020</v>
      </c>
      <c r="C2601" s="2" t="str">
        <f t="shared" si="81"/>
        <v>LIM333</v>
      </c>
      <c r="D2601" s="2">
        <v>983</v>
      </c>
      <c r="F2601" s="2451"/>
      <c r="G2601" s="2451"/>
      <c r="H2601" s="2451"/>
      <c r="I2601" s="2451"/>
      <c r="J2601" s="2451"/>
      <c r="K2601" s="2451"/>
      <c r="L2601" s="2453"/>
      <c r="M2601" s="2453"/>
      <c r="N2601" s="2453"/>
      <c r="O2601" s="2453"/>
      <c r="P2601" s="2453"/>
      <c r="W2601" t="s">
        <v>2062</v>
      </c>
    </row>
    <row r="2602" spans="1:23" ht="13.15" customHeight="1">
      <c r="A2602" s="2" t="s">
        <v>2215</v>
      </c>
      <c r="B2602" s="2">
        <f t="shared" si="80"/>
        <v>2020</v>
      </c>
      <c r="C2602" s="2" t="str">
        <f t="shared" si="81"/>
        <v>LIM333</v>
      </c>
      <c r="D2602" s="2">
        <v>984</v>
      </c>
      <c r="F2602" s="2451"/>
      <c r="G2602" s="2451"/>
      <c r="H2602" s="2451"/>
      <c r="I2602" s="2451"/>
      <c r="J2602" s="2451"/>
      <c r="K2602" s="2451"/>
      <c r="L2602" s="2453"/>
      <c r="M2602" s="2453"/>
      <c r="N2602" s="2453"/>
      <c r="O2602" s="2453"/>
      <c r="P2602" s="2453"/>
      <c r="W2602" t="s">
        <v>2062</v>
      </c>
    </row>
    <row r="2603" spans="1:23" ht="13.15" customHeight="1">
      <c r="A2603" s="2" t="s">
        <v>2215</v>
      </c>
      <c r="B2603" s="2">
        <f t="shared" si="80"/>
        <v>2020</v>
      </c>
      <c r="C2603" s="2" t="str">
        <f t="shared" si="81"/>
        <v>LIM333</v>
      </c>
      <c r="D2603" s="2">
        <v>985</v>
      </c>
      <c r="F2603" s="2451"/>
      <c r="G2603" s="2451"/>
      <c r="H2603" s="2451"/>
      <c r="I2603" s="2451"/>
      <c r="J2603" s="2451"/>
      <c r="K2603" s="2451"/>
      <c r="L2603" s="2453"/>
      <c r="M2603" s="2453"/>
      <c r="N2603" s="2453"/>
      <c r="O2603" s="2453"/>
      <c r="P2603" s="2453"/>
      <c r="W2603" t="s">
        <v>2062</v>
      </c>
    </row>
    <row r="2604" spans="1:23" ht="13.15" customHeight="1">
      <c r="A2604" s="2" t="s">
        <v>2215</v>
      </c>
      <c r="B2604" s="2">
        <f t="shared" si="80"/>
        <v>2020</v>
      </c>
      <c r="C2604" s="2" t="str">
        <f t="shared" si="81"/>
        <v>LIM333</v>
      </c>
      <c r="D2604" s="2">
        <v>986</v>
      </c>
      <c r="F2604" s="2451"/>
      <c r="G2604" s="2451"/>
      <c r="H2604" s="2451"/>
      <c r="I2604" s="2451"/>
      <c r="J2604" s="2451"/>
      <c r="K2604" s="2451"/>
      <c r="L2604" s="2453"/>
      <c r="M2604" s="2453"/>
      <c r="N2604" s="2453"/>
      <c r="O2604" s="2453"/>
      <c r="P2604" s="2453"/>
      <c r="W2604" t="s">
        <v>2062</v>
      </c>
    </row>
    <row r="2605" spans="1:23" ht="13.15" customHeight="1">
      <c r="A2605" s="2" t="s">
        <v>2215</v>
      </c>
      <c r="B2605" s="2">
        <f t="shared" si="80"/>
        <v>2020</v>
      </c>
      <c r="C2605" s="2" t="str">
        <f t="shared" si="81"/>
        <v>LIM333</v>
      </c>
      <c r="D2605" s="2">
        <v>987</v>
      </c>
      <c r="F2605" s="2451"/>
      <c r="G2605" s="2451"/>
      <c r="H2605" s="2451"/>
      <c r="I2605" s="2451"/>
      <c r="J2605" s="2451"/>
      <c r="K2605" s="2451"/>
      <c r="L2605" s="2453"/>
      <c r="M2605" s="2453"/>
      <c r="N2605" s="2453"/>
      <c r="O2605" s="2453"/>
      <c r="P2605" s="2453"/>
      <c r="W2605" t="s">
        <v>2062</v>
      </c>
    </row>
    <row r="2606" spans="1:23" ht="13.15" customHeight="1">
      <c r="A2606" s="2" t="s">
        <v>2215</v>
      </c>
      <c r="B2606" s="2">
        <f t="shared" si="80"/>
        <v>2020</v>
      </c>
      <c r="C2606" s="2" t="str">
        <f t="shared" si="81"/>
        <v>LIM333</v>
      </c>
      <c r="D2606" s="2">
        <v>988</v>
      </c>
      <c r="F2606" s="2451"/>
      <c r="G2606" s="2451"/>
      <c r="H2606" s="2451"/>
      <c r="I2606" s="2451"/>
      <c r="J2606" s="2451"/>
      <c r="K2606" s="2451"/>
      <c r="L2606" s="2453"/>
      <c r="M2606" s="2453"/>
      <c r="N2606" s="2453"/>
      <c r="O2606" s="2453"/>
      <c r="P2606" s="2453"/>
      <c r="W2606" t="s">
        <v>2062</v>
      </c>
    </row>
    <row r="2607" spans="1:23" ht="13.15" customHeight="1">
      <c r="A2607" s="2" t="s">
        <v>2215</v>
      </c>
      <c r="B2607" s="2">
        <f t="shared" si="80"/>
        <v>2020</v>
      </c>
      <c r="C2607" s="2" t="str">
        <f t="shared" si="81"/>
        <v>LIM333</v>
      </c>
      <c r="D2607" s="2">
        <v>989</v>
      </c>
      <c r="F2607" s="2451"/>
      <c r="G2607" s="2451"/>
      <c r="H2607" s="2451"/>
      <c r="I2607" s="2451"/>
      <c r="J2607" s="2451"/>
      <c r="K2607" s="2451"/>
      <c r="L2607" s="2453"/>
      <c r="M2607" s="2453"/>
      <c r="N2607" s="2453"/>
      <c r="O2607" s="2453"/>
      <c r="P2607" s="2453"/>
      <c r="W2607" t="s">
        <v>2062</v>
      </c>
    </row>
    <row r="2608" spans="1:23" ht="13.15" customHeight="1">
      <c r="A2608" s="2" t="s">
        <v>2215</v>
      </c>
      <c r="B2608" s="2">
        <f t="shared" si="80"/>
        <v>2020</v>
      </c>
      <c r="C2608" s="2" t="str">
        <f t="shared" si="81"/>
        <v>LIM333</v>
      </c>
      <c r="D2608" s="2">
        <v>990</v>
      </c>
      <c r="F2608" s="2451"/>
      <c r="G2608" s="2451"/>
      <c r="H2608" s="2451"/>
      <c r="I2608" s="2451"/>
      <c r="J2608" s="2451"/>
      <c r="K2608" s="2451"/>
      <c r="L2608" s="2453"/>
      <c r="M2608" s="2453"/>
      <c r="N2608" s="2453"/>
      <c r="O2608" s="2453"/>
      <c r="P2608" s="2453"/>
      <c r="W2608" t="s">
        <v>2062</v>
      </c>
    </row>
    <row r="2609" spans="1:23" ht="13.15" customHeight="1">
      <c r="A2609" s="2" t="s">
        <v>2215</v>
      </c>
      <c r="B2609" s="2">
        <f t="shared" si="80"/>
        <v>2020</v>
      </c>
      <c r="C2609" s="2" t="str">
        <f t="shared" si="81"/>
        <v>LIM333</v>
      </c>
      <c r="D2609" s="2">
        <v>991</v>
      </c>
      <c r="F2609" s="2451"/>
      <c r="G2609" s="2451"/>
      <c r="H2609" s="2451"/>
      <c r="I2609" s="2451"/>
      <c r="J2609" s="2451"/>
      <c r="K2609" s="2451"/>
      <c r="L2609" s="2453"/>
      <c r="M2609" s="2453"/>
      <c r="N2609" s="2453"/>
      <c r="O2609" s="2453"/>
      <c r="P2609" s="2453"/>
      <c r="W2609" t="s">
        <v>2062</v>
      </c>
    </row>
    <row r="2610" spans="1:23" ht="13.15" customHeight="1">
      <c r="A2610" s="2" t="s">
        <v>2215</v>
      </c>
      <c r="B2610" s="2">
        <f t="shared" si="80"/>
        <v>2020</v>
      </c>
      <c r="C2610" s="2" t="str">
        <f t="shared" si="81"/>
        <v>LIM333</v>
      </c>
      <c r="D2610" s="2">
        <v>992</v>
      </c>
      <c r="F2610" s="2451"/>
      <c r="G2610" s="2451"/>
      <c r="H2610" s="2451"/>
      <c r="I2610" s="2451"/>
      <c r="J2610" s="2451"/>
      <c r="K2610" s="2451"/>
      <c r="L2610" s="2453"/>
      <c r="M2610" s="2453"/>
      <c r="N2610" s="2453"/>
      <c r="O2610" s="2453"/>
      <c r="P2610" s="2453"/>
      <c r="W2610" t="s">
        <v>2062</v>
      </c>
    </row>
    <row r="2611" spans="1:23" ht="13.15" customHeight="1">
      <c r="A2611" s="2" t="s">
        <v>2215</v>
      </c>
      <c r="B2611" s="2">
        <f t="shared" si="80"/>
        <v>2020</v>
      </c>
      <c r="C2611" s="2" t="str">
        <f t="shared" si="81"/>
        <v>LIM333</v>
      </c>
      <c r="D2611" s="2">
        <v>993</v>
      </c>
      <c r="F2611" s="2451"/>
      <c r="G2611" s="2451"/>
      <c r="H2611" s="2451"/>
      <c r="I2611" s="2451"/>
      <c r="J2611" s="2451"/>
      <c r="K2611" s="2451"/>
      <c r="L2611" s="2453"/>
      <c r="M2611" s="2453"/>
      <c r="N2611" s="2453"/>
      <c r="O2611" s="2453"/>
      <c r="P2611" s="2453"/>
      <c r="W2611" t="s">
        <v>2062</v>
      </c>
    </row>
    <row r="2612" spans="1:23" ht="13.15" customHeight="1">
      <c r="A2612" s="2" t="s">
        <v>2215</v>
      </c>
      <c r="B2612" s="2">
        <f t="shared" si="80"/>
        <v>2020</v>
      </c>
      <c r="C2612" s="2" t="str">
        <f t="shared" si="81"/>
        <v>LIM333</v>
      </c>
      <c r="D2612" s="2">
        <v>994</v>
      </c>
      <c r="F2612" s="2451"/>
      <c r="G2612" s="2451"/>
      <c r="H2612" s="2451"/>
      <c r="I2612" s="2451"/>
      <c r="J2612" s="2451"/>
      <c r="K2612" s="2451"/>
      <c r="L2612" s="2453"/>
      <c r="M2612" s="2453"/>
      <c r="N2612" s="2453"/>
      <c r="O2612" s="2453"/>
      <c r="P2612" s="2453"/>
      <c r="W2612" t="s">
        <v>2062</v>
      </c>
    </row>
    <row r="2613" spans="1:23" ht="13.15" customHeight="1">
      <c r="A2613" s="2" t="s">
        <v>2215</v>
      </c>
      <c r="B2613" s="2">
        <f t="shared" si="80"/>
        <v>2020</v>
      </c>
      <c r="C2613" s="2" t="str">
        <f t="shared" si="81"/>
        <v>LIM333</v>
      </c>
      <c r="D2613" s="2">
        <v>995</v>
      </c>
      <c r="F2613" s="2451"/>
      <c r="G2613" s="2451"/>
      <c r="H2613" s="2451"/>
      <c r="I2613" s="2451"/>
      <c r="J2613" s="2451"/>
      <c r="K2613" s="2451"/>
      <c r="L2613" s="2453"/>
      <c r="M2613" s="2453"/>
      <c r="N2613" s="2453"/>
      <c r="O2613" s="2453"/>
      <c r="P2613" s="2453"/>
      <c r="W2613" t="s">
        <v>2062</v>
      </c>
    </row>
    <row r="2614" spans="1:23" ht="13.15" customHeight="1">
      <c r="A2614" s="2" t="s">
        <v>2215</v>
      </c>
      <c r="B2614" s="2">
        <f t="shared" si="80"/>
        <v>2020</v>
      </c>
      <c r="C2614" s="2" t="str">
        <f t="shared" si="81"/>
        <v>LIM333</v>
      </c>
      <c r="D2614" s="2">
        <v>996</v>
      </c>
      <c r="F2614" s="2451"/>
      <c r="G2614" s="2451"/>
      <c r="H2614" s="2451"/>
      <c r="I2614" s="2451"/>
      <c r="J2614" s="2451"/>
      <c r="K2614" s="2451"/>
      <c r="L2614" s="2453"/>
      <c r="M2614" s="2453"/>
      <c r="N2614" s="2453"/>
      <c r="O2614" s="2453"/>
      <c r="P2614" s="2453"/>
      <c r="W2614" t="s">
        <v>2062</v>
      </c>
    </row>
    <row r="2615" spans="1:23" ht="13.15" customHeight="1">
      <c r="A2615" s="2" t="s">
        <v>2215</v>
      </c>
      <c r="B2615" s="2">
        <f t="shared" si="80"/>
        <v>2020</v>
      </c>
      <c r="C2615" s="2" t="str">
        <f t="shared" si="81"/>
        <v>LIM333</v>
      </c>
      <c r="D2615" s="2">
        <v>997</v>
      </c>
      <c r="F2615" s="2451"/>
      <c r="G2615" s="2451"/>
      <c r="H2615" s="2451"/>
      <c r="I2615" s="2451"/>
      <c r="J2615" s="2451"/>
      <c r="K2615" s="2451"/>
      <c r="L2615" s="2453"/>
      <c r="M2615" s="2453"/>
      <c r="N2615" s="2453"/>
      <c r="O2615" s="2453"/>
      <c r="P2615" s="2453"/>
      <c r="W2615" t="s">
        <v>2062</v>
      </c>
    </row>
    <row r="2616" spans="1:23" ht="13.15" customHeight="1">
      <c r="A2616" s="2" t="s">
        <v>2215</v>
      </c>
      <c r="B2616" s="2">
        <f t="shared" si="80"/>
        <v>2020</v>
      </c>
      <c r="C2616" s="2" t="str">
        <f t="shared" si="81"/>
        <v>LIM333</v>
      </c>
      <c r="D2616" s="2">
        <v>998</v>
      </c>
      <c r="F2616" s="2451"/>
      <c r="G2616" s="2451"/>
      <c r="H2616" s="2451"/>
      <c r="I2616" s="2451"/>
      <c r="J2616" s="2451"/>
      <c r="K2616" s="2451"/>
      <c r="L2616" s="2453"/>
      <c r="M2616" s="2453"/>
      <c r="N2616" s="2453"/>
      <c r="O2616" s="2453"/>
      <c r="P2616" s="2453"/>
      <c r="W2616" t="s">
        <v>2062</v>
      </c>
    </row>
    <row r="2617" spans="1:23" ht="13.15" customHeight="1">
      <c r="A2617" s="2" t="s">
        <v>2215</v>
      </c>
      <c r="B2617" s="2">
        <f t="shared" si="80"/>
        <v>2020</v>
      </c>
      <c r="C2617" s="2" t="str">
        <f t="shared" si="81"/>
        <v>LIM333</v>
      </c>
      <c r="D2617" s="2">
        <v>999</v>
      </c>
      <c r="F2617" s="2451"/>
      <c r="G2617" s="2451"/>
      <c r="H2617" s="2451"/>
      <c r="I2617" s="2451"/>
      <c r="J2617" s="2451"/>
      <c r="K2617" s="2451"/>
      <c r="L2617" s="2453"/>
      <c r="M2617" s="2453"/>
      <c r="N2617" s="2453"/>
      <c r="O2617" s="2453"/>
      <c r="P2617" s="2453"/>
      <c r="W2617" t="s">
        <v>2062</v>
      </c>
    </row>
    <row r="2618" spans="1:23" ht="13.15" customHeight="1">
      <c r="A2618" s="2" t="s">
        <v>2215</v>
      </c>
      <c r="B2618" s="2">
        <f t="shared" si="80"/>
        <v>2020</v>
      </c>
      <c r="C2618" s="2" t="str">
        <f t="shared" si="81"/>
        <v>LIM333</v>
      </c>
      <c r="D2618" s="2">
        <v>1000</v>
      </c>
      <c r="F2618" s="2451"/>
      <c r="G2618" s="2451"/>
      <c r="H2618" s="2451"/>
      <c r="I2618" s="2451"/>
      <c r="J2618" s="2451"/>
      <c r="K2618" s="2451"/>
      <c r="L2618" s="2453"/>
      <c r="M2618" s="2453"/>
      <c r="N2618" s="2453"/>
      <c r="O2618" s="2453"/>
      <c r="P2618" s="2453"/>
      <c r="W2618" t="s">
        <v>2062</v>
      </c>
    </row>
    <row r="2619" spans="1:23" ht="13.15" customHeight="1">
      <c r="A2619" s="2" t="s">
        <v>2216</v>
      </c>
      <c r="B2619" s="2">
        <f t="shared" si="80"/>
        <v>2020</v>
      </c>
      <c r="C2619" s="2" t="str">
        <f t="shared" si="81"/>
        <v>LIM333</v>
      </c>
      <c r="D2619" s="2">
        <v>1</v>
      </c>
      <c r="F2619" s="2465"/>
      <c r="G2619" s="2465"/>
      <c r="H2619" s="2465"/>
      <c r="I2619" s="2465"/>
      <c r="J2619" s="2465"/>
      <c r="K2619" s="2465"/>
      <c r="L2619" s="2465"/>
      <c r="M2619" s="2465"/>
      <c r="N2619" s="2465"/>
      <c r="O2619" s="2465"/>
      <c r="P2619" s="2465"/>
      <c r="Q2619" s="2465"/>
      <c r="R2619" s="2465"/>
      <c r="S2619" s="2465"/>
      <c r="T2619" s="2465"/>
      <c r="U2619" s="2465"/>
      <c r="V2619" s="2465"/>
      <c r="W2619" t="s">
        <v>2062</v>
      </c>
    </row>
    <row r="2620" spans="1:23" ht="13.15" customHeight="1">
      <c r="A2620" s="2" t="s">
        <v>2216</v>
      </c>
      <c r="B2620" s="2">
        <f t="shared" si="80"/>
        <v>2020</v>
      </c>
      <c r="C2620" s="2" t="str">
        <f t="shared" si="81"/>
        <v>LIM333</v>
      </c>
      <c r="D2620" s="2">
        <v>2</v>
      </c>
      <c r="F2620" s="2465"/>
      <c r="G2620" s="2465"/>
      <c r="H2620" s="2465"/>
      <c r="I2620" s="2465"/>
      <c r="J2620" s="2465"/>
      <c r="K2620" s="2465"/>
      <c r="L2620" s="2465"/>
      <c r="M2620" s="2465"/>
      <c r="N2620" s="2465"/>
      <c r="O2620" s="2465"/>
      <c r="P2620" s="2465"/>
      <c r="Q2620" s="2465"/>
      <c r="R2620" s="2465"/>
      <c r="S2620" s="2465"/>
      <c r="T2620" s="2465"/>
      <c r="U2620" s="2465"/>
      <c r="V2620" s="2465"/>
      <c r="W2620" t="s">
        <v>2062</v>
      </c>
    </row>
    <row r="2621" spans="1:23" ht="13.15" customHeight="1">
      <c r="A2621" s="2" t="s">
        <v>2216</v>
      </c>
      <c r="B2621" s="2">
        <f t="shared" si="80"/>
        <v>2020</v>
      </c>
      <c r="C2621" s="2" t="str">
        <f t="shared" si="81"/>
        <v>LIM333</v>
      </c>
      <c r="D2621" s="2">
        <v>3</v>
      </c>
      <c r="F2621" s="2465"/>
      <c r="G2621" s="2465"/>
      <c r="H2621" s="2465"/>
      <c r="I2621" s="2465"/>
      <c r="J2621" s="2465"/>
      <c r="K2621" s="2465"/>
      <c r="L2621" s="2465"/>
      <c r="M2621" s="2465"/>
      <c r="N2621" s="2465"/>
      <c r="O2621" s="2465"/>
      <c r="P2621" s="2465"/>
      <c r="Q2621" s="2465"/>
      <c r="R2621" s="2465"/>
      <c r="S2621" s="2465"/>
      <c r="T2621" s="2465"/>
      <c r="U2621" s="2465"/>
      <c r="V2621" s="2465"/>
      <c r="W2621" t="s">
        <v>2062</v>
      </c>
    </row>
    <row r="2622" spans="1:23" ht="13.15" customHeight="1">
      <c r="A2622" s="2" t="s">
        <v>2216</v>
      </c>
      <c r="B2622" s="2">
        <f t="shared" si="80"/>
        <v>2020</v>
      </c>
      <c r="C2622" s="2" t="str">
        <f t="shared" si="81"/>
        <v>LIM333</v>
      </c>
      <c r="D2622" s="2">
        <v>4</v>
      </c>
      <c r="F2622" s="2465"/>
      <c r="G2622" s="2465"/>
      <c r="H2622" s="2465"/>
      <c r="I2622" s="2465"/>
      <c r="J2622" s="2465"/>
      <c r="K2622" s="2465"/>
      <c r="L2622" s="2465"/>
      <c r="M2622" s="2465"/>
      <c r="N2622" s="2465"/>
      <c r="O2622" s="2465"/>
      <c r="P2622" s="2465"/>
      <c r="Q2622" s="2465"/>
      <c r="R2622" s="2465"/>
      <c r="S2622" s="2465"/>
      <c r="T2622" s="2465"/>
      <c r="U2622" s="2465"/>
      <c r="V2622" s="2465"/>
      <c r="W2622" t="s">
        <v>2062</v>
      </c>
    </row>
    <row r="2623" spans="1:23" ht="13.15" customHeight="1">
      <c r="A2623" s="2" t="s">
        <v>2216</v>
      </c>
      <c r="B2623" s="2">
        <f t="shared" si="80"/>
        <v>2020</v>
      </c>
      <c r="C2623" s="2" t="str">
        <f t="shared" si="81"/>
        <v>LIM333</v>
      </c>
      <c r="D2623" s="2">
        <v>5</v>
      </c>
      <c r="F2623" s="2465"/>
      <c r="G2623" s="2465"/>
      <c r="H2623" s="2465"/>
      <c r="I2623" s="2465"/>
      <c r="J2623" s="2465"/>
      <c r="K2623" s="2465"/>
      <c r="L2623" s="2465"/>
      <c r="M2623" s="2465"/>
      <c r="N2623" s="2465"/>
      <c r="O2623" s="2465"/>
      <c r="P2623" s="2465"/>
      <c r="Q2623" s="2465"/>
      <c r="R2623" s="2465"/>
      <c r="S2623" s="2465"/>
      <c r="T2623" s="2465"/>
      <c r="U2623" s="2465"/>
      <c r="V2623" s="2465"/>
      <c r="W2623" t="s">
        <v>2062</v>
      </c>
    </row>
    <row r="2624" spans="1:23" ht="13.15" customHeight="1">
      <c r="A2624" s="2" t="s">
        <v>2216</v>
      </c>
      <c r="B2624" s="2">
        <f t="shared" si="80"/>
        <v>2020</v>
      </c>
      <c r="C2624" s="2" t="str">
        <f t="shared" si="81"/>
        <v>LIM333</v>
      </c>
      <c r="D2624" s="2">
        <v>6</v>
      </c>
      <c r="F2624" s="2465"/>
      <c r="G2624" s="2465"/>
      <c r="H2624" s="2465"/>
      <c r="I2624" s="2465"/>
      <c r="J2624" s="2465"/>
      <c r="K2624" s="2465"/>
      <c r="L2624" s="2465"/>
      <c r="M2624" s="2465"/>
      <c r="N2624" s="2465"/>
      <c r="O2624" s="2465"/>
      <c r="P2624" s="2465"/>
      <c r="Q2624" s="2465"/>
      <c r="R2624" s="2465"/>
      <c r="S2624" s="2465"/>
      <c r="T2624" s="2465"/>
      <c r="U2624" s="2465"/>
      <c r="V2624" s="2465"/>
      <c r="W2624" t="s">
        <v>2062</v>
      </c>
    </row>
    <row r="2625" spans="1:23" ht="13.15" customHeight="1">
      <c r="A2625" s="2" t="s">
        <v>2216</v>
      </c>
      <c r="B2625" s="2">
        <f t="shared" si="80"/>
        <v>2020</v>
      </c>
      <c r="C2625" s="2" t="str">
        <f t="shared" si="81"/>
        <v>LIM333</v>
      </c>
      <c r="D2625" s="2">
        <v>7</v>
      </c>
      <c r="F2625" s="2465"/>
      <c r="G2625" s="2465"/>
      <c r="H2625" s="2465"/>
      <c r="I2625" s="2465"/>
      <c r="J2625" s="2465"/>
      <c r="K2625" s="2465"/>
      <c r="L2625" s="2465"/>
      <c r="M2625" s="2465"/>
      <c r="N2625" s="2465"/>
      <c r="O2625" s="2465"/>
      <c r="P2625" s="2465"/>
      <c r="Q2625" s="2465"/>
      <c r="R2625" s="2465"/>
      <c r="S2625" s="2465"/>
      <c r="T2625" s="2465"/>
      <c r="U2625" s="2465"/>
      <c r="V2625" s="2465"/>
      <c r="W2625" t="s">
        <v>2062</v>
      </c>
    </row>
    <row r="2626" spans="1:23" ht="13.15" customHeight="1">
      <c r="A2626" s="2" t="s">
        <v>2216</v>
      </c>
      <c r="B2626" s="2">
        <f t="shared" ref="B2626:B2689" si="82">+MTREF</f>
        <v>2020</v>
      </c>
      <c r="C2626" s="2" t="str">
        <f t="shared" ref="C2626:C2689" si="83">LEFT(muni,(FIND(" ",muni,1)-1))</f>
        <v>LIM333</v>
      </c>
      <c r="D2626" s="2">
        <v>8</v>
      </c>
      <c r="F2626" s="2465"/>
      <c r="G2626" s="2465"/>
      <c r="H2626" s="2465"/>
      <c r="I2626" s="2465"/>
      <c r="J2626" s="2465"/>
      <c r="K2626" s="2465"/>
      <c r="L2626" s="2465"/>
      <c r="M2626" s="2465"/>
      <c r="N2626" s="2465"/>
      <c r="O2626" s="2465"/>
      <c r="P2626" s="2465"/>
      <c r="Q2626" s="2465"/>
      <c r="R2626" s="2465"/>
      <c r="S2626" s="2465"/>
      <c r="T2626" s="2465"/>
      <c r="U2626" s="2465"/>
      <c r="V2626" s="2465"/>
      <c r="W2626" t="s">
        <v>2062</v>
      </c>
    </row>
    <row r="2627" spans="1:23" ht="13.15" customHeight="1">
      <c r="A2627" s="2" t="s">
        <v>2216</v>
      </c>
      <c r="B2627" s="2">
        <f t="shared" si="82"/>
        <v>2020</v>
      </c>
      <c r="C2627" s="2" t="str">
        <f t="shared" si="83"/>
        <v>LIM333</v>
      </c>
      <c r="D2627" s="2">
        <v>9</v>
      </c>
      <c r="F2627" s="2465"/>
      <c r="G2627" s="2465"/>
      <c r="H2627" s="2465"/>
      <c r="I2627" s="2465"/>
      <c r="J2627" s="2465"/>
      <c r="K2627" s="2465"/>
      <c r="L2627" s="2465"/>
      <c r="M2627" s="2465"/>
      <c r="N2627" s="2465"/>
      <c r="O2627" s="2465"/>
      <c r="P2627" s="2465"/>
      <c r="Q2627" s="2465"/>
      <c r="R2627" s="2465"/>
      <c r="S2627" s="2465"/>
      <c r="T2627" s="2465"/>
      <c r="U2627" s="2465"/>
      <c r="V2627" s="2465"/>
      <c r="W2627" t="s">
        <v>2062</v>
      </c>
    </row>
    <row r="2628" spans="1:23" ht="13.15" customHeight="1">
      <c r="A2628" s="2" t="s">
        <v>2216</v>
      </c>
      <c r="B2628" s="2">
        <f t="shared" si="82"/>
        <v>2020</v>
      </c>
      <c r="C2628" s="2" t="str">
        <f t="shared" si="83"/>
        <v>LIM333</v>
      </c>
      <c r="D2628" s="2">
        <v>10</v>
      </c>
      <c r="F2628" s="2465"/>
      <c r="G2628" s="2465"/>
      <c r="H2628" s="2465"/>
      <c r="I2628" s="2465"/>
      <c r="J2628" s="2465"/>
      <c r="K2628" s="2465"/>
      <c r="L2628" s="2465"/>
      <c r="M2628" s="2465"/>
      <c r="N2628" s="2465"/>
      <c r="O2628" s="2465"/>
      <c r="P2628" s="2465"/>
      <c r="Q2628" s="2465"/>
      <c r="R2628" s="2465"/>
      <c r="S2628" s="2465"/>
      <c r="T2628" s="2465"/>
      <c r="U2628" s="2465"/>
      <c r="V2628" s="2465"/>
      <c r="W2628" t="s">
        <v>2062</v>
      </c>
    </row>
    <row r="2629" spans="1:23" ht="13.15" customHeight="1">
      <c r="A2629" s="2" t="s">
        <v>2216</v>
      </c>
      <c r="B2629" s="2">
        <f t="shared" si="82"/>
        <v>2020</v>
      </c>
      <c r="C2629" s="2" t="str">
        <f t="shared" si="83"/>
        <v>LIM333</v>
      </c>
      <c r="D2629" s="2">
        <v>11</v>
      </c>
      <c r="F2629" s="2465"/>
      <c r="G2629" s="2465"/>
      <c r="H2629" s="2465"/>
      <c r="I2629" s="2465"/>
      <c r="J2629" s="2465"/>
      <c r="K2629" s="2465"/>
      <c r="L2629" s="2465"/>
      <c r="M2629" s="2465"/>
      <c r="N2629" s="2465"/>
      <c r="O2629" s="2465"/>
      <c r="P2629" s="2465"/>
      <c r="Q2629" s="2465"/>
      <c r="R2629" s="2465"/>
      <c r="S2629" s="2465"/>
      <c r="T2629" s="2465"/>
      <c r="U2629" s="2465"/>
      <c r="V2629" s="2465"/>
      <c r="W2629" t="s">
        <v>2062</v>
      </c>
    </row>
    <row r="2630" spans="1:23" ht="13.15" customHeight="1">
      <c r="A2630" s="2" t="s">
        <v>2216</v>
      </c>
      <c r="B2630" s="2">
        <f t="shared" si="82"/>
        <v>2020</v>
      </c>
      <c r="C2630" s="2" t="str">
        <f t="shared" si="83"/>
        <v>LIM333</v>
      </c>
      <c r="D2630" s="2">
        <v>12</v>
      </c>
      <c r="F2630" s="2465"/>
      <c r="G2630" s="2465"/>
      <c r="H2630" s="2465"/>
      <c r="I2630" s="2465"/>
      <c r="J2630" s="2465"/>
      <c r="K2630" s="2465"/>
      <c r="L2630" s="2465"/>
      <c r="M2630" s="2465"/>
      <c r="N2630" s="2465"/>
      <c r="O2630" s="2465"/>
      <c r="P2630" s="2465"/>
      <c r="Q2630" s="2465"/>
      <c r="R2630" s="2465"/>
      <c r="S2630" s="2465"/>
      <c r="T2630" s="2465"/>
      <c r="U2630" s="2465"/>
      <c r="V2630" s="2465"/>
      <c r="W2630" t="s">
        <v>2062</v>
      </c>
    </row>
    <row r="2631" spans="1:23" ht="13.15" customHeight="1">
      <c r="A2631" s="2" t="s">
        <v>2216</v>
      </c>
      <c r="B2631" s="2">
        <f t="shared" si="82"/>
        <v>2020</v>
      </c>
      <c r="C2631" s="2" t="str">
        <f t="shared" si="83"/>
        <v>LIM333</v>
      </c>
      <c r="D2631" s="2">
        <v>13</v>
      </c>
      <c r="F2631" s="2465"/>
      <c r="G2631" s="2465"/>
      <c r="H2631" s="2465"/>
      <c r="I2631" s="2465"/>
      <c r="J2631" s="2465"/>
      <c r="K2631" s="2465"/>
      <c r="L2631" s="2465"/>
      <c r="M2631" s="2465"/>
      <c r="N2631" s="2465"/>
      <c r="O2631" s="2465"/>
      <c r="P2631" s="2465"/>
      <c r="Q2631" s="2465"/>
      <c r="R2631" s="2465"/>
      <c r="S2631" s="2465"/>
      <c r="T2631" s="2465"/>
      <c r="U2631" s="2465"/>
      <c r="V2631" s="2465"/>
      <c r="W2631" t="s">
        <v>2062</v>
      </c>
    </row>
    <row r="2632" spans="1:23" ht="13.15" customHeight="1">
      <c r="A2632" s="2" t="s">
        <v>2216</v>
      </c>
      <c r="B2632" s="2">
        <f t="shared" si="82"/>
        <v>2020</v>
      </c>
      <c r="C2632" s="2" t="str">
        <f t="shared" si="83"/>
        <v>LIM333</v>
      </c>
      <c r="D2632" s="2">
        <v>14</v>
      </c>
      <c r="F2632" s="2465"/>
      <c r="G2632" s="2465"/>
      <c r="H2632" s="2465"/>
      <c r="I2632" s="2465"/>
      <c r="J2632" s="2465"/>
      <c r="K2632" s="2465"/>
      <c r="L2632" s="2465"/>
      <c r="M2632" s="2465"/>
      <c r="N2632" s="2465"/>
      <c r="O2632" s="2465"/>
      <c r="P2632" s="2465"/>
      <c r="Q2632" s="2465"/>
      <c r="R2632" s="2465"/>
      <c r="S2632" s="2465"/>
      <c r="T2632" s="2465"/>
      <c r="U2632" s="2465"/>
      <c r="V2632" s="2465"/>
      <c r="W2632" t="s">
        <v>2062</v>
      </c>
    </row>
    <row r="2633" spans="1:23" ht="13.15" customHeight="1">
      <c r="A2633" s="2" t="s">
        <v>2216</v>
      </c>
      <c r="B2633" s="2">
        <f t="shared" si="82"/>
        <v>2020</v>
      </c>
      <c r="C2633" s="2" t="str">
        <f t="shared" si="83"/>
        <v>LIM333</v>
      </c>
      <c r="D2633" s="2">
        <v>15</v>
      </c>
      <c r="F2633" s="2465"/>
      <c r="G2633" s="2465"/>
      <c r="H2633" s="2465"/>
      <c r="I2633" s="2465"/>
      <c r="J2633" s="2465"/>
      <c r="K2633" s="2465"/>
      <c r="L2633" s="2465"/>
      <c r="M2633" s="2465"/>
      <c r="N2633" s="2465"/>
      <c r="O2633" s="2465"/>
      <c r="P2633" s="2465"/>
      <c r="Q2633" s="2465"/>
      <c r="R2633" s="2465"/>
      <c r="S2633" s="2465"/>
      <c r="T2633" s="2465"/>
      <c r="U2633" s="2465"/>
      <c r="V2633" s="2465"/>
      <c r="W2633" t="s">
        <v>2062</v>
      </c>
    </row>
    <row r="2634" spans="1:23" ht="13.15" customHeight="1">
      <c r="A2634" s="2" t="s">
        <v>2216</v>
      </c>
      <c r="B2634" s="2">
        <f t="shared" si="82"/>
        <v>2020</v>
      </c>
      <c r="C2634" s="2" t="str">
        <f t="shared" si="83"/>
        <v>LIM333</v>
      </c>
      <c r="D2634" s="2">
        <v>16</v>
      </c>
      <c r="F2634" s="2465"/>
      <c r="G2634" s="2465"/>
      <c r="H2634" s="2465"/>
      <c r="I2634" s="2465"/>
      <c r="J2634" s="2465"/>
      <c r="K2634" s="2465"/>
      <c r="L2634" s="2465"/>
      <c r="M2634" s="2465"/>
      <c r="N2634" s="2465"/>
      <c r="O2634" s="2465"/>
      <c r="P2634" s="2465"/>
      <c r="Q2634" s="2465"/>
      <c r="R2634" s="2465"/>
      <c r="S2634" s="2465"/>
      <c r="T2634" s="2465"/>
      <c r="U2634" s="2465"/>
      <c r="V2634" s="2465"/>
      <c r="W2634" t="s">
        <v>2062</v>
      </c>
    </row>
    <row r="2635" spans="1:23" ht="13.15" customHeight="1">
      <c r="A2635" s="2" t="s">
        <v>2216</v>
      </c>
      <c r="B2635" s="2">
        <f t="shared" si="82"/>
        <v>2020</v>
      </c>
      <c r="C2635" s="2" t="str">
        <f t="shared" si="83"/>
        <v>LIM333</v>
      </c>
      <c r="D2635" s="2">
        <v>17</v>
      </c>
      <c r="F2635" s="2465"/>
      <c r="G2635" s="2465"/>
      <c r="H2635" s="2465"/>
      <c r="I2635" s="2465"/>
      <c r="J2635" s="2465"/>
      <c r="K2635" s="2465"/>
      <c r="L2635" s="2465"/>
      <c r="M2635" s="2465"/>
      <c r="N2635" s="2465"/>
      <c r="O2635" s="2465"/>
      <c r="P2635" s="2465"/>
      <c r="Q2635" s="2465"/>
      <c r="R2635" s="2465"/>
      <c r="S2635" s="2465"/>
      <c r="T2635" s="2465"/>
      <c r="U2635" s="2465"/>
      <c r="V2635" s="2465"/>
      <c r="W2635" t="s">
        <v>2062</v>
      </c>
    </row>
    <row r="2636" spans="1:23" ht="13.15" customHeight="1">
      <c r="A2636" s="2" t="s">
        <v>2216</v>
      </c>
      <c r="B2636" s="2">
        <f t="shared" si="82"/>
        <v>2020</v>
      </c>
      <c r="C2636" s="2" t="str">
        <f t="shared" si="83"/>
        <v>LIM333</v>
      </c>
      <c r="D2636" s="2">
        <v>18</v>
      </c>
      <c r="F2636" s="2465"/>
      <c r="G2636" s="2465"/>
      <c r="H2636" s="2465"/>
      <c r="I2636" s="2465"/>
      <c r="J2636" s="2465"/>
      <c r="K2636" s="2465"/>
      <c r="L2636" s="2465"/>
      <c r="M2636" s="2465"/>
      <c r="N2636" s="2465"/>
      <c r="O2636" s="2465"/>
      <c r="P2636" s="2465"/>
      <c r="Q2636" s="2465"/>
      <c r="R2636" s="2465"/>
      <c r="S2636" s="2465"/>
      <c r="T2636" s="2465"/>
      <c r="U2636" s="2465"/>
      <c r="V2636" s="2465"/>
      <c r="W2636" t="s">
        <v>2062</v>
      </c>
    </row>
    <row r="2637" spans="1:23" ht="13.15" customHeight="1">
      <c r="A2637" s="2" t="s">
        <v>2216</v>
      </c>
      <c r="B2637" s="2">
        <f t="shared" si="82"/>
        <v>2020</v>
      </c>
      <c r="C2637" s="2" t="str">
        <f t="shared" si="83"/>
        <v>LIM333</v>
      </c>
      <c r="D2637" s="2">
        <v>19</v>
      </c>
      <c r="F2637" s="2465"/>
      <c r="G2637" s="2465"/>
      <c r="H2637" s="2465"/>
      <c r="I2637" s="2465"/>
      <c r="J2637" s="2465"/>
      <c r="K2637" s="2465"/>
      <c r="L2637" s="2465"/>
      <c r="M2637" s="2465"/>
      <c r="N2637" s="2465"/>
      <c r="O2637" s="2465"/>
      <c r="P2637" s="2465"/>
      <c r="Q2637" s="2465"/>
      <c r="R2637" s="2465"/>
      <c r="S2637" s="2465"/>
      <c r="T2637" s="2465"/>
      <c r="U2637" s="2465"/>
      <c r="V2637" s="2465"/>
      <c r="W2637" t="s">
        <v>2062</v>
      </c>
    </row>
    <row r="2638" spans="1:23" ht="13.15" customHeight="1">
      <c r="A2638" s="2" t="s">
        <v>2216</v>
      </c>
      <c r="B2638" s="2">
        <f t="shared" si="82"/>
        <v>2020</v>
      </c>
      <c r="C2638" s="2" t="str">
        <f t="shared" si="83"/>
        <v>LIM333</v>
      </c>
      <c r="D2638" s="2">
        <v>20</v>
      </c>
      <c r="F2638" s="2465"/>
      <c r="G2638" s="2465"/>
      <c r="H2638" s="2465"/>
      <c r="I2638" s="2465"/>
      <c r="J2638" s="2465"/>
      <c r="K2638" s="2465"/>
      <c r="L2638" s="2465"/>
      <c r="M2638" s="2465"/>
      <c r="N2638" s="2465"/>
      <c r="O2638" s="2465"/>
      <c r="P2638" s="2465"/>
      <c r="Q2638" s="2465"/>
      <c r="R2638" s="2465"/>
      <c r="S2638" s="2465"/>
      <c r="T2638" s="2465"/>
      <c r="U2638" s="2465"/>
      <c r="V2638" s="2465"/>
      <c r="W2638" t="s">
        <v>2062</v>
      </c>
    </row>
    <row r="2639" spans="1:23" ht="13.15" customHeight="1">
      <c r="A2639" s="2" t="s">
        <v>2216</v>
      </c>
      <c r="B2639" s="2">
        <f t="shared" si="82"/>
        <v>2020</v>
      </c>
      <c r="C2639" s="2" t="str">
        <f t="shared" si="83"/>
        <v>LIM333</v>
      </c>
      <c r="D2639" s="2">
        <v>21</v>
      </c>
      <c r="F2639" s="2465"/>
      <c r="G2639" s="2465"/>
      <c r="H2639" s="2465"/>
      <c r="I2639" s="2465"/>
      <c r="J2639" s="2465"/>
      <c r="K2639" s="2465"/>
      <c r="L2639" s="2465"/>
      <c r="M2639" s="2465"/>
      <c r="N2639" s="2465"/>
      <c r="O2639" s="2465"/>
      <c r="P2639" s="2465"/>
      <c r="Q2639" s="2465"/>
      <c r="R2639" s="2465"/>
      <c r="S2639" s="2465"/>
      <c r="T2639" s="2465"/>
      <c r="U2639" s="2465"/>
      <c r="V2639" s="2465"/>
      <c r="W2639" t="s">
        <v>2062</v>
      </c>
    </row>
    <row r="2640" spans="1:23" ht="13.15" customHeight="1">
      <c r="A2640" s="2" t="s">
        <v>2216</v>
      </c>
      <c r="B2640" s="2">
        <f t="shared" si="82"/>
        <v>2020</v>
      </c>
      <c r="C2640" s="2" t="str">
        <f t="shared" si="83"/>
        <v>LIM333</v>
      </c>
      <c r="D2640" s="2">
        <v>22</v>
      </c>
      <c r="F2640" s="2465"/>
      <c r="G2640" s="2465"/>
      <c r="H2640" s="2465"/>
      <c r="I2640" s="2465"/>
      <c r="J2640" s="2465"/>
      <c r="K2640" s="2465"/>
      <c r="L2640" s="2465"/>
      <c r="M2640" s="2465"/>
      <c r="N2640" s="2465"/>
      <c r="O2640" s="2465"/>
      <c r="P2640" s="2465"/>
      <c r="Q2640" s="2465"/>
      <c r="R2640" s="2465"/>
      <c r="S2640" s="2465"/>
      <c r="T2640" s="2465"/>
      <c r="U2640" s="2465"/>
      <c r="V2640" s="2465"/>
      <c r="W2640" t="s">
        <v>2062</v>
      </c>
    </row>
    <row r="2641" spans="1:23" ht="13.15" customHeight="1">
      <c r="A2641" s="2" t="s">
        <v>2216</v>
      </c>
      <c r="B2641" s="2">
        <f t="shared" si="82"/>
        <v>2020</v>
      </c>
      <c r="C2641" s="2" t="str">
        <f t="shared" si="83"/>
        <v>LIM333</v>
      </c>
      <c r="D2641" s="2">
        <v>23</v>
      </c>
      <c r="F2641" s="2465"/>
      <c r="G2641" s="2465"/>
      <c r="H2641" s="2465"/>
      <c r="I2641" s="2465"/>
      <c r="J2641" s="2465"/>
      <c r="K2641" s="2465"/>
      <c r="L2641" s="2465"/>
      <c r="M2641" s="2465"/>
      <c r="N2641" s="2465"/>
      <c r="O2641" s="2465"/>
      <c r="P2641" s="2465"/>
      <c r="Q2641" s="2465"/>
      <c r="R2641" s="2465"/>
      <c r="S2641" s="2465"/>
      <c r="T2641" s="2465"/>
      <c r="U2641" s="2465"/>
      <c r="V2641" s="2465"/>
      <c r="W2641" t="s">
        <v>2062</v>
      </c>
    </row>
    <row r="2642" spans="1:23" ht="13.15" customHeight="1">
      <c r="A2642" s="2" t="s">
        <v>2216</v>
      </c>
      <c r="B2642" s="2">
        <f t="shared" si="82"/>
        <v>2020</v>
      </c>
      <c r="C2642" s="2" t="str">
        <f t="shared" si="83"/>
        <v>LIM333</v>
      </c>
      <c r="D2642" s="2">
        <v>24</v>
      </c>
      <c r="F2642" s="2465"/>
      <c r="G2642" s="2465"/>
      <c r="H2642" s="2465"/>
      <c r="I2642" s="2465"/>
      <c r="J2642" s="2465"/>
      <c r="K2642" s="2465"/>
      <c r="L2642" s="2465"/>
      <c r="M2642" s="2465"/>
      <c r="N2642" s="2465"/>
      <c r="O2642" s="2465"/>
      <c r="P2642" s="2465"/>
      <c r="Q2642" s="2465"/>
      <c r="R2642" s="2465"/>
      <c r="S2642" s="2465"/>
      <c r="T2642" s="2465"/>
      <c r="U2642" s="2465"/>
      <c r="V2642" s="2465"/>
      <c r="W2642" t="s">
        <v>2062</v>
      </c>
    </row>
    <row r="2643" spans="1:23" ht="13.15" customHeight="1">
      <c r="A2643" s="2" t="s">
        <v>2216</v>
      </c>
      <c r="B2643" s="2">
        <f t="shared" si="82"/>
        <v>2020</v>
      </c>
      <c r="C2643" s="2" t="str">
        <f t="shared" si="83"/>
        <v>LIM333</v>
      </c>
      <c r="D2643" s="2">
        <v>25</v>
      </c>
      <c r="F2643" s="2465"/>
      <c r="G2643" s="2465"/>
      <c r="H2643" s="2465"/>
      <c r="I2643" s="2465"/>
      <c r="J2643" s="2465"/>
      <c r="K2643" s="2465"/>
      <c r="L2643" s="2465"/>
      <c r="M2643" s="2465"/>
      <c r="N2643" s="2465"/>
      <c r="O2643" s="2465"/>
      <c r="P2643" s="2465"/>
      <c r="Q2643" s="2465"/>
      <c r="R2643" s="2465"/>
      <c r="S2643" s="2465"/>
      <c r="T2643" s="2465"/>
      <c r="U2643" s="2465"/>
      <c r="V2643" s="2465"/>
      <c r="W2643" t="s">
        <v>2062</v>
      </c>
    </row>
    <row r="2644" spans="1:23" ht="13.15" customHeight="1">
      <c r="A2644" s="2" t="s">
        <v>2216</v>
      </c>
      <c r="B2644" s="2">
        <f t="shared" si="82"/>
        <v>2020</v>
      </c>
      <c r="C2644" s="2" t="str">
        <f t="shared" si="83"/>
        <v>LIM333</v>
      </c>
      <c r="D2644" s="2">
        <v>26</v>
      </c>
      <c r="F2644" s="2465"/>
      <c r="G2644" s="2465"/>
      <c r="H2644" s="2465"/>
      <c r="I2644" s="2465"/>
      <c r="J2644" s="2465"/>
      <c r="K2644" s="2465"/>
      <c r="L2644" s="2465"/>
      <c r="M2644" s="2465"/>
      <c r="N2644" s="2465"/>
      <c r="O2644" s="2465"/>
      <c r="P2644" s="2465"/>
      <c r="Q2644" s="2465"/>
      <c r="R2644" s="2465"/>
      <c r="S2644" s="2465"/>
      <c r="T2644" s="2465"/>
      <c r="U2644" s="2465"/>
      <c r="V2644" s="2465"/>
      <c r="W2644" t="s">
        <v>2062</v>
      </c>
    </row>
    <row r="2645" spans="1:23" ht="13.15" customHeight="1">
      <c r="A2645" s="2" t="s">
        <v>2216</v>
      </c>
      <c r="B2645" s="2">
        <f t="shared" si="82"/>
        <v>2020</v>
      </c>
      <c r="C2645" s="2" t="str">
        <f t="shared" si="83"/>
        <v>LIM333</v>
      </c>
      <c r="D2645" s="2">
        <v>27</v>
      </c>
      <c r="F2645" s="2465"/>
      <c r="G2645" s="2465"/>
      <c r="H2645" s="2465"/>
      <c r="I2645" s="2465"/>
      <c r="J2645" s="2465"/>
      <c r="K2645" s="2465"/>
      <c r="L2645" s="2465"/>
      <c r="M2645" s="2465"/>
      <c r="N2645" s="2465"/>
      <c r="O2645" s="2465"/>
      <c r="P2645" s="2465"/>
      <c r="Q2645" s="2465"/>
      <c r="R2645" s="2465"/>
      <c r="S2645" s="2465"/>
      <c r="T2645" s="2465"/>
      <c r="U2645" s="2465"/>
      <c r="V2645" s="2465"/>
      <c r="W2645" t="s">
        <v>2062</v>
      </c>
    </row>
    <row r="2646" spans="1:23" ht="13.15" customHeight="1">
      <c r="A2646" s="2" t="s">
        <v>2216</v>
      </c>
      <c r="B2646" s="2">
        <f t="shared" si="82"/>
        <v>2020</v>
      </c>
      <c r="C2646" s="2" t="str">
        <f t="shared" si="83"/>
        <v>LIM333</v>
      </c>
      <c r="D2646" s="2">
        <v>28</v>
      </c>
      <c r="F2646" s="2465"/>
      <c r="G2646" s="2465"/>
      <c r="H2646" s="2465"/>
      <c r="I2646" s="2465"/>
      <c r="J2646" s="2465"/>
      <c r="K2646" s="2465"/>
      <c r="L2646" s="2465"/>
      <c r="M2646" s="2465"/>
      <c r="N2646" s="2465"/>
      <c r="O2646" s="2465"/>
      <c r="P2646" s="2465"/>
      <c r="Q2646" s="2465"/>
      <c r="R2646" s="2465"/>
      <c r="S2646" s="2465"/>
      <c r="T2646" s="2465"/>
      <c r="U2646" s="2465"/>
      <c r="V2646" s="2465"/>
      <c r="W2646" t="s">
        <v>2062</v>
      </c>
    </row>
    <row r="2647" spans="1:23" ht="13.15" customHeight="1">
      <c r="A2647" s="2" t="s">
        <v>2216</v>
      </c>
      <c r="B2647" s="2">
        <f t="shared" si="82"/>
        <v>2020</v>
      </c>
      <c r="C2647" s="2" t="str">
        <f t="shared" si="83"/>
        <v>LIM333</v>
      </c>
      <c r="D2647" s="2">
        <v>29</v>
      </c>
      <c r="F2647" s="2465"/>
      <c r="G2647" s="2465"/>
      <c r="H2647" s="2465"/>
      <c r="I2647" s="2465"/>
      <c r="J2647" s="2465"/>
      <c r="K2647" s="2465"/>
      <c r="L2647" s="2465"/>
      <c r="M2647" s="2465"/>
      <c r="N2647" s="2465"/>
      <c r="O2647" s="2465"/>
      <c r="P2647" s="2465"/>
      <c r="Q2647" s="2465"/>
      <c r="R2647" s="2465"/>
      <c r="S2647" s="2465"/>
      <c r="T2647" s="2465"/>
      <c r="U2647" s="2465"/>
      <c r="V2647" s="2465"/>
      <c r="W2647" t="s">
        <v>2062</v>
      </c>
    </row>
    <row r="2648" spans="1:23" ht="13.15" customHeight="1">
      <c r="A2648" s="2" t="s">
        <v>2216</v>
      </c>
      <c r="B2648" s="2">
        <f t="shared" si="82"/>
        <v>2020</v>
      </c>
      <c r="C2648" s="2" t="str">
        <f t="shared" si="83"/>
        <v>LIM333</v>
      </c>
      <c r="D2648" s="2">
        <v>30</v>
      </c>
      <c r="F2648" s="2465"/>
      <c r="G2648" s="2465"/>
      <c r="H2648" s="2465"/>
      <c r="I2648" s="2465"/>
      <c r="J2648" s="2465"/>
      <c r="K2648" s="2465"/>
      <c r="L2648" s="2465"/>
      <c r="M2648" s="2465"/>
      <c r="N2648" s="2465"/>
      <c r="O2648" s="2465"/>
      <c r="P2648" s="2465"/>
      <c r="Q2648" s="2465"/>
      <c r="R2648" s="2465"/>
      <c r="S2648" s="2465"/>
      <c r="T2648" s="2465"/>
      <c r="U2648" s="2465"/>
      <c r="V2648" s="2465"/>
      <c r="W2648" t="s">
        <v>2062</v>
      </c>
    </row>
    <row r="2649" spans="1:23" ht="13.15" customHeight="1">
      <c r="A2649" s="2" t="s">
        <v>2216</v>
      </c>
      <c r="B2649" s="2">
        <f t="shared" si="82"/>
        <v>2020</v>
      </c>
      <c r="C2649" s="2" t="str">
        <f t="shared" si="83"/>
        <v>LIM333</v>
      </c>
      <c r="D2649" s="2">
        <v>31</v>
      </c>
      <c r="F2649" s="2465"/>
      <c r="G2649" s="2465"/>
      <c r="H2649" s="2465"/>
      <c r="I2649" s="2465"/>
      <c r="J2649" s="2465"/>
      <c r="K2649" s="2465"/>
      <c r="L2649" s="2465"/>
      <c r="M2649" s="2465"/>
      <c r="N2649" s="2465"/>
      <c r="O2649" s="2465"/>
      <c r="P2649" s="2465"/>
      <c r="Q2649" s="2465"/>
      <c r="R2649" s="2465"/>
      <c r="S2649" s="2465"/>
      <c r="T2649" s="2465"/>
      <c r="U2649" s="2465"/>
      <c r="V2649" s="2465"/>
      <c r="W2649" t="s">
        <v>2062</v>
      </c>
    </row>
    <row r="2650" spans="1:23" ht="13.15" customHeight="1">
      <c r="A2650" s="2" t="s">
        <v>2216</v>
      </c>
      <c r="B2650" s="2">
        <f t="shared" si="82"/>
        <v>2020</v>
      </c>
      <c r="C2650" s="2" t="str">
        <f t="shared" si="83"/>
        <v>LIM333</v>
      </c>
      <c r="D2650" s="2">
        <v>32</v>
      </c>
      <c r="F2650" s="2465"/>
      <c r="G2650" s="2465"/>
      <c r="H2650" s="2465"/>
      <c r="I2650" s="2465"/>
      <c r="J2650" s="2465"/>
      <c r="K2650" s="2465"/>
      <c r="L2650" s="2465"/>
      <c r="M2650" s="2465"/>
      <c r="N2650" s="2465"/>
      <c r="O2650" s="2465"/>
      <c r="P2650" s="2465"/>
      <c r="Q2650" s="2465"/>
      <c r="R2650" s="2465"/>
      <c r="S2650" s="2465"/>
      <c r="T2650" s="2465"/>
      <c r="U2650" s="2465"/>
      <c r="V2650" s="2465"/>
      <c r="W2650" t="s">
        <v>2062</v>
      </c>
    </row>
    <row r="2651" spans="1:23" ht="13.15" customHeight="1">
      <c r="A2651" s="2" t="s">
        <v>2216</v>
      </c>
      <c r="B2651" s="2">
        <f t="shared" si="82"/>
        <v>2020</v>
      </c>
      <c r="C2651" s="2" t="str">
        <f t="shared" si="83"/>
        <v>LIM333</v>
      </c>
      <c r="D2651" s="2">
        <v>33</v>
      </c>
      <c r="F2651" s="2465"/>
      <c r="G2651" s="2465"/>
      <c r="H2651" s="2465"/>
      <c r="I2651" s="2465"/>
      <c r="J2651" s="2465"/>
      <c r="K2651" s="2465"/>
      <c r="L2651" s="2465"/>
      <c r="M2651" s="2465"/>
      <c r="N2651" s="2465"/>
      <c r="O2651" s="2465"/>
      <c r="P2651" s="2465"/>
      <c r="Q2651" s="2465"/>
      <c r="R2651" s="2465"/>
      <c r="S2651" s="2465"/>
      <c r="T2651" s="2465"/>
      <c r="U2651" s="2465"/>
      <c r="V2651" s="2465"/>
      <c r="W2651" t="s">
        <v>2062</v>
      </c>
    </row>
    <row r="2652" spans="1:23" ht="13.15" customHeight="1">
      <c r="A2652" s="2" t="s">
        <v>2216</v>
      </c>
      <c r="B2652" s="2">
        <f t="shared" si="82"/>
        <v>2020</v>
      </c>
      <c r="C2652" s="2" t="str">
        <f t="shared" si="83"/>
        <v>LIM333</v>
      </c>
      <c r="D2652" s="2">
        <v>34</v>
      </c>
      <c r="F2652" s="2465"/>
      <c r="G2652" s="2465"/>
      <c r="H2652" s="2465"/>
      <c r="I2652" s="2465"/>
      <c r="J2652" s="2465"/>
      <c r="K2652" s="2465"/>
      <c r="L2652" s="2465"/>
      <c r="M2652" s="2465"/>
      <c r="N2652" s="2465"/>
      <c r="O2652" s="2465"/>
      <c r="P2652" s="2465"/>
      <c r="Q2652" s="2465"/>
      <c r="R2652" s="2465"/>
      <c r="S2652" s="2465"/>
      <c r="T2652" s="2465"/>
      <c r="U2652" s="2465"/>
      <c r="V2652" s="2465"/>
      <c r="W2652" t="s">
        <v>2062</v>
      </c>
    </row>
    <row r="2653" spans="1:23" ht="13.15" customHeight="1">
      <c r="A2653" s="2" t="s">
        <v>2216</v>
      </c>
      <c r="B2653" s="2">
        <f t="shared" si="82"/>
        <v>2020</v>
      </c>
      <c r="C2653" s="2" t="str">
        <f t="shared" si="83"/>
        <v>LIM333</v>
      </c>
      <c r="D2653" s="2">
        <v>35</v>
      </c>
      <c r="F2653" s="2465"/>
      <c r="G2653" s="2465"/>
      <c r="H2653" s="2465"/>
      <c r="I2653" s="2465"/>
      <c r="J2653" s="2465"/>
      <c r="K2653" s="2465"/>
      <c r="L2653" s="2465"/>
      <c r="M2653" s="2465"/>
      <c r="N2653" s="2465"/>
      <c r="O2653" s="2465"/>
      <c r="P2653" s="2465"/>
      <c r="Q2653" s="2465"/>
      <c r="R2653" s="2465"/>
      <c r="S2653" s="2465"/>
      <c r="T2653" s="2465"/>
      <c r="U2653" s="2465"/>
      <c r="V2653" s="2465"/>
      <c r="W2653" t="s">
        <v>2062</v>
      </c>
    </row>
    <row r="2654" spans="1:23" ht="13.15" customHeight="1">
      <c r="A2654" s="2" t="s">
        <v>2216</v>
      </c>
      <c r="B2654" s="2">
        <f t="shared" si="82"/>
        <v>2020</v>
      </c>
      <c r="C2654" s="2" t="str">
        <f t="shared" si="83"/>
        <v>LIM333</v>
      </c>
      <c r="D2654" s="2">
        <v>36</v>
      </c>
      <c r="F2654" s="2465"/>
      <c r="G2654" s="2465"/>
      <c r="H2654" s="2465"/>
      <c r="I2654" s="2465"/>
      <c r="J2654" s="2465"/>
      <c r="K2654" s="2465"/>
      <c r="L2654" s="2465"/>
      <c r="M2654" s="2465"/>
      <c r="N2654" s="2465"/>
      <c r="O2654" s="2465"/>
      <c r="P2654" s="2465"/>
      <c r="Q2654" s="2465"/>
      <c r="R2654" s="2465"/>
      <c r="S2654" s="2465"/>
      <c r="T2654" s="2465"/>
      <c r="U2654" s="2465"/>
      <c r="V2654" s="2465"/>
      <c r="W2654" t="s">
        <v>2062</v>
      </c>
    </row>
    <row r="2655" spans="1:23" ht="13.15" customHeight="1">
      <c r="A2655" s="2" t="s">
        <v>2216</v>
      </c>
      <c r="B2655" s="2">
        <f t="shared" si="82"/>
        <v>2020</v>
      </c>
      <c r="C2655" s="2" t="str">
        <f t="shared" si="83"/>
        <v>LIM333</v>
      </c>
      <c r="D2655" s="2">
        <v>37</v>
      </c>
      <c r="F2655" s="2465"/>
      <c r="G2655" s="2465"/>
      <c r="H2655" s="2465"/>
      <c r="I2655" s="2465"/>
      <c r="J2655" s="2465"/>
      <c r="K2655" s="2465"/>
      <c r="L2655" s="2465"/>
      <c r="M2655" s="2465"/>
      <c r="N2655" s="2465"/>
      <c r="O2655" s="2465"/>
      <c r="P2655" s="2465"/>
      <c r="Q2655" s="2465"/>
      <c r="R2655" s="2465"/>
      <c r="S2655" s="2465"/>
      <c r="T2655" s="2465"/>
      <c r="U2655" s="2465"/>
      <c r="V2655" s="2465"/>
      <c r="W2655" t="s">
        <v>2062</v>
      </c>
    </row>
    <row r="2656" spans="1:23" ht="13.15" customHeight="1">
      <c r="A2656" s="2" t="s">
        <v>2216</v>
      </c>
      <c r="B2656" s="2">
        <f t="shared" si="82"/>
        <v>2020</v>
      </c>
      <c r="C2656" s="2" t="str">
        <f t="shared" si="83"/>
        <v>LIM333</v>
      </c>
      <c r="D2656" s="2">
        <v>38</v>
      </c>
      <c r="F2656" s="2465"/>
      <c r="G2656" s="2465"/>
      <c r="H2656" s="2465"/>
      <c r="I2656" s="2465"/>
      <c r="J2656" s="2465"/>
      <c r="K2656" s="2465"/>
      <c r="L2656" s="2465"/>
      <c r="M2656" s="2465"/>
      <c r="N2656" s="2465"/>
      <c r="O2656" s="2465"/>
      <c r="P2656" s="2465"/>
      <c r="Q2656" s="2465"/>
      <c r="R2656" s="2465"/>
      <c r="S2656" s="2465"/>
      <c r="T2656" s="2465"/>
      <c r="U2656" s="2465"/>
      <c r="V2656" s="2465"/>
      <c r="W2656" t="s">
        <v>2062</v>
      </c>
    </row>
    <row r="2657" spans="1:23" ht="13.15" customHeight="1">
      <c r="A2657" s="2" t="s">
        <v>2216</v>
      </c>
      <c r="B2657" s="2">
        <f t="shared" si="82"/>
        <v>2020</v>
      </c>
      <c r="C2657" s="2" t="str">
        <f t="shared" si="83"/>
        <v>LIM333</v>
      </c>
      <c r="D2657" s="2">
        <v>39</v>
      </c>
      <c r="F2657" s="2465"/>
      <c r="G2657" s="2465"/>
      <c r="H2657" s="2465"/>
      <c r="I2657" s="2465"/>
      <c r="J2657" s="2465"/>
      <c r="K2657" s="2465"/>
      <c r="L2657" s="2465"/>
      <c r="M2657" s="2465"/>
      <c r="N2657" s="2465"/>
      <c r="O2657" s="2465"/>
      <c r="P2657" s="2465"/>
      <c r="Q2657" s="2465"/>
      <c r="R2657" s="2465"/>
      <c r="S2657" s="2465"/>
      <c r="T2657" s="2465"/>
      <c r="U2657" s="2465"/>
      <c r="V2657" s="2465"/>
      <c r="W2657" t="s">
        <v>2062</v>
      </c>
    </row>
    <row r="2658" spans="1:23" ht="13.15" customHeight="1">
      <c r="A2658" s="2" t="s">
        <v>2216</v>
      </c>
      <c r="B2658" s="2">
        <f t="shared" si="82"/>
        <v>2020</v>
      </c>
      <c r="C2658" s="2" t="str">
        <f t="shared" si="83"/>
        <v>LIM333</v>
      </c>
      <c r="D2658" s="2">
        <v>40</v>
      </c>
      <c r="F2658" s="2465"/>
      <c r="G2658" s="2465"/>
      <c r="H2658" s="2465"/>
      <c r="I2658" s="2465"/>
      <c r="J2658" s="2465"/>
      <c r="K2658" s="2465"/>
      <c r="L2658" s="2465"/>
      <c r="M2658" s="2465"/>
      <c r="N2658" s="2465"/>
      <c r="O2658" s="2465"/>
      <c r="P2658" s="2465"/>
      <c r="Q2658" s="2465"/>
      <c r="R2658" s="2465"/>
      <c r="S2658" s="2465"/>
      <c r="T2658" s="2465"/>
      <c r="U2658" s="2465"/>
      <c r="V2658" s="2465"/>
      <c r="W2658" t="s">
        <v>2062</v>
      </c>
    </row>
    <row r="2659" spans="1:23" ht="13.15" customHeight="1">
      <c r="A2659" s="2" t="s">
        <v>2216</v>
      </c>
      <c r="B2659" s="2">
        <f t="shared" si="82"/>
        <v>2020</v>
      </c>
      <c r="C2659" s="2" t="str">
        <f t="shared" si="83"/>
        <v>LIM333</v>
      </c>
      <c r="D2659" s="2">
        <v>41</v>
      </c>
      <c r="F2659" s="2465"/>
      <c r="G2659" s="2465"/>
      <c r="H2659" s="2465"/>
      <c r="I2659" s="2465"/>
      <c r="J2659" s="2465"/>
      <c r="K2659" s="2465"/>
      <c r="L2659" s="2465"/>
      <c r="M2659" s="2465"/>
      <c r="N2659" s="2465"/>
      <c r="O2659" s="2465"/>
      <c r="P2659" s="2465"/>
      <c r="Q2659" s="2465"/>
      <c r="R2659" s="2465"/>
      <c r="S2659" s="2465"/>
      <c r="T2659" s="2465"/>
      <c r="U2659" s="2465"/>
      <c r="V2659" s="2465"/>
      <c r="W2659" t="s">
        <v>2062</v>
      </c>
    </row>
    <row r="2660" spans="1:23" ht="13.15" customHeight="1">
      <c r="A2660" s="2" t="s">
        <v>2216</v>
      </c>
      <c r="B2660" s="2">
        <f t="shared" si="82"/>
        <v>2020</v>
      </c>
      <c r="C2660" s="2" t="str">
        <f t="shared" si="83"/>
        <v>LIM333</v>
      </c>
      <c r="D2660" s="2">
        <v>42</v>
      </c>
      <c r="F2660" s="2465"/>
      <c r="G2660" s="2465"/>
      <c r="H2660" s="2465"/>
      <c r="I2660" s="2465"/>
      <c r="J2660" s="2465"/>
      <c r="K2660" s="2465"/>
      <c r="L2660" s="2465"/>
      <c r="M2660" s="2465"/>
      <c r="N2660" s="2465"/>
      <c r="O2660" s="2465"/>
      <c r="P2660" s="2465"/>
      <c r="Q2660" s="2465"/>
      <c r="R2660" s="2465"/>
      <c r="S2660" s="2465"/>
      <c r="T2660" s="2465"/>
      <c r="U2660" s="2465"/>
      <c r="V2660" s="2465"/>
      <c r="W2660" t="s">
        <v>2062</v>
      </c>
    </row>
    <row r="2661" spans="1:23" ht="13.15" customHeight="1">
      <c r="A2661" s="2" t="s">
        <v>2216</v>
      </c>
      <c r="B2661" s="2">
        <f t="shared" si="82"/>
        <v>2020</v>
      </c>
      <c r="C2661" s="2" t="str">
        <f t="shared" si="83"/>
        <v>LIM333</v>
      </c>
      <c r="D2661" s="2">
        <v>43</v>
      </c>
      <c r="F2661" s="2465"/>
      <c r="G2661" s="2465"/>
      <c r="H2661" s="2465"/>
      <c r="I2661" s="2465"/>
      <c r="J2661" s="2465"/>
      <c r="K2661" s="2465"/>
      <c r="L2661" s="2465"/>
      <c r="M2661" s="2465"/>
      <c r="N2661" s="2465"/>
      <c r="O2661" s="2465"/>
      <c r="P2661" s="2465"/>
      <c r="Q2661" s="2465"/>
      <c r="R2661" s="2465"/>
      <c r="S2661" s="2465"/>
      <c r="T2661" s="2465"/>
      <c r="U2661" s="2465"/>
      <c r="V2661" s="2465"/>
      <c r="W2661" t="s">
        <v>2062</v>
      </c>
    </row>
    <row r="2662" spans="1:23" ht="13.15" customHeight="1">
      <c r="A2662" s="2" t="s">
        <v>2216</v>
      </c>
      <c r="B2662" s="2">
        <f t="shared" si="82"/>
        <v>2020</v>
      </c>
      <c r="C2662" s="2" t="str">
        <f t="shared" si="83"/>
        <v>LIM333</v>
      </c>
      <c r="D2662" s="2">
        <v>44</v>
      </c>
      <c r="F2662" s="2465"/>
      <c r="G2662" s="2465"/>
      <c r="H2662" s="2465"/>
      <c r="I2662" s="2465"/>
      <c r="J2662" s="2465"/>
      <c r="K2662" s="2465"/>
      <c r="L2662" s="2465"/>
      <c r="M2662" s="2465"/>
      <c r="N2662" s="2465"/>
      <c r="O2662" s="2465"/>
      <c r="P2662" s="2465"/>
      <c r="Q2662" s="2465"/>
      <c r="R2662" s="2465"/>
      <c r="S2662" s="2465"/>
      <c r="T2662" s="2465"/>
      <c r="U2662" s="2465"/>
      <c r="V2662" s="2465"/>
      <c r="W2662" t="s">
        <v>2062</v>
      </c>
    </row>
    <row r="2663" spans="1:23" ht="13.15" customHeight="1">
      <c r="A2663" s="2" t="s">
        <v>2216</v>
      </c>
      <c r="B2663" s="2">
        <f t="shared" si="82"/>
        <v>2020</v>
      </c>
      <c r="C2663" s="2" t="str">
        <f t="shared" si="83"/>
        <v>LIM333</v>
      </c>
      <c r="D2663" s="2">
        <v>45</v>
      </c>
      <c r="F2663" s="2465"/>
      <c r="G2663" s="2465"/>
      <c r="H2663" s="2465"/>
      <c r="I2663" s="2465"/>
      <c r="J2663" s="2465"/>
      <c r="K2663" s="2465"/>
      <c r="L2663" s="2465"/>
      <c r="M2663" s="2465"/>
      <c r="N2663" s="2465"/>
      <c r="O2663" s="2465"/>
      <c r="P2663" s="2465"/>
      <c r="Q2663" s="2465"/>
      <c r="R2663" s="2465"/>
      <c r="S2663" s="2465"/>
      <c r="T2663" s="2465"/>
      <c r="U2663" s="2465"/>
      <c r="V2663" s="2465"/>
      <c r="W2663" t="s">
        <v>2062</v>
      </c>
    </row>
    <row r="2664" spans="1:23" ht="13.15" customHeight="1">
      <c r="A2664" s="2" t="s">
        <v>2216</v>
      </c>
      <c r="B2664" s="2">
        <f t="shared" si="82"/>
        <v>2020</v>
      </c>
      <c r="C2664" s="2" t="str">
        <f t="shared" si="83"/>
        <v>LIM333</v>
      </c>
      <c r="D2664" s="2">
        <v>46</v>
      </c>
      <c r="F2664" s="2465"/>
      <c r="G2664" s="2465"/>
      <c r="H2664" s="2465"/>
      <c r="I2664" s="2465"/>
      <c r="J2664" s="2465"/>
      <c r="K2664" s="2465"/>
      <c r="L2664" s="2465"/>
      <c r="M2664" s="2465"/>
      <c r="N2664" s="2465"/>
      <c r="O2664" s="2465"/>
      <c r="P2664" s="2465"/>
      <c r="Q2664" s="2465"/>
      <c r="R2664" s="2465"/>
      <c r="S2664" s="2465"/>
      <c r="T2664" s="2465"/>
      <c r="U2664" s="2465"/>
      <c r="V2664" s="2465"/>
      <c r="W2664" t="s">
        <v>2062</v>
      </c>
    </row>
    <row r="2665" spans="1:23" ht="13.15" customHeight="1">
      <c r="A2665" s="2" t="s">
        <v>2216</v>
      </c>
      <c r="B2665" s="2">
        <f t="shared" si="82"/>
        <v>2020</v>
      </c>
      <c r="C2665" s="2" t="str">
        <f t="shared" si="83"/>
        <v>LIM333</v>
      </c>
      <c r="D2665" s="2">
        <v>47</v>
      </c>
      <c r="F2665" s="2465"/>
      <c r="G2665" s="2465"/>
      <c r="H2665" s="2465"/>
      <c r="I2665" s="2465"/>
      <c r="J2665" s="2465"/>
      <c r="K2665" s="2465"/>
      <c r="L2665" s="2465"/>
      <c r="M2665" s="2465"/>
      <c r="N2665" s="2465"/>
      <c r="O2665" s="2465"/>
      <c r="P2665" s="2465"/>
      <c r="Q2665" s="2465"/>
      <c r="R2665" s="2465"/>
      <c r="S2665" s="2465"/>
      <c r="T2665" s="2465"/>
      <c r="U2665" s="2465"/>
      <c r="V2665" s="2465"/>
      <c r="W2665" t="s">
        <v>2062</v>
      </c>
    </row>
    <row r="2666" spans="1:23" ht="13.15" customHeight="1">
      <c r="A2666" s="2" t="s">
        <v>2216</v>
      </c>
      <c r="B2666" s="2">
        <f t="shared" si="82"/>
        <v>2020</v>
      </c>
      <c r="C2666" s="2" t="str">
        <f t="shared" si="83"/>
        <v>LIM333</v>
      </c>
      <c r="D2666" s="2">
        <v>48</v>
      </c>
      <c r="F2666" s="2465"/>
      <c r="G2666" s="2465"/>
      <c r="H2666" s="2465"/>
      <c r="I2666" s="2465"/>
      <c r="J2666" s="2465"/>
      <c r="K2666" s="2465"/>
      <c r="L2666" s="2465"/>
      <c r="M2666" s="2465"/>
      <c r="N2666" s="2465"/>
      <c r="O2666" s="2465"/>
      <c r="P2666" s="2465"/>
      <c r="Q2666" s="2465"/>
      <c r="R2666" s="2465"/>
      <c r="S2666" s="2465"/>
      <c r="T2666" s="2465"/>
      <c r="U2666" s="2465"/>
      <c r="V2666" s="2465"/>
      <c r="W2666" t="s">
        <v>2062</v>
      </c>
    </row>
    <row r="2667" spans="1:23" ht="13.15" customHeight="1">
      <c r="A2667" s="2" t="s">
        <v>2216</v>
      </c>
      <c r="B2667" s="2">
        <f t="shared" si="82"/>
        <v>2020</v>
      </c>
      <c r="C2667" s="2" t="str">
        <f t="shared" si="83"/>
        <v>LIM333</v>
      </c>
      <c r="D2667" s="2">
        <v>49</v>
      </c>
      <c r="F2667" s="2465"/>
      <c r="G2667" s="2465"/>
      <c r="H2667" s="2465"/>
      <c r="I2667" s="2465"/>
      <c r="J2667" s="2465"/>
      <c r="K2667" s="2465"/>
      <c r="L2667" s="2465"/>
      <c r="M2667" s="2465"/>
      <c r="N2667" s="2465"/>
      <c r="O2667" s="2465"/>
      <c r="P2667" s="2465"/>
      <c r="Q2667" s="2465"/>
      <c r="R2667" s="2465"/>
      <c r="S2667" s="2465"/>
      <c r="T2667" s="2465"/>
      <c r="U2667" s="2465"/>
      <c r="V2667" s="2465"/>
      <c r="W2667" t="s">
        <v>2062</v>
      </c>
    </row>
    <row r="2668" spans="1:23" ht="13.15" customHeight="1">
      <c r="A2668" s="2" t="s">
        <v>2216</v>
      </c>
      <c r="B2668" s="2">
        <f t="shared" si="82"/>
        <v>2020</v>
      </c>
      <c r="C2668" s="2" t="str">
        <f t="shared" si="83"/>
        <v>LIM333</v>
      </c>
      <c r="D2668" s="2">
        <v>50</v>
      </c>
      <c r="F2668" s="2465"/>
      <c r="G2668" s="2465"/>
      <c r="H2668" s="2465"/>
      <c r="I2668" s="2465"/>
      <c r="J2668" s="2465"/>
      <c r="K2668" s="2465"/>
      <c r="L2668" s="2465"/>
      <c r="M2668" s="2465"/>
      <c r="N2668" s="2465"/>
      <c r="O2668" s="2465"/>
      <c r="P2668" s="2465"/>
      <c r="Q2668" s="2465"/>
      <c r="R2668" s="2465"/>
      <c r="S2668" s="2465"/>
      <c r="T2668" s="2465"/>
      <c r="U2668" s="2465"/>
      <c r="V2668" s="2465"/>
      <c r="W2668" t="s">
        <v>2062</v>
      </c>
    </row>
    <row r="2669" spans="1:23" ht="13.15" customHeight="1">
      <c r="A2669" s="2" t="s">
        <v>2216</v>
      </c>
      <c r="B2669" s="2">
        <f t="shared" si="82"/>
        <v>2020</v>
      </c>
      <c r="C2669" s="2" t="str">
        <f t="shared" si="83"/>
        <v>LIM333</v>
      </c>
      <c r="D2669" s="2">
        <v>51</v>
      </c>
      <c r="F2669" s="2465"/>
      <c r="G2669" s="2465"/>
      <c r="H2669" s="2465"/>
      <c r="I2669" s="2465"/>
      <c r="J2669" s="2465"/>
      <c r="K2669" s="2465"/>
      <c r="L2669" s="2465"/>
      <c r="M2669" s="2465"/>
      <c r="N2669" s="2465"/>
      <c r="O2669" s="2465"/>
      <c r="P2669" s="2465"/>
      <c r="Q2669" s="2465"/>
      <c r="R2669" s="2465"/>
      <c r="S2669" s="2465"/>
      <c r="T2669" s="2465"/>
      <c r="U2669" s="2465"/>
      <c r="V2669" s="2465"/>
      <c r="W2669" t="s">
        <v>2062</v>
      </c>
    </row>
    <row r="2670" spans="1:23" ht="13.15" customHeight="1">
      <c r="A2670" s="2" t="s">
        <v>2216</v>
      </c>
      <c r="B2670" s="2">
        <f t="shared" si="82"/>
        <v>2020</v>
      </c>
      <c r="C2670" s="2" t="str">
        <f t="shared" si="83"/>
        <v>LIM333</v>
      </c>
      <c r="D2670" s="2">
        <v>52</v>
      </c>
      <c r="F2670" s="2465"/>
      <c r="G2670" s="2465"/>
      <c r="H2670" s="2465"/>
      <c r="I2670" s="2465"/>
      <c r="J2670" s="2465"/>
      <c r="K2670" s="2465"/>
      <c r="L2670" s="2465"/>
      <c r="M2670" s="2465"/>
      <c r="N2670" s="2465"/>
      <c r="O2670" s="2465"/>
      <c r="P2670" s="2465"/>
      <c r="Q2670" s="2465"/>
      <c r="R2670" s="2465"/>
      <c r="S2670" s="2465"/>
      <c r="T2670" s="2465"/>
      <c r="U2670" s="2465"/>
      <c r="V2670" s="2465"/>
      <c r="W2670" t="s">
        <v>2062</v>
      </c>
    </row>
    <row r="2671" spans="1:23" ht="13.15" customHeight="1">
      <c r="A2671" s="2" t="s">
        <v>2216</v>
      </c>
      <c r="B2671" s="2">
        <f t="shared" si="82"/>
        <v>2020</v>
      </c>
      <c r="C2671" s="2" t="str">
        <f t="shared" si="83"/>
        <v>LIM333</v>
      </c>
      <c r="D2671" s="2">
        <v>53</v>
      </c>
      <c r="F2671" s="2465"/>
      <c r="G2671" s="2465"/>
      <c r="H2671" s="2465"/>
      <c r="I2671" s="2465"/>
      <c r="J2671" s="2465"/>
      <c r="K2671" s="2465"/>
      <c r="L2671" s="2465"/>
      <c r="M2671" s="2465"/>
      <c r="N2671" s="2465"/>
      <c r="O2671" s="2465"/>
      <c r="P2671" s="2465"/>
      <c r="Q2671" s="2465"/>
      <c r="R2671" s="2465"/>
      <c r="S2671" s="2465"/>
      <c r="T2671" s="2465"/>
      <c r="U2671" s="2465"/>
      <c r="V2671" s="2465"/>
      <c r="W2671" t="s">
        <v>2062</v>
      </c>
    </row>
    <row r="2672" spans="1:23" ht="13.15" customHeight="1">
      <c r="A2672" s="2" t="s">
        <v>2216</v>
      </c>
      <c r="B2672" s="2">
        <f t="shared" si="82"/>
        <v>2020</v>
      </c>
      <c r="C2672" s="2" t="str">
        <f t="shared" si="83"/>
        <v>LIM333</v>
      </c>
      <c r="D2672" s="2">
        <v>54</v>
      </c>
      <c r="F2672" s="2465"/>
      <c r="G2672" s="2465"/>
      <c r="H2672" s="2465"/>
      <c r="I2672" s="2465"/>
      <c r="J2672" s="2465"/>
      <c r="K2672" s="2465"/>
      <c r="L2672" s="2465"/>
      <c r="M2672" s="2465"/>
      <c r="N2672" s="2465"/>
      <c r="O2672" s="2465"/>
      <c r="P2672" s="2465"/>
      <c r="Q2672" s="2465"/>
      <c r="R2672" s="2465"/>
      <c r="S2672" s="2465"/>
      <c r="T2672" s="2465"/>
      <c r="U2672" s="2465"/>
      <c r="V2672" s="2465"/>
      <c r="W2672" t="s">
        <v>2062</v>
      </c>
    </row>
    <row r="2673" spans="1:23" ht="13.15" customHeight="1">
      <c r="A2673" s="2" t="s">
        <v>2216</v>
      </c>
      <c r="B2673" s="2">
        <f t="shared" si="82"/>
        <v>2020</v>
      </c>
      <c r="C2673" s="2" t="str">
        <f t="shared" si="83"/>
        <v>LIM333</v>
      </c>
      <c r="D2673" s="2">
        <v>55</v>
      </c>
      <c r="F2673" s="2465"/>
      <c r="G2673" s="2465"/>
      <c r="H2673" s="2465"/>
      <c r="I2673" s="2465"/>
      <c r="J2673" s="2465"/>
      <c r="K2673" s="2465"/>
      <c r="L2673" s="2465"/>
      <c r="M2673" s="2465"/>
      <c r="N2673" s="2465"/>
      <c r="O2673" s="2465"/>
      <c r="P2673" s="2465"/>
      <c r="Q2673" s="2465"/>
      <c r="R2673" s="2465"/>
      <c r="S2673" s="2465"/>
      <c r="T2673" s="2465"/>
      <c r="U2673" s="2465"/>
      <c r="V2673" s="2465"/>
      <c r="W2673" t="s">
        <v>2062</v>
      </c>
    </row>
    <row r="2674" spans="1:23" ht="13.15" customHeight="1">
      <c r="A2674" s="2" t="s">
        <v>2216</v>
      </c>
      <c r="B2674" s="2">
        <f t="shared" si="82"/>
        <v>2020</v>
      </c>
      <c r="C2674" s="2" t="str">
        <f t="shared" si="83"/>
        <v>LIM333</v>
      </c>
      <c r="D2674" s="2">
        <v>56</v>
      </c>
      <c r="F2674" s="2465"/>
      <c r="G2674" s="2465"/>
      <c r="H2674" s="2465"/>
      <c r="I2674" s="2465"/>
      <c r="J2674" s="2465"/>
      <c r="K2674" s="2465"/>
      <c r="L2674" s="2465"/>
      <c r="M2674" s="2465"/>
      <c r="N2674" s="2465"/>
      <c r="O2674" s="2465"/>
      <c r="P2674" s="2465"/>
      <c r="Q2674" s="2465"/>
      <c r="R2674" s="2465"/>
      <c r="S2674" s="2465"/>
      <c r="T2674" s="2465"/>
      <c r="U2674" s="2465"/>
      <c r="V2674" s="2465"/>
      <c r="W2674" t="s">
        <v>2062</v>
      </c>
    </row>
    <row r="2675" spans="1:23" ht="13.15" customHeight="1">
      <c r="A2675" s="2" t="s">
        <v>2216</v>
      </c>
      <c r="B2675" s="2">
        <f t="shared" si="82"/>
        <v>2020</v>
      </c>
      <c r="C2675" s="2" t="str">
        <f t="shared" si="83"/>
        <v>LIM333</v>
      </c>
      <c r="D2675" s="2">
        <v>57</v>
      </c>
      <c r="F2675" s="2465"/>
      <c r="G2675" s="2465"/>
      <c r="H2675" s="2465"/>
      <c r="I2675" s="2465"/>
      <c r="J2675" s="2465"/>
      <c r="K2675" s="2465"/>
      <c r="L2675" s="2465"/>
      <c r="M2675" s="2465"/>
      <c r="N2675" s="2465"/>
      <c r="O2675" s="2465"/>
      <c r="P2675" s="2465"/>
      <c r="Q2675" s="2465"/>
      <c r="R2675" s="2465"/>
      <c r="S2675" s="2465"/>
      <c r="T2675" s="2465"/>
      <c r="U2675" s="2465"/>
      <c r="V2675" s="2465"/>
      <c r="W2675" t="s">
        <v>2062</v>
      </c>
    </row>
    <row r="2676" spans="1:23" ht="13.15" customHeight="1">
      <c r="A2676" s="2" t="s">
        <v>2216</v>
      </c>
      <c r="B2676" s="2">
        <f t="shared" si="82"/>
        <v>2020</v>
      </c>
      <c r="C2676" s="2" t="str">
        <f t="shared" si="83"/>
        <v>LIM333</v>
      </c>
      <c r="D2676" s="2">
        <v>58</v>
      </c>
      <c r="F2676" s="2465"/>
      <c r="G2676" s="2465"/>
      <c r="H2676" s="2465"/>
      <c r="I2676" s="2465"/>
      <c r="J2676" s="2465"/>
      <c r="K2676" s="2465"/>
      <c r="L2676" s="2465"/>
      <c r="M2676" s="2465"/>
      <c r="N2676" s="2465"/>
      <c r="O2676" s="2465"/>
      <c r="P2676" s="2465"/>
      <c r="Q2676" s="2465"/>
      <c r="R2676" s="2465"/>
      <c r="S2676" s="2465"/>
      <c r="T2676" s="2465"/>
      <c r="U2676" s="2465"/>
      <c r="V2676" s="2465"/>
      <c r="W2676" t="s">
        <v>2062</v>
      </c>
    </row>
    <row r="2677" spans="1:23" ht="13.15" customHeight="1">
      <c r="A2677" s="2" t="s">
        <v>2216</v>
      </c>
      <c r="B2677" s="2">
        <f t="shared" si="82"/>
        <v>2020</v>
      </c>
      <c r="C2677" s="2" t="str">
        <f t="shared" si="83"/>
        <v>LIM333</v>
      </c>
      <c r="D2677" s="2">
        <v>59</v>
      </c>
      <c r="F2677" s="2465"/>
      <c r="G2677" s="2465"/>
      <c r="H2677" s="2465"/>
      <c r="I2677" s="2465"/>
      <c r="J2677" s="2465"/>
      <c r="K2677" s="2465"/>
      <c r="L2677" s="2465"/>
      <c r="M2677" s="2465"/>
      <c r="N2677" s="2465"/>
      <c r="O2677" s="2465"/>
      <c r="P2677" s="2465"/>
      <c r="Q2677" s="2465"/>
      <c r="R2677" s="2465"/>
      <c r="S2677" s="2465"/>
      <c r="T2677" s="2465"/>
      <c r="U2677" s="2465"/>
      <c r="V2677" s="2465"/>
      <c r="W2677" t="s">
        <v>2062</v>
      </c>
    </row>
    <row r="2678" spans="1:23" ht="13.15" customHeight="1">
      <c r="A2678" s="2" t="s">
        <v>2216</v>
      </c>
      <c r="B2678" s="2">
        <f t="shared" si="82"/>
        <v>2020</v>
      </c>
      <c r="C2678" s="2" t="str">
        <f t="shared" si="83"/>
        <v>LIM333</v>
      </c>
      <c r="D2678" s="2">
        <v>60</v>
      </c>
      <c r="F2678" s="2465"/>
      <c r="G2678" s="2465"/>
      <c r="H2678" s="2465"/>
      <c r="I2678" s="2465"/>
      <c r="J2678" s="2465"/>
      <c r="K2678" s="2465"/>
      <c r="L2678" s="2465"/>
      <c r="M2678" s="2465"/>
      <c r="N2678" s="2465"/>
      <c r="O2678" s="2465"/>
      <c r="P2678" s="2465"/>
      <c r="Q2678" s="2465"/>
      <c r="R2678" s="2465"/>
      <c r="S2678" s="2465"/>
      <c r="T2678" s="2465"/>
      <c r="U2678" s="2465"/>
      <c r="V2678" s="2465"/>
      <c r="W2678" t="s">
        <v>2062</v>
      </c>
    </row>
    <row r="2679" spans="1:23" ht="13.15" customHeight="1">
      <c r="A2679" s="2" t="s">
        <v>2216</v>
      </c>
      <c r="B2679" s="2">
        <f t="shared" si="82"/>
        <v>2020</v>
      </c>
      <c r="C2679" s="2" t="str">
        <f t="shared" si="83"/>
        <v>LIM333</v>
      </c>
      <c r="D2679" s="2">
        <v>61</v>
      </c>
      <c r="F2679" s="2465"/>
      <c r="G2679" s="2465"/>
      <c r="H2679" s="2465"/>
      <c r="I2679" s="2465"/>
      <c r="J2679" s="2465"/>
      <c r="K2679" s="2465"/>
      <c r="L2679" s="2465"/>
      <c r="M2679" s="2465"/>
      <c r="N2679" s="2465"/>
      <c r="O2679" s="2465"/>
      <c r="P2679" s="2465"/>
      <c r="Q2679" s="2465"/>
      <c r="R2679" s="2465"/>
      <c r="S2679" s="2465"/>
      <c r="T2679" s="2465"/>
      <c r="U2679" s="2465"/>
      <c r="V2679" s="2465"/>
      <c r="W2679" t="s">
        <v>2062</v>
      </c>
    </row>
    <row r="2680" spans="1:23" ht="13.15" customHeight="1">
      <c r="A2680" s="2" t="s">
        <v>2216</v>
      </c>
      <c r="B2680" s="2">
        <f t="shared" si="82"/>
        <v>2020</v>
      </c>
      <c r="C2680" s="2" t="str">
        <f t="shared" si="83"/>
        <v>LIM333</v>
      </c>
      <c r="D2680" s="2">
        <v>62</v>
      </c>
      <c r="F2680" s="2465"/>
      <c r="G2680" s="2465"/>
      <c r="H2680" s="2465"/>
      <c r="I2680" s="2465"/>
      <c r="J2680" s="2465"/>
      <c r="K2680" s="2465"/>
      <c r="L2680" s="2465"/>
      <c r="M2680" s="2465"/>
      <c r="N2680" s="2465"/>
      <c r="O2680" s="2465"/>
      <c r="P2680" s="2465"/>
      <c r="Q2680" s="2465"/>
      <c r="R2680" s="2465"/>
      <c r="S2680" s="2465"/>
      <c r="T2680" s="2465"/>
      <c r="U2680" s="2465"/>
      <c r="V2680" s="2465"/>
      <c r="W2680" t="s">
        <v>2062</v>
      </c>
    </row>
    <row r="2681" spans="1:23" ht="13.15" customHeight="1">
      <c r="A2681" s="2" t="s">
        <v>2216</v>
      </c>
      <c r="B2681" s="2">
        <f t="shared" si="82"/>
        <v>2020</v>
      </c>
      <c r="C2681" s="2" t="str">
        <f t="shared" si="83"/>
        <v>LIM333</v>
      </c>
      <c r="D2681" s="2">
        <v>63</v>
      </c>
      <c r="F2681" s="2465"/>
      <c r="G2681" s="2465"/>
      <c r="H2681" s="2465"/>
      <c r="I2681" s="2465"/>
      <c r="J2681" s="2465"/>
      <c r="K2681" s="2465"/>
      <c r="L2681" s="2465"/>
      <c r="M2681" s="2465"/>
      <c r="N2681" s="2465"/>
      <c r="O2681" s="2465"/>
      <c r="P2681" s="2465"/>
      <c r="Q2681" s="2465"/>
      <c r="R2681" s="2465"/>
      <c r="S2681" s="2465"/>
      <c r="T2681" s="2465"/>
      <c r="U2681" s="2465"/>
      <c r="V2681" s="2465"/>
      <c r="W2681" t="s">
        <v>2062</v>
      </c>
    </row>
    <row r="2682" spans="1:23" ht="13.15" customHeight="1">
      <c r="A2682" s="2" t="s">
        <v>2216</v>
      </c>
      <c r="B2682" s="2">
        <f t="shared" si="82"/>
        <v>2020</v>
      </c>
      <c r="C2682" s="2" t="str">
        <f t="shared" si="83"/>
        <v>LIM333</v>
      </c>
      <c r="D2682" s="2">
        <v>64</v>
      </c>
      <c r="F2682" s="2465"/>
      <c r="G2682" s="2465"/>
      <c r="H2682" s="2465"/>
      <c r="I2682" s="2465"/>
      <c r="J2682" s="2465"/>
      <c r="K2682" s="2465"/>
      <c r="L2682" s="2465"/>
      <c r="M2682" s="2465"/>
      <c r="N2682" s="2465"/>
      <c r="O2682" s="2465"/>
      <c r="P2682" s="2465"/>
      <c r="Q2682" s="2465"/>
      <c r="R2682" s="2465"/>
      <c r="S2682" s="2465"/>
      <c r="T2682" s="2465"/>
      <c r="U2682" s="2465"/>
      <c r="V2682" s="2465"/>
      <c r="W2682" t="s">
        <v>2062</v>
      </c>
    </row>
    <row r="2683" spans="1:23" ht="13.15" customHeight="1">
      <c r="A2683" s="2" t="s">
        <v>2216</v>
      </c>
      <c r="B2683" s="2">
        <f t="shared" si="82"/>
        <v>2020</v>
      </c>
      <c r="C2683" s="2" t="str">
        <f t="shared" si="83"/>
        <v>LIM333</v>
      </c>
      <c r="D2683" s="2">
        <v>65</v>
      </c>
      <c r="F2683" s="2465"/>
      <c r="G2683" s="2465"/>
      <c r="H2683" s="2465"/>
      <c r="I2683" s="2465"/>
      <c r="J2683" s="2465"/>
      <c r="K2683" s="2465"/>
      <c r="L2683" s="2465"/>
      <c r="M2683" s="2465"/>
      <c r="N2683" s="2465"/>
      <c r="O2683" s="2465"/>
      <c r="P2683" s="2465"/>
      <c r="Q2683" s="2465"/>
      <c r="R2683" s="2465"/>
      <c r="S2683" s="2465"/>
      <c r="T2683" s="2465"/>
      <c r="U2683" s="2465"/>
      <c r="V2683" s="2465"/>
      <c r="W2683" t="s">
        <v>2062</v>
      </c>
    </row>
    <row r="2684" spans="1:23" ht="13.15" customHeight="1">
      <c r="A2684" s="2" t="s">
        <v>2216</v>
      </c>
      <c r="B2684" s="2">
        <f t="shared" si="82"/>
        <v>2020</v>
      </c>
      <c r="C2684" s="2" t="str">
        <f t="shared" si="83"/>
        <v>LIM333</v>
      </c>
      <c r="D2684" s="2">
        <v>66</v>
      </c>
      <c r="F2684" s="2465"/>
      <c r="G2684" s="2465"/>
      <c r="H2684" s="2465"/>
      <c r="I2684" s="2465"/>
      <c r="J2684" s="2465"/>
      <c r="K2684" s="2465"/>
      <c r="L2684" s="2465"/>
      <c r="M2684" s="2465"/>
      <c r="N2684" s="2465"/>
      <c r="O2684" s="2465"/>
      <c r="P2684" s="2465"/>
      <c r="Q2684" s="2465"/>
      <c r="R2684" s="2465"/>
      <c r="S2684" s="2465"/>
      <c r="T2684" s="2465"/>
      <c r="U2684" s="2465"/>
      <c r="V2684" s="2465"/>
      <c r="W2684" t="s">
        <v>2062</v>
      </c>
    </row>
    <row r="2685" spans="1:23" ht="13.15" customHeight="1">
      <c r="A2685" s="2" t="s">
        <v>2216</v>
      </c>
      <c r="B2685" s="2">
        <f t="shared" si="82"/>
        <v>2020</v>
      </c>
      <c r="C2685" s="2" t="str">
        <f t="shared" si="83"/>
        <v>LIM333</v>
      </c>
      <c r="D2685" s="2">
        <v>67</v>
      </c>
      <c r="F2685" s="2465"/>
      <c r="G2685" s="2465"/>
      <c r="H2685" s="2465"/>
      <c r="I2685" s="2465"/>
      <c r="J2685" s="2465"/>
      <c r="K2685" s="2465"/>
      <c r="L2685" s="2465"/>
      <c r="M2685" s="2465"/>
      <c r="N2685" s="2465"/>
      <c r="O2685" s="2465"/>
      <c r="P2685" s="2465"/>
      <c r="Q2685" s="2465"/>
      <c r="R2685" s="2465"/>
      <c r="S2685" s="2465"/>
      <c r="T2685" s="2465"/>
      <c r="U2685" s="2465"/>
      <c r="V2685" s="2465"/>
      <c r="W2685" t="s">
        <v>2062</v>
      </c>
    </row>
    <row r="2686" spans="1:23" ht="13.15" customHeight="1">
      <c r="A2686" s="2" t="s">
        <v>2216</v>
      </c>
      <c r="B2686" s="2">
        <f t="shared" si="82"/>
        <v>2020</v>
      </c>
      <c r="C2686" s="2" t="str">
        <f t="shared" si="83"/>
        <v>LIM333</v>
      </c>
      <c r="D2686" s="2">
        <v>68</v>
      </c>
      <c r="F2686" s="2465"/>
      <c r="G2686" s="2465"/>
      <c r="H2686" s="2465"/>
      <c r="I2686" s="2465"/>
      <c r="J2686" s="2465"/>
      <c r="K2686" s="2465"/>
      <c r="L2686" s="2465"/>
      <c r="M2686" s="2465"/>
      <c r="N2686" s="2465"/>
      <c r="O2686" s="2465"/>
      <c r="P2686" s="2465"/>
      <c r="Q2686" s="2465"/>
      <c r="R2686" s="2465"/>
      <c r="S2686" s="2465"/>
      <c r="T2686" s="2465"/>
      <c r="U2686" s="2465"/>
      <c r="V2686" s="2465"/>
      <c r="W2686" t="s">
        <v>2062</v>
      </c>
    </row>
    <row r="2687" spans="1:23" ht="13.15" customHeight="1">
      <c r="A2687" s="2" t="s">
        <v>2216</v>
      </c>
      <c r="B2687" s="2">
        <f t="shared" si="82"/>
        <v>2020</v>
      </c>
      <c r="C2687" s="2" t="str">
        <f t="shared" si="83"/>
        <v>LIM333</v>
      </c>
      <c r="D2687" s="2">
        <v>69</v>
      </c>
      <c r="F2687" s="2465"/>
      <c r="G2687" s="2465"/>
      <c r="H2687" s="2465"/>
      <c r="I2687" s="2465"/>
      <c r="J2687" s="2465"/>
      <c r="K2687" s="2465"/>
      <c r="L2687" s="2465"/>
      <c r="M2687" s="2465"/>
      <c r="N2687" s="2465"/>
      <c r="O2687" s="2465"/>
      <c r="P2687" s="2465"/>
      <c r="Q2687" s="2465"/>
      <c r="R2687" s="2465"/>
      <c r="S2687" s="2465"/>
      <c r="T2687" s="2465"/>
      <c r="U2687" s="2465"/>
      <c r="V2687" s="2465"/>
      <c r="W2687" t="s">
        <v>2062</v>
      </c>
    </row>
    <row r="2688" spans="1:23" ht="13.15" customHeight="1">
      <c r="A2688" s="2" t="s">
        <v>2216</v>
      </c>
      <c r="B2688" s="2">
        <f t="shared" si="82"/>
        <v>2020</v>
      </c>
      <c r="C2688" s="2" t="str">
        <f t="shared" si="83"/>
        <v>LIM333</v>
      </c>
      <c r="D2688" s="2">
        <v>70</v>
      </c>
      <c r="F2688" s="2465"/>
      <c r="G2688" s="2465"/>
      <c r="H2688" s="2465"/>
      <c r="I2688" s="2465"/>
      <c r="J2688" s="2465"/>
      <c r="K2688" s="2465"/>
      <c r="L2688" s="2465"/>
      <c r="M2688" s="2465"/>
      <c r="N2688" s="2465"/>
      <c r="O2688" s="2465"/>
      <c r="P2688" s="2465"/>
      <c r="Q2688" s="2465"/>
      <c r="R2688" s="2465"/>
      <c r="S2688" s="2465"/>
      <c r="T2688" s="2465"/>
      <c r="U2688" s="2465"/>
      <c r="V2688" s="2465"/>
      <c r="W2688" t="s">
        <v>2062</v>
      </c>
    </row>
    <row r="2689" spans="1:23" ht="13.15" customHeight="1">
      <c r="A2689" s="2" t="s">
        <v>2216</v>
      </c>
      <c r="B2689" s="2">
        <f t="shared" si="82"/>
        <v>2020</v>
      </c>
      <c r="C2689" s="2" t="str">
        <f t="shared" si="83"/>
        <v>LIM333</v>
      </c>
      <c r="D2689" s="2">
        <v>71</v>
      </c>
      <c r="F2689" s="2465"/>
      <c r="G2689" s="2465"/>
      <c r="H2689" s="2465"/>
      <c r="I2689" s="2465"/>
      <c r="J2689" s="2465"/>
      <c r="K2689" s="2465"/>
      <c r="L2689" s="2465"/>
      <c r="M2689" s="2465"/>
      <c r="N2689" s="2465"/>
      <c r="O2689" s="2465"/>
      <c r="P2689" s="2465"/>
      <c r="Q2689" s="2465"/>
      <c r="R2689" s="2465"/>
      <c r="S2689" s="2465"/>
      <c r="T2689" s="2465"/>
      <c r="U2689" s="2465"/>
      <c r="V2689" s="2465"/>
      <c r="W2689" t="s">
        <v>2062</v>
      </c>
    </row>
    <row r="2690" spans="1:23" ht="13.15" customHeight="1">
      <c r="A2690" s="2" t="s">
        <v>2216</v>
      </c>
      <c r="B2690" s="2">
        <f t="shared" ref="B2690:B2791" si="84">+MTREF</f>
        <v>2020</v>
      </c>
      <c r="C2690" s="2" t="str">
        <f t="shared" ref="C2690:C2791" si="85">LEFT(muni,(FIND(" ",muni,1)-1))</f>
        <v>LIM333</v>
      </c>
      <c r="D2690" s="2">
        <v>72</v>
      </c>
      <c r="F2690" s="2465"/>
      <c r="G2690" s="2465"/>
      <c r="H2690" s="2465"/>
      <c r="I2690" s="2465"/>
      <c r="J2690" s="2465"/>
      <c r="K2690" s="2465"/>
      <c r="L2690" s="2465"/>
      <c r="M2690" s="2465"/>
      <c r="N2690" s="2465"/>
      <c r="O2690" s="2465"/>
      <c r="P2690" s="2465"/>
      <c r="Q2690" s="2465"/>
      <c r="R2690" s="2465"/>
      <c r="S2690" s="2465"/>
      <c r="T2690" s="2465"/>
      <c r="U2690" s="2465"/>
      <c r="V2690" s="2465"/>
      <c r="W2690" t="s">
        <v>2062</v>
      </c>
    </row>
    <row r="2691" spans="1:23" ht="13.15" customHeight="1">
      <c r="A2691" s="2" t="s">
        <v>2216</v>
      </c>
      <c r="B2691" s="2">
        <f t="shared" si="84"/>
        <v>2020</v>
      </c>
      <c r="C2691" s="2" t="str">
        <f t="shared" si="85"/>
        <v>LIM333</v>
      </c>
      <c r="D2691" s="2">
        <v>73</v>
      </c>
      <c r="F2691" s="2465"/>
      <c r="G2691" s="2465"/>
      <c r="H2691" s="2465"/>
      <c r="I2691" s="2465"/>
      <c r="J2691" s="2465"/>
      <c r="K2691" s="2465"/>
      <c r="L2691" s="2465"/>
      <c r="M2691" s="2465"/>
      <c r="N2691" s="2465"/>
      <c r="O2691" s="2465"/>
      <c r="P2691" s="2465"/>
      <c r="Q2691" s="2465"/>
      <c r="R2691" s="2465"/>
      <c r="S2691" s="2465"/>
      <c r="T2691" s="2465"/>
      <c r="U2691" s="2465"/>
      <c r="V2691" s="2465"/>
      <c r="W2691" t="s">
        <v>2062</v>
      </c>
    </row>
    <row r="2692" spans="1:23" ht="13.15" customHeight="1">
      <c r="A2692" s="2" t="s">
        <v>2216</v>
      </c>
      <c r="B2692" s="2">
        <f t="shared" si="84"/>
        <v>2020</v>
      </c>
      <c r="C2692" s="2" t="str">
        <f t="shared" si="85"/>
        <v>LIM333</v>
      </c>
      <c r="D2692" s="2">
        <v>74</v>
      </c>
      <c r="F2692" s="2465"/>
      <c r="G2692" s="2465"/>
      <c r="H2692" s="2465"/>
      <c r="I2692" s="2465"/>
      <c r="J2692" s="2465"/>
      <c r="K2692" s="2465"/>
      <c r="L2692" s="2465"/>
      <c r="M2692" s="2465"/>
      <c r="N2692" s="2465"/>
      <c r="O2692" s="2465"/>
      <c r="P2692" s="2465"/>
      <c r="Q2692" s="2465"/>
      <c r="R2692" s="2465"/>
      <c r="S2692" s="2465"/>
      <c r="T2692" s="2465"/>
      <c r="U2692" s="2465"/>
      <c r="V2692" s="2465"/>
      <c r="W2692" t="s">
        <v>2062</v>
      </c>
    </row>
    <row r="2693" spans="1:23" ht="13.15" customHeight="1">
      <c r="A2693" s="2" t="s">
        <v>2216</v>
      </c>
      <c r="B2693" s="2">
        <f t="shared" si="84"/>
        <v>2020</v>
      </c>
      <c r="C2693" s="2" t="str">
        <f t="shared" si="85"/>
        <v>LIM333</v>
      </c>
      <c r="D2693" s="2">
        <v>75</v>
      </c>
      <c r="F2693" s="2465"/>
      <c r="G2693" s="2465"/>
      <c r="H2693" s="2465"/>
      <c r="I2693" s="2465"/>
      <c r="J2693" s="2465"/>
      <c r="K2693" s="2465"/>
      <c r="L2693" s="2465"/>
      <c r="M2693" s="2465"/>
      <c r="N2693" s="2465"/>
      <c r="O2693" s="2465"/>
      <c r="P2693" s="2465"/>
      <c r="Q2693" s="2465"/>
      <c r="R2693" s="2465"/>
      <c r="S2693" s="2465"/>
      <c r="T2693" s="2465"/>
      <c r="U2693" s="2465"/>
      <c r="V2693" s="2465"/>
      <c r="W2693" t="s">
        <v>2062</v>
      </c>
    </row>
    <row r="2694" spans="1:23" ht="13.15" customHeight="1">
      <c r="A2694" s="2" t="s">
        <v>2216</v>
      </c>
      <c r="B2694" s="2">
        <f t="shared" si="84"/>
        <v>2020</v>
      </c>
      <c r="C2694" s="2" t="str">
        <f t="shared" si="85"/>
        <v>LIM333</v>
      </c>
      <c r="D2694" s="2">
        <v>76</v>
      </c>
      <c r="F2694" s="2465"/>
      <c r="G2694" s="2465"/>
      <c r="H2694" s="2465"/>
      <c r="I2694" s="2465"/>
      <c r="J2694" s="2465"/>
      <c r="K2694" s="2465"/>
      <c r="L2694" s="2465"/>
      <c r="M2694" s="2465"/>
      <c r="N2694" s="2465"/>
      <c r="O2694" s="2465"/>
      <c r="P2694" s="2465"/>
      <c r="Q2694" s="2465"/>
      <c r="R2694" s="2465"/>
      <c r="S2694" s="2465"/>
      <c r="T2694" s="2465"/>
      <c r="U2694" s="2465"/>
      <c r="V2694" s="2465"/>
      <c r="W2694" t="s">
        <v>2062</v>
      </c>
    </row>
    <row r="2695" spans="1:23" ht="13.15" customHeight="1">
      <c r="A2695" s="2" t="s">
        <v>2216</v>
      </c>
      <c r="B2695" s="2">
        <f t="shared" si="84"/>
        <v>2020</v>
      </c>
      <c r="C2695" s="2" t="str">
        <f t="shared" si="85"/>
        <v>LIM333</v>
      </c>
      <c r="D2695" s="2">
        <v>77</v>
      </c>
      <c r="F2695" s="2465"/>
      <c r="G2695" s="2465"/>
      <c r="H2695" s="2465"/>
      <c r="I2695" s="2465"/>
      <c r="J2695" s="2465"/>
      <c r="K2695" s="2465"/>
      <c r="L2695" s="2465"/>
      <c r="M2695" s="2465"/>
      <c r="N2695" s="2465"/>
      <c r="O2695" s="2465"/>
      <c r="P2695" s="2465"/>
      <c r="Q2695" s="2465"/>
      <c r="R2695" s="2465"/>
      <c r="S2695" s="2465"/>
      <c r="T2695" s="2465"/>
      <c r="U2695" s="2465"/>
      <c r="V2695" s="2465"/>
      <c r="W2695" t="s">
        <v>2062</v>
      </c>
    </row>
    <row r="2696" spans="1:23" ht="13.15" customHeight="1">
      <c r="A2696" s="2" t="s">
        <v>2216</v>
      </c>
      <c r="B2696" s="2">
        <f t="shared" si="84"/>
        <v>2020</v>
      </c>
      <c r="C2696" s="2" t="str">
        <f t="shared" si="85"/>
        <v>LIM333</v>
      </c>
      <c r="D2696" s="2">
        <v>78</v>
      </c>
      <c r="F2696" s="2465"/>
      <c r="G2696" s="2465"/>
      <c r="H2696" s="2465"/>
      <c r="I2696" s="2465"/>
      <c r="J2696" s="2465"/>
      <c r="K2696" s="2465"/>
      <c r="L2696" s="2465"/>
      <c r="M2696" s="2465"/>
      <c r="N2696" s="2465"/>
      <c r="O2696" s="2465"/>
      <c r="P2696" s="2465"/>
      <c r="Q2696" s="2465"/>
      <c r="R2696" s="2465"/>
      <c r="S2696" s="2465"/>
      <c r="T2696" s="2465"/>
      <c r="U2696" s="2465"/>
      <c r="V2696" s="2465"/>
      <c r="W2696" t="s">
        <v>2062</v>
      </c>
    </row>
    <row r="2697" spans="1:23" ht="13.15" customHeight="1">
      <c r="A2697" s="2" t="s">
        <v>2216</v>
      </c>
      <c r="B2697" s="2">
        <f t="shared" si="84"/>
        <v>2020</v>
      </c>
      <c r="C2697" s="2" t="str">
        <f t="shared" si="85"/>
        <v>LIM333</v>
      </c>
      <c r="D2697" s="2">
        <v>79</v>
      </c>
      <c r="F2697" s="2465"/>
      <c r="G2697" s="2465"/>
      <c r="H2697" s="2465"/>
      <c r="I2697" s="2465"/>
      <c r="J2697" s="2465"/>
      <c r="K2697" s="2465"/>
      <c r="L2697" s="2465"/>
      <c r="M2697" s="2465"/>
      <c r="N2697" s="2465"/>
      <c r="O2697" s="2465"/>
      <c r="P2697" s="2465"/>
      <c r="Q2697" s="2465"/>
      <c r="R2697" s="2465"/>
      <c r="S2697" s="2465"/>
      <c r="T2697" s="2465"/>
      <c r="U2697" s="2465"/>
      <c r="V2697" s="2465"/>
      <c r="W2697" t="s">
        <v>2062</v>
      </c>
    </row>
    <row r="2698" spans="1:23" ht="13.15" customHeight="1">
      <c r="A2698" s="2" t="s">
        <v>2216</v>
      </c>
      <c r="B2698" s="2">
        <f t="shared" si="84"/>
        <v>2020</v>
      </c>
      <c r="C2698" s="2" t="str">
        <f t="shared" si="85"/>
        <v>LIM333</v>
      </c>
      <c r="D2698" s="2">
        <v>80</v>
      </c>
      <c r="F2698" s="2465"/>
      <c r="G2698" s="2465"/>
      <c r="H2698" s="2465"/>
      <c r="I2698" s="2465"/>
      <c r="J2698" s="2465"/>
      <c r="K2698" s="2465"/>
      <c r="L2698" s="2465"/>
      <c r="M2698" s="2465"/>
      <c r="N2698" s="2465"/>
      <c r="O2698" s="2465"/>
      <c r="P2698" s="2465"/>
      <c r="Q2698" s="2465"/>
      <c r="R2698" s="2465"/>
      <c r="S2698" s="2465"/>
      <c r="T2698" s="2465"/>
      <c r="U2698" s="2465"/>
      <c r="V2698" s="2465"/>
      <c r="W2698" t="s">
        <v>2062</v>
      </c>
    </row>
    <row r="2699" spans="1:23" ht="13.15" customHeight="1">
      <c r="A2699" s="2" t="s">
        <v>2216</v>
      </c>
      <c r="B2699" s="2">
        <f t="shared" si="84"/>
        <v>2020</v>
      </c>
      <c r="C2699" s="2" t="str">
        <f t="shared" si="85"/>
        <v>LIM333</v>
      </c>
      <c r="D2699" s="2">
        <v>81</v>
      </c>
      <c r="F2699" s="2465"/>
      <c r="G2699" s="2465"/>
      <c r="H2699" s="2465"/>
      <c r="I2699" s="2465"/>
      <c r="J2699" s="2465"/>
      <c r="K2699" s="2465"/>
      <c r="L2699" s="2465"/>
      <c r="M2699" s="2465"/>
      <c r="N2699" s="2465"/>
      <c r="O2699" s="2465"/>
      <c r="P2699" s="2465"/>
      <c r="Q2699" s="2465"/>
      <c r="R2699" s="2465"/>
      <c r="S2699" s="2465"/>
      <c r="T2699" s="2465"/>
      <c r="U2699" s="2465"/>
      <c r="V2699" s="2465"/>
      <c r="W2699" t="s">
        <v>2062</v>
      </c>
    </row>
    <row r="2700" spans="1:23" ht="13.15" customHeight="1">
      <c r="A2700" s="2" t="s">
        <v>2216</v>
      </c>
      <c r="B2700" s="2">
        <f t="shared" si="84"/>
        <v>2020</v>
      </c>
      <c r="C2700" s="2" t="str">
        <f t="shared" si="85"/>
        <v>LIM333</v>
      </c>
      <c r="D2700" s="2">
        <v>82</v>
      </c>
      <c r="F2700" s="2465"/>
      <c r="G2700" s="2465"/>
      <c r="H2700" s="2465"/>
      <c r="I2700" s="2465"/>
      <c r="J2700" s="2465"/>
      <c r="K2700" s="2465"/>
      <c r="L2700" s="2465"/>
      <c r="M2700" s="2465"/>
      <c r="N2700" s="2465"/>
      <c r="O2700" s="2465"/>
      <c r="P2700" s="2465"/>
      <c r="Q2700" s="2465"/>
      <c r="R2700" s="2465"/>
      <c r="S2700" s="2465"/>
      <c r="T2700" s="2465"/>
      <c r="U2700" s="2465"/>
      <c r="V2700" s="2465"/>
      <c r="W2700" t="s">
        <v>2062</v>
      </c>
    </row>
    <row r="2701" spans="1:23" ht="13.15" customHeight="1">
      <c r="A2701" s="2" t="s">
        <v>2216</v>
      </c>
      <c r="B2701" s="2">
        <f t="shared" si="84"/>
        <v>2020</v>
      </c>
      <c r="C2701" s="2" t="str">
        <f t="shared" si="85"/>
        <v>LIM333</v>
      </c>
      <c r="D2701" s="2">
        <v>83</v>
      </c>
      <c r="F2701" s="2465"/>
      <c r="G2701" s="2465"/>
      <c r="H2701" s="2465"/>
      <c r="I2701" s="2465"/>
      <c r="J2701" s="2465"/>
      <c r="K2701" s="2465"/>
      <c r="L2701" s="2465"/>
      <c r="M2701" s="2465"/>
      <c r="N2701" s="2465"/>
      <c r="O2701" s="2465"/>
      <c r="P2701" s="2465"/>
      <c r="Q2701" s="2465"/>
      <c r="R2701" s="2465"/>
      <c r="S2701" s="2465"/>
      <c r="T2701" s="2465"/>
      <c r="U2701" s="2465"/>
      <c r="V2701" s="2465"/>
      <c r="W2701" t="s">
        <v>2062</v>
      </c>
    </row>
    <row r="2702" spans="1:23" ht="13.15" customHeight="1">
      <c r="A2702" s="2" t="s">
        <v>2216</v>
      </c>
      <c r="B2702" s="2">
        <f t="shared" si="84"/>
        <v>2020</v>
      </c>
      <c r="C2702" s="2" t="str">
        <f t="shared" si="85"/>
        <v>LIM333</v>
      </c>
      <c r="D2702" s="2">
        <v>84</v>
      </c>
      <c r="F2702" s="2465"/>
      <c r="G2702" s="2465"/>
      <c r="H2702" s="2465"/>
      <c r="I2702" s="2465"/>
      <c r="J2702" s="2465"/>
      <c r="K2702" s="2465"/>
      <c r="L2702" s="2465"/>
      <c r="M2702" s="2465"/>
      <c r="N2702" s="2465"/>
      <c r="O2702" s="2465"/>
      <c r="P2702" s="2465"/>
      <c r="Q2702" s="2465"/>
      <c r="R2702" s="2465"/>
      <c r="S2702" s="2465"/>
      <c r="T2702" s="2465"/>
      <c r="U2702" s="2465"/>
      <c r="V2702" s="2465"/>
      <c r="W2702" t="s">
        <v>2062</v>
      </c>
    </row>
    <row r="2703" spans="1:23" ht="13.15" customHeight="1">
      <c r="A2703" s="2" t="s">
        <v>2216</v>
      </c>
      <c r="B2703" s="2">
        <f t="shared" si="84"/>
        <v>2020</v>
      </c>
      <c r="C2703" s="2" t="str">
        <f t="shared" si="85"/>
        <v>LIM333</v>
      </c>
      <c r="D2703" s="2">
        <v>85</v>
      </c>
      <c r="F2703" s="2465"/>
      <c r="G2703" s="2465"/>
      <c r="H2703" s="2465"/>
      <c r="I2703" s="2465"/>
      <c r="J2703" s="2465"/>
      <c r="K2703" s="2465"/>
      <c r="L2703" s="2465"/>
      <c r="M2703" s="2465"/>
      <c r="N2703" s="2465"/>
      <c r="O2703" s="2465"/>
      <c r="P2703" s="2465"/>
      <c r="Q2703" s="2465"/>
      <c r="R2703" s="2465"/>
      <c r="S2703" s="2465"/>
      <c r="T2703" s="2465"/>
      <c r="U2703" s="2465"/>
      <c r="V2703" s="2465"/>
      <c r="W2703" t="s">
        <v>2062</v>
      </c>
    </row>
    <row r="2704" spans="1:23" ht="13.15" customHeight="1">
      <c r="A2704" s="2" t="s">
        <v>2216</v>
      </c>
      <c r="B2704" s="2">
        <f t="shared" si="84"/>
        <v>2020</v>
      </c>
      <c r="C2704" s="2" t="str">
        <f t="shared" si="85"/>
        <v>LIM333</v>
      </c>
      <c r="D2704" s="2">
        <v>86</v>
      </c>
      <c r="F2704" s="2465"/>
      <c r="G2704" s="2465"/>
      <c r="H2704" s="2465"/>
      <c r="I2704" s="2465"/>
      <c r="J2704" s="2465"/>
      <c r="K2704" s="2465"/>
      <c r="L2704" s="2465"/>
      <c r="M2704" s="2465"/>
      <c r="N2704" s="2465"/>
      <c r="O2704" s="2465"/>
      <c r="P2704" s="2465"/>
      <c r="Q2704" s="2465"/>
      <c r="R2704" s="2465"/>
      <c r="S2704" s="2465"/>
      <c r="T2704" s="2465"/>
      <c r="U2704" s="2465"/>
      <c r="V2704" s="2465"/>
      <c r="W2704" t="s">
        <v>2062</v>
      </c>
    </row>
    <row r="2705" spans="1:23" ht="13.15" customHeight="1">
      <c r="A2705" s="2" t="s">
        <v>2216</v>
      </c>
      <c r="B2705" s="2">
        <f t="shared" si="84"/>
        <v>2020</v>
      </c>
      <c r="C2705" s="2" t="str">
        <f t="shared" si="85"/>
        <v>LIM333</v>
      </c>
      <c r="D2705" s="2">
        <v>87</v>
      </c>
      <c r="F2705" s="2465"/>
      <c r="G2705" s="2465"/>
      <c r="H2705" s="2465"/>
      <c r="I2705" s="2465"/>
      <c r="J2705" s="2465"/>
      <c r="K2705" s="2465"/>
      <c r="L2705" s="2465"/>
      <c r="M2705" s="2465"/>
      <c r="N2705" s="2465"/>
      <c r="O2705" s="2465"/>
      <c r="P2705" s="2465"/>
      <c r="Q2705" s="2465"/>
      <c r="R2705" s="2465"/>
      <c r="S2705" s="2465"/>
      <c r="T2705" s="2465"/>
      <c r="U2705" s="2465"/>
      <c r="V2705" s="2465"/>
      <c r="W2705" t="s">
        <v>2062</v>
      </c>
    </row>
    <row r="2706" spans="1:23" ht="13.15" customHeight="1">
      <c r="A2706" s="2" t="s">
        <v>2216</v>
      </c>
      <c r="B2706" s="2">
        <f t="shared" si="84"/>
        <v>2020</v>
      </c>
      <c r="C2706" s="2" t="str">
        <f t="shared" si="85"/>
        <v>LIM333</v>
      </c>
      <c r="D2706" s="2">
        <v>88</v>
      </c>
      <c r="F2706" s="2465"/>
      <c r="G2706" s="2465"/>
      <c r="H2706" s="2465"/>
      <c r="I2706" s="2465"/>
      <c r="J2706" s="2465"/>
      <c r="K2706" s="2465"/>
      <c r="L2706" s="2465"/>
      <c r="M2706" s="2465"/>
      <c r="N2706" s="2465"/>
      <c r="O2706" s="2465"/>
      <c r="P2706" s="2465"/>
      <c r="Q2706" s="2465"/>
      <c r="R2706" s="2465"/>
      <c r="S2706" s="2465"/>
      <c r="T2706" s="2465"/>
      <c r="U2706" s="2465"/>
      <c r="V2706" s="2465"/>
      <c r="W2706" t="s">
        <v>2062</v>
      </c>
    </row>
    <row r="2707" spans="1:23" ht="13.15" customHeight="1">
      <c r="A2707" s="2" t="s">
        <v>2216</v>
      </c>
      <c r="B2707" s="2">
        <f t="shared" si="84"/>
        <v>2020</v>
      </c>
      <c r="C2707" s="2" t="str">
        <f t="shared" si="85"/>
        <v>LIM333</v>
      </c>
      <c r="D2707" s="2">
        <v>89</v>
      </c>
      <c r="F2707" s="2465"/>
      <c r="G2707" s="2465"/>
      <c r="H2707" s="2465"/>
      <c r="I2707" s="2465"/>
      <c r="J2707" s="2465"/>
      <c r="K2707" s="2465"/>
      <c r="L2707" s="2465"/>
      <c r="M2707" s="2465"/>
      <c r="N2707" s="2465"/>
      <c r="O2707" s="2465"/>
      <c r="P2707" s="2465"/>
      <c r="Q2707" s="2465"/>
      <c r="R2707" s="2465"/>
      <c r="S2707" s="2465"/>
      <c r="T2707" s="2465"/>
      <c r="U2707" s="2465"/>
      <c r="V2707" s="2465"/>
      <c r="W2707" t="s">
        <v>2062</v>
      </c>
    </row>
    <row r="2708" spans="1:23" ht="13.15" customHeight="1">
      <c r="A2708" s="2" t="s">
        <v>2216</v>
      </c>
      <c r="B2708" s="2">
        <f t="shared" si="84"/>
        <v>2020</v>
      </c>
      <c r="C2708" s="2" t="str">
        <f t="shared" si="85"/>
        <v>LIM333</v>
      </c>
      <c r="D2708" s="2">
        <v>90</v>
      </c>
      <c r="F2708" s="2465"/>
      <c r="G2708" s="2465"/>
      <c r="H2708" s="2465"/>
      <c r="I2708" s="2465"/>
      <c r="J2708" s="2465"/>
      <c r="K2708" s="2465"/>
      <c r="L2708" s="2465"/>
      <c r="M2708" s="2465"/>
      <c r="N2708" s="2465"/>
      <c r="O2708" s="2465"/>
      <c r="P2708" s="2465"/>
      <c r="Q2708" s="2465"/>
      <c r="R2708" s="2465"/>
      <c r="S2708" s="2465"/>
      <c r="T2708" s="2465"/>
      <c r="U2708" s="2465"/>
      <c r="V2708" s="2465"/>
      <c r="W2708" t="s">
        <v>2062</v>
      </c>
    </row>
    <row r="2709" spans="1:23" ht="13.15" customHeight="1">
      <c r="A2709" s="2" t="s">
        <v>2216</v>
      </c>
      <c r="B2709" s="2">
        <f t="shared" si="84"/>
        <v>2020</v>
      </c>
      <c r="C2709" s="2" t="str">
        <f t="shared" si="85"/>
        <v>LIM333</v>
      </c>
      <c r="D2709" s="2">
        <v>91</v>
      </c>
      <c r="F2709" s="2465"/>
      <c r="G2709" s="2465"/>
      <c r="H2709" s="2465"/>
      <c r="I2709" s="2465"/>
      <c r="J2709" s="2465"/>
      <c r="K2709" s="2465"/>
      <c r="L2709" s="2465"/>
      <c r="M2709" s="2465"/>
      <c r="N2709" s="2465"/>
      <c r="O2709" s="2465"/>
      <c r="P2709" s="2465"/>
      <c r="Q2709" s="2465"/>
      <c r="R2709" s="2465"/>
      <c r="S2709" s="2465"/>
      <c r="T2709" s="2465"/>
      <c r="U2709" s="2465"/>
      <c r="V2709" s="2465"/>
      <c r="W2709" t="s">
        <v>2062</v>
      </c>
    </row>
    <row r="2710" spans="1:23" ht="13.15" customHeight="1">
      <c r="A2710" s="2" t="s">
        <v>2216</v>
      </c>
      <c r="B2710" s="2">
        <f t="shared" si="84"/>
        <v>2020</v>
      </c>
      <c r="C2710" s="2" t="str">
        <f t="shared" si="85"/>
        <v>LIM333</v>
      </c>
      <c r="D2710" s="2">
        <v>92</v>
      </c>
      <c r="F2710" s="2465"/>
      <c r="G2710" s="2465"/>
      <c r="H2710" s="2465"/>
      <c r="I2710" s="2465"/>
      <c r="J2710" s="2465"/>
      <c r="K2710" s="2465"/>
      <c r="L2710" s="2465"/>
      <c r="M2710" s="2465"/>
      <c r="N2710" s="2465"/>
      <c r="O2710" s="2465"/>
      <c r="P2710" s="2465"/>
      <c r="Q2710" s="2465"/>
      <c r="R2710" s="2465"/>
      <c r="S2710" s="2465"/>
      <c r="T2710" s="2465"/>
      <c r="U2710" s="2465"/>
      <c r="V2710" s="2465"/>
      <c r="W2710" t="s">
        <v>2062</v>
      </c>
    </row>
    <row r="2711" spans="1:23" ht="13.15" customHeight="1">
      <c r="A2711" s="2" t="s">
        <v>2216</v>
      </c>
      <c r="B2711" s="2">
        <f t="shared" si="84"/>
        <v>2020</v>
      </c>
      <c r="C2711" s="2" t="str">
        <f t="shared" si="85"/>
        <v>LIM333</v>
      </c>
      <c r="D2711" s="2">
        <v>93</v>
      </c>
      <c r="F2711" s="2465"/>
      <c r="G2711" s="2465"/>
      <c r="H2711" s="2465"/>
      <c r="I2711" s="2465"/>
      <c r="J2711" s="2465"/>
      <c r="K2711" s="2465"/>
      <c r="L2711" s="2465"/>
      <c r="M2711" s="2465"/>
      <c r="N2711" s="2465"/>
      <c r="O2711" s="2465"/>
      <c r="P2711" s="2465"/>
      <c r="Q2711" s="2465"/>
      <c r="R2711" s="2465"/>
      <c r="S2711" s="2465"/>
      <c r="T2711" s="2465"/>
      <c r="U2711" s="2465"/>
      <c r="V2711" s="2465"/>
      <c r="W2711" t="s">
        <v>2062</v>
      </c>
    </row>
    <row r="2712" spans="1:23" ht="13.15" customHeight="1">
      <c r="A2712" s="2" t="s">
        <v>2216</v>
      </c>
      <c r="B2712" s="2">
        <f t="shared" si="84"/>
        <v>2020</v>
      </c>
      <c r="C2712" s="2" t="str">
        <f t="shared" si="85"/>
        <v>LIM333</v>
      </c>
      <c r="D2712" s="2">
        <v>94</v>
      </c>
      <c r="F2712" s="2465"/>
      <c r="G2712" s="2465"/>
      <c r="H2712" s="2465"/>
      <c r="I2712" s="2465"/>
      <c r="J2712" s="2465"/>
      <c r="K2712" s="2465"/>
      <c r="L2712" s="2465"/>
      <c r="M2712" s="2465"/>
      <c r="N2712" s="2465"/>
      <c r="O2712" s="2465"/>
      <c r="P2712" s="2465"/>
      <c r="Q2712" s="2465"/>
      <c r="R2712" s="2465"/>
      <c r="S2712" s="2465"/>
      <c r="T2712" s="2465"/>
      <c r="U2712" s="2465"/>
      <c r="V2712" s="2465"/>
      <c r="W2712" t="s">
        <v>2062</v>
      </c>
    </row>
    <row r="2713" spans="1:23" ht="13.15" customHeight="1">
      <c r="A2713" s="2" t="s">
        <v>2216</v>
      </c>
      <c r="B2713" s="2">
        <f t="shared" si="84"/>
        <v>2020</v>
      </c>
      <c r="C2713" s="2" t="str">
        <f t="shared" si="85"/>
        <v>LIM333</v>
      </c>
      <c r="D2713" s="2">
        <v>95</v>
      </c>
      <c r="F2713" s="2465"/>
      <c r="G2713" s="2465"/>
      <c r="H2713" s="2465"/>
      <c r="I2713" s="2465"/>
      <c r="J2713" s="2465"/>
      <c r="K2713" s="2465"/>
      <c r="L2713" s="2465"/>
      <c r="M2713" s="2465"/>
      <c r="N2713" s="2465"/>
      <c r="O2713" s="2465"/>
      <c r="P2713" s="2465"/>
      <c r="Q2713" s="2465"/>
      <c r="R2713" s="2465"/>
      <c r="S2713" s="2465"/>
      <c r="T2713" s="2465"/>
      <c r="U2713" s="2465"/>
      <c r="V2713" s="2465"/>
      <c r="W2713" t="s">
        <v>2062</v>
      </c>
    </row>
    <row r="2714" spans="1:23" ht="13.15" customHeight="1">
      <c r="A2714" s="2" t="s">
        <v>2216</v>
      </c>
      <c r="B2714" s="2">
        <f t="shared" si="84"/>
        <v>2020</v>
      </c>
      <c r="C2714" s="2" t="str">
        <f t="shared" si="85"/>
        <v>LIM333</v>
      </c>
      <c r="D2714" s="2">
        <v>96</v>
      </c>
      <c r="F2714" s="2465"/>
      <c r="G2714" s="2465"/>
      <c r="H2714" s="2465"/>
      <c r="I2714" s="2465"/>
      <c r="J2714" s="2465"/>
      <c r="K2714" s="2465"/>
      <c r="L2714" s="2465"/>
      <c r="M2714" s="2465"/>
      <c r="N2714" s="2465"/>
      <c r="O2714" s="2465"/>
      <c r="P2714" s="2465"/>
      <c r="Q2714" s="2465"/>
      <c r="R2714" s="2465"/>
      <c r="S2714" s="2465"/>
      <c r="T2714" s="2465"/>
      <c r="U2714" s="2465"/>
      <c r="V2714" s="2465"/>
      <c r="W2714" t="s">
        <v>2062</v>
      </c>
    </row>
    <row r="2715" spans="1:23" ht="13.15" customHeight="1">
      <c r="A2715" s="2" t="s">
        <v>2216</v>
      </c>
      <c r="B2715" s="2">
        <f t="shared" si="84"/>
        <v>2020</v>
      </c>
      <c r="C2715" s="2" t="str">
        <f t="shared" si="85"/>
        <v>LIM333</v>
      </c>
      <c r="D2715" s="2">
        <v>97</v>
      </c>
      <c r="F2715" s="2465"/>
      <c r="G2715" s="2465"/>
      <c r="H2715" s="2465"/>
      <c r="I2715" s="2465"/>
      <c r="J2715" s="2465"/>
      <c r="K2715" s="2465"/>
      <c r="L2715" s="2465"/>
      <c r="M2715" s="2465"/>
      <c r="N2715" s="2465"/>
      <c r="O2715" s="2465"/>
      <c r="P2715" s="2465"/>
      <c r="Q2715" s="2465"/>
      <c r="R2715" s="2465"/>
      <c r="S2715" s="2465"/>
      <c r="T2715" s="2465"/>
      <c r="U2715" s="2465"/>
      <c r="V2715" s="2465"/>
      <c r="W2715" t="s">
        <v>2062</v>
      </c>
    </row>
    <row r="2716" spans="1:23" ht="13.15" customHeight="1">
      <c r="A2716" s="2" t="s">
        <v>2216</v>
      </c>
      <c r="B2716" s="2">
        <f t="shared" si="84"/>
        <v>2020</v>
      </c>
      <c r="C2716" s="2" t="str">
        <f t="shared" si="85"/>
        <v>LIM333</v>
      </c>
      <c r="D2716" s="2">
        <v>98</v>
      </c>
      <c r="F2716" s="2465"/>
      <c r="G2716" s="2465"/>
      <c r="H2716" s="2465"/>
      <c r="I2716" s="2465"/>
      <c r="J2716" s="2465"/>
      <c r="K2716" s="2465"/>
      <c r="L2716" s="2465"/>
      <c r="M2716" s="2465"/>
      <c r="N2716" s="2465"/>
      <c r="O2716" s="2465"/>
      <c r="P2716" s="2465"/>
      <c r="Q2716" s="2465"/>
      <c r="R2716" s="2465"/>
      <c r="S2716" s="2465"/>
      <c r="T2716" s="2465"/>
      <c r="U2716" s="2465"/>
      <c r="V2716" s="2465"/>
      <c r="W2716" t="s">
        <v>2062</v>
      </c>
    </row>
    <row r="2717" spans="1:23" ht="13.15" customHeight="1">
      <c r="A2717" s="2" t="s">
        <v>2216</v>
      </c>
      <c r="B2717" s="2">
        <f t="shared" si="84"/>
        <v>2020</v>
      </c>
      <c r="C2717" s="2" t="str">
        <f t="shared" si="85"/>
        <v>LIM333</v>
      </c>
      <c r="D2717" s="2">
        <v>99</v>
      </c>
      <c r="F2717" s="2465"/>
      <c r="G2717" s="2465"/>
      <c r="H2717" s="2465"/>
      <c r="I2717" s="2465"/>
      <c r="J2717" s="2465"/>
      <c r="K2717" s="2465"/>
      <c r="L2717" s="2465"/>
      <c r="M2717" s="2465"/>
      <c r="N2717" s="2465"/>
      <c r="O2717" s="2465"/>
      <c r="P2717" s="2465"/>
      <c r="Q2717" s="2465"/>
      <c r="R2717" s="2465"/>
      <c r="S2717" s="2465"/>
      <c r="T2717" s="2465"/>
      <c r="U2717" s="2465"/>
      <c r="V2717" s="2465"/>
      <c r="W2717" t="s">
        <v>2062</v>
      </c>
    </row>
    <row r="2718" spans="1:23" ht="13.15" customHeight="1">
      <c r="A2718" s="2" t="s">
        <v>2216</v>
      </c>
      <c r="B2718" s="2">
        <f t="shared" si="84"/>
        <v>2020</v>
      </c>
      <c r="C2718" s="2" t="str">
        <f t="shared" si="85"/>
        <v>LIM333</v>
      </c>
      <c r="D2718" s="2">
        <v>100</v>
      </c>
      <c r="F2718" s="2465"/>
      <c r="G2718" s="2465"/>
      <c r="H2718" s="2465"/>
      <c r="I2718" s="2465"/>
      <c r="J2718" s="2465"/>
      <c r="K2718" s="2465"/>
      <c r="L2718" s="2465"/>
      <c r="M2718" s="2465"/>
      <c r="N2718" s="2465"/>
      <c r="O2718" s="2465"/>
      <c r="P2718" s="2465"/>
      <c r="Q2718" s="2465"/>
      <c r="R2718" s="2465"/>
      <c r="S2718" s="2465"/>
      <c r="T2718" s="2465"/>
      <c r="U2718" s="2465"/>
      <c r="V2718" s="2465"/>
      <c r="W2718" t="s">
        <v>2062</v>
      </c>
    </row>
    <row r="2719" spans="1:23" ht="13.15" customHeight="1">
      <c r="A2719" s="2" t="s">
        <v>2216</v>
      </c>
      <c r="B2719" s="2">
        <f t="shared" si="84"/>
        <v>2020</v>
      </c>
      <c r="C2719" s="2" t="str">
        <f t="shared" si="85"/>
        <v>LIM333</v>
      </c>
      <c r="D2719" s="2">
        <v>101</v>
      </c>
      <c r="F2719" s="2465"/>
      <c r="G2719" s="2465"/>
      <c r="H2719" s="2465"/>
      <c r="I2719" s="2465"/>
      <c r="J2719" s="2465"/>
      <c r="K2719" s="2465"/>
      <c r="L2719" s="2465"/>
      <c r="M2719" s="2465"/>
      <c r="N2719" s="2465"/>
      <c r="O2719" s="2465"/>
      <c r="P2719" s="2465"/>
      <c r="Q2719" s="2465"/>
      <c r="R2719" s="2465"/>
      <c r="S2719" s="2465"/>
      <c r="T2719" s="2465"/>
      <c r="U2719" s="2465"/>
      <c r="V2719" s="2465"/>
      <c r="W2719" t="s">
        <v>2062</v>
      </c>
    </row>
    <row r="2720" spans="1:23" ht="13.15" customHeight="1">
      <c r="A2720" s="2" t="s">
        <v>2216</v>
      </c>
      <c r="B2720" s="2">
        <f t="shared" si="84"/>
        <v>2020</v>
      </c>
      <c r="C2720" s="2" t="str">
        <f t="shared" si="85"/>
        <v>LIM333</v>
      </c>
      <c r="D2720" s="2">
        <v>102</v>
      </c>
      <c r="F2720" s="2465"/>
      <c r="G2720" s="2465"/>
      <c r="H2720" s="2465"/>
      <c r="I2720" s="2465"/>
      <c r="J2720" s="2465"/>
      <c r="K2720" s="2465"/>
      <c r="L2720" s="2465"/>
      <c r="M2720" s="2465"/>
      <c r="N2720" s="2465"/>
      <c r="O2720" s="2465"/>
      <c r="P2720" s="2465"/>
      <c r="Q2720" s="2465"/>
      <c r="R2720" s="2465"/>
      <c r="S2720" s="2465"/>
      <c r="T2720" s="2465"/>
      <c r="U2720" s="2465"/>
      <c r="V2720" s="2465"/>
      <c r="W2720" t="s">
        <v>2062</v>
      </c>
    </row>
    <row r="2721" spans="1:23" ht="13.15" customHeight="1">
      <c r="A2721" s="2" t="s">
        <v>2216</v>
      </c>
      <c r="B2721" s="2">
        <f t="shared" si="84"/>
        <v>2020</v>
      </c>
      <c r="C2721" s="2" t="str">
        <f t="shared" si="85"/>
        <v>LIM333</v>
      </c>
      <c r="D2721" s="2">
        <v>103</v>
      </c>
      <c r="F2721" s="2465"/>
      <c r="G2721" s="2465"/>
      <c r="H2721" s="2465"/>
      <c r="I2721" s="2465"/>
      <c r="J2721" s="2465"/>
      <c r="K2721" s="2465"/>
      <c r="L2721" s="2465"/>
      <c r="M2721" s="2465"/>
      <c r="N2721" s="2465"/>
      <c r="O2721" s="2465"/>
      <c r="P2721" s="2465"/>
      <c r="Q2721" s="2465"/>
      <c r="R2721" s="2465"/>
      <c r="S2721" s="2465"/>
      <c r="T2721" s="2465"/>
      <c r="U2721" s="2465"/>
      <c r="V2721" s="2465"/>
      <c r="W2721" t="s">
        <v>2062</v>
      </c>
    </row>
    <row r="2722" spans="1:23" ht="13.15" customHeight="1">
      <c r="A2722" s="2" t="s">
        <v>2216</v>
      </c>
      <c r="B2722" s="2">
        <f t="shared" si="84"/>
        <v>2020</v>
      </c>
      <c r="C2722" s="2" t="str">
        <f t="shared" si="85"/>
        <v>LIM333</v>
      </c>
      <c r="D2722" s="2">
        <v>104</v>
      </c>
      <c r="F2722" s="2465"/>
      <c r="G2722" s="2465"/>
      <c r="H2722" s="2465"/>
      <c r="I2722" s="2465"/>
      <c r="J2722" s="2465"/>
      <c r="K2722" s="2465"/>
      <c r="L2722" s="2465"/>
      <c r="M2722" s="2465"/>
      <c r="N2722" s="2465"/>
      <c r="O2722" s="2465"/>
      <c r="P2722" s="2465"/>
      <c r="Q2722" s="2465"/>
      <c r="R2722" s="2465"/>
      <c r="S2722" s="2465"/>
      <c r="T2722" s="2465"/>
      <c r="U2722" s="2465"/>
      <c r="V2722" s="2465"/>
      <c r="W2722" t="s">
        <v>2062</v>
      </c>
    </row>
    <row r="2723" spans="1:23" ht="13.15" customHeight="1">
      <c r="A2723" s="2" t="s">
        <v>2216</v>
      </c>
      <c r="B2723" s="2">
        <f t="shared" si="84"/>
        <v>2020</v>
      </c>
      <c r="C2723" s="2" t="str">
        <f t="shared" si="85"/>
        <v>LIM333</v>
      </c>
      <c r="D2723" s="2">
        <v>105</v>
      </c>
      <c r="F2723" s="2465"/>
      <c r="G2723" s="2465"/>
      <c r="H2723" s="2465"/>
      <c r="I2723" s="2465"/>
      <c r="J2723" s="2465"/>
      <c r="K2723" s="2465"/>
      <c r="L2723" s="2465"/>
      <c r="M2723" s="2465"/>
      <c r="N2723" s="2465"/>
      <c r="O2723" s="2465"/>
      <c r="P2723" s="2465"/>
      <c r="Q2723" s="2465"/>
      <c r="R2723" s="2465"/>
      <c r="S2723" s="2465"/>
      <c r="T2723" s="2465"/>
      <c r="U2723" s="2465"/>
      <c r="V2723" s="2465"/>
      <c r="W2723" t="s">
        <v>2062</v>
      </c>
    </row>
    <row r="2724" spans="1:23" ht="13.15" customHeight="1">
      <c r="A2724" s="2" t="s">
        <v>2216</v>
      </c>
      <c r="B2724" s="2">
        <f t="shared" si="84"/>
        <v>2020</v>
      </c>
      <c r="C2724" s="2" t="str">
        <f t="shared" si="85"/>
        <v>LIM333</v>
      </c>
      <c r="D2724" s="2">
        <v>106</v>
      </c>
      <c r="F2724" s="2465"/>
      <c r="G2724" s="2465"/>
      <c r="H2724" s="2465"/>
      <c r="I2724" s="2465"/>
      <c r="J2724" s="2465"/>
      <c r="K2724" s="2465"/>
      <c r="L2724" s="2465"/>
      <c r="M2724" s="2465"/>
      <c r="N2724" s="2465"/>
      <c r="O2724" s="2465"/>
      <c r="P2724" s="2465"/>
      <c r="Q2724" s="2465"/>
      <c r="R2724" s="2465"/>
      <c r="S2724" s="2465"/>
      <c r="T2724" s="2465"/>
      <c r="U2724" s="2465"/>
      <c r="V2724" s="2465"/>
      <c r="W2724" t="s">
        <v>2062</v>
      </c>
    </row>
    <row r="2725" spans="1:23" ht="13.15" customHeight="1">
      <c r="A2725" s="2" t="s">
        <v>2216</v>
      </c>
      <c r="B2725" s="2">
        <f t="shared" si="84"/>
        <v>2020</v>
      </c>
      <c r="C2725" s="2" t="str">
        <f t="shared" si="85"/>
        <v>LIM333</v>
      </c>
      <c r="D2725" s="2">
        <v>107</v>
      </c>
      <c r="F2725" s="2465"/>
      <c r="G2725" s="2465"/>
      <c r="H2725" s="2465"/>
      <c r="I2725" s="2465"/>
      <c r="J2725" s="2465"/>
      <c r="K2725" s="2465"/>
      <c r="L2725" s="2465"/>
      <c r="M2725" s="2465"/>
      <c r="N2725" s="2465"/>
      <c r="O2725" s="2465"/>
      <c r="P2725" s="2465"/>
      <c r="Q2725" s="2465"/>
      <c r="R2725" s="2465"/>
      <c r="S2725" s="2465"/>
      <c r="T2725" s="2465"/>
      <c r="U2725" s="2465"/>
      <c r="V2725" s="2465"/>
      <c r="W2725" t="s">
        <v>2062</v>
      </c>
    </row>
    <row r="2726" spans="1:23" ht="13.15" customHeight="1">
      <c r="A2726" s="2" t="s">
        <v>2216</v>
      </c>
      <c r="B2726" s="2">
        <f t="shared" si="84"/>
        <v>2020</v>
      </c>
      <c r="C2726" s="2" t="str">
        <f t="shared" si="85"/>
        <v>LIM333</v>
      </c>
      <c r="D2726" s="2">
        <v>108</v>
      </c>
      <c r="F2726" s="2465"/>
      <c r="G2726" s="2465"/>
      <c r="H2726" s="2465"/>
      <c r="I2726" s="2465"/>
      <c r="J2726" s="2465"/>
      <c r="K2726" s="2465"/>
      <c r="L2726" s="2465"/>
      <c r="M2726" s="2465"/>
      <c r="N2726" s="2465"/>
      <c r="O2726" s="2465"/>
      <c r="P2726" s="2465"/>
      <c r="Q2726" s="2465"/>
      <c r="R2726" s="2465"/>
      <c r="S2726" s="2465"/>
      <c r="T2726" s="2465"/>
      <c r="U2726" s="2465"/>
      <c r="V2726" s="2465"/>
      <c r="W2726" t="s">
        <v>2062</v>
      </c>
    </row>
    <row r="2727" spans="1:23" ht="13.15" customHeight="1">
      <c r="A2727" s="2" t="s">
        <v>2216</v>
      </c>
      <c r="B2727" s="2">
        <f t="shared" si="84"/>
        <v>2020</v>
      </c>
      <c r="C2727" s="2" t="str">
        <f t="shared" si="85"/>
        <v>LIM333</v>
      </c>
      <c r="D2727" s="2">
        <v>109</v>
      </c>
      <c r="F2727" s="2465"/>
      <c r="G2727" s="2465"/>
      <c r="H2727" s="2465"/>
      <c r="I2727" s="2465"/>
      <c r="J2727" s="2465"/>
      <c r="K2727" s="2465"/>
      <c r="L2727" s="2465"/>
      <c r="M2727" s="2465"/>
      <c r="N2727" s="2465"/>
      <c r="O2727" s="2465"/>
      <c r="P2727" s="2465"/>
      <c r="Q2727" s="2465"/>
      <c r="R2727" s="2465"/>
      <c r="S2727" s="2465"/>
      <c r="T2727" s="2465"/>
      <c r="U2727" s="2465"/>
      <c r="V2727" s="2465"/>
      <c r="W2727" t="s">
        <v>2062</v>
      </c>
    </row>
    <row r="2728" spans="1:23" ht="13.15" customHeight="1">
      <c r="A2728" s="2" t="s">
        <v>2216</v>
      </c>
      <c r="B2728" s="2">
        <f t="shared" si="84"/>
        <v>2020</v>
      </c>
      <c r="C2728" s="2" t="str">
        <f t="shared" si="85"/>
        <v>LIM333</v>
      </c>
      <c r="D2728" s="2">
        <v>110</v>
      </c>
      <c r="F2728" s="2465"/>
      <c r="G2728" s="2465"/>
      <c r="H2728" s="2465"/>
      <c r="I2728" s="2465"/>
      <c r="J2728" s="2465"/>
      <c r="K2728" s="2465"/>
      <c r="L2728" s="2465"/>
      <c r="M2728" s="2465"/>
      <c r="N2728" s="2465"/>
      <c r="O2728" s="2465"/>
      <c r="P2728" s="2465"/>
      <c r="Q2728" s="2465"/>
      <c r="R2728" s="2465"/>
      <c r="S2728" s="2465"/>
      <c r="T2728" s="2465"/>
      <c r="U2728" s="2465"/>
      <c r="V2728" s="2465"/>
      <c r="W2728" t="s">
        <v>2062</v>
      </c>
    </row>
    <row r="2729" spans="1:23" ht="13.15" customHeight="1">
      <c r="A2729" s="2" t="s">
        <v>2216</v>
      </c>
      <c r="B2729" s="2">
        <f t="shared" si="84"/>
        <v>2020</v>
      </c>
      <c r="C2729" s="2" t="str">
        <f t="shared" si="85"/>
        <v>LIM333</v>
      </c>
      <c r="D2729" s="2">
        <v>111</v>
      </c>
      <c r="F2729" s="2465"/>
      <c r="G2729" s="2465"/>
      <c r="H2729" s="2465"/>
      <c r="I2729" s="2465"/>
      <c r="J2729" s="2465"/>
      <c r="K2729" s="2465"/>
      <c r="L2729" s="2465"/>
      <c r="M2729" s="2465"/>
      <c r="N2729" s="2465"/>
      <c r="O2729" s="2465"/>
      <c r="P2729" s="2465"/>
      <c r="Q2729" s="2465"/>
      <c r="R2729" s="2465"/>
      <c r="S2729" s="2465"/>
      <c r="T2729" s="2465"/>
      <c r="U2729" s="2465"/>
      <c r="V2729" s="2465"/>
      <c r="W2729" t="s">
        <v>2062</v>
      </c>
    </row>
    <row r="2730" spans="1:23" ht="13.15" customHeight="1">
      <c r="A2730" s="2" t="s">
        <v>2216</v>
      </c>
      <c r="B2730" s="2">
        <f t="shared" si="84"/>
        <v>2020</v>
      </c>
      <c r="C2730" s="2" t="str">
        <f t="shared" si="85"/>
        <v>LIM333</v>
      </c>
      <c r="D2730" s="2">
        <v>112</v>
      </c>
      <c r="F2730" s="2465"/>
      <c r="G2730" s="2465"/>
      <c r="H2730" s="2465"/>
      <c r="I2730" s="2465"/>
      <c r="J2730" s="2465"/>
      <c r="K2730" s="2465"/>
      <c r="L2730" s="2465"/>
      <c r="M2730" s="2465"/>
      <c r="N2730" s="2465"/>
      <c r="O2730" s="2465"/>
      <c r="P2730" s="2465"/>
      <c r="Q2730" s="2465"/>
      <c r="R2730" s="2465"/>
      <c r="S2730" s="2465"/>
      <c r="T2730" s="2465"/>
      <c r="U2730" s="2465"/>
      <c r="V2730" s="2465"/>
      <c r="W2730" t="s">
        <v>2062</v>
      </c>
    </row>
    <row r="2731" spans="1:23" ht="13.15" customHeight="1">
      <c r="A2731" s="2" t="s">
        <v>2216</v>
      </c>
      <c r="B2731" s="2">
        <f t="shared" si="84"/>
        <v>2020</v>
      </c>
      <c r="C2731" s="2" t="str">
        <f t="shared" si="85"/>
        <v>LIM333</v>
      </c>
      <c r="D2731" s="2">
        <v>113</v>
      </c>
      <c r="F2731" s="2465"/>
      <c r="G2731" s="2465"/>
      <c r="H2731" s="2465"/>
      <c r="I2731" s="2465"/>
      <c r="J2731" s="2465"/>
      <c r="K2731" s="2465"/>
      <c r="L2731" s="2465"/>
      <c r="M2731" s="2465"/>
      <c r="N2731" s="2465"/>
      <c r="O2731" s="2465"/>
      <c r="P2731" s="2465"/>
      <c r="Q2731" s="2465"/>
      <c r="R2731" s="2465"/>
      <c r="S2731" s="2465"/>
      <c r="T2731" s="2465"/>
      <c r="U2731" s="2465"/>
      <c r="V2731" s="2465"/>
      <c r="W2731" t="s">
        <v>2062</v>
      </c>
    </row>
    <row r="2732" spans="1:23" ht="13.15" customHeight="1">
      <c r="A2732" s="2" t="s">
        <v>2216</v>
      </c>
      <c r="B2732" s="2">
        <f t="shared" si="84"/>
        <v>2020</v>
      </c>
      <c r="C2732" s="2" t="str">
        <f t="shared" si="85"/>
        <v>LIM333</v>
      </c>
      <c r="D2732" s="2">
        <v>114</v>
      </c>
      <c r="F2732" s="2465"/>
      <c r="G2732" s="2465"/>
      <c r="H2732" s="2465"/>
      <c r="I2732" s="2465"/>
      <c r="J2732" s="2465"/>
      <c r="K2732" s="2465"/>
      <c r="L2732" s="2465"/>
      <c r="M2732" s="2465"/>
      <c r="N2732" s="2465"/>
      <c r="O2732" s="2465"/>
      <c r="P2732" s="2465"/>
      <c r="Q2732" s="2465"/>
      <c r="R2732" s="2465"/>
      <c r="S2732" s="2465"/>
      <c r="T2732" s="2465"/>
      <c r="U2732" s="2465"/>
      <c r="V2732" s="2465"/>
      <c r="W2732" t="s">
        <v>2062</v>
      </c>
    </row>
    <row r="2733" spans="1:23" ht="13.15" customHeight="1">
      <c r="A2733" s="2" t="s">
        <v>2216</v>
      </c>
      <c r="B2733" s="2">
        <f t="shared" si="84"/>
        <v>2020</v>
      </c>
      <c r="C2733" s="2" t="str">
        <f t="shared" si="85"/>
        <v>LIM333</v>
      </c>
      <c r="D2733" s="2">
        <v>115</v>
      </c>
      <c r="F2733" s="2465"/>
      <c r="G2733" s="2465"/>
      <c r="H2733" s="2465"/>
      <c r="I2733" s="2465"/>
      <c r="J2733" s="2465"/>
      <c r="K2733" s="2465"/>
      <c r="L2733" s="2465"/>
      <c r="M2733" s="2465"/>
      <c r="N2733" s="2465"/>
      <c r="O2733" s="2465"/>
      <c r="P2733" s="2465"/>
      <c r="Q2733" s="2465"/>
      <c r="R2733" s="2465"/>
      <c r="S2733" s="2465"/>
      <c r="T2733" s="2465"/>
      <c r="U2733" s="2465"/>
      <c r="V2733" s="2465"/>
      <c r="W2733" t="s">
        <v>2062</v>
      </c>
    </row>
    <row r="2734" spans="1:23" ht="13.15" customHeight="1">
      <c r="A2734" s="2" t="s">
        <v>2216</v>
      </c>
      <c r="B2734" s="2">
        <f t="shared" si="84"/>
        <v>2020</v>
      </c>
      <c r="C2734" s="2" t="str">
        <f t="shared" si="85"/>
        <v>LIM333</v>
      </c>
      <c r="D2734" s="2">
        <v>116</v>
      </c>
      <c r="F2734" s="2465"/>
      <c r="G2734" s="2465"/>
      <c r="H2734" s="2465"/>
      <c r="I2734" s="2465"/>
      <c r="J2734" s="2465"/>
      <c r="K2734" s="2465"/>
      <c r="L2734" s="2465"/>
      <c r="M2734" s="2465"/>
      <c r="N2734" s="2465"/>
      <c r="O2734" s="2465"/>
      <c r="P2734" s="2465"/>
      <c r="Q2734" s="2465"/>
      <c r="R2734" s="2465"/>
      <c r="S2734" s="2465"/>
      <c r="T2734" s="2465"/>
      <c r="U2734" s="2465"/>
      <c r="V2734" s="2465"/>
      <c r="W2734" t="s">
        <v>2062</v>
      </c>
    </row>
    <row r="2735" spans="1:23" ht="13.15" customHeight="1">
      <c r="A2735" s="2" t="s">
        <v>2216</v>
      </c>
      <c r="B2735" s="2">
        <f t="shared" si="84"/>
        <v>2020</v>
      </c>
      <c r="C2735" s="2" t="str">
        <f t="shared" si="85"/>
        <v>LIM333</v>
      </c>
      <c r="D2735" s="2">
        <v>117</v>
      </c>
      <c r="F2735" s="2465"/>
      <c r="G2735" s="2465"/>
      <c r="H2735" s="2465"/>
      <c r="I2735" s="2465"/>
      <c r="J2735" s="2465"/>
      <c r="K2735" s="2465"/>
      <c r="L2735" s="2465"/>
      <c r="M2735" s="2465"/>
      <c r="N2735" s="2465"/>
      <c r="O2735" s="2465"/>
      <c r="P2735" s="2465"/>
      <c r="Q2735" s="2465"/>
      <c r="R2735" s="2465"/>
      <c r="S2735" s="2465"/>
      <c r="T2735" s="2465"/>
      <c r="U2735" s="2465"/>
      <c r="V2735" s="2465"/>
      <c r="W2735" t="s">
        <v>2062</v>
      </c>
    </row>
    <row r="2736" spans="1:23" ht="13.15" customHeight="1">
      <c r="A2736" s="2" t="s">
        <v>2216</v>
      </c>
      <c r="B2736" s="2">
        <f t="shared" si="84"/>
        <v>2020</v>
      </c>
      <c r="C2736" s="2" t="str">
        <f t="shared" si="85"/>
        <v>LIM333</v>
      </c>
      <c r="D2736" s="2">
        <v>118</v>
      </c>
      <c r="F2736" s="2465"/>
      <c r="G2736" s="2465"/>
      <c r="H2736" s="2465"/>
      <c r="I2736" s="2465"/>
      <c r="J2736" s="2465"/>
      <c r="K2736" s="2465"/>
      <c r="L2736" s="2465"/>
      <c r="M2736" s="2465"/>
      <c r="N2736" s="2465"/>
      <c r="O2736" s="2465"/>
      <c r="P2736" s="2465"/>
      <c r="Q2736" s="2465"/>
      <c r="R2736" s="2465"/>
      <c r="S2736" s="2465"/>
      <c r="T2736" s="2465"/>
      <c r="U2736" s="2465"/>
      <c r="V2736" s="2465"/>
      <c r="W2736" t="s">
        <v>2062</v>
      </c>
    </row>
    <row r="2737" spans="1:23" ht="13.15" customHeight="1">
      <c r="A2737" s="2" t="s">
        <v>2216</v>
      </c>
      <c r="B2737" s="2">
        <f t="shared" si="84"/>
        <v>2020</v>
      </c>
      <c r="C2737" s="2" t="str">
        <f t="shared" si="85"/>
        <v>LIM333</v>
      </c>
      <c r="D2737" s="2">
        <v>119</v>
      </c>
      <c r="F2737" s="2465"/>
      <c r="G2737" s="2465"/>
      <c r="H2737" s="2465"/>
      <c r="I2737" s="2465"/>
      <c r="J2737" s="2465"/>
      <c r="K2737" s="2465"/>
      <c r="L2737" s="2465"/>
      <c r="M2737" s="2465"/>
      <c r="N2737" s="2465"/>
      <c r="O2737" s="2465"/>
      <c r="P2737" s="2465"/>
      <c r="Q2737" s="2465"/>
      <c r="R2737" s="2465"/>
      <c r="S2737" s="2465"/>
      <c r="T2737" s="2465"/>
      <c r="U2737" s="2465"/>
      <c r="V2737" s="2465"/>
      <c r="W2737" t="s">
        <v>2062</v>
      </c>
    </row>
    <row r="2738" spans="1:23" ht="13.15" customHeight="1">
      <c r="A2738" s="2" t="s">
        <v>2216</v>
      </c>
      <c r="B2738" s="2">
        <f t="shared" si="84"/>
        <v>2020</v>
      </c>
      <c r="C2738" s="2" t="str">
        <f t="shared" si="85"/>
        <v>LIM333</v>
      </c>
      <c r="D2738" s="2">
        <v>120</v>
      </c>
      <c r="F2738" s="2465"/>
      <c r="G2738" s="2465"/>
      <c r="H2738" s="2465"/>
      <c r="I2738" s="2465"/>
      <c r="J2738" s="2465"/>
      <c r="K2738" s="2465"/>
      <c r="L2738" s="2465"/>
      <c r="M2738" s="2465"/>
      <c r="N2738" s="2465"/>
      <c r="O2738" s="2465"/>
      <c r="P2738" s="2465"/>
      <c r="Q2738" s="2465"/>
      <c r="R2738" s="2465"/>
      <c r="S2738" s="2465"/>
      <c r="T2738" s="2465"/>
      <c r="U2738" s="2465"/>
      <c r="V2738" s="2465"/>
      <c r="W2738" t="s">
        <v>2062</v>
      </c>
    </row>
    <row r="2739" spans="1:23" ht="13.15" customHeight="1">
      <c r="A2739" s="2" t="s">
        <v>2216</v>
      </c>
      <c r="B2739" s="2">
        <f t="shared" si="84"/>
        <v>2020</v>
      </c>
      <c r="C2739" s="2" t="str">
        <f t="shared" si="85"/>
        <v>LIM333</v>
      </c>
      <c r="D2739" s="2">
        <v>121</v>
      </c>
      <c r="F2739" s="2465"/>
      <c r="G2739" s="2465"/>
      <c r="H2739" s="2465"/>
      <c r="I2739" s="2465"/>
      <c r="J2739" s="2465"/>
      <c r="K2739" s="2465"/>
      <c r="L2739" s="2465"/>
      <c r="M2739" s="2465"/>
      <c r="N2739" s="2465"/>
      <c r="O2739" s="2465"/>
      <c r="P2739" s="2465"/>
      <c r="Q2739" s="2465"/>
      <c r="R2739" s="2465"/>
      <c r="S2739" s="2465"/>
      <c r="T2739" s="2465"/>
      <c r="U2739" s="2465"/>
      <c r="V2739" s="2465"/>
      <c r="W2739" t="s">
        <v>2062</v>
      </c>
    </row>
    <row r="2740" spans="1:23" ht="13.15" customHeight="1">
      <c r="A2740" s="2" t="s">
        <v>2216</v>
      </c>
      <c r="B2740" s="2">
        <f t="shared" si="84"/>
        <v>2020</v>
      </c>
      <c r="C2740" s="2" t="str">
        <f t="shared" si="85"/>
        <v>LIM333</v>
      </c>
      <c r="D2740" s="2">
        <v>122</v>
      </c>
      <c r="F2740" s="2465"/>
      <c r="G2740" s="2465"/>
      <c r="H2740" s="2465"/>
      <c r="I2740" s="2465"/>
      <c r="J2740" s="2465"/>
      <c r="K2740" s="2465"/>
      <c r="L2740" s="2465"/>
      <c r="M2740" s="2465"/>
      <c r="N2740" s="2465"/>
      <c r="O2740" s="2465"/>
      <c r="P2740" s="2465"/>
      <c r="Q2740" s="2465"/>
      <c r="R2740" s="2465"/>
      <c r="S2740" s="2465"/>
      <c r="T2740" s="2465"/>
      <c r="U2740" s="2465"/>
      <c r="V2740" s="2465"/>
      <c r="W2740" t="s">
        <v>2062</v>
      </c>
    </row>
    <row r="2741" spans="1:23" ht="13.15" customHeight="1">
      <c r="A2741" s="2" t="s">
        <v>2216</v>
      </c>
      <c r="B2741" s="2">
        <f t="shared" si="84"/>
        <v>2020</v>
      </c>
      <c r="C2741" s="2" t="str">
        <f t="shared" si="85"/>
        <v>LIM333</v>
      </c>
      <c r="D2741" s="2">
        <v>123</v>
      </c>
      <c r="F2741" s="2465"/>
      <c r="G2741" s="2465"/>
      <c r="H2741" s="2465"/>
      <c r="I2741" s="2465"/>
      <c r="J2741" s="2465"/>
      <c r="K2741" s="2465"/>
      <c r="L2741" s="2465"/>
      <c r="M2741" s="2465"/>
      <c r="N2741" s="2465"/>
      <c r="O2741" s="2465"/>
      <c r="P2741" s="2465"/>
      <c r="Q2741" s="2465"/>
      <c r="R2741" s="2465"/>
      <c r="S2741" s="2465"/>
      <c r="T2741" s="2465"/>
      <c r="U2741" s="2465"/>
      <c r="V2741" s="2465"/>
      <c r="W2741" t="s">
        <v>2062</v>
      </c>
    </row>
    <row r="2742" spans="1:23" ht="13.15" customHeight="1">
      <c r="A2742" s="2" t="s">
        <v>2216</v>
      </c>
      <c r="B2742" s="2">
        <f t="shared" si="84"/>
        <v>2020</v>
      </c>
      <c r="C2742" s="2" t="str">
        <f t="shared" si="85"/>
        <v>LIM333</v>
      </c>
      <c r="D2742" s="2">
        <v>124</v>
      </c>
      <c r="F2742" s="2465"/>
      <c r="G2742" s="2465"/>
      <c r="H2742" s="2465"/>
      <c r="I2742" s="2465"/>
      <c r="J2742" s="2465"/>
      <c r="K2742" s="2465"/>
      <c r="L2742" s="2465"/>
      <c r="M2742" s="2465"/>
      <c r="N2742" s="2465"/>
      <c r="O2742" s="2465"/>
      <c r="P2742" s="2465"/>
      <c r="Q2742" s="2465"/>
      <c r="R2742" s="2465"/>
      <c r="S2742" s="2465"/>
      <c r="T2742" s="2465"/>
      <c r="U2742" s="2465"/>
      <c r="V2742" s="2465"/>
      <c r="W2742" t="s">
        <v>2062</v>
      </c>
    </row>
    <row r="2743" spans="1:23" ht="13.15" customHeight="1">
      <c r="A2743" s="2" t="s">
        <v>2216</v>
      </c>
      <c r="B2743" s="2">
        <f t="shared" si="84"/>
        <v>2020</v>
      </c>
      <c r="C2743" s="2" t="str">
        <f t="shared" si="85"/>
        <v>LIM333</v>
      </c>
      <c r="D2743" s="2">
        <v>125</v>
      </c>
      <c r="F2743" s="2465"/>
      <c r="G2743" s="2465"/>
      <c r="H2743" s="2465"/>
      <c r="I2743" s="2465"/>
      <c r="J2743" s="2465"/>
      <c r="K2743" s="2465"/>
      <c r="L2743" s="2465"/>
      <c r="M2743" s="2465"/>
      <c r="N2743" s="2465"/>
      <c r="O2743" s="2465"/>
      <c r="P2743" s="2465"/>
      <c r="Q2743" s="2465"/>
      <c r="R2743" s="2465"/>
      <c r="S2743" s="2465"/>
      <c r="T2743" s="2465"/>
      <c r="U2743" s="2465"/>
      <c r="V2743" s="2465"/>
      <c r="W2743" t="s">
        <v>2062</v>
      </c>
    </row>
    <row r="2744" spans="1:23" ht="13.15" customHeight="1">
      <c r="A2744" s="2" t="s">
        <v>2216</v>
      </c>
      <c r="B2744" s="2">
        <f t="shared" si="84"/>
        <v>2020</v>
      </c>
      <c r="C2744" s="2" t="str">
        <f t="shared" si="85"/>
        <v>LIM333</v>
      </c>
      <c r="D2744" s="2">
        <v>126</v>
      </c>
      <c r="F2744" s="2465"/>
      <c r="G2744" s="2465"/>
      <c r="H2744" s="2465"/>
      <c r="I2744" s="2465"/>
      <c r="J2744" s="2465"/>
      <c r="K2744" s="2465"/>
      <c r="L2744" s="2465"/>
      <c r="M2744" s="2465"/>
      <c r="N2744" s="2465"/>
      <c r="O2744" s="2465"/>
      <c r="P2744" s="2465"/>
      <c r="Q2744" s="2465"/>
      <c r="R2744" s="2465"/>
      <c r="S2744" s="2465"/>
      <c r="T2744" s="2465"/>
      <c r="U2744" s="2465"/>
      <c r="V2744" s="2465"/>
      <c r="W2744" t="s">
        <v>2062</v>
      </c>
    </row>
    <row r="2745" spans="1:23" ht="13.15" customHeight="1">
      <c r="A2745" s="2" t="s">
        <v>2216</v>
      </c>
      <c r="B2745" s="2">
        <f t="shared" si="84"/>
        <v>2020</v>
      </c>
      <c r="C2745" s="2" t="str">
        <f t="shared" si="85"/>
        <v>LIM333</v>
      </c>
      <c r="D2745" s="2">
        <v>127</v>
      </c>
      <c r="F2745" s="2465"/>
      <c r="G2745" s="2465"/>
      <c r="H2745" s="2465"/>
      <c r="I2745" s="2465"/>
      <c r="J2745" s="2465"/>
      <c r="K2745" s="2465"/>
      <c r="L2745" s="2465"/>
      <c r="M2745" s="2465"/>
      <c r="N2745" s="2465"/>
      <c r="O2745" s="2465"/>
      <c r="P2745" s="2465"/>
      <c r="Q2745" s="2465"/>
      <c r="R2745" s="2465"/>
      <c r="S2745" s="2465"/>
      <c r="T2745" s="2465"/>
      <c r="U2745" s="2465"/>
      <c r="V2745" s="2465"/>
      <c r="W2745" t="s">
        <v>2062</v>
      </c>
    </row>
    <row r="2746" spans="1:23" ht="13.15" customHeight="1">
      <c r="A2746" s="2" t="s">
        <v>2216</v>
      </c>
      <c r="B2746" s="2">
        <f t="shared" si="84"/>
        <v>2020</v>
      </c>
      <c r="C2746" s="2" t="str">
        <f t="shared" si="85"/>
        <v>LIM333</v>
      </c>
      <c r="D2746" s="2">
        <v>128</v>
      </c>
      <c r="F2746" s="2465"/>
      <c r="G2746" s="2465"/>
      <c r="H2746" s="2465"/>
      <c r="I2746" s="2465"/>
      <c r="J2746" s="2465"/>
      <c r="K2746" s="2465"/>
      <c r="L2746" s="2465"/>
      <c r="M2746" s="2465"/>
      <c r="N2746" s="2465"/>
      <c r="O2746" s="2465"/>
      <c r="P2746" s="2465"/>
      <c r="Q2746" s="2465"/>
      <c r="R2746" s="2465"/>
      <c r="S2746" s="2465"/>
      <c r="T2746" s="2465"/>
      <c r="U2746" s="2465"/>
      <c r="V2746" s="2465"/>
      <c r="W2746" t="s">
        <v>2062</v>
      </c>
    </row>
    <row r="2747" spans="1:23" ht="13.15" customHeight="1">
      <c r="A2747" s="2" t="s">
        <v>2216</v>
      </c>
      <c r="B2747" s="2">
        <f t="shared" si="84"/>
        <v>2020</v>
      </c>
      <c r="C2747" s="2" t="str">
        <f t="shared" si="85"/>
        <v>LIM333</v>
      </c>
      <c r="D2747" s="2">
        <v>129</v>
      </c>
      <c r="F2747" s="2465"/>
      <c r="G2747" s="2465"/>
      <c r="H2747" s="2465"/>
      <c r="I2747" s="2465"/>
      <c r="J2747" s="2465"/>
      <c r="K2747" s="2465"/>
      <c r="L2747" s="2465"/>
      <c r="M2747" s="2465"/>
      <c r="N2747" s="2465"/>
      <c r="O2747" s="2465"/>
      <c r="P2747" s="2465"/>
      <c r="Q2747" s="2465"/>
      <c r="R2747" s="2465"/>
      <c r="S2747" s="2465"/>
      <c r="T2747" s="2465"/>
      <c r="U2747" s="2465"/>
      <c r="V2747" s="2465"/>
      <c r="W2747" t="s">
        <v>2062</v>
      </c>
    </row>
    <row r="2748" spans="1:23" ht="13.15" customHeight="1">
      <c r="A2748" s="2" t="s">
        <v>2216</v>
      </c>
      <c r="B2748" s="2">
        <f t="shared" si="84"/>
        <v>2020</v>
      </c>
      <c r="C2748" s="2" t="str">
        <f t="shared" si="85"/>
        <v>LIM333</v>
      </c>
      <c r="D2748" s="2">
        <v>130</v>
      </c>
      <c r="F2748" s="2465"/>
      <c r="G2748" s="2465"/>
      <c r="H2748" s="2465"/>
      <c r="I2748" s="2465"/>
      <c r="J2748" s="2465"/>
      <c r="K2748" s="2465"/>
      <c r="L2748" s="2465"/>
      <c r="M2748" s="2465"/>
      <c r="N2748" s="2465"/>
      <c r="O2748" s="2465"/>
      <c r="P2748" s="2465"/>
      <c r="Q2748" s="2465"/>
      <c r="R2748" s="2465"/>
      <c r="S2748" s="2465"/>
      <c r="T2748" s="2465"/>
      <c r="U2748" s="2465"/>
      <c r="V2748" s="2465"/>
      <c r="W2748" t="s">
        <v>2062</v>
      </c>
    </row>
    <row r="2749" spans="1:23" ht="13.15" customHeight="1">
      <c r="A2749" s="2" t="s">
        <v>2216</v>
      </c>
      <c r="B2749" s="2">
        <f t="shared" si="84"/>
        <v>2020</v>
      </c>
      <c r="C2749" s="2" t="str">
        <f t="shared" si="85"/>
        <v>LIM333</v>
      </c>
      <c r="D2749" s="2">
        <v>131</v>
      </c>
      <c r="F2749" s="2465"/>
      <c r="G2749" s="2465"/>
      <c r="H2749" s="2465"/>
      <c r="I2749" s="2465"/>
      <c r="J2749" s="2465"/>
      <c r="K2749" s="2465"/>
      <c r="L2749" s="2465"/>
      <c r="M2749" s="2465"/>
      <c r="N2749" s="2465"/>
      <c r="O2749" s="2465"/>
      <c r="P2749" s="2465"/>
      <c r="Q2749" s="2465"/>
      <c r="R2749" s="2465"/>
      <c r="S2749" s="2465"/>
      <c r="T2749" s="2465"/>
      <c r="U2749" s="2465"/>
      <c r="V2749" s="2465"/>
      <c r="W2749" t="s">
        <v>2062</v>
      </c>
    </row>
    <row r="2750" spans="1:23" ht="13.15" customHeight="1">
      <c r="A2750" s="2" t="s">
        <v>2216</v>
      </c>
      <c r="B2750" s="2">
        <f t="shared" si="84"/>
        <v>2020</v>
      </c>
      <c r="C2750" s="2" t="str">
        <f t="shared" si="85"/>
        <v>LIM333</v>
      </c>
      <c r="D2750" s="2">
        <v>132</v>
      </c>
      <c r="F2750" s="2465"/>
      <c r="G2750" s="2465"/>
      <c r="H2750" s="2465"/>
      <c r="I2750" s="2465"/>
      <c r="J2750" s="2465"/>
      <c r="K2750" s="2465"/>
      <c r="L2750" s="2465"/>
      <c r="M2750" s="2465"/>
      <c r="N2750" s="2465"/>
      <c r="O2750" s="2465"/>
      <c r="P2750" s="2465"/>
      <c r="Q2750" s="2465"/>
      <c r="R2750" s="2465"/>
      <c r="S2750" s="2465"/>
      <c r="T2750" s="2465"/>
      <c r="U2750" s="2465"/>
      <c r="V2750" s="2465"/>
      <c r="W2750" t="s">
        <v>2062</v>
      </c>
    </row>
    <row r="2751" spans="1:23" ht="13.15" customHeight="1">
      <c r="A2751" s="2" t="s">
        <v>2216</v>
      </c>
      <c r="B2751" s="2">
        <f t="shared" si="84"/>
        <v>2020</v>
      </c>
      <c r="C2751" s="2" t="str">
        <f t="shared" si="85"/>
        <v>LIM333</v>
      </c>
      <c r="D2751" s="2">
        <v>133</v>
      </c>
      <c r="F2751" s="2465"/>
      <c r="G2751" s="2465"/>
      <c r="H2751" s="2465"/>
      <c r="I2751" s="2465"/>
      <c r="J2751" s="2465"/>
      <c r="K2751" s="2465"/>
      <c r="L2751" s="2465"/>
      <c r="M2751" s="2465"/>
      <c r="N2751" s="2465"/>
      <c r="O2751" s="2465"/>
      <c r="P2751" s="2465"/>
      <c r="Q2751" s="2465"/>
      <c r="R2751" s="2465"/>
      <c r="S2751" s="2465"/>
      <c r="T2751" s="2465"/>
      <c r="U2751" s="2465"/>
      <c r="V2751" s="2465"/>
      <c r="W2751" t="s">
        <v>2062</v>
      </c>
    </row>
    <row r="2752" spans="1:23" ht="13.15" customHeight="1">
      <c r="A2752" s="2" t="s">
        <v>2216</v>
      </c>
      <c r="B2752" s="2">
        <f t="shared" si="84"/>
        <v>2020</v>
      </c>
      <c r="C2752" s="2" t="str">
        <f t="shared" si="85"/>
        <v>LIM333</v>
      </c>
      <c r="D2752" s="2">
        <v>134</v>
      </c>
      <c r="F2752" s="2465"/>
      <c r="G2752" s="2465"/>
      <c r="H2752" s="2465"/>
      <c r="I2752" s="2465"/>
      <c r="J2752" s="2465"/>
      <c r="K2752" s="2465"/>
      <c r="L2752" s="2465"/>
      <c r="M2752" s="2465"/>
      <c r="N2752" s="2465"/>
      <c r="O2752" s="2465"/>
      <c r="P2752" s="2465"/>
      <c r="Q2752" s="2465"/>
      <c r="R2752" s="2465"/>
      <c r="S2752" s="2465"/>
      <c r="T2752" s="2465"/>
      <c r="U2752" s="2465"/>
      <c r="V2752" s="2465"/>
      <c r="W2752" t="s">
        <v>2062</v>
      </c>
    </row>
    <row r="2753" spans="1:23" ht="13.15" customHeight="1">
      <c r="A2753" s="2" t="s">
        <v>2216</v>
      </c>
      <c r="B2753" s="2">
        <f t="shared" si="84"/>
        <v>2020</v>
      </c>
      <c r="C2753" s="2" t="str">
        <f t="shared" si="85"/>
        <v>LIM333</v>
      </c>
      <c r="D2753" s="2">
        <v>135</v>
      </c>
      <c r="F2753" s="2465"/>
      <c r="G2753" s="2465"/>
      <c r="H2753" s="2465"/>
      <c r="I2753" s="2465"/>
      <c r="J2753" s="2465"/>
      <c r="K2753" s="2465"/>
      <c r="L2753" s="2465"/>
      <c r="M2753" s="2465"/>
      <c r="N2753" s="2465"/>
      <c r="O2753" s="2465"/>
      <c r="P2753" s="2465"/>
      <c r="Q2753" s="2465"/>
      <c r="R2753" s="2465"/>
      <c r="S2753" s="2465"/>
      <c r="T2753" s="2465"/>
      <c r="U2753" s="2465"/>
      <c r="V2753" s="2465"/>
      <c r="W2753" t="s">
        <v>2062</v>
      </c>
    </row>
    <row r="2754" spans="1:23" ht="13.15" customHeight="1">
      <c r="A2754" s="2" t="s">
        <v>2216</v>
      </c>
      <c r="B2754" s="2">
        <f t="shared" si="84"/>
        <v>2020</v>
      </c>
      <c r="C2754" s="2" t="str">
        <f t="shared" si="85"/>
        <v>LIM333</v>
      </c>
      <c r="D2754" s="2">
        <v>136</v>
      </c>
      <c r="F2754" s="2465"/>
      <c r="G2754" s="2465"/>
      <c r="H2754" s="2465"/>
      <c r="I2754" s="2465"/>
      <c r="J2754" s="2465"/>
      <c r="K2754" s="2465"/>
      <c r="L2754" s="2465"/>
      <c r="M2754" s="2465"/>
      <c r="N2754" s="2465"/>
      <c r="O2754" s="2465"/>
      <c r="P2754" s="2465"/>
      <c r="Q2754" s="2465"/>
      <c r="R2754" s="2465"/>
      <c r="S2754" s="2465"/>
      <c r="T2754" s="2465"/>
      <c r="U2754" s="2465"/>
      <c r="V2754" s="2465"/>
      <c r="W2754" t="s">
        <v>2062</v>
      </c>
    </row>
    <row r="2755" spans="1:23" ht="13.15" customHeight="1">
      <c r="A2755" s="2" t="s">
        <v>2216</v>
      </c>
      <c r="B2755" s="2">
        <f t="shared" si="84"/>
        <v>2020</v>
      </c>
      <c r="C2755" s="2" t="str">
        <f t="shared" si="85"/>
        <v>LIM333</v>
      </c>
      <c r="D2755" s="2">
        <v>137</v>
      </c>
      <c r="F2755" s="2465"/>
      <c r="G2755" s="2465"/>
      <c r="H2755" s="2465"/>
      <c r="I2755" s="2465"/>
      <c r="J2755" s="2465"/>
      <c r="K2755" s="2465"/>
      <c r="L2755" s="2465"/>
      <c r="M2755" s="2465"/>
      <c r="N2755" s="2465"/>
      <c r="O2755" s="2465"/>
      <c r="P2755" s="2465"/>
      <c r="Q2755" s="2465"/>
      <c r="R2755" s="2465"/>
      <c r="S2755" s="2465"/>
      <c r="T2755" s="2465"/>
      <c r="U2755" s="2465"/>
      <c r="V2755" s="2465"/>
      <c r="W2755" t="s">
        <v>2062</v>
      </c>
    </row>
    <row r="2756" spans="1:23" ht="13.15" customHeight="1">
      <c r="A2756" s="2" t="s">
        <v>2216</v>
      </c>
      <c r="B2756" s="2">
        <f t="shared" si="84"/>
        <v>2020</v>
      </c>
      <c r="C2756" s="2" t="str">
        <f t="shared" si="85"/>
        <v>LIM333</v>
      </c>
      <c r="D2756" s="2">
        <v>138</v>
      </c>
      <c r="F2756" s="2465"/>
      <c r="G2756" s="2465"/>
      <c r="H2756" s="2465"/>
      <c r="I2756" s="2465"/>
      <c r="J2756" s="2465"/>
      <c r="K2756" s="2465"/>
      <c r="L2756" s="2465"/>
      <c r="M2756" s="2465"/>
      <c r="N2756" s="2465"/>
      <c r="O2756" s="2465"/>
      <c r="P2756" s="2465"/>
      <c r="Q2756" s="2465"/>
      <c r="R2756" s="2465"/>
      <c r="S2756" s="2465"/>
      <c r="T2756" s="2465"/>
      <c r="U2756" s="2465"/>
      <c r="V2756" s="2465"/>
      <c r="W2756" t="s">
        <v>2062</v>
      </c>
    </row>
    <row r="2757" spans="1:23" ht="13.15" customHeight="1">
      <c r="A2757" s="2" t="s">
        <v>2217</v>
      </c>
      <c r="B2757" s="2">
        <f t="shared" si="84"/>
        <v>2020</v>
      </c>
      <c r="C2757" s="2" t="str">
        <f t="shared" si="85"/>
        <v>LIM333</v>
      </c>
      <c r="D2757" s="2417">
        <v>0</v>
      </c>
      <c r="E2757" s="2">
        <v>1</v>
      </c>
      <c r="F2757" s="2" t="s">
        <v>571</v>
      </c>
      <c r="G2757" s="2415"/>
      <c r="H2757" s="2415"/>
      <c r="I2757" s="2415"/>
      <c r="J2757" s="2415"/>
      <c r="K2757" s="2415"/>
      <c r="L2757" s="2415"/>
      <c r="M2757" s="2415"/>
      <c r="N2757" s="2415"/>
      <c r="O2757" s="2415"/>
      <c r="P2757" s="2415"/>
      <c r="Q2757" s="2415"/>
      <c r="R2757" s="2415"/>
      <c r="W2757" t="s">
        <v>2062</v>
      </c>
    </row>
    <row r="2758" spans="1:23" ht="13.15" customHeight="1">
      <c r="A2758" s="2" t="s">
        <v>2217</v>
      </c>
      <c r="B2758" s="2">
        <f t="shared" si="84"/>
        <v>2020</v>
      </c>
      <c r="C2758" s="2" t="str">
        <f t="shared" si="85"/>
        <v>LIM333</v>
      </c>
      <c r="D2758" s="2417">
        <v>0</v>
      </c>
      <c r="E2758" s="2">
        <v>2</v>
      </c>
      <c r="F2758" s="2448" t="s">
        <v>468</v>
      </c>
      <c r="G2758" s="2415"/>
      <c r="H2758" s="2415"/>
      <c r="I2758" s="2415"/>
      <c r="J2758" s="2415"/>
      <c r="K2758" s="2415"/>
      <c r="L2758" s="2415"/>
      <c r="M2758" s="2415"/>
      <c r="N2758" s="2415"/>
      <c r="O2758" s="2415"/>
      <c r="P2758" s="2415"/>
      <c r="Q2758" s="2415"/>
      <c r="R2758" s="2415"/>
      <c r="W2758" t="s">
        <v>2062</v>
      </c>
    </row>
    <row r="2759" spans="1:23" ht="13.15" customHeight="1">
      <c r="A2759" s="2" t="s">
        <v>2217</v>
      </c>
      <c r="B2759" s="2">
        <f t="shared" si="84"/>
        <v>2020</v>
      </c>
      <c r="C2759" s="2" t="str">
        <f t="shared" si="85"/>
        <v>LIM333</v>
      </c>
      <c r="D2759" s="2417">
        <v>0</v>
      </c>
      <c r="E2759" s="2">
        <v>3</v>
      </c>
      <c r="F2759" s="2448" t="s">
        <v>1409</v>
      </c>
      <c r="G2759" s="2415"/>
      <c r="H2759" s="2415"/>
      <c r="I2759" s="2415"/>
      <c r="J2759" s="2415"/>
      <c r="K2759" s="2415"/>
      <c r="L2759" s="2415"/>
      <c r="M2759" s="2415"/>
      <c r="N2759" s="2415"/>
      <c r="O2759" s="2415"/>
      <c r="P2759" s="2415"/>
      <c r="Q2759" s="2415"/>
      <c r="R2759" s="2415"/>
      <c r="W2759" t="s">
        <v>2062</v>
      </c>
    </row>
    <row r="2760" spans="1:23" ht="13.15" customHeight="1">
      <c r="A2760" s="2" t="s">
        <v>2217</v>
      </c>
      <c r="B2760" s="2">
        <f t="shared" si="84"/>
        <v>2020</v>
      </c>
      <c r="C2760" s="2" t="str">
        <f t="shared" si="85"/>
        <v>LIM333</v>
      </c>
      <c r="D2760" s="2417">
        <v>0</v>
      </c>
      <c r="E2760" s="2">
        <v>4</v>
      </c>
      <c r="F2760" s="2448" t="s">
        <v>1563</v>
      </c>
      <c r="G2760" s="2415"/>
      <c r="H2760" s="2415"/>
      <c r="I2760" s="2415"/>
      <c r="J2760" s="2415"/>
      <c r="K2760" s="2415"/>
      <c r="L2760" s="2415"/>
      <c r="M2760" s="2415"/>
      <c r="N2760" s="2415"/>
      <c r="O2760" s="2415"/>
      <c r="P2760" s="2415"/>
      <c r="Q2760" s="2415"/>
      <c r="R2760" s="2415"/>
      <c r="W2760" t="s">
        <v>2062</v>
      </c>
    </row>
    <row r="2761" spans="1:23" ht="13.15" customHeight="1">
      <c r="A2761" s="2" t="s">
        <v>2217</v>
      </c>
      <c r="B2761" s="2">
        <f t="shared" si="84"/>
        <v>2020</v>
      </c>
      <c r="C2761" s="2" t="str">
        <f t="shared" si="85"/>
        <v>LIM333</v>
      </c>
      <c r="D2761" s="2417">
        <v>0</v>
      </c>
      <c r="E2761" s="2">
        <v>5</v>
      </c>
      <c r="F2761" s="2448" t="s">
        <v>1564</v>
      </c>
      <c r="G2761" s="2415"/>
      <c r="H2761" s="2415"/>
      <c r="I2761" s="2415"/>
      <c r="J2761" s="2415"/>
      <c r="K2761" s="2415"/>
      <c r="L2761" s="2415"/>
      <c r="M2761" s="2415"/>
      <c r="N2761" s="2415"/>
      <c r="O2761" s="2415"/>
      <c r="P2761" s="2415"/>
      <c r="Q2761" s="2415"/>
      <c r="R2761" s="2415"/>
      <c r="W2761" t="s">
        <v>2062</v>
      </c>
    </row>
    <row r="2762" spans="1:23" ht="13.15" customHeight="1">
      <c r="A2762" s="2" t="s">
        <v>2217</v>
      </c>
      <c r="B2762" s="2">
        <f t="shared" si="84"/>
        <v>2020</v>
      </c>
      <c r="C2762" s="2" t="str">
        <f t="shared" si="85"/>
        <v>LIM333</v>
      </c>
      <c r="D2762" s="2417">
        <v>0</v>
      </c>
      <c r="E2762" s="2">
        <v>6</v>
      </c>
      <c r="F2762" s="2448" t="s">
        <v>805</v>
      </c>
      <c r="G2762" s="2415"/>
      <c r="H2762" s="2415"/>
      <c r="I2762" s="2415"/>
      <c r="J2762" s="2415"/>
      <c r="K2762" s="2415"/>
      <c r="L2762" s="2415"/>
      <c r="M2762" s="2415"/>
      <c r="N2762" s="2415"/>
      <c r="O2762" s="2415"/>
      <c r="P2762" s="2415"/>
      <c r="Q2762" s="2415"/>
      <c r="R2762" s="2415"/>
      <c r="W2762" t="s">
        <v>2062</v>
      </c>
    </row>
    <row r="2763" spans="1:23" ht="13.15" customHeight="1">
      <c r="A2763" s="2" t="s">
        <v>2217</v>
      </c>
      <c r="B2763" s="2">
        <f t="shared" si="84"/>
        <v>2020</v>
      </c>
      <c r="C2763" s="2" t="str">
        <f t="shared" si="85"/>
        <v>LIM333</v>
      </c>
      <c r="D2763" s="2417">
        <v>0</v>
      </c>
      <c r="E2763" s="2">
        <v>7</v>
      </c>
      <c r="F2763" s="2448" t="s">
        <v>909</v>
      </c>
      <c r="G2763" s="2415"/>
      <c r="H2763" s="2415"/>
      <c r="I2763" s="2415"/>
      <c r="J2763" s="2415"/>
      <c r="K2763" s="2415"/>
      <c r="L2763" s="2415"/>
      <c r="M2763" s="2415"/>
      <c r="N2763" s="2415"/>
      <c r="O2763" s="2415"/>
      <c r="P2763" s="2415"/>
      <c r="Q2763" s="2415"/>
      <c r="R2763" s="2415"/>
      <c r="W2763" t="s">
        <v>2062</v>
      </c>
    </row>
    <row r="2764" spans="1:23" ht="13.15" customHeight="1">
      <c r="A2764" s="2" t="s">
        <v>2217</v>
      </c>
      <c r="B2764" s="2">
        <f t="shared" si="84"/>
        <v>2020</v>
      </c>
      <c r="C2764" s="2" t="str">
        <f t="shared" si="85"/>
        <v>LIM333</v>
      </c>
      <c r="D2764" s="2417">
        <v>0</v>
      </c>
      <c r="E2764" s="2">
        <v>8</v>
      </c>
      <c r="F2764" s="2448" t="s">
        <v>807</v>
      </c>
      <c r="G2764" s="2415"/>
      <c r="H2764" s="2415"/>
      <c r="I2764" s="2415"/>
      <c r="J2764" s="2415"/>
      <c r="K2764" s="2415"/>
      <c r="L2764" s="2415"/>
      <c r="M2764" s="2415"/>
      <c r="N2764" s="2415"/>
      <c r="O2764" s="2415"/>
      <c r="P2764" s="2415"/>
      <c r="Q2764" s="2415"/>
      <c r="R2764" s="2415"/>
      <c r="W2764" t="s">
        <v>2062</v>
      </c>
    </row>
    <row r="2765" spans="1:23" ht="13.15" customHeight="1">
      <c r="A2765" s="2" t="s">
        <v>2217</v>
      </c>
      <c r="B2765" s="2">
        <f t="shared" si="84"/>
        <v>2020</v>
      </c>
      <c r="C2765" s="2" t="str">
        <f t="shared" si="85"/>
        <v>LIM333</v>
      </c>
      <c r="D2765" s="2417">
        <v>0</v>
      </c>
      <c r="E2765" s="2">
        <v>9</v>
      </c>
      <c r="F2765" s="2448" t="s">
        <v>1411</v>
      </c>
      <c r="G2765" s="2415"/>
      <c r="H2765" s="2415"/>
      <c r="I2765" s="2415"/>
      <c r="J2765" s="2415"/>
      <c r="K2765" s="2415"/>
      <c r="L2765" s="2415"/>
      <c r="M2765" s="2415"/>
      <c r="N2765" s="2415"/>
      <c r="O2765" s="2415"/>
      <c r="P2765" s="2415"/>
      <c r="Q2765" s="2415"/>
      <c r="R2765" s="2415"/>
      <c r="W2765" t="s">
        <v>2062</v>
      </c>
    </row>
    <row r="2766" spans="1:23" ht="13.15" customHeight="1">
      <c r="A2766" s="2" t="s">
        <v>2217</v>
      </c>
      <c r="B2766" s="2">
        <f t="shared" si="84"/>
        <v>2020</v>
      </c>
      <c r="C2766" s="2" t="str">
        <f t="shared" si="85"/>
        <v>LIM333</v>
      </c>
      <c r="D2766" s="2417">
        <v>0</v>
      </c>
      <c r="E2766" s="2">
        <v>10</v>
      </c>
      <c r="F2766" s="2448" t="s">
        <v>403</v>
      </c>
      <c r="G2766" s="2415"/>
      <c r="H2766" s="2415"/>
      <c r="I2766" s="2415"/>
      <c r="J2766" s="2415"/>
      <c r="K2766" s="2415"/>
      <c r="L2766" s="2415"/>
      <c r="M2766" s="2415"/>
      <c r="N2766" s="2415"/>
      <c r="O2766" s="2415"/>
      <c r="P2766" s="2415"/>
      <c r="Q2766" s="2415"/>
      <c r="R2766" s="2415"/>
      <c r="W2766" t="s">
        <v>2062</v>
      </c>
    </row>
    <row r="2767" spans="1:23" ht="13.15" customHeight="1">
      <c r="A2767" s="2" t="s">
        <v>2217</v>
      </c>
      <c r="B2767" s="2">
        <f t="shared" si="84"/>
        <v>2020</v>
      </c>
      <c r="C2767" s="2" t="str">
        <f t="shared" si="85"/>
        <v>LIM333</v>
      </c>
      <c r="D2767" s="2417">
        <v>0</v>
      </c>
      <c r="E2767" s="2">
        <v>11</v>
      </c>
      <c r="F2767" s="2448" t="s">
        <v>404</v>
      </c>
      <c r="G2767" s="2415"/>
      <c r="H2767" s="2415"/>
      <c r="I2767" s="2415"/>
      <c r="J2767" s="2415"/>
      <c r="K2767" s="2415"/>
      <c r="L2767" s="2415"/>
      <c r="M2767" s="2415"/>
      <c r="N2767" s="2415"/>
      <c r="O2767" s="2415"/>
      <c r="P2767" s="2415"/>
      <c r="Q2767" s="2415"/>
      <c r="R2767" s="2415"/>
      <c r="W2767" t="s">
        <v>2062</v>
      </c>
    </row>
    <row r="2768" spans="1:23" ht="13.15" customHeight="1">
      <c r="A2768" s="2" t="s">
        <v>2217</v>
      </c>
      <c r="B2768" s="2">
        <f t="shared" si="84"/>
        <v>2020</v>
      </c>
      <c r="C2768" s="2" t="str">
        <f t="shared" si="85"/>
        <v>LIM333</v>
      </c>
      <c r="D2768" s="2417">
        <v>0</v>
      </c>
      <c r="E2768" s="2">
        <v>12</v>
      </c>
      <c r="F2768" s="2448" t="s">
        <v>1343</v>
      </c>
      <c r="G2768" s="2415"/>
      <c r="H2768" s="2415"/>
      <c r="I2768" s="2415"/>
      <c r="J2768" s="2415"/>
      <c r="K2768" s="2415"/>
      <c r="L2768" s="2415"/>
      <c r="M2768" s="2415"/>
      <c r="N2768" s="2415"/>
      <c r="O2768" s="2415"/>
      <c r="P2768" s="2415"/>
      <c r="Q2768" s="2415"/>
      <c r="R2768" s="2415"/>
      <c r="W2768" t="s">
        <v>2062</v>
      </c>
    </row>
    <row r="2769" spans="1:23" ht="13.15" customHeight="1">
      <c r="A2769" s="2" t="s">
        <v>2217</v>
      </c>
      <c r="B2769" s="2">
        <f t="shared" si="84"/>
        <v>2020</v>
      </c>
      <c r="C2769" s="2" t="str">
        <f t="shared" si="85"/>
        <v>LIM333</v>
      </c>
      <c r="D2769" s="2417">
        <v>0</v>
      </c>
      <c r="E2769" s="2">
        <v>13</v>
      </c>
      <c r="F2769" s="2448" t="s">
        <v>405</v>
      </c>
      <c r="G2769" s="2415"/>
      <c r="H2769" s="2415"/>
      <c r="I2769" s="2415"/>
      <c r="J2769" s="2415"/>
      <c r="K2769" s="2415"/>
      <c r="L2769" s="2415"/>
      <c r="M2769" s="2415"/>
      <c r="N2769" s="2415"/>
      <c r="O2769" s="2415"/>
      <c r="P2769" s="2415"/>
      <c r="Q2769" s="2415"/>
      <c r="R2769" s="2415"/>
      <c r="W2769" t="s">
        <v>2062</v>
      </c>
    </row>
    <row r="2770" spans="1:23" ht="13.15" customHeight="1">
      <c r="A2770" s="2" t="s">
        <v>2217</v>
      </c>
      <c r="B2770" s="2">
        <f t="shared" si="84"/>
        <v>2020</v>
      </c>
      <c r="C2770" s="2" t="str">
        <f t="shared" si="85"/>
        <v>LIM333</v>
      </c>
      <c r="D2770" s="2417">
        <v>0</v>
      </c>
      <c r="E2770" s="2">
        <v>14</v>
      </c>
      <c r="F2770" s="2448" t="s">
        <v>406</v>
      </c>
      <c r="G2770" s="2415"/>
      <c r="H2770" s="2415"/>
      <c r="I2770" s="2415"/>
      <c r="J2770" s="2415"/>
      <c r="K2770" s="2415"/>
      <c r="L2770" s="2415"/>
      <c r="M2770" s="2415"/>
      <c r="N2770" s="2415"/>
      <c r="O2770" s="2415"/>
      <c r="P2770" s="2415"/>
      <c r="Q2770" s="2415"/>
      <c r="R2770" s="2415"/>
      <c r="W2770" t="s">
        <v>2062</v>
      </c>
    </row>
    <row r="2771" spans="1:23" ht="13.15" customHeight="1">
      <c r="A2771" s="2" t="s">
        <v>2217</v>
      </c>
      <c r="B2771" s="2">
        <f t="shared" si="84"/>
        <v>2020</v>
      </c>
      <c r="C2771" s="2" t="str">
        <f t="shared" si="85"/>
        <v>LIM333</v>
      </c>
      <c r="D2771" s="2417">
        <v>0</v>
      </c>
      <c r="E2771" s="2">
        <v>15</v>
      </c>
      <c r="F2771" s="2448" t="s">
        <v>1324</v>
      </c>
      <c r="G2771" s="2415"/>
      <c r="H2771" s="2415"/>
      <c r="I2771" s="2415"/>
      <c r="J2771" s="2415"/>
      <c r="K2771" s="2415"/>
      <c r="L2771" s="2415"/>
      <c r="M2771" s="2415"/>
      <c r="N2771" s="2415"/>
      <c r="O2771" s="2415"/>
      <c r="P2771" s="2415"/>
      <c r="Q2771" s="2415"/>
      <c r="R2771" s="2415"/>
      <c r="W2771" t="s">
        <v>2062</v>
      </c>
    </row>
    <row r="2772" spans="1:23" ht="13.15" customHeight="1">
      <c r="A2772" s="2" t="s">
        <v>2217</v>
      </c>
      <c r="B2772" s="2">
        <f t="shared" si="84"/>
        <v>2020</v>
      </c>
      <c r="C2772" s="2" t="str">
        <f t="shared" si="85"/>
        <v>LIM333</v>
      </c>
      <c r="D2772" s="2417">
        <v>0</v>
      </c>
      <c r="E2772" s="2">
        <v>16</v>
      </c>
      <c r="F2772" s="2448" t="s">
        <v>29</v>
      </c>
      <c r="G2772" s="2415"/>
      <c r="H2772" s="2415"/>
      <c r="I2772" s="2415"/>
      <c r="J2772" s="2415"/>
      <c r="K2772" s="2415"/>
      <c r="L2772" s="2415"/>
      <c r="M2772" s="2415"/>
      <c r="N2772" s="2415"/>
      <c r="O2772" s="2415"/>
      <c r="P2772" s="2415"/>
      <c r="Q2772" s="2415"/>
      <c r="R2772" s="2415"/>
      <c r="W2772" t="s">
        <v>2062</v>
      </c>
    </row>
    <row r="2773" spans="1:23" ht="13.15" customHeight="1">
      <c r="A2773" s="2" t="s">
        <v>2217</v>
      </c>
      <c r="B2773" s="2">
        <f t="shared" si="84"/>
        <v>2020</v>
      </c>
      <c r="C2773" s="2" t="str">
        <f t="shared" si="85"/>
        <v>LIM333</v>
      </c>
      <c r="D2773" s="2417">
        <v>0</v>
      </c>
      <c r="E2773" s="2">
        <v>17</v>
      </c>
      <c r="F2773" s="2448" t="s">
        <v>1368</v>
      </c>
      <c r="G2773" s="2415"/>
      <c r="H2773" s="2415"/>
      <c r="I2773" s="2415"/>
      <c r="J2773" s="2415"/>
      <c r="K2773" s="2415"/>
      <c r="L2773" s="2415"/>
      <c r="M2773" s="2415"/>
      <c r="N2773" s="2415"/>
      <c r="O2773" s="2415"/>
      <c r="P2773" s="2415"/>
      <c r="Q2773" s="2415"/>
      <c r="R2773" s="2415"/>
      <c r="W2773" t="s">
        <v>2062</v>
      </c>
    </row>
    <row r="2774" spans="1:23" ht="13.15" customHeight="1">
      <c r="A2774" s="2" t="s">
        <v>2217</v>
      </c>
      <c r="B2774" s="2">
        <f t="shared" si="84"/>
        <v>2020</v>
      </c>
      <c r="C2774" s="2" t="str">
        <f t="shared" si="85"/>
        <v>LIM333</v>
      </c>
      <c r="D2774" s="2417">
        <v>0</v>
      </c>
      <c r="E2774" s="2">
        <v>18</v>
      </c>
      <c r="F2774" s="2448" t="s">
        <v>407</v>
      </c>
      <c r="G2774" s="2415"/>
      <c r="H2774" s="2415"/>
      <c r="I2774" s="2415"/>
      <c r="J2774" s="2415"/>
      <c r="K2774" s="2415"/>
      <c r="L2774" s="2415"/>
      <c r="M2774" s="2415"/>
      <c r="N2774" s="2415"/>
      <c r="O2774" s="2415"/>
      <c r="P2774" s="2415"/>
      <c r="Q2774" s="2415"/>
      <c r="R2774" s="2415"/>
      <c r="W2774" t="s">
        <v>2062</v>
      </c>
    </row>
    <row r="2775" spans="1:23" ht="13.15" customHeight="1">
      <c r="A2775" s="2" t="s">
        <v>2217</v>
      </c>
      <c r="B2775" s="2">
        <f t="shared" si="84"/>
        <v>2020</v>
      </c>
      <c r="C2775" s="2" t="str">
        <f t="shared" si="85"/>
        <v>LIM333</v>
      </c>
      <c r="D2775" s="2417">
        <v>0</v>
      </c>
      <c r="E2775" s="2">
        <v>19</v>
      </c>
      <c r="F2775" s="2449" t="s">
        <v>910</v>
      </c>
      <c r="G2775" s="2415"/>
      <c r="H2775" s="2415"/>
      <c r="I2775" s="2415"/>
      <c r="J2775" s="2415"/>
      <c r="K2775" s="2415"/>
      <c r="L2775" s="2415"/>
      <c r="M2775" s="2415"/>
      <c r="N2775" s="2415"/>
      <c r="O2775" s="2415"/>
      <c r="P2775" s="2415"/>
      <c r="Q2775" s="2415"/>
      <c r="R2775" s="2415"/>
      <c r="W2775" t="s">
        <v>2062</v>
      </c>
    </row>
    <row r="2776" spans="1:23" ht="13.15" customHeight="1">
      <c r="A2776" s="2" t="s">
        <v>2217</v>
      </c>
      <c r="B2776" s="2">
        <f t="shared" si="84"/>
        <v>2020</v>
      </c>
      <c r="C2776" s="2" t="str">
        <f t="shared" si="85"/>
        <v>LIM333</v>
      </c>
      <c r="D2776" s="2417">
        <v>0</v>
      </c>
      <c r="E2776" s="2">
        <v>20</v>
      </c>
      <c r="F2776" s="2449"/>
      <c r="G2776" s="2415"/>
      <c r="H2776" s="2415"/>
      <c r="I2776" s="2415"/>
      <c r="J2776" s="2415"/>
      <c r="K2776" s="2415"/>
      <c r="L2776" s="2415"/>
      <c r="M2776" s="2415"/>
      <c r="N2776" s="2415"/>
      <c r="O2776" s="2415"/>
      <c r="P2776" s="2415"/>
      <c r="Q2776" s="2415"/>
      <c r="R2776" s="2415"/>
      <c r="W2776" t="s">
        <v>2062</v>
      </c>
    </row>
    <row r="2777" spans="1:23" ht="13.15" customHeight="1">
      <c r="A2777" s="2" t="s">
        <v>2217</v>
      </c>
      <c r="B2777" s="2">
        <f t="shared" si="84"/>
        <v>2020</v>
      </c>
      <c r="C2777" s="2" t="str">
        <f t="shared" si="85"/>
        <v>LIM333</v>
      </c>
      <c r="D2777" s="2417">
        <v>0</v>
      </c>
      <c r="E2777" s="2">
        <v>21</v>
      </c>
      <c r="F2777" s="2449" t="s">
        <v>1446</v>
      </c>
      <c r="G2777" s="2415"/>
      <c r="H2777" s="2415"/>
      <c r="I2777" s="2415"/>
      <c r="J2777" s="2415"/>
      <c r="K2777" s="2415"/>
      <c r="L2777" s="2415"/>
      <c r="M2777" s="2415"/>
      <c r="N2777" s="2415"/>
      <c r="O2777" s="2415"/>
      <c r="P2777" s="2415"/>
      <c r="Q2777" s="2415"/>
      <c r="R2777" s="2415"/>
      <c r="W2777" t="s">
        <v>2062</v>
      </c>
    </row>
    <row r="2778" spans="1:23" ht="13.15" customHeight="1">
      <c r="A2778" s="2" t="s">
        <v>2217</v>
      </c>
      <c r="B2778" s="2">
        <f t="shared" si="84"/>
        <v>2020</v>
      </c>
      <c r="C2778" s="2" t="str">
        <f t="shared" si="85"/>
        <v>LIM333</v>
      </c>
      <c r="D2778" s="2417">
        <v>0</v>
      </c>
      <c r="E2778" s="2">
        <v>22</v>
      </c>
      <c r="F2778" s="2449" t="s">
        <v>408</v>
      </c>
      <c r="G2778" s="2415"/>
      <c r="H2778" s="2415"/>
      <c r="I2778" s="2415"/>
      <c r="J2778" s="2415"/>
      <c r="K2778" s="2415"/>
      <c r="L2778" s="2415"/>
      <c r="M2778" s="2415"/>
      <c r="N2778" s="2415"/>
      <c r="O2778" s="2415"/>
      <c r="P2778" s="2415"/>
      <c r="Q2778" s="2415"/>
      <c r="R2778" s="2415"/>
      <c r="W2778" t="s">
        <v>2062</v>
      </c>
    </row>
    <row r="2779" spans="1:23" ht="13.15" customHeight="1">
      <c r="A2779" s="2" t="s">
        <v>2217</v>
      </c>
      <c r="B2779" s="2">
        <f t="shared" si="84"/>
        <v>2020</v>
      </c>
      <c r="C2779" s="2" t="str">
        <f t="shared" si="85"/>
        <v>LIM333</v>
      </c>
      <c r="D2779" s="2417">
        <v>0</v>
      </c>
      <c r="E2779" s="2">
        <v>23</v>
      </c>
      <c r="F2779" s="2449" t="s">
        <v>459</v>
      </c>
      <c r="G2779" s="2415"/>
      <c r="H2779" s="2415"/>
      <c r="I2779" s="2415"/>
      <c r="J2779" s="2415"/>
      <c r="K2779" s="2415"/>
      <c r="L2779" s="2415"/>
      <c r="M2779" s="2415"/>
      <c r="N2779" s="2415"/>
      <c r="O2779" s="2415"/>
      <c r="P2779" s="2415"/>
      <c r="Q2779" s="2415"/>
      <c r="R2779" s="2415"/>
      <c r="W2779" t="s">
        <v>2062</v>
      </c>
    </row>
    <row r="2780" spans="1:23" ht="13.15" customHeight="1">
      <c r="A2780" s="2" t="s">
        <v>2217</v>
      </c>
      <c r="B2780" s="2">
        <f t="shared" si="84"/>
        <v>2020</v>
      </c>
      <c r="C2780" s="2" t="str">
        <f t="shared" si="85"/>
        <v>LIM333</v>
      </c>
      <c r="D2780" s="2417">
        <v>0</v>
      </c>
      <c r="E2780" s="2">
        <v>24</v>
      </c>
      <c r="F2780" s="2449" t="s">
        <v>1289</v>
      </c>
      <c r="G2780" s="2415"/>
      <c r="H2780" s="2415"/>
      <c r="I2780" s="2415"/>
      <c r="J2780" s="2415"/>
      <c r="K2780" s="2415"/>
      <c r="L2780" s="2415"/>
      <c r="M2780" s="2415"/>
      <c r="N2780" s="2415"/>
      <c r="O2780" s="2415"/>
      <c r="P2780" s="2415"/>
      <c r="Q2780" s="2415"/>
      <c r="R2780" s="2415"/>
      <c r="W2780" t="s">
        <v>2062</v>
      </c>
    </row>
    <row r="2781" spans="1:23" ht="13.15" customHeight="1">
      <c r="A2781" s="2" t="s">
        <v>2217</v>
      </c>
      <c r="B2781" s="2">
        <f t="shared" si="84"/>
        <v>2020</v>
      </c>
      <c r="C2781" s="2" t="str">
        <f t="shared" si="85"/>
        <v>LIM333</v>
      </c>
      <c r="D2781" s="2417">
        <v>0</v>
      </c>
      <c r="E2781" s="2">
        <v>25</v>
      </c>
      <c r="F2781" s="2449" t="s">
        <v>1313</v>
      </c>
      <c r="G2781" s="2415"/>
      <c r="H2781" s="2415"/>
      <c r="I2781" s="2415"/>
      <c r="J2781" s="2415"/>
      <c r="K2781" s="2415"/>
      <c r="L2781" s="2415"/>
      <c r="M2781" s="2415"/>
      <c r="N2781" s="2415"/>
      <c r="O2781" s="2415"/>
      <c r="P2781" s="2415"/>
      <c r="Q2781" s="2415"/>
      <c r="R2781" s="2415"/>
      <c r="W2781" t="s">
        <v>2062</v>
      </c>
    </row>
    <row r="2782" spans="1:23" ht="13.15" customHeight="1">
      <c r="A2782" s="2" t="s">
        <v>2217</v>
      </c>
      <c r="B2782" s="2">
        <f t="shared" si="84"/>
        <v>2020</v>
      </c>
      <c r="C2782" s="2" t="str">
        <f t="shared" si="85"/>
        <v>LIM333</v>
      </c>
      <c r="D2782" s="2417">
        <v>0</v>
      </c>
      <c r="E2782" s="2">
        <v>26</v>
      </c>
      <c r="F2782" s="2449" t="s">
        <v>1367</v>
      </c>
      <c r="G2782" s="2415"/>
      <c r="H2782" s="2415"/>
      <c r="I2782" s="2415"/>
      <c r="J2782" s="2415"/>
      <c r="K2782" s="2415"/>
      <c r="L2782" s="2415"/>
      <c r="M2782" s="2415"/>
      <c r="N2782" s="2415"/>
      <c r="O2782" s="2415"/>
      <c r="P2782" s="2415"/>
      <c r="Q2782" s="2415"/>
      <c r="R2782" s="2415"/>
      <c r="W2782" t="s">
        <v>2062</v>
      </c>
    </row>
    <row r="2783" spans="1:23" ht="13.15" customHeight="1">
      <c r="A2783" s="2" t="s">
        <v>2217</v>
      </c>
      <c r="B2783" s="2">
        <f t="shared" si="84"/>
        <v>2020</v>
      </c>
      <c r="C2783" s="2" t="str">
        <f t="shared" si="85"/>
        <v>LIM333</v>
      </c>
      <c r="D2783" s="2417">
        <v>0</v>
      </c>
      <c r="E2783" s="2">
        <v>27</v>
      </c>
      <c r="F2783" s="2449" t="s">
        <v>410</v>
      </c>
      <c r="G2783" s="2415"/>
      <c r="H2783" s="2415"/>
      <c r="I2783" s="2415"/>
      <c r="J2783" s="2415"/>
      <c r="K2783" s="2415"/>
      <c r="L2783" s="2415"/>
      <c r="M2783" s="2415"/>
      <c r="N2783" s="2415"/>
      <c r="O2783" s="2415"/>
      <c r="P2783" s="2415"/>
      <c r="Q2783" s="2415"/>
      <c r="R2783" s="2415"/>
      <c r="W2783" t="s">
        <v>2062</v>
      </c>
    </row>
    <row r="2784" spans="1:23" ht="13.15" customHeight="1">
      <c r="A2784" s="2" t="s">
        <v>2217</v>
      </c>
      <c r="B2784" s="2">
        <f t="shared" si="84"/>
        <v>2020</v>
      </c>
      <c r="C2784" s="2" t="str">
        <f t="shared" si="85"/>
        <v>LIM333</v>
      </c>
      <c r="D2784" s="2417">
        <v>0</v>
      </c>
      <c r="E2784" s="2">
        <v>28</v>
      </c>
      <c r="F2784" s="2449" t="s">
        <v>1342</v>
      </c>
      <c r="G2784" s="2415"/>
      <c r="H2784" s="2415"/>
      <c r="I2784" s="2415"/>
      <c r="J2784" s="2415"/>
      <c r="K2784" s="2415"/>
      <c r="L2784" s="2415"/>
      <c r="M2784" s="2415"/>
      <c r="N2784" s="2415"/>
      <c r="O2784" s="2415"/>
      <c r="P2784" s="2415"/>
      <c r="Q2784" s="2415"/>
      <c r="R2784" s="2415"/>
      <c r="W2784" t="s">
        <v>2062</v>
      </c>
    </row>
    <row r="2785" spans="1:23" ht="13.15" customHeight="1">
      <c r="A2785" s="2" t="s">
        <v>2217</v>
      </c>
      <c r="B2785" s="2">
        <f t="shared" si="84"/>
        <v>2020</v>
      </c>
      <c r="C2785" s="2" t="str">
        <f t="shared" si="85"/>
        <v>LIM333</v>
      </c>
      <c r="D2785" s="2417">
        <v>0</v>
      </c>
      <c r="E2785" s="2">
        <v>29</v>
      </c>
      <c r="F2785" s="2449" t="s">
        <v>411</v>
      </c>
      <c r="G2785" s="2415"/>
      <c r="H2785" s="2415"/>
      <c r="I2785" s="2415"/>
      <c r="J2785" s="2415"/>
      <c r="K2785" s="2415"/>
      <c r="L2785" s="2415"/>
      <c r="M2785" s="2415"/>
      <c r="N2785" s="2415"/>
      <c r="O2785" s="2415"/>
      <c r="P2785" s="2415"/>
      <c r="Q2785" s="2415"/>
      <c r="R2785" s="2415"/>
      <c r="W2785" t="s">
        <v>2062</v>
      </c>
    </row>
    <row r="2786" spans="1:23" ht="13.15" customHeight="1">
      <c r="A2786" s="2" t="s">
        <v>2217</v>
      </c>
      <c r="B2786" s="2">
        <f t="shared" si="84"/>
        <v>2020</v>
      </c>
      <c r="C2786" s="2" t="str">
        <f t="shared" si="85"/>
        <v>LIM333</v>
      </c>
      <c r="D2786" s="2417">
        <v>0</v>
      </c>
      <c r="E2786" s="2">
        <v>30</v>
      </c>
      <c r="F2786" s="2449" t="s">
        <v>676</v>
      </c>
      <c r="G2786" s="2415"/>
      <c r="H2786" s="2415"/>
      <c r="I2786" s="2415"/>
      <c r="J2786" s="2415"/>
      <c r="K2786" s="2415"/>
      <c r="L2786" s="2415"/>
      <c r="M2786" s="2415"/>
      <c r="N2786" s="2415"/>
      <c r="O2786" s="2415"/>
      <c r="P2786" s="2415"/>
      <c r="Q2786" s="2415"/>
      <c r="R2786" s="2415"/>
      <c r="W2786" t="s">
        <v>2062</v>
      </c>
    </row>
    <row r="2787" spans="1:23" ht="13.15" customHeight="1">
      <c r="A2787" s="2" t="s">
        <v>2217</v>
      </c>
      <c r="B2787" s="2">
        <f t="shared" si="84"/>
        <v>2020</v>
      </c>
      <c r="C2787" s="2" t="str">
        <f t="shared" si="85"/>
        <v>LIM333</v>
      </c>
      <c r="D2787" s="2417">
        <v>0</v>
      </c>
      <c r="E2787" s="2">
        <v>31</v>
      </c>
      <c r="F2787" s="2449" t="s">
        <v>829</v>
      </c>
      <c r="G2787" s="2415"/>
      <c r="H2787" s="2415"/>
      <c r="I2787" s="2415"/>
      <c r="J2787" s="2415"/>
      <c r="K2787" s="2415"/>
      <c r="L2787" s="2415"/>
      <c r="M2787" s="2415"/>
      <c r="N2787" s="2415"/>
      <c r="O2787" s="2415"/>
      <c r="P2787" s="2415"/>
      <c r="Q2787" s="2415"/>
      <c r="R2787" s="2415"/>
      <c r="W2787" t="s">
        <v>2062</v>
      </c>
    </row>
    <row r="2788" spans="1:23" ht="13.15" customHeight="1">
      <c r="A2788" s="2" t="s">
        <v>2217</v>
      </c>
      <c r="B2788" s="2">
        <f t="shared" si="84"/>
        <v>2020</v>
      </c>
      <c r="C2788" s="2" t="str">
        <f t="shared" si="85"/>
        <v>LIM333</v>
      </c>
      <c r="D2788" s="2417">
        <v>0</v>
      </c>
      <c r="E2788" s="2">
        <v>32</v>
      </c>
      <c r="F2788" s="2448" t="s">
        <v>342</v>
      </c>
      <c r="G2788" s="2415"/>
      <c r="H2788" s="2415"/>
      <c r="I2788" s="2415"/>
      <c r="J2788" s="2415"/>
      <c r="K2788" s="2415"/>
      <c r="L2788" s="2415"/>
      <c r="M2788" s="2415"/>
      <c r="N2788" s="2415"/>
      <c r="O2788" s="2415"/>
      <c r="P2788" s="2415"/>
      <c r="Q2788" s="2415"/>
      <c r="R2788" s="2415"/>
      <c r="W2788" t="s">
        <v>2062</v>
      </c>
    </row>
    <row r="2789" spans="1:23" ht="13.15" customHeight="1">
      <c r="A2789" s="2" t="s">
        <v>2217</v>
      </c>
      <c r="B2789" s="2">
        <f t="shared" si="84"/>
        <v>2020</v>
      </c>
      <c r="C2789" s="2" t="str">
        <f t="shared" si="85"/>
        <v>LIM333</v>
      </c>
      <c r="D2789" s="2417">
        <v>0</v>
      </c>
      <c r="E2789" s="2">
        <v>33</v>
      </c>
      <c r="F2789" s="2448" t="s">
        <v>1447</v>
      </c>
      <c r="G2789" s="2415"/>
      <c r="H2789" s="2415"/>
      <c r="I2789" s="2415"/>
      <c r="J2789" s="2415"/>
      <c r="K2789" s="2415"/>
      <c r="L2789" s="2415"/>
      <c r="M2789" s="2415"/>
      <c r="N2789" s="2415"/>
      <c r="O2789" s="2415"/>
      <c r="P2789" s="2415"/>
      <c r="Q2789" s="2415"/>
      <c r="R2789" s="2415"/>
      <c r="W2789" t="s">
        <v>2062</v>
      </c>
    </row>
    <row r="2790" spans="1:23" ht="13.15" customHeight="1">
      <c r="A2790" s="2" t="s">
        <v>2217</v>
      </c>
      <c r="B2790" s="2">
        <f t="shared" si="84"/>
        <v>2020</v>
      </c>
      <c r="C2790" s="2" t="str">
        <f t="shared" si="85"/>
        <v>LIM333</v>
      </c>
      <c r="D2790" s="2417">
        <v>0</v>
      </c>
      <c r="E2790" s="2">
        <v>34</v>
      </c>
      <c r="F2790" s="2448"/>
      <c r="G2790" s="2415"/>
      <c r="H2790" s="2415"/>
      <c r="I2790" s="2415"/>
      <c r="J2790" s="2415"/>
      <c r="K2790" s="2415"/>
      <c r="L2790" s="2415"/>
      <c r="M2790" s="2415"/>
      <c r="N2790" s="2415"/>
      <c r="O2790" s="2415"/>
      <c r="P2790" s="2415"/>
      <c r="Q2790" s="2415"/>
      <c r="R2790" s="2415"/>
      <c r="W2790" t="s">
        <v>2062</v>
      </c>
    </row>
    <row r="2791" spans="1:23" ht="13.15" customHeight="1">
      <c r="A2791" s="2" t="s">
        <v>2217</v>
      </c>
      <c r="B2791" s="2">
        <f t="shared" si="84"/>
        <v>2020</v>
      </c>
      <c r="C2791" s="2" t="str">
        <f t="shared" si="85"/>
        <v>LIM333</v>
      </c>
      <c r="D2791" s="2417">
        <v>0</v>
      </c>
      <c r="E2791" s="2">
        <v>35</v>
      </c>
      <c r="F2791" s="2448" t="s">
        <v>1494</v>
      </c>
      <c r="G2791" s="2415"/>
      <c r="H2791" s="2415"/>
      <c r="I2791" s="2415"/>
      <c r="J2791" s="2415"/>
      <c r="K2791" s="2415"/>
      <c r="L2791" s="2415"/>
      <c r="M2791" s="2415"/>
      <c r="N2791" s="2415"/>
      <c r="O2791" s="2415"/>
      <c r="P2791" s="2415"/>
      <c r="Q2791" s="2415"/>
      <c r="R2791" s="2415"/>
      <c r="W2791" t="s">
        <v>2062</v>
      </c>
    </row>
    <row r="2792" spans="1:23" ht="13.15" customHeight="1">
      <c r="A2792" s="2" t="s">
        <v>2217</v>
      </c>
      <c r="B2792" s="2">
        <f t="shared" ref="B2792:B2855" si="86">+MTREF</f>
        <v>2020</v>
      </c>
      <c r="C2792" s="2" t="str">
        <f t="shared" ref="C2792:C2855" si="87">LEFT(muni,(FIND(" ",muni,1)-1))</f>
        <v>LIM333</v>
      </c>
      <c r="D2792" s="2417">
        <v>0</v>
      </c>
      <c r="E2792" s="2">
        <v>36</v>
      </c>
      <c r="F2792" s="2448" t="s">
        <v>1180</v>
      </c>
      <c r="G2792" s="2415"/>
      <c r="H2792" s="2415"/>
      <c r="I2792" s="2415"/>
      <c r="J2792" s="2415"/>
      <c r="K2792" s="2415"/>
      <c r="L2792" s="2415"/>
      <c r="M2792" s="2415"/>
      <c r="N2792" s="2415"/>
      <c r="O2792" s="2415"/>
      <c r="P2792" s="2415"/>
      <c r="Q2792" s="2415"/>
      <c r="R2792" s="2415"/>
      <c r="W2792" t="s">
        <v>2062</v>
      </c>
    </row>
    <row r="2793" spans="1:23" ht="13.15" customHeight="1">
      <c r="A2793" s="2" t="s">
        <v>2217</v>
      </c>
      <c r="B2793" s="2">
        <f t="shared" si="86"/>
        <v>2020</v>
      </c>
      <c r="C2793" s="2" t="str">
        <f t="shared" si="87"/>
        <v>LIM333</v>
      </c>
      <c r="D2793" s="2417">
        <v>0</v>
      </c>
      <c r="E2793" s="2">
        <v>37</v>
      </c>
      <c r="F2793" s="2448" t="s">
        <v>702</v>
      </c>
      <c r="G2793" s="2415"/>
      <c r="H2793" s="2415"/>
      <c r="I2793" s="2415"/>
      <c r="J2793" s="2415"/>
      <c r="K2793" s="2415"/>
      <c r="L2793" s="2415"/>
      <c r="M2793" s="2415"/>
      <c r="N2793" s="2415"/>
      <c r="O2793" s="2415"/>
      <c r="P2793" s="2415"/>
      <c r="Q2793" s="2415"/>
      <c r="R2793" s="2415"/>
      <c r="W2793" t="s">
        <v>2062</v>
      </c>
    </row>
    <row r="2794" spans="1:23" ht="13.15" customHeight="1">
      <c r="A2794" s="2" t="s">
        <v>2217</v>
      </c>
      <c r="B2794" s="2">
        <f t="shared" si="86"/>
        <v>2020</v>
      </c>
      <c r="C2794" s="2" t="str">
        <f t="shared" si="87"/>
        <v>LIM333</v>
      </c>
      <c r="D2794" s="2417">
        <v>0</v>
      </c>
      <c r="E2794" s="2">
        <v>38</v>
      </c>
      <c r="F2794" s="2449" t="s">
        <v>32</v>
      </c>
      <c r="G2794" s="2415"/>
      <c r="H2794" s="2415"/>
      <c r="I2794" s="2415"/>
      <c r="J2794" s="2415"/>
      <c r="K2794" s="2415"/>
      <c r="L2794" s="2415"/>
      <c r="M2794" s="2415"/>
      <c r="N2794" s="2415"/>
      <c r="O2794" s="2415"/>
      <c r="P2794" s="2415"/>
      <c r="Q2794" s="2415"/>
      <c r="R2794" s="2415"/>
      <c r="W2794" t="s">
        <v>2062</v>
      </c>
    </row>
    <row r="2795" spans="1:23" ht="13.15" customHeight="1">
      <c r="A2795" s="2" t="s">
        <v>2217</v>
      </c>
      <c r="B2795" s="2">
        <f t="shared" si="86"/>
        <v>2020</v>
      </c>
      <c r="C2795" s="2" t="str">
        <f t="shared" si="87"/>
        <v>LIM333</v>
      </c>
      <c r="D2795" s="2417">
        <v>0</v>
      </c>
      <c r="E2795" s="2">
        <v>39</v>
      </c>
      <c r="F2795" s="2449" t="s">
        <v>374</v>
      </c>
      <c r="G2795" s="2415"/>
      <c r="H2795" s="2415"/>
      <c r="I2795" s="2415"/>
      <c r="J2795" s="2415"/>
      <c r="K2795" s="2415"/>
      <c r="L2795" s="2415"/>
      <c r="M2795" s="2415"/>
      <c r="N2795" s="2415"/>
      <c r="O2795" s="2415"/>
      <c r="P2795" s="2415"/>
      <c r="Q2795" s="2415"/>
      <c r="R2795" s="2415"/>
      <c r="W2795" t="s">
        <v>2062</v>
      </c>
    </row>
    <row r="2796" spans="1:23" ht="13.15" customHeight="1">
      <c r="A2796" s="2" t="s">
        <v>2217</v>
      </c>
      <c r="B2796" s="2">
        <f t="shared" si="86"/>
        <v>2020</v>
      </c>
      <c r="C2796" s="2" t="str">
        <f t="shared" si="87"/>
        <v>LIM333</v>
      </c>
      <c r="D2796" s="2417">
        <v>0</v>
      </c>
      <c r="E2796" s="2">
        <v>40</v>
      </c>
      <c r="F2796" s="2449" t="s">
        <v>914</v>
      </c>
      <c r="G2796" s="2415"/>
      <c r="H2796" s="2415"/>
      <c r="I2796" s="2415"/>
      <c r="J2796" s="2415"/>
      <c r="K2796" s="2415"/>
      <c r="L2796" s="2415"/>
      <c r="M2796" s="2415"/>
      <c r="N2796" s="2415"/>
      <c r="O2796" s="2415"/>
      <c r="P2796" s="2415"/>
      <c r="Q2796" s="2415"/>
      <c r="R2796" s="2415"/>
      <c r="W2796" t="s">
        <v>2062</v>
      </c>
    </row>
    <row r="2797" spans="1:23" ht="13.15" customHeight="1">
      <c r="A2797" s="2" t="s">
        <v>2217</v>
      </c>
      <c r="B2797" s="2">
        <f t="shared" si="86"/>
        <v>2020</v>
      </c>
      <c r="C2797" s="2" t="str">
        <f t="shared" si="87"/>
        <v>LIM333</v>
      </c>
      <c r="D2797" s="2417">
        <v>0</v>
      </c>
      <c r="E2797" s="2">
        <v>41</v>
      </c>
      <c r="F2797" s="2449" t="s">
        <v>977</v>
      </c>
      <c r="G2797" s="2415"/>
      <c r="H2797" s="2415"/>
      <c r="I2797" s="2415"/>
      <c r="J2797" s="2415"/>
      <c r="K2797" s="2415"/>
      <c r="L2797" s="2415"/>
      <c r="M2797" s="2415"/>
      <c r="N2797" s="2415"/>
      <c r="O2797" s="2415"/>
      <c r="P2797" s="2415"/>
      <c r="Q2797" s="2415"/>
      <c r="R2797" s="2415"/>
      <c r="W2797" t="s">
        <v>2062</v>
      </c>
    </row>
    <row r="2798" spans="1:23" ht="13.15" customHeight="1">
      <c r="A2798" s="2" t="s">
        <v>2217</v>
      </c>
      <c r="B2798" s="2">
        <f t="shared" si="86"/>
        <v>2020</v>
      </c>
      <c r="C2798" s="2" t="str">
        <f t="shared" si="87"/>
        <v>LIM333</v>
      </c>
      <c r="D2798" s="2417">
        <v>0</v>
      </c>
      <c r="E2798" s="2">
        <v>44</v>
      </c>
      <c r="F2798" s="2449" t="s">
        <v>391</v>
      </c>
      <c r="G2798" s="2415"/>
      <c r="H2798" s="2415"/>
      <c r="I2798" s="2415"/>
      <c r="J2798" s="2415"/>
      <c r="K2798" s="2415"/>
      <c r="L2798" s="2415"/>
      <c r="M2798" s="2415"/>
      <c r="N2798" s="2415"/>
      <c r="O2798" s="2415"/>
      <c r="P2798" s="2415"/>
      <c r="Q2798" s="2415"/>
      <c r="R2798" s="2415"/>
      <c r="W2798" t="s">
        <v>2062</v>
      </c>
    </row>
    <row r="2799" spans="1:23" ht="13.15" customHeight="1">
      <c r="A2799" s="2" t="s">
        <v>2218</v>
      </c>
      <c r="B2799" s="2">
        <f t="shared" si="86"/>
        <v>2020</v>
      </c>
      <c r="C2799" s="2" t="str">
        <f t="shared" si="87"/>
        <v>LIM333</v>
      </c>
      <c r="D2799" s="2438"/>
      <c r="E2799" s="5"/>
      <c r="F2799" s="2450" t="s">
        <v>368</v>
      </c>
      <c r="G2799" s="2415"/>
      <c r="H2799" s="2415"/>
      <c r="I2799" s="2415"/>
      <c r="J2799" s="2415"/>
      <c r="K2799" s="2415"/>
      <c r="L2799" s="2415"/>
      <c r="M2799" s="2415"/>
      <c r="N2799" s="2415"/>
      <c r="O2799" s="2415"/>
      <c r="P2799" s="2415"/>
      <c r="Q2799" s="2415"/>
      <c r="R2799" s="2415"/>
      <c r="W2799" t="s">
        <v>2062</v>
      </c>
    </row>
    <row r="2800" spans="1:23" ht="13.15" customHeight="1">
      <c r="A2800" s="2" t="s">
        <v>2218</v>
      </c>
      <c r="B2800" s="2">
        <f t="shared" si="86"/>
        <v>2020</v>
      </c>
      <c r="C2800" s="2" t="str">
        <f t="shared" si="87"/>
        <v>LIM333</v>
      </c>
      <c r="D2800" s="2438"/>
      <c r="E2800" s="5"/>
      <c r="F2800" s="2454" t="s">
        <v>991</v>
      </c>
      <c r="G2800" s="2415"/>
      <c r="H2800" s="2415"/>
      <c r="I2800" s="2415"/>
      <c r="J2800" s="2415"/>
      <c r="K2800" s="2415"/>
      <c r="L2800" s="2415"/>
      <c r="M2800" s="2415"/>
      <c r="N2800" s="2415"/>
      <c r="O2800" s="2415"/>
      <c r="P2800" s="2415"/>
      <c r="Q2800" s="2415"/>
      <c r="R2800" s="2415"/>
      <c r="W2800" t="s">
        <v>2062</v>
      </c>
    </row>
    <row r="2801" spans="1:23" ht="13.15" customHeight="1">
      <c r="A2801" s="2" t="s">
        <v>2218</v>
      </c>
      <c r="B2801" s="2">
        <f t="shared" si="86"/>
        <v>2020</v>
      </c>
      <c r="C2801" s="2" t="str">
        <f t="shared" si="87"/>
        <v>LIM333</v>
      </c>
      <c r="D2801" s="2438">
        <v>1</v>
      </c>
      <c r="E2801" s="5">
        <v>11</v>
      </c>
      <c r="F2801" s="2454" t="s">
        <v>119</v>
      </c>
      <c r="G2801" s="2415"/>
      <c r="H2801" s="2415"/>
      <c r="I2801" s="2415"/>
      <c r="J2801" s="2415"/>
      <c r="K2801" s="2415"/>
      <c r="L2801" s="2415"/>
      <c r="M2801" s="2415"/>
      <c r="N2801" s="2415"/>
      <c r="O2801" s="2415"/>
      <c r="P2801" s="2415"/>
      <c r="Q2801" s="2415"/>
      <c r="R2801" s="2415"/>
      <c r="W2801" t="s">
        <v>2062</v>
      </c>
    </row>
    <row r="2802" spans="1:23" ht="13.15" customHeight="1">
      <c r="A2802" s="2" t="s">
        <v>2218</v>
      </c>
      <c r="B2802" s="2">
        <f t="shared" si="86"/>
        <v>2020</v>
      </c>
      <c r="C2802" s="2" t="str">
        <f t="shared" si="87"/>
        <v>LIM333</v>
      </c>
      <c r="D2802" s="2438">
        <v>1</v>
      </c>
      <c r="E2802" s="5">
        <v>12</v>
      </c>
      <c r="F2802" s="2454" t="s">
        <v>120</v>
      </c>
      <c r="G2802" s="2415"/>
      <c r="H2802" s="2415"/>
      <c r="I2802" s="2415"/>
      <c r="J2802" s="2415"/>
      <c r="K2802" s="2415"/>
      <c r="L2802" s="2415"/>
      <c r="M2802" s="2415"/>
      <c r="N2802" s="2415"/>
      <c r="O2802" s="2415"/>
      <c r="P2802" s="2415"/>
      <c r="Q2802" s="2415"/>
      <c r="R2802" s="2415"/>
      <c r="W2802" t="s">
        <v>2062</v>
      </c>
    </row>
    <row r="2803" spans="1:23" ht="13.15" customHeight="1">
      <c r="A2803" s="2" t="s">
        <v>2218</v>
      </c>
      <c r="B2803" s="2">
        <f t="shared" si="86"/>
        <v>2020</v>
      </c>
      <c r="C2803" s="2" t="str">
        <f t="shared" si="87"/>
        <v>LIM333</v>
      </c>
      <c r="D2803" s="2438">
        <v>1</v>
      </c>
      <c r="E2803" s="5">
        <v>13</v>
      </c>
      <c r="F2803" s="2454" t="s">
        <v>121</v>
      </c>
      <c r="G2803" s="2415"/>
      <c r="H2803" s="2415"/>
      <c r="I2803" s="2415"/>
      <c r="J2803" s="2415"/>
      <c r="K2803" s="2415"/>
      <c r="L2803" s="2415"/>
      <c r="M2803" s="2415"/>
      <c r="N2803" s="2415"/>
      <c r="O2803" s="2415"/>
      <c r="P2803" s="2415"/>
      <c r="Q2803" s="2415"/>
      <c r="R2803" s="2415"/>
      <c r="W2803" t="s">
        <v>2062</v>
      </c>
    </row>
    <row r="2804" spans="1:23" ht="13.15" customHeight="1">
      <c r="A2804" s="2" t="s">
        <v>2218</v>
      </c>
      <c r="B2804" s="2">
        <f t="shared" si="86"/>
        <v>2020</v>
      </c>
      <c r="C2804" s="2" t="str">
        <f t="shared" si="87"/>
        <v>LIM333</v>
      </c>
      <c r="D2804" s="2438"/>
      <c r="E2804" s="5"/>
      <c r="F2804" s="2454" t="s">
        <v>122</v>
      </c>
      <c r="G2804" s="2415"/>
      <c r="H2804" s="2415"/>
      <c r="I2804" s="2415"/>
      <c r="J2804" s="2415"/>
      <c r="K2804" s="2415"/>
      <c r="L2804" s="2415"/>
      <c r="M2804" s="2415"/>
      <c r="N2804" s="2415"/>
      <c r="O2804" s="2415"/>
      <c r="P2804" s="2415"/>
      <c r="Q2804" s="2415"/>
      <c r="R2804" s="2415"/>
      <c r="W2804" t="s">
        <v>2062</v>
      </c>
    </row>
    <row r="2805" spans="1:23" ht="13.15" customHeight="1">
      <c r="A2805" s="2" t="s">
        <v>2218</v>
      </c>
      <c r="B2805" s="2">
        <f t="shared" si="86"/>
        <v>2020</v>
      </c>
      <c r="C2805" s="2" t="str">
        <f t="shared" si="87"/>
        <v>LIM333</v>
      </c>
      <c r="D2805" s="2438">
        <v>1</v>
      </c>
      <c r="E2805" s="5">
        <v>21</v>
      </c>
      <c r="F2805" s="2454" t="s">
        <v>123</v>
      </c>
      <c r="G2805" s="2415"/>
      <c r="H2805" s="2415"/>
      <c r="I2805" s="2415"/>
      <c r="J2805" s="2415"/>
      <c r="K2805" s="2415"/>
      <c r="L2805" s="2415"/>
      <c r="M2805" s="2415"/>
      <c r="N2805" s="2415"/>
      <c r="O2805" s="2415"/>
      <c r="P2805" s="2415"/>
      <c r="Q2805" s="2415"/>
      <c r="R2805" s="2415"/>
      <c r="W2805" t="s">
        <v>2062</v>
      </c>
    </row>
    <row r="2806" spans="1:23" ht="13.15" customHeight="1">
      <c r="A2806" s="2" t="s">
        <v>2218</v>
      </c>
      <c r="B2806" s="2">
        <f t="shared" si="86"/>
        <v>2020</v>
      </c>
      <c r="C2806" s="2" t="str">
        <f t="shared" si="87"/>
        <v>LIM333</v>
      </c>
      <c r="D2806" s="2438">
        <v>1</v>
      </c>
      <c r="E2806" s="5">
        <v>22</v>
      </c>
      <c r="F2806" s="2454" t="s">
        <v>124</v>
      </c>
      <c r="G2806" s="2415"/>
      <c r="H2806" s="2415"/>
      <c r="I2806" s="2415"/>
      <c r="J2806" s="2415"/>
      <c r="K2806" s="2415"/>
      <c r="L2806" s="2415"/>
      <c r="M2806" s="2415"/>
      <c r="N2806" s="2415"/>
      <c r="O2806" s="2415"/>
      <c r="P2806" s="2415"/>
      <c r="Q2806" s="2415"/>
      <c r="R2806" s="2415"/>
      <c r="W2806" t="s">
        <v>2062</v>
      </c>
    </row>
    <row r="2807" spans="1:23" ht="13.15" customHeight="1">
      <c r="A2807" s="2" t="s">
        <v>2218</v>
      </c>
      <c r="B2807" s="2">
        <f t="shared" si="86"/>
        <v>2020</v>
      </c>
      <c r="C2807" s="2" t="str">
        <f t="shared" si="87"/>
        <v>LIM333</v>
      </c>
      <c r="D2807" s="2438">
        <v>1</v>
      </c>
      <c r="E2807" s="5">
        <v>23</v>
      </c>
      <c r="F2807" s="2454" t="s">
        <v>125</v>
      </c>
      <c r="G2807" s="2415"/>
      <c r="H2807" s="2415"/>
      <c r="I2807" s="2415"/>
      <c r="J2807" s="2415"/>
      <c r="K2807" s="2415"/>
      <c r="L2807" s="2415"/>
      <c r="M2807" s="2415"/>
      <c r="N2807" s="2415"/>
      <c r="O2807" s="2415"/>
      <c r="P2807" s="2415"/>
      <c r="Q2807" s="2415"/>
      <c r="R2807" s="2415"/>
      <c r="W2807" t="s">
        <v>2062</v>
      </c>
    </row>
    <row r="2808" spans="1:23" ht="13.15" customHeight="1">
      <c r="A2808" s="2" t="s">
        <v>2218</v>
      </c>
      <c r="B2808" s="2">
        <f t="shared" si="86"/>
        <v>2020</v>
      </c>
      <c r="C2808" s="2" t="str">
        <f t="shared" si="87"/>
        <v>LIM333</v>
      </c>
      <c r="D2808" s="2438">
        <v>1</v>
      </c>
      <c r="E2808" s="5">
        <v>24</v>
      </c>
      <c r="F2808" s="2454" t="s">
        <v>1493</v>
      </c>
      <c r="G2808" s="2415"/>
      <c r="H2808" s="2415"/>
      <c r="I2808" s="2415"/>
      <c r="J2808" s="2415"/>
      <c r="K2808" s="2415"/>
      <c r="L2808" s="2415"/>
      <c r="M2808" s="2415"/>
      <c r="N2808" s="2415"/>
      <c r="O2808" s="2415"/>
      <c r="P2808" s="2415"/>
      <c r="Q2808" s="2415"/>
      <c r="R2808" s="2415"/>
      <c r="W2808" t="s">
        <v>2062</v>
      </c>
    </row>
    <row r="2809" spans="1:23" ht="13.15" customHeight="1">
      <c r="A2809" s="2" t="s">
        <v>2218</v>
      </c>
      <c r="B2809" s="2">
        <f t="shared" si="86"/>
        <v>2020</v>
      </c>
      <c r="C2809" s="2" t="str">
        <f t="shared" si="87"/>
        <v>LIM333</v>
      </c>
      <c r="D2809" s="2438">
        <v>1</v>
      </c>
      <c r="E2809" s="5">
        <v>25</v>
      </c>
      <c r="F2809" s="2454" t="s">
        <v>1557</v>
      </c>
      <c r="G2809" s="2415"/>
      <c r="H2809" s="2415"/>
      <c r="I2809" s="2415"/>
      <c r="J2809" s="2415"/>
      <c r="K2809" s="2415"/>
      <c r="L2809" s="2415"/>
      <c r="M2809" s="2415"/>
      <c r="N2809" s="2415"/>
      <c r="O2809" s="2415"/>
      <c r="P2809" s="2415"/>
      <c r="Q2809" s="2415"/>
      <c r="R2809" s="2415"/>
      <c r="W2809" t="s">
        <v>2062</v>
      </c>
    </row>
    <row r="2810" spans="1:23" ht="13.15" customHeight="1">
      <c r="A2810" s="2" t="s">
        <v>2218</v>
      </c>
      <c r="B2810" s="2">
        <f t="shared" si="86"/>
        <v>2020</v>
      </c>
      <c r="C2810" s="2" t="str">
        <f t="shared" si="87"/>
        <v>LIM333</v>
      </c>
      <c r="D2810" s="2438"/>
      <c r="E2810" s="5"/>
      <c r="F2810" s="2454" t="s">
        <v>126</v>
      </c>
      <c r="G2810" s="2415"/>
      <c r="H2810" s="2415"/>
      <c r="I2810" s="2415"/>
      <c r="J2810" s="2415"/>
      <c r="K2810" s="2415"/>
      <c r="L2810" s="2415"/>
      <c r="M2810" s="2415"/>
      <c r="N2810" s="2415"/>
      <c r="O2810" s="2415"/>
      <c r="P2810" s="2415"/>
      <c r="Q2810" s="2415"/>
      <c r="R2810" s="2415"/>
      <c r="W2810" t="s">
        <v>2062</v>
      </c>
    </row>
    <row r="2811" spans="1:23" ht="13.15" customHeight="1">
      <c r="A2811" s="2" t="s">
        <v>2218</v>
      </c>
      <c r="B2811" s="2">
        <f t="shared" si="86"/>
        <v>2020</v>
      </c>
      <c r="C2811" s="2" t="str">
        <f t="shared" si="87"/>
        <v>LIM333</v>
      </c>
      <c r="D2811" s="2438">
        <v>1</v>
      </c>
      <c r="E2811" s="5">
        <v>31</v>
      </c>
      <c r="F2811" s="2454" t="s">
        <v>127</v>
      </c>
      <c r="G2811" s="2415"/>
      <c r="H2811" s="2415"/>
      <c r="I2811" s="2415"/>
      <c r="J2811" s="2415"/>
      <c r="K2811" s="2415"/>
      <c r="L2811" s="2415"/>
      <c r="M2811" s="2415"/>
      <c r="N2811" s="2415"/>
      <c r="O2811" s="2415"/>
      <c r="P2811" s="2415"/>
      <c r="Q2811" s="2415"/>
      <c r="R2811" s="2415"/>
      <c r="W2811" t="s">
        <v>2062</v>
      </c>
    </row>
    <row r="2812" spans="1:23" ht="13.15" customHeight="1">
      <c r="A2812" s="2" t="s">
        <v>2218</v>
      </c>
      <c r="B2812" s="2">
        <f t="shared" si="86"/>
        <v>2020</v>
      </c>
      <c r="C2812" s="2" t="str">
        <f t="shared" si="87"/>
        <v>LIM333</v>
      </c>
      <c r="D2812" s="2438">
        <v>1</v>
      </c>
      <c r="E2812" s="5">
        <v>32</v>
      </c>
      <c r="F2812" s="2454" t="s">
        <v>128</v>
      </c>
      <c r="G2812" s="2415"/>
      <c r="H2812" s="2415"/>
      <c r="I2812" s="2415"/>
      <c r="J2812" s="2415"/>
      <c r="K2812" s="2415"/>
      <c r="L2812" s="2415"/>
      <c r="M2812" s="2415"/>
      <c r="N2812" s="2415"/>
      <c r="O2812" s="2415"/>
      <c r="P2812" s="2415"/>
      <c r="Q2812" s="2415"/>
      <c r="R2812" s="2415"/>
      <c r="W2812" t="s">
        <v>2062</v>
      </c>
    </row>
    <row r="2813" spans="1:23" ht="13.15" customHeight="1">
      <c r="A2813" s="2" t="s">
        <v>2218</v>
      </c>
      <c r="B2813" s="2">
        <f t="shared" si="86"/>
        <v>2020</v>
      </c>
      <c r="C2813" s="2" t="str">
        <f t="shared" si="87"/>
        <v>LIM333</v>
      </c>
      <c r="D2813" s="2438">
        <v>1</v>
      </c>
      <c r="E2813" s="5">
        <v>33</v>
      </c>
      <c r="F2813" s="2454" t="s">
        <v>129</v>
      </c>
      <c r="G2813" s="2415"/>
      <c r="H2813" s="2415"/>
      <c r="I2813" s="2415"/>
      <c r="J2813" s="2415"/>
      <c r="K2813" s="2415"/>
      <c r="L2813" s="2415"/>
      <c r="M2813" s="2415"/>
      <c r="N2813" s="2415"/>
      <c r="O2813" s="2415"/>
      <c r="P2813" s="2415"/>
      <c r="Q2813" s="2415"/>
      <c r="R2813" s="2415"/>
      <c r="W2813" t="s">
        <v>2062</v>
      </c>
    </row>
    <row r="2814" spans="1:23" ht="13.15" customHeight="1">
      <c r="A2814" s="2" t="s">
        <v>2218</v>
      </c>
      <c r="B2814" s="2">
        <f t="shared" si="86"/>
        <v>2020</v>
      </c>
      <c r="C2814" s="2" t="str">
        <f t="shared" si="87"/>
        <v>LIM333</v>
      </c>
      <c r="D2814" s="2438"/>
      <c r="E2814" s="5"/>
      <c r="F2814" s="2454" t="s">
        <v>130</v>
      </c>
      <c r="G2814" s="2415"/>
      <c r="H2814" s="2415"/>
      <c r="I2814" s="2415"/>
      <c r="J2814" s="2415"/>
      <c r="K2814" s="2415"/>
      <c r="L2814" s="2415"/>
      <c r="M2814" s="2415"/>
      <c r="N2814" s="2415"/>
      <c r="O2814" s="2415"/>
      <c r="P2814" s="2415"/>
      <c r="Q2814" s="2415"/>
      <c r="R2814" s="2415"/>
      <c r="W2814" t="s">
        <v>2062</v>
      </c>
    </row>
    <row r="2815" spans="1:23" ht="13.15" customHeight="1">
      <c r="A2815" s="2" t="s">
        <v>2218</v>
      </c>
      <c r="B2815" s="2">
        <f t="shared" si="86"/>
        <v>2020</v>
      </c>
      <c r="C2815" s="2" t="str">
        <f t="shared" si="87"/>
        <v>LIM333</v>
      </c>
      <c r="D2815" s="2438">
        <v>1</v>
      </c>
      <c r="E2815" s="5">
        <v>41</v>
      </c>
      <c r="F2815" s="2454" t="s">
        <v>556</v>
      </c>
      <c r="G2815" s="2415"/>
      <c r="H2815" s="2415"/>
      <c r="I2815" s="2415"/>
      <c r="J2815" s="2415"/>
      <c r="K2815" s="2415"/>
      <c r="L2815" s="2415"/>
      <c r="M2815" s="2415"/>
      <c r="N2815" s="2415"/>
      <c r="O2815" s="2415"/>
      <c r="P2815" s="2415"/>
      <c r="Q2815" s="2415"/>
      <c r="R2815" s="2415"/>
      <c r="W2815" t="s">
        <v>2062</v>
      </c>
    </row>
    <row r="2816" spans="1:23" ht="13.15" customHeight="1">
      <c r="A2816" s="2" t="s">
        <v>2218</v>
      </c>
      <c r="B2816" s="2">
        <f t="shared" si="86"/>
        <v>2020</v>
      </c>
      <c r="C2816" s="2" t="str">
        <f t="shared" si="87"/>
        <v>LIM333</v>
      </c>
      <c r="D2816" s="2438">
        <v>1</v>
      </c>
      <c r="E2816" s="5">
        <v>42</v>
      </c>
      <c r="F2816" s="2454" t="s">
        <v>827</v>
      </c>
      <c r="G2816" s="2415"/>
      <c r="H2816" s="2415"/>
      <c r="I2816" s="2415"/>
      <c r="J2816" s="2415"/>
      <c r="K2816" s="2415"/>
      <c r="L2816" s="2415"/>
      <c r="M2816" s="2415"/>
      <c r="N2816" s="2415"/>
      <c r="O2816" s="2415"/>
      <c r="P2816" s="2415"/>
      <c r="Q2816" s="2415"/>
      <c r="R2816" s="2415"/>
      <c r="W2816" t="s">
        <v>2062</v>
      </c>
    </row>
    <row r="2817" spans="1:23" ht="13.15" customHeight="1">
      <c r="A2817" s="2" t="s">
        <v>2218</v>
      </c>
      <c r="B2817" s="2">
        <f t="shared" si="86"/>
        <v>2020</v>
      </c>
      <c r="C2817" s="2" t="str">
        <f t="shared" si="87"/>
        <v>LIM333</v>
      </c>
      <c r="D2817" s="2438">
        <v>1</v>
      </c>
      <c r="E2817" s="5">
        <v>43</v>
      </c>
      <c r="F2817" s="2454" t="s">
        <v>993</v>
      </c>
      <c r="G2817" s="2415"/>
      <c r="H2817" s="2415"/>
      <c r="I2817" s="2415"/>
      <c r="J2817" s="2415"/>
      <c r="K2817" s="2415"/>
      <c r="L2817" s="2415"/>
      <c r="M2817" s="2415"/>
      <c r="N2817" s="2415"/>
      <c r="O2817" s="2415"/>
      <c r="P2817" s="2415"/>
      <c r="Q2817" s="2415"/>
      <c r="R2817" s="2415"/>
      <c r="W2817" t="s">
        <v>2062</v>
      </c>
    </row>
    <row r="2818" spans="1:23" ht="13.15" customHeight="1">
      <c r="A2818" s="2" t="s">
        <v>2218</v>
      </c>
      <c r="B2818" s="2">
        <f t="shared" si="86"/>
        <v>2020</v>
      </c>
      <c r="C2818" s="2" t="str">
        <f t="shared" si="87"/>
        <v>LIM333</v>
      </c>
      <c r="D2818" s="2438">
        <v>1</v>
      </c>
      <c r="E2818" s="5">
        <v>44</v>
      </c>
      <c r="F2818" s="2454" t="s">
        <v>994</v>
      </c>
      <c r="G2818" s="2415"/>
      <c r="H2818" s="2415"/>
      <c r="I2818" s="2415"/>
      <c r="J2818" s="2415"/>
      <c r="K2818" s="2415"/>
      <c r="L2818" s="2415"/>
      <c r="M2818" s="2415"/>
      <c r="N2818" s="2415"/>
      <c r="O2818" s="2415"/>
      <c r="P2818" s="2415"/>
      <c r="Q2818" s="2415"/>
      <c r="R2818" s="2415"/>
      <c r="W2818" t="s">
        <v>2062</v>
      </c>
    </row>
    <row r="2819" spans="1:23" ht="13.15" customHeight="1">
      <c r="A2819" s="2" t="s">
        <v>2218</v>
      </c>
      <c r="B2819" s="2">
        <f t="shared" si="86"/>
        <v>2020</v>
      </c>
      <c r="C2819" s="2" t="str">
        <f t="shared" si="87"/>
        <v>LIM333</v>
      </c>
      <c r="D2819" s="2438">
        <v>1</v>
      </c>
      <c r="E2819" s="5">
        <v>45</v>
      </c>
      <c r="F2819" s="2454" t="s">
        <v>245</v>
      </c>
      <c r="G2819" s="2415"/>
      <c r="H2819" s="2415"/>
      <c r="I2819" s="2415"/>
      <c r="J2819" s="2415"/>
      <c r="K2819" s="2415"/>
      <c r="L2819" s="2415"/>
      <c r="M2819" s="2415"/>
      <c r="N2819" s="2415"/>
      <c r="O2819" s="2415"/>
      <c r="P2819" s="2415"/>
      <c r="Q2819" s="2415"/>
      <c r="R2819" s="2415"/>
      <c r="W2819" t="s">
        <v>2062</v>
      </c>
    </row>
    <row r="2820" spans="1:23" ht="13.15" customHeight="1">
      <c r="A2820" s="2" t="s">
        <v>2218</v>
      </c>
      <c r="B2820" s="2">
        <f t="shared" si="86"/>
        <v>2020</v>
      </c>
      <c r="C2820" s="2" t="str">
        <f t="shared" si="87"/>
        <v>LIM333</v>
      </c>
      <c r="D2820" s="2438"/>
      <c r="E2820" s="5"/>
      <c r="F2820" s="2450" t="s">
        <v>2219</v>
      </c>
      <c r="G2820" s="2415"/>
      <c r="H2820" s="2415"/>
      <c r="I2820" s="2415"/>
      <c r="J2820" s="2415"/>
      <c r="K2820" s="2415"/>
      <c r="L2820" s="2415"/>
      <c r="M2820" s="2415"/>
      <c r="N2820" s="2415"/>
      <c r="O2820" s="2415"/>
      <c r="P2820" s="2415"/>
      <c r="Q2820" s="2415"/>
      <c r="R2820" s="2415"/>
      <c r="W2820" t="s">
        <v>2062</v>
      </c>
    </row>
    <row r="2821" spans="1:23" ht="13.15" customHeight="1">
      <c r="A2821" s="2" t="s">
        <v>2218</v>
      </c>
      <c r="B2821" s="2">
        <f t="shared" si="86"/>
        <v>2020</v>
      </c>
      <c r="C2821" s="2" t="str">
        <f t="shared" si="87"/>
        <v>LIM333</v>
      </c>
      <c r="D2821" s="2438"/>
      <c r="E2821" s="5"/>
      <c r="F2821" s="2450"/>
      <c r="G2821" s="2415"/>
      <c r="H2821" s="2415"/>
      <c r="I2821" s="2415"/>
      <c r="J2821" s="2415"/>
      <c r="K2821" s="2415"/>
      <c r="L2821" s="2415"/>
      <c r="M2821" s="2415"/>
      <c r="N2821" s="2415"/>
      <c r="O2821" s="2415"/>
      <c r="P2821" s="2415"/>
      <c r="Q2821" s="2415"/>
      <c r="R2821" s="2415"/>
      <c r="W2821" t="s">
        <v>2062</v>
      </c>
    </row>
    <row r="2822" spans="1:23" ht="13.15" customHeight="1">
      <c r="A2822" s="2" t="s">
        <v>2218</v>
      </c>
      <c r="B2822" s="2">
        <f t="shared" si="86"/>
        <v>2020</v>
      </c>
      <c r="C2822" s="2" t="str">
        <f t="shared" si="87"/>
        <v>LIM333</v>
      </c>
      <c r="D2822" s="2438"/>
      <c r="E2822" s="5"/>
      <c r="F2822" s="2450" t="s">
        <v>369</v>
      </c>
      <c r="G2822" s="2415"/>
      <c r="H2822" s="2415"/>
      <c r="I2822" s="2415"/>
      <c r="J2822" s="2415"/>
      <c r="K2822" s="2415"/>
      <c r="L2822" s="2415"/>
      <c r="M2822" s="2415"/>
      <c r="N2822" s="2415"/>
      <c r="O2822" s="2415"/>
      <c r="P2822" s="2415"/>
      <c r="Q2822" s="2415"/>
      <c r="R2822" s="2415"/>
      <c r="W2822" t="s">
        <v>2062</v>
      </c>
    </row>
    <row r="2823" spans="1:23" ht="13.15" customHeight="1">
      <c r="A2823" s="2" t="s">
        <v>2218</v>
      </c>
      <c r="B2823" s="2">
        <f t="shared" si="86"/>
        <v>2020</v>
      </c>
      <c r="C2823" s="2" t="str">
        <f t="shared" si="87"/>
        <v>LIM333</v>
      </c>
      <c r="D2823" s="2438"/>
      <c r="E2823" s="5"/>
      <c r="F2823" s="2454" t="s">
        <v>991</v>
      </c>
      <c r="G2823" s="2415"/>
      <c r="H2823" s="2415"/>
      <c r="I2823" s="2415"/>
      <c r="J2823" s="2415"/>
      <c r="K2823" s="2415"/>
      <c r="L2823" s="2415"/>
      <c r="M2823" s="2415"/>
      <c r="N2823" s="2415"/>
      <c r="O2823" s="2415"/>
      <c r="P2823" s="2415"/>
      <c r="Q2823" s="2415"/>
      <c r="R2823" s="2415"/>
      <c r="W2823" t="s">
        <v>2062</v>
      </c>
    </row>
    <row r="2824" spans="1:23" ht="13.15" customHeight="1">
      <c r="A2824" s="2" t="s">
        <v>2218</v>
      </c>
      <c r="B2824" s="2">
        <f t="shared" si="86"/>
        <v>2020</v>
      </c>
      <c r="C2824" s="2" t="str">
        <f t="shared" si="87"/>
        <v>LIM333</v>
      </c>
      <c r="D2824" s="2438">
        <v>2</v>
      </c>
      <c r="E2824" s="5">
        <v>11</v>
      </c>
      <c r="F2824" s="2454" t="s">
        <v>119</v>
      </c>
      <c r="G2824" s="2415"/>
      <c r="H2824" s="2415"/>
      <c r="I2824" s="2415"/>
      <c r="J2824" s="2415"/>
      <c r="K2824" s="2415"/>
      <c r="L2824" s="2415"/>
      <c r="M2824" s="2415"/>
      <c r="N2824" s="2415"/>
      <c r="O2824" s="2415"/>
      <c r="P2824" s="2415"/>
      <c r="Q2824" s="2415"/>
      <c r="R2824" s="2415"/>
      <c r="W2824" t="s">
        <v>2062</v>
      </c>
    </row>
    <row r="2825" spans="1:23" ht="13.15" customHeight="1">
      <c r="A2825" s="2" t="s">
        <v>2218</v>
      </c>
      <c r="B2825" s="2">
        <f t="shared" si="86"/>
        <v>2020</v>
      </c>
      <c r="C2825" s="2" t="str">
        <f t="shared" si="87"/>
        <v>LIM333</v>
      </c>
      <c r="D2825" s="2438">
        <v>2</v>
      </c>
      <c r="E2825" s="5">
        <v>12</v>
      </c>
      <c r="F2825" s="2454" t="s">
        <v>120</v>
      </c>
      <c r="G2825" s="2415"/>
      <c r="H2825" s="2415"/>
      <c r="I2825" s="2415"/>
      <c r="J2825" s="2415"/>
      <c r="K2825" s="2415"/>
      <c r="L2825" s="2415"/>
      <c r="M2825" s="2415"/>
      <c r="N2825" s="2415"/>
      <c r="O2825" s="2415"/>
      <c r="P2825" s="2415"/>
      <c r="Q2825" s="2415"/>
      <c r="R2825" s="2415"/>
      <c r="W2825" t="s">
        <v>2062</v>
      </c>
    </row>
    <row r="2826" spans="1:23" ht="13.15" customHeight="1">
      <c r="A2826" s="2" t="s">
        <v>2218</v>
      </c>
      <c r="B2826" s="2">
        <f t="shared" si="86"/>
        <v>2020</v>
      </c>
      <c r="C2826" s="2" t="str">
        <f t="shared" si="87"/>
        <v>LIM333</v>
      </c>
      <c r="D2826" s="2438">
        <v>2</v>
      </c>
      <c r="E2826" s="5">
        <v>13</v>
      </c>
      <c r="F2826" s="2454" t="s">
        <v>121</v>
      </c>
      <c r="G2826" s="2415"/>
      <c r="H2826" s="2415"/>
      <c r="I2826" s="2415"/>
      <c r="J2826" s="2415"/>
      <c r="K2826" s="2415"/>
      <c r="L2826" s="2415"/>
      <c r="M2826" s="2415"/>
      <c r="N2826" s="2415"/>
      <c r="O2826" s="2415"/>
      <c r="P2826" s="2415"/>
      <c r="Q2826" s="2415"/>
      <c r="R2826" s="2415"/>
      <c r="W2826" t="s">
        <v>2062</v>
      </c>
    </row>
    <row r="2827" spans="1:23" ht="13.15" customHeight="1">
      <c r="A2827" s="2" t="s">
        <v>2218</v>
      </c>
      <c r="B2827" s="2">
        <f t="shared" si="86"/>
        <v>2020</v>
      </c>
      <c r="C2827" s="2" t="str">
        <f t="shared" si="87"/>
        <v>LIM333</v>
      </c>
      <c r="D2827" s="2438"/>
      <c r="E2827" s="5"/>
      <c r="F2827" s="2454" t="s">
        <v>122</v>
      </c>
      <c r="G2827" s="2415"/>
      <c r="H2827" s="2415"/>
      <c r="I2827" s="2415"/>
      <c r="J2827" s="2415"/>
      <c r="K2827" s="2415"/>
      <c r="L2827" s="2415"/>
      <c r="M2827" s="2415"/>
      <c r="N2827" s="2415"/>
      <c r="O2827" s="2415"/>
      <c r="P2827" s="2415"/>
      <c r="Q2827" s="2415"/>
      <c r="R2827" s="2415"/>
      <c r="W2827" t="s">
        <v>2062</v>
      </c>
    </row>
    <row r="2828" spans="1:23" ht="13.15" customHeight="1">
      <c r="A2828" s="2" t="s">
        <v>2218</v>
      </c>
      <c r="B2828" s="2">
        <f t="shared" si="86"/>
        <v>2020</v>
      </c>
      <c r="C2828" s="2" t="str">
        <f t="shared" si="87"/>
        <v>LIM333</v>
      </c>
      <c r="D2828" s="2438">
        <v>2</v>
      </c>
      <c r="E2828" s="5">
        <v>21</v>
      </c>
      <c r="F2828" s="2454" t="s">
        <v>123</v>
      </c>
      <c r="G2828" s="2415"/>
      <c r="H2828" s="2415"/>
      <c r="I2828" s="2415"/>
      <c r="J2828" s="2415"/>
      <c r="K2828" s="2415"/>
      <c r="L2828" s="2415"/>
      <c r="M2828" s="2415"/>
      <c r="N2828" s="2415"/>
      <c r="O2828" s="2415"/>
      <c r="P2828" s="2415"/>
      <c r="Q2828" s="2415"/>
      <c r="R2828" s="2415"/>
      <c r="W2828" t="s">
        <v>2062</v>
      </c>
    </row>
    <row r="2829" spans="1:23" ht="13.15" customHeight="1">
      <c r="A2829" s="2" t="s">
        <v>2218</v>
      </c>
      <c r="B2829" s="2">
        <f t="shared" si="86"/>
        <v>2020</v>
      </c>
      <c r="C2829" s="2" t="str">
        <f t="shared" si="87"/>
        <v>LIM333</v>
      </c>
      <c r="D2829" s="2438">
        <v>2</v>
      </c>
      <c r="E2829" s="5">
        <v>22</v>
      </c>
      <c r="F2829" s="2454" t="s">
        <v>124</v>
      </c>
      <c r="G2829" s="2415"/>
      <c r="H2829" s="2415"/>
      <c r="I2829" s="2415"/>
      <c r="J2829" s="2415"/>
      <c r="K2829" s="2415"/>
      <c r="L2829" s="2415"/>
      <c r="M2829" s="2415"/>
      <c r="N2829" s="2415"/>
      <c r="O2829" s="2415"/>
      <c r="P2829" s="2415"/>
      <c r="Q2829" s="2415"/>
      <c r="R2829" s="2415"/>
      <c r="W2829" t="s">
        <v>2062</v>
      </c>
    </row>
    <row r="2830" spans="1:23" ht="13.15" customHeight="1">
      <c r="A2830" s="2" t="s">
        <v>2218</v>
      </c>
      <c r="B2830" s="2">
        <f t="shared" si="86"/>
        <v>2020</v>
      </c>
      <c r="C2830" s="2" t="str">
        <f t="shared" si="87"/>
        <v>LIM333</v>
      </c>
      <c r="D2830" s="2438">
        <v>2</v>
      </c>
      <c r="E2830" s="5">
        <v>23</v>
      </c>
      <c r="F2830" s="2454" t="s">
        <v>125</v>
      </c>
      <c r="G2830" s="2415"/>
      <c r="H2830" s="2415"/>
      <c r="I2830" s="2415"/>
      <c r="J2830" s="2415"/>
      <c r="K2830" s="2415"/>
      <c r="L2830" s="2415"/>
      <c r="M2830" s="2415"/>
      <c r="N2830" s="2415"/>
      <c r="O2830" s="2415"/>
      <c r="P2830" s="2415"/>
      <c r="Q2830" s="2415"/>
      <c r="R2830" s="2415"/>
      <c r="W2830" t="s">
        <v>2062</v>
      </c>
    </row>
    <row r="2831" spans="1:23" ht="13.15" customHeight="1">
      <c r="A2831" s="2" t="s">
        <v>2218</v>
      </c>
      <c r="B2831" s="2">
        <f t="shared" si="86"/>
        <v>2020</v>
      </c>
      <c r="C2831" s="2" t="str">
        <f t="shared" si="87"/>
        <v>LIM333</v>
      </c>
      <c r="D2831" s="2438">
        <v>2</v>
      </c>
      <c r="E2831" s="5">
        <v>24</v>
      </c>
      <c r="F2831" s="2454" t="s">
        <v>1493</v>
      </c>
      <c r="G2831" s="2415"/>
      <c r="H2831" s="2415"/>
      <c r="I2831" s="2415"/>
      <c r="J2831" s="2415"/>
      <c r="K2831" s="2415"/>
      <c r="L2831" s="2415"/>
      <c r="M2831" s="2415"/>
      <c r="N2831" s="2415"/>
      <c r="O2831" s="2415"/>
      <c r="P2831" s="2415"/>
      <c r="Q2831" s="2415"/>
      <c r="R2831" s="2415"/>
      <c r="W2831" t="s">
        <v>2062</v>
      </c>
    </row>
    <row r="2832" spans="1:23" ht="13.15" customHeight="1">
      <c r="A2832" s="2" t="s">
        <v>2218</v>
      </c>
      <c r="B2832" s="2">
        <f t="shared" si="86"/>
        <v>2020</v>
      </c>
      <c r="C2832" s="2" t="str">
        <f t="shared" si="87"/>
        <v>LIM333</v>
      </c>
      <c r="D2832" s="2438">
        <v>2</v>
      </c>
      <c r="E2832" s="5">
        <v>25</v>
      </c>
      <c r="F2832" s="2454" t="s">
        <v>1557</v>
      </c>
      <c r="G2832" s="2415"/>
      <c r="H2832" s="2415"/>
      <c r="I2832" s="2415"/>
      <c r="J2832" s="2415"/>
      <c r="K2832" s="2415"/>
      <c r="L2832" s="2415"/>
      <c r="M2832" s="2415"/>
      <c r="N2832" s="2415"/>
      <c r="O2832" s="2415"/>
      <c r="P2832" s="2415"/>
      <c r="Q2832" s="2415"/>
      <c r="R2832" s="2415"/>
      <c r="W2832" t="s">
        <v>2062</v>
      </c>
    </row>
    <row r="2833" spans="1:23" ht="13.15" customHeight="1">
      <c r="A2833" s="2" t="s">
        <v>2218</v>
      </c>
      <c r="B2833" s="2">
        <f t="shared" si="86"/>
        <v>2020</v>
      </c>
      <c r="C2833" s="2" t="str">
        <f t="shared" si="87"/>
        <v>LIM333</v>
      </c>
      <c r="D2833" s="2438"/>
      <c r="E2833" s="5"/>
      <c r="F2833" s="2454" t="s">
        <v>126</v>
      </c>
      <c r="G2833" s="2415"/>
      <c r="H2833" s="2415"/>
      <c r="I2833" s="2415"/>
      <c r="J2833" s="2415"/>
      <c r="K2833" s="2415"/>
      <c r="L2833" s="2415"/>
      <c r="M2833" s="2415"/>
      <c r="N2833" s="2415"/>
      <c r="O2833" s="2415"/>
      <c r="P2833" s="2415"/>
      <c r="Q2833" s="2415"/>
      <c r="R2833" s="2415"/>
      <c r="W2833" t="s">
        <v>2062</v>
      </c>
    </row>
    <row r="2834" spans="1:23" ht="13.15" customHeight="1">
      <c r="A2834" s="2" t="s">
        <v>2218</v>
      </c>
      <c r="B2834" s="2">
        <f t="shared" si="86"/>
        <v>2020</v>
      </c>
      <c r="C2834" s="2" t="str">
        <f t="shared" si="87"/>
        <v>LIM333</v>
      </c>
      <c r="D2834" s="2438">
        <v>2</v>
      </c>
      <c r="E2834" s="5">
        <v>31</v>
      </c>
      <c r="F2834" s="2454" t="s">
        <v>127</v>
      </c>
      <c r="G2834" s="2415"/>
      <c r="H2834" s="2415"/>
      <c r="I2834" s="2415"/>
      <c r="J2834" s="2415"/>
      <c r="K2834" s="2415"/>
      <c r="L2834" s="2415"/>
      <c r="M2834" s="2415"/>
      <c r="N2834" s="2415"/>
      <c r="O2834" s="2415"/>
      <c r="P2834" s="2415"/>
      <c r="Q2834" s="2415"/>
      <c r="R2834" s="2415"/>
      <c r="W2834" t="s">
        <v>2062</v>
      </c>
    </row>
    <row r="2835" spans="1:23" ht="13.15" customHeight="1">
      <c r="A2835" s="2" t="s">
        <v>2218</v>
      </c>
      <c r="B2835" s="2">
        <f t="shared" si="86"/>
        <v>2020</v>
      </c>
      <c r="C2835" s="2" t="str">
        <f t="shared" si="87"/>
        <v>LIM333</v>
      </c>
      <c r="D2835" s="2438">
        <v>2</v>
      </c>
      <c r="E2835" s="5">
        <v>32</v>
      </c>
      <c r="F2835" s="2454" t="s">
        <v>128</v>
      </c>
      <c r="G2835" s="2415"/>
      <c r="H2835" s="2415"/>
      <c r="I2835" s="2415"/>
      <c r="J2835" s="2415"/>
      <c r="K2835" s="2415"/>
      <c r="L2835" s="2415"/>
      <c r="M2835" s="2415"/>
      <c r="N2835" s="2415"/>
      <c r="O2835" s="2415"/>
      <c r="P2835" s="2415"/>
      <c r="Q2835" s="2415"/>
      <c r="R2835" s="2415"/>
      <c r="W2835" t="s">
        <v>2062</v>
      </c>
    </row>
    <row r="2836" spans="1:23" ht="13.15" customHeight="1">
      <c r="A2836" s="2" t="s">
        <v>2218</v>
      </c>
      <c r="B2836" s="2">
        <f t="shared" si="86"/>
        <v>2020</v>
      </c>
      <c r="C2836" s="2" t="str">
        <f t="shared" si="87"/>
        <v>LIM333</v>
      </c>
      <c r="D2836" s="2438">
        <v>2</v>
      </c>
      <c r="E2836" s="5">
        <v>33</v>
      </c>
      <c r="F2836" s="2454" t="s">
        <v>129</v>
      </c>
      <c r="G2836" s="2415"/>
      <c r="H2836" s="2415"/>
      <c r="I2836" s="2415"/>
      <c r="J2836" s="2415"/>
      <c r="K2836" s="2415"/>
      <c r="L2836" s="2415"/>
      <c r="M2836" s="2415"/>
      <c r="N2836" s="2415"/>
      <c r="O2836" s="2415"/>
      <c r="P2836" s="2415"/>
      <c r="Q2836" s="2415"/>
      <c r="R2836" s="2415"/>
      <c r="W2836" t="s">
        <v>2062</v>
      </c>
    </row>
    <row r="2837" spans="1:23" ht="13.15" customHeight="1">
      <c r="A2837" s="2" t="s">
        <v>2218</v>
      </c>
      <c r="B2837" s="2">
        <f t="shared" si="86"/>
        <v>2020</v>
      </c>
      <c r="C2837" s="2" t="str">
        <f t="shared" si="87"/>
        <v>LIM333</v>
      </c>
      <c r="D2837" s="2438"/>
      <c r="E2837" s="5"/>
      <c r="F2837" s="2454" t="s">
        <v>130</v>
      </c>
      <c r="G2837" s="2415"/>
      <c r="H2837" s="2415"/>
      <c r="I2837" s="2415"/>
      <c r="J2837" s="2415"/>
      <c r="K2837" s="2415"/>
      <c r="L2837" s="2415"/>
      <c r="M2837" s="2415"/>
      <c r="N2837" s="2415"/>
      <c r="O2837" s="2415"/>
      <c r="P2837" s="2415"/>
      <c r="Q2837" s="2415"/>
      <c r="R2837" s="2415"/>
      <c r="W2837" t="s">
        <v>2062</v>
      </c>
    </row>
    <row r="2838" spans="1:23" ht="13.15" customHeight="1">
      <c r="A2838" s="2" t="s">
        <v>2218</v>
      </c>
      <c r="B2838" s="2">
        <f t="shared" si="86"/>
        <v>2020</v>
      </c>
      <c r="C2838" s="2" t="str">
        <f t="shared" si="87"/>
        <v>LIM333</v>
      </c>
      <c r="D2838" s="2438">
        <v>2</v>
      </c>
      <c r="E2838" s="5">
        <v>41</v>
      </c>
      <c r="F2838" s="2454" t="s">
        <v>556</v>
      </c>
      <c r="G2838" s="2415"/>
      <c r="H2838" s="2415"/>
      <c r="I2838" s="2415"/>
      <c r="J2838" s="2415"/>
      <c r="K2838" s="2415"/>
      <c r="L2838" s="2415"/>
      <c r="M2838" s="2415"/>
      <c r="N2838" s="2415"/>
      <c r="O2838" s="2415"/>
      <c r="P2838" s="2415"/>
      <c r="Q2838" s="2415"/>
      <c r="R2838" s="2415"/>
      <c r="W2838" t="s">
        <v>2062</v>
      </c>
    </row>
    <row r="2839" spans="1:23" ht="13.15" customHeight="1">
      <c r="A2839" s="2" t="s">
        <v>2218</v>
      </c>
      <c r="B2839" s="2">
        <f t="shared" si="86"/>
        <v>2020</v>
      </c>
      <c r="C2839" s="2" t="str">
        <f t="shared" si="87"/>
        <v>LIM333</v>
      </c>
      <c r="D2839" s="2438">
        <v>2</v>
      </c>
      <c r="E2839" s="5">
        <v>42</v>
      </c>
      <c r="F2839" s="2454" t="s">
        <v>827</v>
      </c>
      <c r="G2839" s="2415"/>
      <c r="H2839" s="2415"/>
      <c r="I2839" s="2415"/>
      <c r="J2839" s="2415"/>
      <c r="K2839" s="2415"/>
      <c r="L2839" s="2415"/>
      <c r="M2839" s="2415"/>
      <c r="N2839" s="2415"/>
      <c r="O2839" s="2415"/>
      <c r="P2839" s="2415"/>
      <c r="Q2839" s="2415"/>
      <c r="R2839" s="2415"/>
      <c r="W2839" t="s">
        <v>2062</v>
      </c>
    </row>
    <row r="2840" spans="1:23" ht="13.15" customHeight="1">
      <c r="A2840" s="2" t="s">
        <v>2218</v>
      </c>
      <c r="B2840" s="2">
        <f t="shared" si="86"/>
        <v>2020</v>
      </c>
      <c r="C2840" s="2" t="str">
        <f t="shared" si="87"/>
        <v>LIM333</v>
      </c>
      <c r="D2840" s="2438">
        <v>2</v>
      </c>
      <c r="E2840" s="5">
        <v>43</v>
      </c>
      <c r="F2840" s="2454" t="s">
        <v>993</v>
      </c>
      <c r="G2840" s="2415"/>
      <c r="H2840" s="2415"/>
      <c r="I2840" s="2415"/>
      <c r="J2840" s="2415"/>
      <c r="K2840" s="2415"/>
      <c r="L2840" s="2415"/>
      <c r="M2840" s="2415"/>
      <c r="N2840" s="2415"/>
      <c r="O2840" s="2415"/>
      <c r="P2840" s="2415"/>
      <c r="Q2840" s="2415"/>
      <c r="R2840" s="2415"/>
      <c r="W2840" t="s">
        <v>2062</v>
      </c>
    </row>
    <row r="2841" spans="1:23" ht="13.15" customHeight="1">
      <c r="A2841" s="2" t="s">
        <v>2218</v>
      </c>
      <c r="B2841" s="2">
        <f t="shared" si="86"/>
        <v>2020</v>
      </c>
      <c r="C2841" s="2" t="str">
        <f t="shared" si="87"/>
        <v>LIM333</v>
      </c>
      <c r="D2841" s="2438">
        <v>2</v>
      </c>
      <c r="E2841" s="5">
        <v>44</v>
      </c>
      <c r="F2841" s="2454" t="s">
        <v>994</v>
      </c>
      <c r="G2841" s="2415"/>
      <c r="H2841" s="2415"/>
      <c r="I2841" s="2415"/>
      <c r="J2841" s="2415"/>
      <c r="K2841" s="2415"/>
      <c r="L2841" s="2415"/>
      <c r="M2841" s="2415"/>
      <c r="N2841" s="2415"/>
      <c r="O2841" s="2415"/>
      <c r="P2841" s="2415"/>
      <c r="Q2841" s="2415"/>
      <c r="R2841" s="2415"/>
      <c r="W2841" t="s">
        <v>2062</v>
      </c>
    </row>
    <row r="2842" spans="1:23" ht="13.15" customHeight="1">
      <c r="A2842" s="2" t="s">
        <v>2218</v>
      </c>
      <c r="B2842" s="2">
        <f t="shared" si="86"/>
        <v>2020</v>
      </c>
      <c r="C2842" s="2" t="str">
        <f t="shared" si="87"/>
        <v>LIM333</v>
      </c>
      <c r="D2842" s="2438">
        <v>2</v>
      </c>
      <c r="E2842" s="5">
        <v>45</v>
      </c>
      <c r="F2842" s="2454" t="s">
        <v>245</v>
      </c>
      <c r="G2842" s="2415"/>
      <c r="H2842" s="2415"/>
      <c r="I2842" s="2415"/>
      <c r="J2842" s="2415"/>
      <c r="K2842" s="2415"/>
      <c r="L2842" s="2415"/>
      <c r="M2842" s="2415"/>
      <c r="N2842" s="2415"/>
      <c r="O2842" s="2415"/>
      <c r="P2842" s="2415"/>
      <c r="Q2842" s="2415"/>
      <c r="R2842" s="2415"/>
      <c r="W2842" t="s">
        <v>2062</v>
      </c>
    </row>
    <row r="2843" spans="1:23" ht="13.15" customHeight="1">
      <c r="A2843" s="2" t="s">
        <v>2218</v>
      </c>
      <c r="B2843" s="2">
        <f t="shared" si="86"/>
        <v>2020</v>
      </c>
      <c r="C2843" s="2" t="str">
        <f t="shared" si="87"/>
        <v>LIM333</v>
      </c>
      <c r="D2843" s="2438"/>
      <c r="E2843" s="5"/>
      <c r="F2843" s="2450" t="s">
        <v>2220</v>
      </c>
      <c r="G2843" s="2415"/>
      <c r="H2843" s="2415"/>
      <c r="I2843" s="2415"/>
      <c r="J2843" s="2415"/>
      <c r="K2843" s="2415"/>
      <c r="L2843" s="2415"/>
      <c r="M2843" s="2415"/>
      <c r="N2843" s="2415"/>
      <c r="O2843" s="2415"/>
      <c r="P2843" s="2415"/>
      <c r="Q2843" s="2415"/>
      <c r="R2843" s="2415"/>
      <c r="W2843" t="s">
        <v>2062</v>
      </c>
    </row>
    <row r="2844" spans="1:23" ht="13.15" customHeight="1">
      <c r="A2844" s="2" t="s">
        <v>2221</v>
      </c>
      <c r="B2844" s="2">
        <f t="shared" si="86"/>
        <v>2020</v>
      </c>
      <c r="C2844" s="2" t="str">
        <f t="shared" si="87"/>
        <v>LIM333</v>
      </c>
      <c r="D2844" s="2417"/>
      <c r="E2844" s="2"/>
      <c r="F2844" s="2" t="s">
        <v>1082</v>
      </c>
      <c r="G2844" s="2415"/>
      <c r="H2844" s="2415"/>
      <c r="I2844" s="2415"/>
      <c r="J2844" s="2415"/>
      <c r="K2844" s="2415"/>
      <c r="L2844" s="2415"/>
      <c r="M2844" s="2415"/>
      <c r="N2844" s="2415"/>
      <c r="O2844" s="2415"/>
      <c r="P2844" s="2415"/>
      <c r="Q2844" s="2415"/>
      <c r="R2844" s="2415"/>
      <c r="W2844" t="s">
        <v>2062</v>
      </c>
    </row>
    <row r="2845" spans="1:23" ht="13.15" customHeight="1">
      <c r="A2845" s="2" t="s">
        <v>2221</v>
      </c>
      <c r="B2845" s="2">
        <f t="shared" si="86"/>
        <v>2020</v>
      </c>
      <c r="C2845" s="2" t="str">
        <f t="shared" si="87"/>
        <v>LIM333</v>
      </c>
      <c r="D2845" s="2417"/>
      <c r="E2845" s="2"/>
      <c r="F2845" s="2448" t="s">
        <v>991</v>
      </c>
      <c r="G2845" s="2415"/>
      <c r="H2845" s="2415"/>
      <c r="I2845" s="2415"/>
      <c r="J2845" s="2415"/>
      <c r="K2845" s="2415"/>
      <c r="L2845" s="2415"/>
      <c r="M2845" s="2415"/>
      <c r="N2845" s="2415"/>
      <c r="O2845" s="2415"/>
      <c r="P2845" s="2415"/>
      <c r="Q2845" s="2415"/>
      <c r="R2845" s="2415"/>
      <c r="W2845" t="s">
        <v>2062</v>
      </c>
    </row>
    <row r="2846" spans="1:23" ht="13.15" customHeight="1">
      <c r="A2846" s="2" t="s">
        <v>2221</v>
      </c>
      <c r="B2846" s="2">
        <f t="shared" si="86"/>
        <v>2020</v>
      </c>
      <c r="C2846" s="2" t="str">
        <f t="shared" si="87"/>
        <v>LIM333</v>
      </c>
      <c r="D2846" s="2417">
        <v>1</v>
      </c>
      <c r="E2846" s="2">
        <v>11</v>
      </c>
      <c r="F2846" s="2448" t="s">
        <v>119</v>
      </c>
      <c r="G2846" s="2415"/>
      <c r="H2846" s="2415"/>
      <c r="I2846" s="2415"/>
      <c r="J2846" s="2415"/>
      <c r="K2846" s="2415"/>
      <c r="L2846" s="2415"/>
      <c r="M2846" s="2415"/>
      <c r="N2846" s="2415"/>
      <c r="O2846" s="2415"/>
      <c r="P2846" s="2415"/>
      <c r="Q2846" s="2415"/>
      <c r="R2846" s="2415"/>
      <c r="W2846" t="s">
        <v>2062</v>
      </c>
    </row>
    <row r="2847" spans="1:23" ht="13.15" customHeight="1">
      <c r="A2847" s="2" t="s">
        <v>2221</v>
      </c>
      <c r="B2847" s="2">
        <f t="shared" si="86"/>
        <v>2020</v>
      </c>
      <c r="C2847" s="2" t="str">
        <f t="shared" si="87"/>
        <v>LIM333</v>
      </c>
      <c r="D2847" s="2417">
        <v>1</v>
      </c>
      <c r="E2847" s="2">
        <v>12</v>
      </c>
      <c r="F2847" s="2448" t="s">
        <v>120</v>
      </c>
      <c r="G2847" s="2415"/>
      <c r="H2847" s="2415"/>
      <c r="I2847" s="2415"/>
      <c r="J2847" s="2415"/>
      <c r="K2847" s="2415"/>
      <c r="L2847" s="2415"/>
      <c r="M2847" s="2415"/>
      <c r="N2847" s="2415"/>
      <c r="O2847" s="2415"/>
      <c r="P2847" s="2415"/>
      <c r="Q2847" s="2415"/>
      <c r="R2847" s="2415"/>
      <c r="W2847" t="s">
        <v>2062</v>
      </c>
    </row>
    <row r="2848" spans="1:23" ht="13.15" customHeight="1">
      <c r="A2848" s="2" t="s">
        <v>2221</v>
      </c>
      <c r="B2848" s="2">
        <f t="shared" si="86"/>
        <v>2020</v>
      </c>
      <c r="C2848" s="2" t="str">
        <f t="shared" si="87"/>
        <v>LIM333</v>
      </c>
      <c r="D2848" s="2417">
        <v>1</v>
      </c>
      <c r="E2848" s="2">
        <v>13</v>
      </c>
      <c r="F2848" s="2448" t="s">
        <v>121</v>
      </c>
      <c r="G2848" s="2415"/>
      <c r="H2848" s="2415"/>
      <c r="I2848" s="2415"/>
      <c r="J2848" s="2415"/>
      <c r="K2848" s="2415"/>
      <c r="L2848" s="2415"/>
      <c r="M2848" s="2415"/>
      <c r="N2848" s="2415"/>
      <c r="O2848" s="2415"/>
      <c r="P2848" s="2415"/>
      <c r="Q2848" s="2415"/>
      <c r="R2848" s="2415"/>
      <c r="W2848" t="s">
        <v>2062</v>
      </c>
    </row>
    <row r="2849" spans="1:23" ht="13.15" customHeight="1">
      <c r="A2849" s="2" t="s">
        <v>2221</v>
      </c>
      <c r="B2849" s="2">
        <f t="shared" si="86"/>
        <v>2020</v>
      </c>
      <c r="C2849" s="2" t="str">
        <f t="shared" si="87"/>
        <v>LIM333</v>
      </c>
      <c r="D2849" s="2417"/>
      <c r="E2849" s="2"/>
      <c r="F2849" s="2448" t="s">
        <v>122</v>
      </c>
      <c r="G2849" s="2415"/>
      <c r="H2849" s="2415"/>
      <c r="I2849" s="2415"/>
      <c r="J2849" s="2415"/>
      <c r="K2849" s="2415"/>
      <c r="L2849" s="2415"/>
      <c r="M2849" s="2415"/>
      <c r="N2849" s="2415"/>
      <c r="O2849" s="2415"/>
      <c r="P2849" s="2415"/>
      <c r="Q2849" s="2415"/>
      <c r="R2849" s="2415"/>
      <c r="W2849" t="s">
        <v>2062</v>
      </c>
    </row>
    <row r="2850" spans="1:23" ht="13.15" customHeight="1">
      <c r="A2850" s="2" t="s">
        <v>2221</v>
      </c>
      <c r="B2850" s="2">
        <f t="shared" si="86"/>
        <v>2020</v>
      </c>
      <c r="C2850" s="2" t="str">
        <f t="shared" si="87"/>
        <v>LIM333</v>
      </c>
      <c r="D2850" s="2417">
        <v>1</v>
      </c>
      <c r="E2850" s="2">
        <v>21</v>
      </c>
      <c r="F2850" s="2448" t="s">
        <v>123</v>
      </c>
      <c r="G2850" s="2415"/>
      <c r="H2850" s="2415"/>
      <c r="I2850" s="2415"/>
      <c r="J2850" s="2415"/>
      <c r="K2850" s="2415"/>
      <c r="L2850" s="2415"/>
      <c r="M2850" s="2415"/>
      <c r="N2850" s="2415"/>
      <c r="O2850" s="2415"/>
      <c r="P2850" s="2415"/>
      <c r="Q2850" s="2415"/>
      <c r="R2850" s="2415"/>
      <c r="W2850" t="s">
        <v>2062</v>
      </c>
    </row>
    <row r="2851" spans="1:23" ht="13.15" customHeight="1">
      <c r="A2851" s="2" t="s">
        <v>2221</v>
      </c>
      <c r="B2851" s="2">
        <f t="shared" si="86"/>
        <v>2020</v>
      </c>
      <c r="C2851" s="2" t="str">
        <f t="shared" si="87"/>
        <v>LIM333</v>
      </c>
      <c r="D2851" s="2417">
        <v>1</v>
      </c>
      <c r="E2851" s="2">
        <v>22</v>
      </c>
      <c r="F2851" s="2448" t="s">
        <v>124</v>
      </c>
      <c r="G2851" s="2415"/>
      <c r="H2851" s="2415"/>
      <c r="I2851" s="2415"/>
      <c r="J2851" s="2415"/>
      <c r="K2851" s="2415"/>
      <c r="L2851" s="2415"/>
      <c r="M2851" s="2415"/>
      <c r="N2851" s="2415"/>
      <c r="O2851" s="2415"/>
      <c r="P2851" s="2415"/>
      <c r="Q2851" s="2415"/>
      <c r="R2851" s="2415"/>
      <c r="W2851" t="s">
        <v>2062</v>
      </c>
    </row>
    <row r="2852" spans="1:23" ht="13.15" customHeight="1">
      <c r="A2852" s="2" t="s">
        <v>2221</v>
      </c>
      <c r="B2852" s="2">
        <f t="shared" si="86"/>
        <v>2020</v>
      </c>
      <c r="C2852" s="2" t="str">
        <f t="shared" si="87"/>
        <v>LIM333</v>
      </c>
      <c r="D2852" s="2417">
        <v>1</v>
      </c>
      <c r="E2852" s="2">
        <v>23</v>
      </c>
      <c r="F2852" s="2448" t="s">
        <v>125</v>
      </c>
      <c r="G2852" s="2415"/>
      <c r="H2852" s="2415"/>
      <c r="I2852" s="2415"/>
      <c r="J2852" s="2415"/>
      <c r="K2852" s="2415"/>
      <c r="L2852" s="2415"/>
      <c r="M2852" s="2415"/>
      <c r="N2852" s="2415"/>
      <c r="O2852" s="2415"/>
      <c r="P2852" s="2415"/>
      <c r="Q2852" s="2415"/>
      <c r="R2852" s="2415"/>
      <c r="W2852" t="s">
        <v>2062</v>
      </c>
    </row>
    <row r="2853" spans="1:23" ht="13.15" customHeight="1">
      <c r="A2853" s="2" t="s">
        <v>2221</v>
      </c>
      <c r="B2853" s="2">
        <f t="shared" si="86"/>
        <v>2020</v>
      </c>
      <c r="C2853" s="2" t="str">
        <f t="shared" si="87"/>
        <v>LIM333</v>
      </c>
      <c r="D2853" s="2417">
        <v>1</v>
      </c>
      <c r="E2853" s="2">
        <v>24</v>
      </c>
      <c r="F2853" s="2448" t="s">
        <v>1493</v>
      </c>
      <c r="G2853" s="2415"/>
      <c r="H2853" s="2415"/>
      <c r="I2853" s="2415"/>
      <c r="J2853" s="2415"/>
      <c r="K2853" s="2415"/>
      <c r="L2853" s="2415"/>
      <c r="M2853" s="2415"/>
      <c r="N2853" s="2415"/>
      <c r="O2853" s="2415"/>
      <c r="P2853" s="2415"/>
      <c r="Q2853" s="2415"/>
      <c r="R2853" s="2415"/>
      <c r="W2853" t="s">
        <v>2062</v>
      </c>
    </row>
    <row r="2854" spans="1:23" ht="13.15" customHeight="1">
      <c r="A2854" s="2" t="s">
        <v>2221</v>
      </c>
      <c r="B2854" s="2">
        <f t="shared" si="86"/>
        <v>2020</v>
      </c>
      <c r="C2854" s="2" t="str">
        <f t="shared" si="87"/>
        <v>LIM333</v>
      </c>
      <c r="D2854" s="2417">
        <v>1</v>
      </c>
      <c r="E2854" s="2">
        <v>25</v>
      </c>
      <c r="F2854" s="2448" t="s">
        <v>1557</v>
      </c>
      <c r="G2854" s="2415"/>
      <c r="H2854" s="2415"/>
      <c r="I2854" s="2415"/>
      <c r="J2854" s="2415"/>
      <c r="K2854" s="2415"/>
      <c r="L2854" s="2415"/>
      <c r="M2854" s="2415"/>
      <c r="N2854" s="2415"/>
      <c r="O2854" s="2415"/>
      <c r="P2854" s="2415"/>
      <c r="Q2854" s="2415"/>
      <c r="R2854" s="2415"/>
      <c r="W2854" t="s">
        <v>2062</v>
      </c>
    </row>
    <row r="2855" spans="1:23" ht="13.15" customHeight="1">
      <c r="A2855" s="2" t="s">
        <v>2221</v>
      </c>
      <c r="B2855" s="2">
        <f t="shared" si="86"/>
        <v>2020</v>
      </c>
      <c r="C2855" s="2" t="str">
        <f t="shared" si="87"/>
        <v>LIM333</v>
      </c>
      <c r="D2855" s="2417"/>
      <c r="E2855" s="2"/>
      <c r="F2855" s="2448" t="s">
        <v>126</v>
      </c>
      <c r="G2855" s="2415"/>
      <c r="H2855" s="2415"/>
      <c r="I2855" s="2415"/>
      <c r="J2855" s="2415"/>
      <c r="K2855" s="2415"/>
      <c r="L2855" s="2415"/>
      <c r="M2855" s="2415"/>
      <c r="N2855" s="2415"/>
      <c r="O2855" s="2415"/>
      <c r="P2855" s="2415"/>
      <c r="Q2855" s="2415"/>
      <c r="R2855" s="2415"/>
      <c r="W2855" t="s">
        <v>2062</v>
      </c>
    </row>
    <row r="2856" spans="1:23" ht="13.15" customHeight="1">
      <c r="A2856" s="2" t="s">
        <v>2221</v>
      </c>
      <c r="B2856" s="2">
        <f t="shared" ref="B2856:B2876" si="88">+MTREF</f>
        <v>2020</v>
      </c>
      <c r="C2856" s="2" t="str">
        <f t="shared" ref="C2856:C2876" si="89">LEFT(muni,(FIND(" ",muni,1)-1))</f>
        <v>LIM333</v>
      </c>
      <c r="D2856" s="2417">
        <v>1</v>
      </c>
      <c r="E2856" s="2">
        <v>31</v>
      </c>
      <c r="F2856" s="2448" t="s">
        <v>127</v>
      </c>
      <c r="G2856" s="2415"/>
      <c r="H2856" s="2415"/>
      <c r="I2856" s="2415"/>
      <c r="J2856" s="2415"/>
      <c r="K2856" s="2415"/>
      <c r="L2856" s="2415"/>
      <c r="M2856" s="2415"/>
      <c r="N2856" s="2415"/>
      <c r="O2856" s="2415"/>
      <c r="P2856" s="2415"/>
      <c r="Q2856" s="2415"/>
      <c r="R2856" s="2415"/>
      <c r="W2856" t="s">
        <v>2062</v>
      </c>
    </row>
    <row r="2857" spans="1:23" ht="13.15" customHeight="1">
      <c r="A2857" s="2" t="s">
        <v>2221</v>
      </c>
      <c r="B2857" s="2">
        <f t="shared" si="88"/>
        <v>2020</v>
      </c>
      <c r="C2857" s="2" t="str">
        <f t="shared" si="89"/>
        <v>LIM333</v>
      </c>
      <c r="D2857" s="2417">
        <v>1</v>
      </c>
      <c r="E2857" s="2">
        <v>32</v>
      </c>
      <c r="F2857" s="2448" t="s">
        <v>128</v>
      </c>
      <c r="G2857" s="2415"/>
      <c r="H2857" s="2415"/>
      <c r="I2857" s="2415"/>
      <c r="J2857" s="2415"/>
      <c r="K2857" s="2415"/>
      <c r="L2857" s="2415"/>
      <c r="M2857" s="2415"/>
      <c r="N2857" s="2415"/>
      <c r="O2857" s="2415"/>
      <c r="P2857" s="2415"/>
      <c r="Q2857" s="2415"/>
      <c r="R2857" s="2415"/>
      <c r="W2857" t="s">
        <v>2062</v>
      </c>
    </row>
    <row r="2858" spans="1:23" ht="13.15" customHeight="1">
      <c r="A2858" s="2" t="s">
        <v>2221</v>
      </c>
      <c r="B2858" s="2">
        <f t="shared" si="88"/>
        <v>2020</v>
      </c>
      <c r="C2858" s="2" t="str">
        <f t="shared" si="89"/>
        <v>LIM333</v>
      </c>
      <c r="D2858" s="2417">
        <v>1</v>
      </c>
      <c r="E2858" s="2">
        <v>33</v>
      </c>
      <c r="F2858" s="2448" t="s">
        <v>129</v>
      </c>
      <c r="G2858" s="2415"/>
      <c r="H2858" s="2415"/>
      <c r="I2858" s="2415"/>
      <c r="J2858" s="2415"/>
      <c r="K2858" s="2415"/>
      <c r="L2858" s="2415"/>
      <c r="M2858" s="2415"/>
      <c r="N2858" s="2415"/>
      <c r="O2858" s="2415"/>
      <c r="P2858" s="2415"/>
      <c r="Q2858" s="2415"/>
      <c r="R2858" s="2415"/>
      <c r="W2858" t="s">
        <v>2062</v>
      </c>
    </row>
    <row r="2859" spans="1:23" ht="13.15" customHeight="1">
      <c r="A2859" s="2" t="s">
        <v>2221</v>
      </c>
      <c r="B2859" s="2">
        <f t="shared" si="88"/>
        <v>2020</v>
      </c>
      <c r="C2859" s="2" t="str">
        <f t="shared" si="89"/>
        <v>LIM333</v>
      </c>
      <c r="D2859" s="2417"/>
      <c r="E2859" s="2"/>
      <c r="F2859" s="2448" t="s">
        <v>130</v>
      </c>
      <c r="G2859" s="2415"/>
      <c r="H2859" s="2415"/>
      <c r="I2859" s="2415"/>
      <c r="J2859" s="2415"/>
      <c r="K2859" s="2415"/>
      <c r="L2859" s="2415"/>
      <c r="M2859" s="2415"/>
      <c r="N2859" s="2415"/>
      <c r="O2859" s="2415"/>
      <c r="P2859" s="2415"/>
      <c r="Q2859" s="2415"/>
      <c r="R2859" s="2415"/>
      <c r="W2859" t="s">
        <v>2062</v>
      </c>
    </row>
    <row r="2860" spans="1:23" ht="13.15" customHeight="1">
      <c r="A2860" s="2" t="s">
        <v>2221</v>
      </c>
      <c r="B2860" s="2">
        <f t="shared" si="88"/>
        <v>2020</v>
      </c>
      <c r="C2860" s="2" t="str">
        <f t="shared" si="89"/>
        <v>LIM333</v>
      </c>
      <c r="D2860" s="2417">
        <v>1</v>
      </c>
      <c r="E2860" s="2">
        <v>41</v>
      </c>
      <c r="F2860" s="2448" t="s">
        <v>556</v>
      </c>
      <c r="G2860" s="2415"/>
      <c r="H2860" s="2415"/>
      <c r="I2860" s="2415"/>
      <c r="J2860" s="2415"/>
      <c r="K2860" s="2415"/>
      <c r="L2860" s="2415"/>
      <c r="M2860" s="2415"/>
      <c r="N2860" s="2415"/>
      <c r="O2860" s="2415"/>
      <c r="P2860" s="2415"/>
      <c r="Q2860" s="2415"/>
      <c r="R2860" s="2415"/>
      <c r="W2860" t="s">
        <v>2062</v>
      </c>
    </row>
    <row r="2861" spans="1:23" ht="13.15" customHeight="1">
      <c r="A2861" s="2" t="s">
        <v>2221</v>
      </c>
      <c r="B2861" s="2">
        <f t="shared" si="88"/>
        <v>2020</v>
      </c>
      <c r="C2861" s="2" t="str">
        <f t="shared" si="89"/>
        <v>LIM333</v>
      </c>
      <c r="D2861" s="2417">
        <v>1</v>
      </c>
      <c r="E2861" s="2">
        <v>42</v>
      </c>
      <c r="F2861" s="2448" t="s">
        <v>827</v>
      </c>
      <c r="G2861" s="2415"/>
      <c r="H2861" s="2415"/>
      <c r="I2861" s="2415"/>
      <c r="J2861" s="2415"/>
      <c r="K2861" s="2415"/>
      <c r="L2861" s="2415"/>
      <c r="M2861" s="2415"/>
      <c r="N2861" s="2415"/>
      <c r="O2861" s="2415"/>
      <c r="P2861" s="2415"/>
      <c r="Q2861" s="2415"/>
      <c r="R2861" s="2415"/>
      <c r="W2861" t="s">
        <v>2062</v>
      </c>
    </row>
    <row r="2862" spans="1:23" ht="13.15" customHeight="1">
      <c r="A2862" s="2" t="s">
        <v>2221</v>
      </c>
      <c r="B2862" s="2">
        <f t="shared" si="88"/>
        <v>2020</v>
      </c>
      <c r="C2862" s="2" t="str">
        <f t="shared" si="89"/>
        <v>LIM333</v>
      </c>
      <c r="D2862" s="2417">
        <v>1</v>
      </c>
      <c r="E2862" s="2">
        <v>43</v>
      </c>
      <c r="F2862" s="2449" t="s">
        <v>993</v>
      </c>
      <c r="G2862" s="2415"/>
      <c r="H2862" s="2415"/>
      <c r="I2862" s="2415"/>
      <c r="J2862" s="2415"/>
      <c r="K2862" s="2415"/>
      <c r="L2862" s="2415"/>
      <c r="M2862" s="2415"/>
      <c r="N2862" s="2415"/>
      <c r="O2862" s="2415"/>
      <c r="P2862" s="2415"/>
      <c r="Q2862" s="2415"/>
      <c r="R2862" s="2415"/>
      <c r="W2862" t="s">
        <v>2062</v>
      </c>
    </row>
    <row r="2863" spans="1:23" ht="13.15" customHeight="1">
      <c r="A2863" s="2" t="s">
        <v>2221</v>
      </c>
      <c r="B2863" s="2">
        <f t="shared" si="88"/>
        <v>2020</v>
      </c>
      <c r="C2863" s="2" t="str">
        <f t="shared" si="89"/>
        <v>LIM333</v>
      </c>
      <c r="D2863" s="2417">
        <v>1</v>
      </c>
      <c r="E2863" s="2">
        <v>44</v>
      </c>
      <c r="F2863" s="2449" t="s">
        <v>994</v>
      </c>
      <c r="G2863" s="2415"/>
      <c r="H2863" s="2415"/>
      <c r="I2863" s="2415"/>
      <c r="J2863" s="2415"/>
      <c r="K2863" s="2415"/>
      <c r="L2863" s="2415"/>
      <c r="M2863" s="2415"/>
      <c r="N2863" s="2415"/>
      <c r="O2863" s="2415"/>
      <c r="P2863" s="2415"/>
      <c r="Q2863" s="2415"/>
      <c r="R2863" s="2415"/>
      <c r="W2863" t="s">
        <v>2062</v>
      </c>
    </row>
    <row r="2864" spans="1:23" ht="13.15" customHeight="1">
      <c r="A2864" s="2" t="s">
        <v>2221</v>
      </c>
      <c r="B2864" s="2">
        <f t="shared" si="88"/>
        <v>2020</v>
      </c>
      <c r="C2864" s="2" t="str">
        <f t="shared" si="89"/>
        <v>LIM333</v>
      </c>
      <c r="D2864" s="2417">
        <v>1</v>
      </c>
      <c r="E2864" s="2">
        <v>45</v>
      </c>
      <c r="F2864" s="2449" t="s">
        <v>245</v>
      </c>
      <c r="G2864" s="2415"/>
      <c r="H2864" s="2415"/>
      <c r="I2864" s="2415"/>
      <c r="J2864" s="2415"/>
      <c r="K2864" s="2415"/>
      <c r="L2864" s="2415"/>
      <c r="M2864" s="2415"/>
      <c r="N2864" s="2415"/>
      <c r="O2864" s="2415"/>
      <c r="P2864" s="2415"/>
      <c r="Q2864" s="2415"/>
      <c r="R2864" s="2415"/>
      <c r="W2864" t="s">
        <v>2062</v>
      </c>
    </row>
    <row r="2865" spans="1:23" ht="13.15" customHeight="1">
      <c r="A2865" s="2" t="s">
        <v>2221</v>
      </c>
      <c r="B2865" s="2">
        <f t="shared" si="88"/>
        <v>2020</v>
      </c>
      <c r="C2865" s="2" t="str">
        <f t="shared" si="89"/>
        <v>LIM333</v>
      </c>
      <c r="D2865" s="2417"/>
      <c r="E2865" s="2"/>
      <c r="F2865" s="2449" t="s">
        <v>1083</v>
      </c>
      <c r="G2865" s="2415"/>
      <c r="H2865" s="2415"/>
      <c r="I2865" s="2415"/>
      <c r="J2865" s="2415"/>
      <c r="K2865" s="2415"/>
      <c r="L2865" s="2415"/>
      <c r="M2865" s="2415"/>
      <c r="N2865" s="2415"/>
      <c r="O2865" s="2415"/>
      <c r="P2865" s="2415"/>
      <c r="Q2865" s="2415"/>
      <c r="R2865" s="2415"/>
      <c r="W2865" t="s">
        <v>2062</v>
      </c>
    </row>
    <row r="2866" spans="1:23" ht="13.15" customHeight="1">
      <c r="A2866" s="2" t="s">
        <v>2221</v>
      </c>
      <c r="B2866" s="2">
        <f t="shared" si="88"/>
        <v>2020</v>
      </c>
      <c r="C2866" s="2" t="str">
        <f t="shared" si="89"/>
        <v>LIM333</v>
      </c>
      <c r="D2866" s="2417"/>
      <c r="E2866" s="2"/>
      <c r="F2866" s="2"/>
      <c r="G2866" s="2415"/>
      <c r="H2866" s="2415"/>
      <c r="I2866" s="2415"/>
      <c r="J2866" s="2415"/>
      <c r="K2866" s="2415"/>
      <c r="L2866" s="2415"/>
      <c r="M2866" s="2415"/>
      <c r="N2866" s="2415"/>
      <c r="O2866" s="2415"/>
      <c r="P2866" s="2415"/>
      <c r="Q2866" s="2415"/>
      <c r="R2866" s="2415"/>
      <c r="W2866" t="s">
        <v>2062</v>
      </c>
    </row>
    <row r="2867" spans="1:23" ht="13.15" customHeight="1">
      <c r="A2867" s="2" t="s">
        <v>2221</v>
      </c>
      <c r="B2867" s="2">
        <f t="shared" si="88"/>
        <v>2020</v>
      </c>
      <c r="C2867" s="2" t="str">
        <f t="shared" si="89"/>
        <v>LIM333</v>
      </c>
      <c r="D2867" s="2417">
        <v>2</v>
      </c>
      <c r="E2867" s="2">
        <v>50</v>
      </c>
      <c r="F2867" s="2455" t="s">
        <v>422</v>
      </c>
      <c r="G2867" s="2415"/>
      <c r="H2867" s="2415"/>
      <c r="I2867" s="2415"/>
      <c r="J2867" s="2415"/>
      <c r="K2867" s="2415"/>
      <c r="L2867" s="2415"/>
      <c r="M2867" s="2415"/>
      <c r="N2867" s="2415"/>
      <c r="O2867" s="2415"/>
      <c r="P2867" s="2415"/>
      <c r="Q2867" s="2415"/>
      <c r="R2867" s="2415"/>
      <c r="W2867" t="s">
        <v>2062</v>
      </c>
    </row>
    <row r="2868" spans="1:23" ht="13.15" customHeight="1">
      <c r="A2868" s="2" t="s">
        <v>2221</v>
      </c>
      <c r="B2868" s="2">
        <f t="shared" si="88"/>
        <v>2020</v>
      </c>
      <c r="C2868" s="2" t="str">
        <f t="shared" si="89"/>
        <v>LIM333</v>
      </c>
      <c r="D2868" s="2417">
        <v>2</v>
      </c>
      <c r="E2868" s="2">
        <v>51</v>
      </c>
      <c r="F2868" s="2455" t="s">
        <v>1363</v>
      </c>
      <c r="G2868" s="2415"/>
      <c r="H2868" s="2415"/>
      <c r="I2868" s="2415"/>
      <c r="J2868" s="2415"/>
      <c r="K2868" s="2415"/>
      <c r="L2868" s="2415"/>
      <c r="M2868" s="2415"/>
      <c r="N2868" s="2415"/>
      <c r="O2868" s="2415"/>
      <c r="P2868" s="2415"/>
      <c r="Q2868" s="2415"/>
      <c r="R2868" s="2415"/>
      <c r="W2868" t="s">
        <v>2062</v>
      </c>
    </row>
    <row r="2869" spans="1:23" ht="13.15" customHeight="1">
      <c r="A2869" s="2" t="s">
        <v>2221</v>
      </c>
      <c r="B2869" s="2">
        <f t="shared" si="88"/>
        <v>2020</v>
      </c>
      <c r="C2869" s="2" t="str">
        <f t="shared" si="89"/>
        <v>LIM333</v>
      </c>
      <c r="D2869" s="2417">
        <v>2</v>
      </c>
      <c r="E2869" s="2">
        <v>52</v>
      </c>
      <c r="F2869" s="2455" t="s">
        <v>470</v>
      </c>
      <c r="G2869" s="2415"/>
      <c r="H2869" s="2415"/>
      <c r="I2869" s="2415"/>
      <c r="J2869" s="2415"/>
      <c r="K2869" s="2415"/>
      <c r="L2869" s="2415"/>
      <c r="M2869" s="2415"/>
      <c r="N2869" s="2415"/>
      <c r="O2869" s="2415"/>
      <c r="P2869" s="2415"/>
      <c r="Q2869" s="2415"/>
      <c r="R2869" s="2415"/>
      <c r="W2869" t="s">
        <v>2062</v>
      </c>
    </row>
    <row r="2870" spans="1:23" ht="13.15" customHeight="1">
      <c r="A2870" s="2" t="s">
        <v>2221</v>
      </c>
      <c r="B2870" s="2">
        <f t="shared" si="88"/>
        <v>2020</v>
      </c>
      <c r="C2870" s="2" t="str">
        <f t="shared" si="89"/>
        <v>LIM333</v>
      </c>
      <c r="D2870" s="2417">
        <v>2</v>
      </c>
      <c r="E2870" s="2">
        <v>53</v>
      </c>
      <c r="F2870" s="2455" t="s">
        <v>471</v>
      </c>
      <c r="G2870" s="2415"/>
      <c r="H2870" s="2415"/>
      <c r="I2870" s="2415"/>
      <c r="J2870" s="2415"/>
      <c r="K2870" s="2415"/>
      <c r="L2870" s="2415"/>
      <c r="M2870" s="2415"/>
      <c r="N2870" s="2415"/>
      <c r="O2870" s="2415"/>
      <c r="P2870" s="2415"/>
      <c r="Q2870" s="2415"/>
      <c r="R2870" s="2415"/>
      <c r="W2870" t="s">
        <v>2062</v>
      </c>
    </row>
    <row r="2871" spans="1:23" ht="13.15" customHeight="1">
      <c r="A2871" s="2" t="s">
        <v>2221</v>
      </c>
      <c r="B2871" s="2">
        <f t="shared" si="88"/>
        <v>2020</v>
      </c>
      <c r="C2871" s="2" t="str">
        <f t="shared" si="89"/>
        <v>LIM333</v>
      </c>
      <c r="D2871" s="2417">
        <v>2</v>
      </c>
      <c r="E2871" s="2">
        <v>54</v>
      </c>
      <c r="F2871" s="2456" t="s">
        <v>905</v>
      </c>
      <c r="G2871" s="2415"/>
      <c r="H2871" s="2415"/>
      <c r="I2871" s="2415"/>
      <c r="J2871" s="2415"/>
      <c r="K2871" s="2415"/>
      <c r="L2871" s="2415"/>
      <c r="M2871" s="2415"/>
      <c r="N2871" s="2415"/>
      <c r="O2871" s="2415"/>
      <c r="P2871" s="2415"/>
      <c r="Q2871" s="2415"/>
      <c r="R2871" s="2415"/>
      <c r="W2871" t="s">
        <v>2062</v>
      </c>
    </row>
    <row r="2872" spans="1:23" ht="13.15" customHeight="1">
      <c r="A2872" s="2" t="s">
        <v>2221</v>
      </c>
      <c r="B2872" s="2">
        <f t="shared" si="88"/>
        <v>2020</v>
      </c>
      <c r="C2872" s="2" t="str">
        <f t="shared" si="89"/>
        <v>LIM333</v>
      </c>
      <c r="D2872" s="2417">
        <v>2</v>
      </c>
      <c r="E2872" s="2">
        <v>55</v>
      </c>
      <c r="F2872" s="2456" t="s">
        <v>1180</v>
      </c>
      <c r="G2872" s="2415"/>
      <c r="H2872" s="2415"/>
      <c r="I2872" s="2415"/>
      <c r="J2872" s="2415"/>
      <c r="K2872" s="2415"/>
      <c r="L2872" s="2415"/>
      <c r="M2872" s="2415"/>
      <c r="N2872" s="2415"/>
      <c r="O2872" s="2415"/>
      <c r="P2872" s="2415"/>
      <c r="Q2872" s="2415"/>
      <c r="R2872" s="2415"/>
      <c r="W2872" t="s">
        <v>2062</v>
      </c>
    </row>
    <row r="2873" spans="1:23" ht="13.15" customHeight="1">
      <c r="A2873" s="2" t="s">
        <v>2221</v>
      </c>
      <c r="B2873" s="2">
        <f t="shared" si="88"/>
        <v>2020</v>
      </c>
      <c r="C2873" s="2" t="str">
        <f t="shared" si="89"/>
        <v>LIM333</v>
      </c>
      <c r="D2873" s="2417">
        <v>2</v>
      </c>
      <c r="E2873" s="2">
        <v>56</v>
      </c>
      <c r="F2873" s="2455" t="s">
        <v>390</v>
      </c>
      <c r="G2873" s="2415"/>
      <c r="H2873" s="2415"/>
      <c r="I2873" s="2415"/>
      <c r="J2873" s="2415"/>
      <c r="K2873" s="2415"/>
      <c r="L2873" s="2415"/>
      <c r="M2873" s="2415"/>
      <c r="N2873" s="2415"/>
      <c r="O2873" s="2415"/>
      <c r="P2873" s="2415"/>
      <c r="Q2873" s="2415"/>
      <c r="R2873" s="2415"/>
      <c r="W2873" t="s">
        <v>2062</v>
      </c>
    </row>
    <row r="2874" spans="1:23" ht="13.15" customHeight="1">
      <c r="A2874" s="2" t="s">
        <v>2221</v>
      </c>
      <c r="B2874" s="2">
        <f t="shared" si="88"/>
        <v>2020</v>
      </c>
      <c r="C2874" s="2" t="str">
        <f t="shared" si="89"/>
        <v>LIM333</v>
      </c>
      <c r="D2874" s="2417">
        <v>2</v>
      </c>
      <c r="E2874" s="2">
        <v>57</v>
      </c>
      <c r="F2874" s="2455" t="s">
        <v>1122</v>
      </c>
      <c r="G2874" s="2415"/>
      <c r="H2874" s="2415"/>
      <c r="I2874" s="2415"/>
      <c r="J2874" s="2415"/>
      <c r="K2874" s="2415"/>
      <c r="L2874" s="2415"/>
      <c r="M2874" s="2415"/>
      <c r="N2874" s="2415"/>
      <c r="O2874" s="2415"/>
      <c r="P2874" s="2415"/>
      <c r="Q2874" s="2415"/>
      <c r="R2874" s="2415"/>
      <c r="W2874" t="s">
        <v>2062</v>
      </c>
    </row>
    <row r="2875" spans="1:23" ht="13.15" customHeight="1">
      <c r="A2875" s="2" t="s">
        <v>2221</v>
      </c>
      <c r="B2875" s="2">
        <f t="shared" si="88"/>
        <v>2020</v>
      </c>
      <c r="C2875" s="2" t="str">
        <f t="shared" si="89"/>
        <v>LIM333</v>
      </c>
      <c r="D2875" s="2417">
        <v>2</v>
      </c>
      <c r="E2875" s="2">
        <v>58</v>
      </c>
      <c r="F2875" s="2455" t="s">
        <v>423</v>
      </c>
      <c r="G2875" s="2415"/>
      <c r="H2875" s="2415"/>
      <c r="I2875" s="2415"/>
      <c r="J2875" s="2415"/>
      <c r="K2875" s="2415"/>
      <c r="L2875" s="2415"/>
      <c r="M2875" s="2415"/>
      <c r="N2875" s="2415"/>
      <c r="O2875" s="2415"/>
      <c r="P2875" s="2415"/>
      <c r="Q2875" s="2415"/>
      <c r="R2875" s="2415"/>
      <c r="W2875" t="s">
        <v>2062</v>
      </c>
    </row>
    <row r="2876" spans="1:23" ht="13.15" customHeight="1">
      <c r="A2876" s="2" t="s">
        <v>2221</v>
      </c>
      <c r="B2876" s="2">
        <f t="shared" si="88"/>
        <v>2020</v>
      </c>
      <c r="C2876" s="2" t="str">
        <f t="shared" si="89"/>
        <v>LIM333</v>
      </c>
      <c r="D2876" s="2417">
        <v>2</v>
      </c>
      <c r="E2876" s="2">
        <v>59</v>
      </c>
      <c r="F2876" s="2455" t="s">
        <v>670</v>
      </c>
      <c r="G2876" s="2415"/>
      <c r="H2876" s="2415"/>
      <c r="I2876" s="2415"/>
      <c r="J2876" s="2415"/>
      <c r="K2876" s="2415"/>
      <c r="L2876" s="2415"/>
      <c r="M2876" s="2415"/>
      <c r="N2876" s="2415"/>
      <c r="O2876" s="2415"/>
      <c r="P2876" s="2415"/>
      <c r="Q2876" s="2415"/>
      <c r="R2876" s="2415"/>
      <c r="W2876" t="s">
        <v>2062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E776A8-5EC8-499F-B0EC-4A709A88C151}">
  <ds:schemaRef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E70DED2D-7ED7-402E-9983-5F86FEFC9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Arnold Mathebula</cp:lastModifiedBy>
  <cp:lastPrinted>2020-03-25T14:15:23Z</cp:lastPrinted>
  <dcterms:created xsi:type="dcterms:W3CDTF">2004-04-07T16:19:08Z</dcterms:created>
  <dcterms:modified xsi:type="dcterms:W3CDTF">2020-07-03T09:01:54Z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0x01010047E4401F70939B408F4A9CF3E0982304</vt:lpwstr>
  </property>
</Properties>
</file>